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pkruzlik\Desktop\"/>
    </mc:Choice>
  </mc:AlternateContent>
  <bookViews>
    <workbookView xWindow="0" yWindow="0" windowWidth="28800" windowHeight="11730"/>
  </bookViews>
  <sheets>
    <sheet name="Sheet1" sheetId="13" r:id="rId1"/>
  </sheets>
  <calcPr calcId="0"/>
</workbook>
</file>

<file path=xl/calcChain.xml><?xml version="1.0" encoding="utf-8"?>
<calcChain xmlns="http://schemas.openxmlformats.org/spreadsheetml/2006/main">
  <c r="E9457" i="13" l="1"/>
  <c r="E9456" i="13"/>
  <c r="E9455" i="13"/>
  <c r="E9454" i="13"/>
  <c r="E9453" i="13"/>
  <c r="E9452" i="13"/>
  <c r="E9451" i="13"/>
  <c r="E9450" i="13"/>
  <c r="E9449" i="13"/>
  <c r="E9448" i="13"/>
  <c r="E9447" i="13"/>
  <c r="E9446" i="13"/>
  <c r="E9445" i="13"/>
  <c r="E9444" i="13"/>
  <c r="E9443" i="13"/>
  <c r="E9442" i="13"/>
  <c r="E9441" i="13"/>
  <c r="E9440" i="13"/>
  <c r="E9439" i="13"/>
  <c r="E9438" i="13"/>
  <c r="E9437" i="13"/>
  <c r="E9436" i="13"/>
  <c r="E9435" i="13"/>
  <c r="E9434" i="13"/>
  <c r="E9433" i="13"/>
  <c r="E9432" i="13"/>
  <c r="E9431" i="13"/>
  <c r="E9430" i="13"/>
  <c r="E9429" i="13"/>
  <c r="E9428" i="13"/>
  <c r="E9427" i="13"/>
  <c r="E9426" i="13"/>
  <c r="E9425" i="13"/>
  <c r="E9424" i="13"/>
  <c r="E9423" i="13"/>
  <c r="E9422" i="13"/>
  <c r="E9421" i="13"/>
  <c r="E9420" i="13"/>
  <c r="E9419" i="13"/>
  <c r="E9418" i="13"/>
  <c r="E9417" i="13"/>
  <c r="E9416" i="13"/>
  <c r="E9415" i="13"/>
  <c r="E9414" i="13"/>
  <c r="E9413" i="13"/>
  <c r="E9412" i="13"/>
  <c r="E9411" i="13"/>
  <c r="E9410" i="13"/>
  <c r="E9409" i="13"/>
  <c r="E9408" i="13"/>
  <c r="E9407" i="13"/>
  <c r="E9406" i="13"/>
  <c r="E9405" i="13"/>
  <c r="E9404" i="13"/>
  <c r="E9403" i="13"/>
  <c r="E9402" i="13"/>
  <c r="E9401" i="13"/>
  <c r="E9400" i="13"/>
  <c r="E9399" i="13"/>
  <c r="E9398" i="13"/>
  <c r="E9397" i="13"/>
  <c r="E9396" i="13"/>
  <c r="E9395" i="13"/>
  <c r="E9394" i="13"/>
  <c r="E9393" i="13"/>
  <c r="E9392" i="13"/>
  <c r="E9391" i="13"/>
  <c r="E9390" i="13"/>
  <c r="E9389" i="13"/>
  <c r="E9388" i="13"/>
  <c r="E9387" i="13"/>
  <c r="E9386" i="13"/>
  <c r="E9385" i="13"/>
  <c r="E9384" i="13"/>
  <c r="E9383" i="13"/>
  <c r="E9382" i="13"/>
  <c r="E9381" i="13"/>
  <c r="E9380" i="13"/>
  <c r="E9379" i="13"/>
  <c r="E9378" i="13"/>
  <c r="E9377" i="13"/>
  <c r="E9376" i="13"/>
  <c r="E9375" i="13"/>
  <c r="E9374" i="13"/>
  <c r="E9373" i="13"/>
  <c r="E9372" i="13"/>
  <c r="E9371" i="13"/>
  <c r="E9370" i="13"/>
  <c r="E9369" i="13"/>
  <c r="E9368" i="13"/>
  <c r="E9367" i="13"/>
  <c r="E9366" i="13"/>
  <c r="E9365" i="13"/>
  <c r="E9364" i="13"/>
  <c r="E9363" i="13"/>
  <c r="E9362" i="13"/>
  <c r="E9361" i="13"/>
  <c r="E9360" i="13"/>
  <c r="E9359" i="13"/>
  <c r="E9358" i="13"/>
  <c r="E9357" i="13"/>
  <c r="E9356" i="13"/>
  <c r="E9355" i="13"/>
  <c r="E9354" i="13"/>
  <c r="E9353" i="13"/>
  <c r="E9352" i="13"/>
  <c r="E9351" i="13"/>
  <c r="E9350" i="13"/>
  <c r="E9349" i="13"/>
  <c r="E9348" i="13"/>
  <c r="E9347" i="13"/>
  <c r="E9346" i="13"/>
  <c r="E9345" i="13"/>
  <c r="E9344" i="13"/>
  <c r="E9343" i="13"/>
  <c r="E9342" i="13"/>
  <c r="E9341" i="13"/>
  <c r="E9340" i="13"/>
  <c r="E9339" i="13"/>
  <c r="E9338" i="13"/>
  <c r="E9337" i="13"/>
  <c r="E9336" i="13"/>
  <c r="E9335" i="13"/>
  <c r="E9334" i="13"/>
  <c r="E9333" i="13"/>
  <c r="E9332" i="13"/>
  <c r="E9331" i="13"/>
  <c r="E9330" i="13"/>
  <c r="E9329" i="13"/>
  <c r="E9328" i="13"/>
  <c r="E9327" i="13"/>
  <c r="E9326" i="13"/>
  <c r="E9325" i="13"/>
  <c r="E9324" i="13"/>
  <c r="E9323" i="13"/>
  <c r="E9322" i="13"/>
  <c r="E9321" i="13"/>
  <c r="E9320" i="13"/>
  <c r="E9319" i="13"/>
  <c r="E9318" i="13"/>
  <c r="E9317" i="13"/>
  <c r="E9316" i="13"/>
  <c r="E9315" i="13"/>
  <c r="E9314" i="13"/>
  <c r="E9313" i="13"/>
  <c r="E9312" i="13"/>
  <c r="E9311" i="13"/>
  <c r="E9310" i="13"/>
  <c r="E9309" i="13"/>
  <c r="E9308" i="13"/>
  <c r="E9307" i="13"/>
  <c r="E9306" i="13"/>
  <c r="E9305" i="13"/>
  <c r="E9304" i="13"/>
  <c r="E9303" i="13"/>
  <c r="E9302" i="13"/>
  <c r="E9301" i="13"/>
  <c r="E9300" i="13"/>
  <c r="E9299" i="13"/>
  <c r="E9298" i="13"/>
  <c r="E9297" i="13"/>
  <c r="E9296" i="13"/>
  <c r="E9295" i="13"/>
  <c r="E9294" i="13"/>
  <c r="E9293" i="13"/>
  <c r="E9292" i="13"/>
  <c r="E9291" i="13"/>
  <c r="E9290" i="13"/>
  <c r="E9289" i="13"/>
  <c r="E9288" i="13"/>
  <c r="E9287" i="13"/>
  <c r="E9286" i="13"/>
  <c r="E9285" i="13"/>
  <c r="E9284" i="13"/>
  <c r="E9283" i="13"/>
  <c r="E9282" i="13"/>
  <c r="E9281" i="13"/>
  <c r="E9280" i="13"/>
  <c r="E9279" i="13"/>
  <c r="E9278" i="13"/>
  <c r="E9277" i="13"/>
  <c r="E9276" i="13"/>
  <c r="E9275" i="13"/>
  <c r="E9274" i="13"/>
  <c r="E9273" i="13"/>
  <c r="E9272" i="13"/>
  <c r="E9271" i="13"/>
  <c r="E9270" i="13"/>
  <c r="E9269" i="13"/>
  <c r="E9268" i="13"/>
  <c r="E9267" i="13"/>
  <c r="E9266" i="13"/>
  <c r="E9265" i="13"/>
  <c r="E9264" i="13"/>
  <c r="E9263" i="13"/>
  <c r="E9262" i="13"/>
  <c r="E9261" i="13"/>
  <c r="E9260" i="13"/>
  <c r="E9259" i="13"/>
  <c r="E9258" i="13"/>
  <c r="E9257" i="13"/>
  <c r="E9256" i="13"/>
  <c r="E9255" i="13"/>
  <c r="E9254" i="13"/>
  <c r="E9253" i="13"/>
  <c r="E9252" i="13"/>
  <c r="E9251" i="13"/>
  <c r="E9250" i="13"/>
  <c r="E9249" i="13"/>
  <c r="E9248" i="13"/>
  <c r="E9247" i="13"/>
  <c r="E9246" i="13"/>
  <c r="E9245" i="13"/>
  <c r="E9244" i="13"/>
  <c r="E9243" i="13"/>
  <c r="E9242" i="13"/>
  <c r="E9241" i="13"/>
  <c r="E9240" i="13"/>
  <c r="E9239" i="13"/>
  <c r="E9238" i="13"/>
  <c r="E9237" i="13"/>
  <c r="E9236" i="13"/>
  <c r="E9235" i="13"/>
  <c r="E9234" i="13"/>
  <c r="E9233" i="13"/>
  <c r="E9232" i="13"/>
  <c r="E9231" i="13"/>
  <c r="E9230" i="13"/>
  <c r="E9229" i="13"/>
  <c r="E9228" i="13"/>
  <c r="E9227" i="13"/>
  <c r="E9226" i="13"/>
  <c r="E9225" i="13"/>
  <c r="E9224" i="13"/>
  <c r="E9223" i="13"/>
  <c r="E9222" i="13"/>
  <c r="E9221" i="13"/>
  <c r="E9220" i="13"/>
  <c r="E9219" i="13"/>
  <c r="E9218" i="13"/>
  <c r="E9217" i="13"/>
  <c r="E9216" i="13"/>
  <c r="E9215" i="13"/>
  <c r="E9214" i="13"/>
  <c r="E9213" i="13"/>
  <c r="E9212" i="13"/>
  <c r="E9211" i="13"/>
  <c r="E9210" i="13"/>
  <c r="E9209" i="13"/>
  <c r="E9208" i="13"/>
  <c r="E9207" i="13"/>
  <c r="E9206" i="13"/>
  <c r="E9205" i="13"/>
  <c r="E9204" i="13"/>
  <c r="E9203" i="13"/>
  <c r="E9202" i="13"/>
  <c r="E9201" i="13"/>
  <c r="E9200" i="13"/>
  <c r="E9199" i="13"/>
  <c r="E9198" i="13"/>
  <c r="E9197" i="13"/>
  <c r="E9196" i="13"/>
  <c r="E9195" i="13"/>
  <c r="E9194" i="13"/>
  <c r="E9193" i="13"/>
  <c r="E9192" i="13"/>
  <c r="E9191" i="13"/>
  <c r="E9190" i="13"/>
  <c r="E9189" i="13"/>
  <c r="E9188" i="13"/>
  <c r="E9187" i="13"/>
  <c r="E9186" i="13"/>
  <c r="E9185" i="13"/>
  <c r="E9184" i="13"/>
  <c r="E9183" i="13"/>
  <c r="E9182" i="13"/>
  <c r="E9181" i="13"/>
  <c r="E9180" i="13"/>
  <c r="E9179" i="13"/>
  <c r="E9178" i="13"/>
  <c r="E9177" i="13"/>
  <c r="E9176" i="13"/>
  <c r="E9175" i="13"/>
  <c r="E9174" i="13"/>
  <c r="E9173" i="13"/>
  <c r="E9172" i="13"/>
  <c r="E9171" i="13"/>
  <c r="E9170" i="13"/>
  <c r="E9169" i="13"/>
  <c r="E9168" i="13"/>
  <c r="E9167" i="13"/>
  <c r="E9166" i="13"/>
  <c r="E9165" i="13"/>
  <c r="E9164" i="13"/>
  <c r="E9163" i="13"/>
  <c r="E9162" i="13"/>
  <c r="E9161" i="13"/>
  <c r="E9160" i="13"/>
  <c r="E9159" i="13"/>
  <c r="E9158" i="13"/>
  <c r="E9157" i="13"/>
  <c r="E9156" i="13"/>
  <c r="E9155" i="13"/>
  <c r="E9154" i="13"/>
  <c r="E9153" i="13"/>
  <c r="E9152" i="13"/>
  <c r="E9151" i="13"/>
  <c r="E9150" i="13"/>
  <c r="E9149" i="13"/>
  <c r="E9148" i="13"/>
  <c r="E9147" i="13"/>
  <c r="E9146" i="13"/>
  <c r="E9145" i="13"/>
  <c r="E9144" i="13"/>
  <c r="E9143" i="13"/>
  <c r="E9142" i="13"/>
  <c r="E9141" i="13"/>
  <c r="E9140" i="13"/>
  <c r="E9139" i="13"/>
  <c r="E9138" i="13"/>
  <c r="E9137" i="13"/>
  <c r="E9136" i="13"/>
  <c r="E9135" i="13"/>
  <c r="E9134" i="13"/>
  <c r="E9133" i="13"/>
  <c r="E9132" i="13"/>
  <c r="E9131" i="13"/>
  <c r="E9130" i="13"/>
  <c r="E9129" i="13"/>
  <c r="E9128" i="13"/>
  <c r="E9127" i="13"/>
  <c r="E9126" i="13"/>
  <c r="E9125" i="13"/>
  <c r="E9124" i="13"/>
  <c r="E9123" i="13"/>
  <c r="E9122" i="13"/>
  <c r="E9121" i="13"/>
  <c r="E9120" i="13"/>
  <c r="E9119" i="13"/>
  <c r="E9118" i="13"/>
  <c r="E9117" i="13"/>
  <c r="E9116" i="13"/>
  <c r="E9115" i="13"/>
  <c r="E9114" i="13"/>
  <c r="E9113" i="13"/>
  <c r="E9112" i="13"/>
  <c r="E9111" i="13"/>
  <c r="E9110" i="13"/>
  <c r="E9109" i="13"/>
  <c r="E9108" i="13"/>
  <c r="E9107" i="13"/>
  <c r="E9106" i="13"/>
  <c r="E9105" i="13"/>
  <c r="E9104" i="13"/>
  <c r="E9103" i="13"/>
  <c r="E9102" i="13"/>
  <c r="E9101" i="13"/>
  <c r="E9100" i="13"/>
  <c r="E9099" i="13"/>
  <c r="E9098" i="13"/>
  <c r="E9097" i="13"/>
  <c r="E9096" i="13"/>
  <c r="E9095" i="13"/>
  <c r="E9094" i="13"/>
  <c r="E9093" i="13"/>
  <c r="E9092" i="13"/>
  <c r="E9091" i="13"/>
  <c r="E9090" i="13"/>
  <c r="E9089" i="13"/>
  <c r="E9088" i="13"/>
  <c r="E9087" i="13"/>
  <c r="E9086" i="13"/>
  <c r="E9085" i="13"/>
  <c r="E9084" i="13"/>
  <c r="E9083" i="13"/>
  <c r="E9082" i="13"/>
  <c r="E9081" i="13"/>
  <c r="E9080" i="13"/>
  <c r="E9079" i="13"/>
  <c r="E9078" i="13"/>
  <c r="E9077" i="13"/>
  <c r="E9076" i="13"/>
  <c r="E9075" i="13"/>
  <c r="E9074" i="13"/>
  <c r="E9073" i="13"/>
  <c r="E9072" i="13"/>
  <c r="E9071" i="13"/>
  <c r="E9070" i="13"/>
  <c r="E9069" i="13"/>
  <c r="E9068" i="13"/>
  <c r="E9067" i="13"/>
  <c r="E9066" i="13"/>
  <c r="E9065" i="13"/>
  <c r="E9064" i="13"/>
  <c r="E9063" i="13"/>
  <c r="E9062" i="13"/>
  <c r="E9061" i="13"/>
  <c r="E9060" i="13"/>
  <c r="E9059" i="13"/>
  <c r="E9058" i="13"/>
  <c r="E9057" i="13"/>
  <c r="E9056" i="13"/>
  <c r="E9055" i="13"/>
  <c r="E9054" i="13"/>
  <c r="E9053" i="13"/>
  <c r="E9052" i="13"/>
  <c r="E9051" i="13"/>
  <c r="E9050" i="13"/>
  <c r="E9049" i="13"/>
  <c r="E9048" i="13"/>
  <c r="E9047" i="13"/>
  <c r="E9046" i="13"/>
  <c r="E9045" i="13"/>
  <c r="E9044" i="13"/>
  <c r="E9043" i="13"/>
  <c r="E9042" i="13"/>
  <c r="E9041" i="13"/>
  <c r="E9040" i="13"/>
  <c r="E9039" i="13"/>
  <c r="E9038" i="13"/>
  <c r="E9037" i="13"/>
  <c r="E9036" i="13"/>
  <c r="E9035" i="13"/>
  <c r="E9034" i="13"/>
  <c r="E9033" i="13"/>
  <c r="E9032" i="13"/>
  <c r="E9031" i="13"/>
  <c r="E9030" i="13"/>
  <c r="E9029" i="13"/>
  <c r="E9028" i="13"/>
  <c r="E9027" i="13"/>
  <c r="E9026" i="13"/>
  <c r="E9025" i="13"/>
  <c r="E9024" i="13"/>
  <c r="E9023" i="13"/>
  <c r="E9022" i="13"/>
  <c r="E9021" i="13"/>
  <c r="E9020" i="13"/>
  <c r="E9019" i="13"/>
  <c r="E9018" i="13"/>
  <c r="E9017" i="13"/>
  <c r="E9016" i="13"/>
  <c r="E9015" i="13"/>
  <c r="E9014" i="13"/>
  <c r="E9013" i="13"/>
  <c r="E9012" i="13"/>
  <c r="E9011" i="13"/>
  <c r="E9010" i="13"/>
  <c r="E9009" i="13"/>
  <c r="E9008" i="13"/>
  <c r="E9007" i="13"/>
  <c r="E9006" i="13"/>
  <c r="E9005" i="13"/>
  <c r="E9004" i="13"/>
  <c r="E9003" i="13"/>
  <c r="E9002" i="13"/>
  <c r="E9001" i="13"/>
  <c r="E9000" i="13"/>
  <c r="E8999" i="13"/>
  <c r="E8998" i="13"/>
  <c r="E8997" i="13"/>
  <c r="E8996" i="13"/>
  <c r="E8995" i="13"/>
  <c r="E8994" i="13"/>
  <c r="E8993" i="13"/>
  <c r="E8992" i="13"/>
  <c r="E8991" i="13"/>
  <c r="E8990" i="13"/>
  <c r="E8989" i="13"/>
  <c r="E8988" i="13"/>
  <c r="E8987" i="13"/>
  <c r="E8986" i="13"/>
  <c r="E8985" i="13"/>
  <c r="E8984" i="13"/>
  <c r="E8983" i="13"/>
  <c r="E8982" i="13"/>
  <c r="E8981" i="13"/>
  <c r="E8980" i="13"/>
  <c r="E8979" i="13"/>
  <c r="E8978" i="13"/>
  <c r="E8977" i="13"/>
  <c r="E8976" i="13"/>
  <c r="E8975" i="13"/>
  <c r="E8974" i="13"/>
  <c r="E8973" i="13"/>
  <c r="E8972" i="13"/>
  <c r="E8971" i="13"/>
  <c r="E8970" i="13"/>
  <c r="E8969" i="13"/>
  <c r="E8968" i="13"/>
  <c r="E8967" i="13"/>
  <c r="E8966" i="13"/>
  <c r="E8965" i="13"/>
  <c r="E8964" i="13"/>
  <c r="E8963" i="13"/>
  <c r="E8962" i="13"/>
  <c r="E8961" i="13"/>
  <c r="E8960" i="13"/>
  <c r="E8959" i="13"/>
  <c r="E8958" i="13"/>
  <c r="E8957" i="13"/>
  <c r="E8956" i="13"/>
  <c r="E8955" i="13"/>
  <c r="E8954" i="13"/>
  <c r="E8953" i="13"/>
  <c r="E8952" i="13"/>
  <c r="E8951" i="13"/>
  <c r="E8950" i="13"/>
  <c r="E8949" i="13"/>
  <c r="E8948" i="13"/>
  <c r="E8947" i="13"/>
  <c r="E8946" i="13"/>
  <c r="E8945" i="13"/>
  <c r="E8944" i="13"/>
  <c r="E8943" i="13"/>
  <c r="E8941" i="13"/>
  <c r="E8940" i="13"/>
  <c r="E8939" i="13"/>
  <c r="E8938" i="13"/>
  <c r="E8937" i="13"/>
  <c r="E8936" i="13"/>
  <c r="E8935" i="13"/>
  <c r="E8934" i="13"/>
  <c r="E8933" i="13"/>
  <c r="E8932" i="13"/>
  <c r="E8931" i="13"/>
  <c r="E8930" i="13"/>
  <c r="E8929" i="13"/>
  <c r="E8928" i="13"/>
  <c r="E8927" i="13"/>
  <c r="E8926" i="13"/>
  <c r="E8925" i="13"/>
  <c r="E8924" i="13"/>
  <c r="E8923" i="13"/>
  <c r="E8922" i="13"/>
  <c r="E8921" i="13"/>
  <c r="E8920" i="13"/>
  <c r="E8919" i="13"/>
  <c r="E8918" i="13"/>
  <c r="E8917" i="13"/>
  <c r="E8916" i="13"/>
  <c r="E8915" i="13"/>
  <c r="E8914" i="13"/>
  <c r="E8913" i="13"/>
  <c r="E8912" i="13"/>
  <c r="E8911" i="13"/>
  <c r="E8910" i="13"/>
  <c r="E8909" i="13"/>
  <c r="E8908" i="13"/>
  <c r="E8907" i="13"/>
  <c r="E8906" i="13"/>
  <c r="E8905" i="13"/>
  <c r="E8904" i="13"/>
  <c r="E8903" i="13"/>
  <c r="E8902" i="13"/>
  <c r="E8901" i="13"/>
  <c r="E8900" i="13"/>
  <c r="E8899" i="13"/>
  <c r="E8898" i="13"/>
  <c r="E8897" i="13"/>
  <c r="E8896" i="13"/>
  <c r="E8895" i="13"/>
  <c r="E8894" i="13"/>
  <c r="E8893" i="13"/>
  <c r="E8892" i="13"/>
  <c r="E8891" i="13"/>
  <c r="E8890" i="13"/>
  <c r="E8889" i="13"/>
  <c r="E8888" i="13"/>
  <c r="E8887" i="13"/>
  <c r="E8886" i="13"/>
  <c r="E8885" i="13"/>
  <c r="E8884" i="13"/>
  <c r="E8883" i="13"/>
  <c r="E8882" i="13"/>
  <c r="E8881" i="13"/>
  <c r="E8880" i="13"/>
  <c r="E8879" i="13"/>
  <c r="E8878" i="13"/>
  <c r="E8877" i="13"/>
  <c r="E8876" i="13"/>
  <c r="E8875" i="13"/>
  <c r="E8874" i="13"/>
  <c r="E8873" i="13"/>
  <c r="E8872" i="13"/>
  <c r="E8871" i="13"/>
  <c r="E8870" i="13"/>
  <c r="E8869" i="13"/>
  <c r="E8868" i="13"/>
  <c r="E8867" i="13"/>
  <c r="E8866" i="13"/>
  <c r="E8865" i="13"/>
  <c r="E8864" i="13"/>
  <c r="E8863" i="13"/>
  <c r="E8862" i="13"/>
  <c r="E8861" i="13"/>
  <c r="E8860" i="13"/>
  <c r="E8859" i="13"/>
  <c r="E8858" i="13"/>
  <c r="E8857" i="13"/>
  <c r="E8856" i="13"/>
  <c r="E8855" i="13"/>
  <c r="E8854" i="13"/>
  <c r="E8853" i="13"/>
  <c r="E8852" i="13"/>
  <c r="E8851" i="13"/>
  <c r="E8850" i="13"/>
  <c r="E8849" i="13"/>
  <c r="E8848" i="13"/>
  <c r="E8847" i="13"/>
  <c r="E8846" i="13"/>
  <c r="E8845" i="13"/>
  <c r="E8844" i="13"/>
  <c r="E8843" i="13"/>
  <c r="E8842" i="13"/>
  <c r="E8841" i="13"/>
  <c r="E8840" i="13"/>
  <c r="E8839" i="13"/>
  <c r="E8838" i="13"/>
  <c r="E8837" i="13"/>
  <c r="E8836" i="13"/>
  <c r="E8835" i="13"/>
  <c r="E8834" i="13"/>
  <c r="E8833" i="13"/>
  <c r="E8832" i="13"/>
  <c r="E8831" i="13"/>
  <c r="E8830" i="13"/>
  <c r="E8829" i="13"/>
  <c r="E8828" i="13"/>
  <c r="E8827" i="13"/>
  <c r="E8826" i="13"/>
  <c r="E8825" i="13"/>
  <c r="E8824" i="13"/>
  <c r="E8823" i="13"/>
  <c r="E8822" i="13"/>
  <c r="E8821" i="13"/>
  <c r="E8820" i="13"/>
  <c r="E8819" i="13"/>
  <c r="E8817" i="13"/>
  <c r="E8816" i="13"/>
  <c r="E8815" i="13"/>
  <c r="E8814" i="13"/>
  <c r="E8813" i="13"/>
  <c r="E8812" i="13"/>
  <c r="E8811" i="13"/>
  <c r="E8810" i="13"/>
  <c r="E8809" i="13"/>
  <c r="E8808" i="13"/>
  <c r="E8807" i="13"/>
  <c r="E8806" i="13"/>
  <c r="E8805" i="13"/>
  <c r="E8804" i="13"/>
  <c r="E8803" i="13"/>
  <c r="E8802" i="13"/>
  <c r="E8801" i="13"/>
  <c r="E8799" i="13"/>
  <c r="E8798" i="13"/>
  <c r="E8797" i="13"/>
  <c r="E8796" i="13"/>
  <c r="E8795" i="13"/>
  <c r="E8794" i="13"/>
  <c r="E8793" i="13"/>
  <c r="E8792" i="13"/>
  <c r="E8791" i="13"/>
  <c r="E8790" i="13"/>
  <c r="E8789" i="13"/>
  <c r="E8788" i="13"/>
  <c r="E8787" i="13"/>
  <c r="E8786" i="13"/>
  <c r="E8785" i="13"/>
  <c r="E8784" i="13"/>
  <c r="E8783" i="13"/>
  <c r="E8782" i="13"/>
  <c r="E8781" i="13"/>
  <c r="E8780" i="13"/>
  <c r="E8779" i="13"/>
  <c r="E8778" i="13"/>
  <c r="E8777" i="13"/>
  <c r="E8776" i="13"/>
  <c r="E8775" i="13"/>
  <c r="E8774" i="13"/>
  <c r="E8773" i="13"/>
  <c r="E8772" i="13"/>
  <c r="E8771" i="13"/>
  <c r="E8770" i="13"/>
  <c r="E8769" i="13"/>
  <c r="E8768" i="13"/>
  <c r="E8767" i="13"/>
  <c r="E8766" i="13"/>
  <c r="E8765" i="13"/>
  <c r="E8764" i="13"/>
  <c r="E8763" i="13"/>
  <c r="E8762" i="13"/>
  <c r="E8761" i="13"/>
  <c r="E8760" i="13"/>
  <c r="E8759" i="13"/>
  <c r="E8758" i="13"/>
  <c r="E8757" i="13"/>
  <c r="E8756" i="13"/>
  <c r="E8755" i="13"/>
  <c r="E8754" i="13"/>
  <c r="E8753" i="13"/>
  <c r="E8752" i="13"/>
  <c r="E8751" i="13"/>
  <c r="E8750" i="13"/>
  <c r="E8749" i="13"/>
  <c r="E8748" i="13"/>
  <c r="E8747" i="13"/>
  <c r="E8746" i="13"/>
  <c r="E8745" i="13"/>
  <c r="E8744" i="13"/>
  <c r="E8743" i="13"/>
  <c r="E8742" i="13"/>
  <c r="E8741" i="13"/>
  <c r="E8740" i="13"/>
  <c r="E8739" i="13"/>
  <c r="E8738" i="13"/>
  <c r="E8737" i="13"/>
  <c r="E8736" i="13"/>
  <c r="E8735" i="13"/>
  <c r="E8734" i="13"/>
  <c r="E8733" i="13"/>
  <c r="E8732" i="13"/>
  <c r="E8731" i="13"/>
  <c r="E8730" i="13"/>
  <c r="E8729" i="13"/>
  <c r="E8728" i="13"/>
  <c r="E8727" i="13"/>
  <c r="E8726" i="13"/>
  <c r="E8725" i="13"/>
  <c r="E8724" i="13"/>
  <c r="E8723" i="13"/>
  <c r="E8722" i="13"/>
  <c r="E8721" i="13"/>
  <c r="E8720" i="13"/>
  <c r="E8719" i="13"/>
  <c r="E8718" i="13"/>
  <c r="E8717" i="13"/>
  <c r="E8716" i="13"/>
  <c r="E8715" i="13"/>
  <c r="E8714" i="13"/>
  <c r="E8713" i="13"/>
  <c r="E8712" i="13"/>
  <c r="E8711" i="13"/>
  <c r="E8710" i="13"/>
  <c r="E8709" i="13"/>
  <c r="E8708" i="13"/>
  <c r="E8707" i="13"/>
  <c r="E8706" i="13"/>
  <c r="E8705" i="13"/>
  <c r="E8704" i="13"/>
  <c r="E8703" i="13"/>
  <c r="E8702" i="13"/>
  <c r="E8701" i="13"/>
  <c r="E8700" i="13"/>
  <c r="E8699" i="13"/>
  <c r="E8698" i="13"/>
  <c r="E8697" i="13"/>
  <c r="E8696" i="13"/>
  <c r="E8695" i="13"/>
  <c r="E8694" i="13"/>
  <c r="E8693" i="13"/>
  <c r="E8692" i="13"/>
  <c r="E8691" i="13"/>
  <c r="E8690" i="13"/>
  <c r="E8689" i="13"/>
  <c r="E8688" i="13"/>
  <c r="E8687" i="13"/>
  <c r="E8686" i="13"/>
  <c r="E8685" i="13"/>
  <c r="E8684" i="13"/>
  <c r="E8683" i="13"/>
  <c r="E8682" i="13"/>
  <c r="E8681" i="13"/>
  <c r="E8680" i="13"/>
  <c r="E8679" i="13"/>
  <c r="E8678" i="13"/>
  <c r="E8677" i="13"/>
  <c r="E8676" i="13"/>
  <c r="E8675" i="13"/>
  <c r="E8674" i="13"/>
  <c r="E8673" i="13"/>
  <c r="E8672" i="13"/>
  <c r="E8671" i="13"/>
  <c r="E8670" i="13"/>
  <c r="E8669" i="13"/>
  <c r="E8668" i="13"/>
  <c r="E8667" i="13"/>
  <c r="E8666" i="13"/>
  <c r="E8665" i="13"/>
  <c r="E8664" i="13"/>
  <c r="E8663" i="13"/>
  <c r="E8662" i="13"/>
  <c r="E8661" i="13"/>
  <c r="E8660" i="13"/>
  <c r="E8659" i="13"/>
  <c r="E8658" i="13"/>
  <c r="E8657" i="13"/>
  <c r="E8656" i="13"/>
  <c r="E8655" i="13"/>
  <c r="E8654" i="13"/>
  <c r="E8653" i="13"/>
  <c r="E8652" i="13"/>
  <c r="E8651" i="13"/>
  <c r="E8650" i="13"/>
  <c r="E8649" i="13"/>
  <c r="E8648" i="13"/>
  <c r="E8647" i="13"/>
  <c r="E8646" i="13"/>
  <c r="E8645" i="13"/>
  <c r="E8644" i="13"/>
  <c r="E8643" i="13"/>
  <c r="E8642" i="13"/>
  <c r="E8641" i="13"/>
  <c r="E8639" i="13"/>
  <c r="E8638" i="13"/>
  <c r="E8637" i="13"/>
  <c r="E8636" i="13"/>
  <c r="E8635" i="13"/>
  <c r="E8634" i="13"/>
  <c r="E8633" i="13"/>
  <c r="E8632" i="13"/>
  <c r="E8631" i="13"/>
  <c r="E8630" i="13"/>
  <c r="E8629" i="13"/>
  <c r="E8628" i="13"/>
  <c r="E8627" i="13"/>
  <c r="E8626" i="13"/>
  <c r="E8625" i="13"/>
  <c r="E8624" i="13"/>
  <c r="E8623" i="13"/>
  <c r="E8622" i="13"/>
  <c r="E8621" i="13"/>
  <c r="E8620" i="13"/>
  <c r="E8619" i="13"/>
  <c r="E8618" i="13"/>
  <c r="E8617" i="13"/>
  <c r="E8616" i="13"/>
  <c r="E8615" i="13"/>
  <c r="E8614" i="13"/>
  <c r="E8613" i="13"/>
  <c r="E8612" i="13"/>
  <c r="E8611" i="13"/>
  <c r="E8610" i="13"/>
  <c r="E8609" i="13"/>
  <c r="E8608" i="13"/>
  <c r="E8606" i="13"/>
  <c r="E8605" i="13"/>
  <c r="E8604" i="13"/>
  <c r="E8603" i="13"/>
  <c r="E8602" i="13"/>
  <c r="E8601" i="13"/>
  <c r="E8600" i="13"/>
  <c r="E8599" i="13"/>
  <c r="E8598" i="13"/>
  <c r="E8597" i="13"/>
  <c r="E8596" i="13"/>
  <c r="E8595" i="13"/>
  <c r="E8594" i="13"/>
  <c r="E8593" i="13"/>
  <c r="E8592" i="13"/>
  <c r="E8591" i="13"/>
  <c r="E8590" i="13"/>
  <c r="E8589" i="13"/>
  <c r="E8588" i="13"/>
  <c r="E8587" i="13"/>
  <c r="E8586" i="13"/>
  <c r="E8585" i="13"/>
  <c r="E8584" i="13"/>
  <c r="E8583" i="13"/>
  <c r="E8582" i="13"/>
  <c r="E8581" i="13"/>
  <c r="E8580" i="13"/>
  <c r="E8579" i="13"/>
  <c r="E8578" i="13"/>
  <c r="E8577" i="13"/>
  <c r="E8576" i="13"/>
  <c r="E8575" i="13"/>
  <c r="E8574" i="13"/>
  <c r="E8573" i="13"/>
  <c r="E8572" i="13"/>
  <c r="E8571" i="13"/>
  <c r="E8570" i="13"/>
  <c r="E8569" i="13"/>
  <c r="E8568" i="13"/>
  <c r="E8567" i="13"/>
  <c r="E8566" i="13"/>
  <c r="E8565" i="13"/>
  <c r="E8564" i="13"/>
  <c r="E8563" i="13"/>
  <c r="E8562" i="13"/>
  <c r="E8561" i="13"/>
  <c r="E8560" i="13"/>
  <c r="E8559" i="13"/>
  <c r="E8558" i="13"/>
  <c r="E8557" i="13"/>
  <c r="E8556" i="13"/>
  <c r="E8555" i="13"/>
  <c r="E8554" i="13"/>
  <c r="E8553" i="13"/>
  <c r="E8552" i="13"/>
  <c r="E8551" i="13"/>
  <c r="E8550" i="13"/>
  <c r="E8549" i="13"/>
  <c r="E8548" i="13"/>
  <c r="E8547" i="13"/>
  <c r="E8546" i="13"/>
  <c r="E8545" i="13"/>
  <c r="E8544" i="13"/>
  <c r="E8543" i="13"/>
  <c r="E8542" i="13"/>
  <c r="E8541" i="13"/>
  <c r="E8540" i="13"/>
  <c r="E8539" i="13"/>
  <c r="E8538" i="13"/>
  <c r="E8537" i="13"/>
  <c r="E8536" i="13"/>
  <c r="E8535" i="13"/>
  <c r="E8534" i="13"/>
  <c r="E8533" i="13"/>
  <c r="E8532" i="13"/>
  <c r="E8531" i="13"/>
  <c r="E8530" i="13"/>
  <c r="E8529" i="13"/>
  <c r="E8528" i="13"/>
  <c r="E8527" i="13"/>
  <c r="E8526" i="13"/>
  <c r="E8525" i="13"/>
  <c r="E8524" i="13"/>
  <c r="E8523" i="13"/>
  <c r="E8522" i="13"/>
  <c r="E8521" i="13"/>
  <c r="E8520" i="13"/>
  <c r="E8519" i="13"/>
  <c r="E8518" i="13"/>
  <c r="E8517" i="13"/>
  <c r="E8516" i="13"/>
  <c r="E8515" i="13"/>
  <c r="E8514" i="13"/>
  <c r="E8513" i="13"/>
  <c r="E8512" i="13"/>
  <c r="E8511" i="13"/>
  <c r="E8510" i="13"/>
  <c r="E8509" i="13"/>
  <c r="E8508" i="13"/>
  <c r="E8507" i="13"/>
  <c r="E8506" i="13"/>
  <c r="E8505" i="13"/>
  <c r="E8504" i="13"/>
  <c r="E8503" i="13"/>
  <c r="E8502" i="13"/>
  <c r="E8501" i="13"/>
  <c r="E8500" i="13"/>
  <c r="E8499" i="13"/>
  <c r="E8498" i="13"/>
  <c r="E8497" i="13"/>
  <c r="E8496" i="13"/>
  <c r="E8495" i="13"/>
  <c r="E8494" i="13"/>
  <c r="E8493" i="13"/>
  <c r="E8492" i="13"/>
  <c r="E8491" i="13"/>
  <c r="E8490" i="13"/>
  <c r="E8489" i="13"/>
  <c r="E8488" i="13"/>
  <c r="E8487" i="13"/>
  <c r="E8486" i="13"/>
  <c r="E8485" i="13"/>
  <c r="E8484" i="13"/>
  <c r="E8483" i="13"/>
  <c r="E8482" i="13"/>
  <c r="E8481" i="13"/>
  <c r="E8480" i="13"/>
  <c r="E8479" i="13"/>
  <c r="E8478" i="13"/>
  <c r="E8477" i="13"/>
  <c r="E8476" i="13"/>
  <c r="E8475" i="13"/>
  <c r="E8474" i="13"/>
  <c r="E8473" i="13"/>
  <c r="E8472" i="13"/>
  <c r="E8471" i="13"/>
  <c r="E8470" i="13"/>
  <c r="E8469" i="13"/>
  <c r="E8468" i="13"/>
  <c r="E8467" i="13"/>
  <c r="E8466" i="13"/>
  <c r="E8465" i="13"/>
  <c r="E8464" i="13"/>
  <c r="E8463" i="13"/>
  <c r="E8462" i="13"/>
  <c r="E8461" i="13"/>
  <c r="E8460" i="13"/>
  <c r="E8459" i="13"/>
  <c r="E8458" i="13"/>
  <c r="E8457" i="13"/>
  <c r="E8456" i="13"/>
  <c r="E8455" i="13"/>
  <c r="E8454" i="13"/>
  <c r="E8453" i="13"/>
  <c r="E8452" i="13"/>
  <c r="E8451" i="13"/>
  <c r="E8450" i="13"/>
  <c r="E8449" i="13"/>
  <c r="E8448" i="13"/>
  <c r="E8447" i="13"/>
  <c r="E8446" i="13"/>
  <c r="E8445" i="13"/>
  <c r="E8444" i="13"/>
  <c r="E8443" i="13"/>
  <c r="E8442" i="13"/>
  <c r="E8441" i="13"/>
  <c r="E8440" i="13"/>
  <c r="E8439" i="13"/>
  <c r="E8438" i="13"/>
  <c r="E8437" i="13"/>
  <c r="E8436" i="13"/>
  <c r="E8435" i="13"/>
  <c r="E8434" i="13"/>
  <c r="E8433" i="13"/>
  <c r="E8432" i="13"/>
  <c r="E8431" i="13"/>
  <c r="E8430" i="13"/>
  <c r="E8429" i="13"/>
  <c r="E8428" i="13"/>
  <c r="E8427" i="13"/>
  <c r="E8426" i="13"/>
  <c r="E8425" i="13"/>
  <c r="E8424" i="13"/>
  <c r="E8423" i="13"/>
  <c r="E8422" i="13"/>
  <c r="E8421" i="13"/>
  <c r="E8420" i="13"/>
  <c r="E8419" i="13"/>
  <c r="E8418" i="13"/>
  <c r="E8417" i="13"/>
  <c r="E8416" i="13"/>
  <c r="E8415" i="13"/>
  <c r="E8414" i="13"/>
  <c r="E8413" i="13"/>
  <c r="E8412" i="13"/>
  <c r="E8411" i="13"/>
  <c r="E8410" i="13"/>
  <c r="E8409" i="13"/>
  <c r="E8408" i="13"/>
  <c r="E8407" i="13"/>
  <c r="E8406" i="13"/>
  <c r="E8405" i="13"/>
  <c r="E8404" i="13"/>
  <c r="E8403" i="13"/>
  <c r="E8402" i="13"/>
  <c r="E8401" i="13"/>
  <c r="E8400" i="13"/>
  <c r="E8399" i="13"/>
  <c r="E8398" i="13"/>
  <c r="E8397" i="13"/>
  <c r="E8396" i="13"/>
  <c r="E8395" i="13"/>
  <c r="E8394" i="13"/>
  <c r="E8393" i="13"/>
  <c r="E8392" i="13"/>
  <c r="E8391" i="13"/>
  <c r="E8390" i="13"/>
  <c r="E8389" i="13"/>
  <c r="E8388" i="13"/>
  <c r="E8387" i="13"/>
  <c r="E8386" i="13"/>
  <c r="E8385" i="13"/>
  <c r="E8384" i="13"/>
  <c r="E8383" i="13"/>
  <c r="E8382" i="13"/>
  <c r="E8381" i="13"/>
  <c r="E8380" i="13"/>
  <c r="E8379" i="13"/>
  <c r="E8378" i="13"/>
  <c r="E8377" i="13"/>
  <c r="E8376" i="13"/>
  <c r="E8375" i="13"/>
  <c r="E8374" i="13"/>
  <c r="E8373" i="13"/>
  <c r="E8372" i="13"/>
  <c r="E8371" i="13"/>
  <c r="E8370" i="13"/>
  <c r="E8369" i="13"/>
  <c r="E8368" i="13"/>
  <c r="E8367" i="13"/>
  <c r="E8366" i="13"/>
  <c r="E8365" i="13"/>
  <c r="E8364" i="13"/>
  <c r="E8363" i="13"/>
  <c r="E8362" i="13"/>
  <c r="E8361" i="13"/>
  <c r="E8360" i="13"/>
  <c r="E8359" i="13"/>
  <c r="E8358" i="13"/>
  <c r="E8357" i="13"/>
  <c r="E8356" i="13"/>
  <c r="E8355" i="13"/>
  <c r="E8354" i="13"/>
  <c r="E8353" i="13"/>
  <c r="E8352" i="13"/>
  <c r="E8351" i="13"/>
  <c r="E8350" i="13"/>
  <c r="E8349" i="13"/>
  <c r="E8348" i="13"/>
  <c r="E8347" i="13"/>
  <c r="E8346" i="13"/>
  <c r="E8345" i="13"/>
  <c r="E8344" i="13"/>
  <c r="E8343" i="13"/>
  <c r="E8342" i="13"/>
  <c r="E8341" i="13"/>
  <c r="E8340" i="13"/>
  <c r="E8339" i="13"/>
  <c r="E8338" i="13"/>
  <c r="E8337" i="13"/>
  <c r="E8336" i="13"/>
  <c r="E8335" i="13"/>
  <c r="E8334" i="13"/>
  <c r="E8333" i="13"/>
  <c r="E8332" i="13"/>
  <c r="E8331" i="13"/>
  <c r="E8330" i="13"/>
  <c r="E8329" i="13"/>
  <c r="E8328" i="13"/>
  <c r="E8327" i="13"/>
  <c r="E8326" i="13"/>
  <c r="E8325" i="13"/>
  <c r="E8324" i="13"/>
  <c r="E8323" i="13"/>
  <c r="E8322" i="13"/>
  <c r="E8321" i="13"/>
  <c r="E8320" i="13"/>
  <c r="E8319" i="13"/>
  <c r="E8318" i="13"/>
  <c r="E8317" i="13"/>
  <c r="E8316" i="13"/>
  <c r="E8315" i="13"/>
  <c r="E8314" i="13"/>
  <c r="E8313" i="13"/>
  <c r="E8312" i="13"/>
  <c r="E8311" i="13"/>
  <c r="E8310" i="13"/>
  <c r="E8309" i="13"/>
  <c r="E8308" i="13"/>
  <c r="E8307" i="13"/>
  <c r="E8306" i="13"/>
  <c r="E8305" i="13"/>
  <c r="E8304" i="13"/>
  <c r="E8303" i="13"/>
  <c r="E8302" i="13"/>
  <c r="E8301" i="13"/>
  <c r="E8300" i="13"/>
  <c r="E8299" i="13"/>
  <c r="E8298" i="13"/>
  <c r="E8297" i="13"/>
  <c r="E8296" i="13"/>
  <c r="E8295" i="13"/>
  <c r="E8294" i="13"/>
  <c r="E8293" i="13"/>
  <c r="E8292" i="13"/>
  <c r="E8291" i="13"/>
  <c r="E8290" i="13"/>
  <c r="E8289" i="13"/>
  <c r="E8288" i="13"/>
  <c r="E8287" i="13"/>
  <c r="E8286" i="13"/>
  <c r="E8285" i="13"/>
  <c r="E8284" i="13"/>
  <c r="E8283" i="13"/>
  <c r="E8282" i="13"/>
  <c r="E8281" i="13"/>
  <c r="E8280" i="13"/>
  <c r="E8279" i="13"/>
  <c r="E8278" i="13"/>
  <c r="E8277" i="13"/>
  <c r="E8276" i="13"/>
  <c r="E8275" i="13"/>
  <c r="E8274" i="13"/>
  <c r="E8273" i="13"/>
  <c r="E8272" i="13"/>
  <c r="E8271" i="13"/>
  <c r="E8270" i="13"/>
  <c r="E8269" i="13"/>
  <c r="E8268" i="13"/>
  <c r="E8267" i="13"/>
  <c r="E8266" i="13"/>
  <c r="E8265" i="13"/>
  <c r="E8264" i="13"/>
  <c r="E8263" i="13"/>
  <c r="E8262" i="13"/>
  <c r="E8261" i="13"/>
  <c r="E8260" i="13"/>
  <c r="E8259" i="13"/>
  <c r="E8258" i="13"/>
  <c r="E8257" i="13"/>
  <c r="E8256" i="13"/>
  <c r="E8255" i="13"/>
  <c r="E8254" i="13"/>
  <c r="E8253" i="13"/>
  <c r="E8252" i="13"/>
  <c r="E8251" i="13"/>
  <c r="E8250" i="13"/>
  <c r="E8249" i="13"/>
  <c r="E8248" i="13"/>
  <c r="E8247" i="13"/>
  <c r="E8246" i="13"/>
  <c r="E8245" i="13"/>
  <c r="E8244" i="13"/>
  <c r="E8243" i="13"/>
  <c r="E8242" i="13"/>
  <c r="E8241" i="13"/>
  <c r="E8240" i="13"/>
  <c r="E8239" i="13"/>
  <c r="E8238" i="13"/>
  <c r="E8237" i="13"/>
  <c r="E8236" i="13"/>
  <c r="E8235" i="13"/>
  <c r="E8234" i="13"/>
  <c r="E8233" i="13"/>
  <c r="E8232" i="13"/>
  <c r="E8231" i="13"/>
  <c r="E8230" i="13"/>
  <c r="E8229" i="13"/>
  <c r="E8228" i="13"/>
  <c r="E8227" i="13"/>
  <c r="E8226" i="13"/>
  <c r="E8225" i="13"/>
  <c r="E8224" i="13"/>
  <c r="E8223" i="13"/>
  <c r="E8222" i="13"/>
  <c r="E8221" i="13"/>
  <c r="E8220" i="13"/>
  <c r="E8219" i="13"/>
  <c r="E8218" i="13"/>
  <c r="E8217" i="13"/>
  <c r="E8216" i="13"/>
  <c r="E8215" i="13"/>
  <c r="E8214" i="13"/>
  <c r="E8212" i="13"/>
  <c r="E8211" i="13"/>
  <c r="E8210" i="13"/>
  <c r="E8209" i="13"/>
  <c r="E8208" i="13"/>
  <c r="E8207" i="13"/>
  <c r="E8206" i="13"/>
  <c r="E8205" i="13"/>
  <c r="E8204" i="13"/>
  <c r="E8203" i="13"/>
  <c r="E8202" i="13"/>
  <c r="E8201" i="13"/>
  <c r="E8199" i="13"/>
  <c r="E8197" i="13"/>
  <c r="E8196" i="13"/>
  <c r="E8195" i="13"/>
  <c r="E8194" i="13"/>
  <c r="E8193" i="13"/>
  <c r="E8192" i="13"/>
  <c r="E8191" i="13"/>
  <c r="E8190" i="13"/>
  <c r="E8189" i="13"/>
  <c r="E8188" i="13"/>
  <c r="E8187" i="13"/>
  <c r="E8186" i="13"/>
  <c r="E8185" i="13"/>
  <c r="E8183" i="13"/>
  <c r="E8181" i="13"/>
  <c r="E8180" i="13"/>
  <c r="E8179" i="13"/>
  <c r="E8178" i="13"/>
  <c r="E8177" i="13"/>
  <c r="E8175" i="13"/>
  <c r="E8173" i="13"/>
  <c r="E8172" i="13"/>
  <c r="E8171" i="13"/>
  <c r="E8170" i="13"/>
  <c r="E8169" i="13"/>
  <c r="E8168" i="13"/>
  <c r="E8167" i="13"/>
  <c r="E8166" i="13"/>
  <c r="E8165" i="13"/>
  <c r="E8164" i="13"/>
  <c r="E8163" i="13"/>
  <c r="E8162" i="13"/>
  <c r="E8161" i="13"/>
  <c r="E8160" i="13"/>
  <c r="E8159" i="13"/>
  <c r="E8158" i="13"/>
  <c r="E8157" i="13"/>
  <c r="E8156" i="13"/>
  <c r="E8155" i="13"/>
  <c r="E8153" i="13"/>
  <c r="E8152" i="13"/>
  <c r="E8151" i="13"/>
  <c r="E8150" i="13"/>
  <c r="E8149" i="13"/>
  <c r="E8148" i="13"/>
  <c r="E8147" i="13"/>
  <c r="E8146" i="13"/>
  <c r="E8144" i="13"/>
  <c r="E8142" i="13"/>
  <c r="E8140" i="13"/>
  <c r="E8139" i="13"/>
  <c r="E8138" i="13"/>
  <c r="E8137" i="13"/>
  <c r="E8136" i="13"/>
  <c r="E8135" i="13"/>
  <c r="E8134" i="13"/>
  <c r="E8133" i="13"/>
  <c r="E8132" i="13"/>
  <c r="E8131" i="13"/>
  <c r="E8130" i="13"/>
  <c r="E8129" i="13"/>
  <c r="E8128" i="13"/>
  <c r="E8127" i="13"/>
  <c r="E8126" i="13"/>
  <c r="E8125" i="13"/>
  <c r="E8124" i="13"/>
  <c r="E8123" i="13"/>
  <c r="E8122" i="13"/>
  <c r="E8121" i="13"/>
  <c r="E8120" i="13"/>
  <c r="E8119" i="13"/>
  <c r="E8118" i="13"/>
  <c r="E8117" i="13"/>
  <c r="E8116" i="13"/>
  <c r="E8115" i="13"/>
  <c r="E8113" i="13"/>
  <c r="E8112" i="13"/>
  <c r="E8111" i="13"/>
  <c r="E8109" i="13"/>
  <c r="E8108" i="13"/>
  <c r="E8107" i="13"/>
  <c r="E8106" i="13"/>
  <c r="E8105" i="13"/>
  <c r="E8104" i="13"/>
  <c r="E8102" i="13"/>
  <c r="E8101" i="13"/>
  <c r="E8100" i="13"/>
  <c r="E8099" i="13"/>
  <c r="E8098" i="13"/>
  <c r="E8097" i="13"/>
  <c r="E8096" i="13"/>
  <c r="E8095" i="13"/>
  <c r="E8094" i="13"/>
  <c r="E8093" i="13"/>
  <c r="E8092" i="13"/>
  <c r="E8091" i="13"/>
  <c r="E8090" i="13"/>
  <c r="E8089" i="13"/>
  <c r="E8087" i="13"/>
  <c r="E8086" i="13"/>
  <c r="E8085" i="13"/>
  <c r="E8084" i="13"/>
  <c r="E8083" i="13"/>
  <c r="E8082" i="13"/>
  <c r="E8081" i="13"/>
  <c r="E8080" i="13"/>
  <c r="E8079" i="13"/>
  <c r="E8078" i="13"/>
  <c r="E8077" i="13"/>
  <c r="E8076" i="13"/>
  <c r="E8075" i="13"/>
  <c r="E8074" i="13"/>
  <c r="E8073" i="13"/>
  <c r="E8072" i="13"/>
  <c r="E8071" i="13"/>
  <c r="E8070" i="13"/>
  <c r="E8069" i="13"/>
  <c r="E8068" i="13"/>
  <c r="E8067" i="13"/>
  <c r="E8066" i="13"/>
  <c r="E8065" i="13"/>
  <c r="E8064" i="13"/>
  <c r="E8063" i="13"/>
  <c r="E8062" i="13"/>
  <c r="E8061" i="13"/>
  <c r="E8060" i="13"/>
  <c r="E8059" i="13"/>
  <c r="E8058" i="13"/>
  <c r="E8057" i="13"/>
  <c r="E8056" i="13"/>
  <c r="E8055" i="13"/>
  <c r="E8054" i="13"/>
  <c r="E8053" i="13"/>
  <c r="E8052" i="13"/>
  <c r="E8051" i="13"/>
  <c r="E8050" i="13"/>
  <c r="E8049" i="13"/>
  <c r="E8048" i="13"/>
  <c r="E8047" i="13"/>
  <c r="E8046" i="13"/>
  <c r="E8045" i="13"/>
  <c r="E8044" i="13"/>
  <c r="E8043" i="13"/>
  <c r="E8042" i="13"/>
  <c r="E8041" i="13"/>
  <c r="E8040" i="13"/>
  <c r="E8039" i="13"/>
  <c r="E8038" i="13"/>
  <c r="E8037" i="13"/>
  <c r="E8036" i="13"/>
  <c r="E8035" i="13"/>
  <c r="E8034" i="13"/>
  <c r="E8033" i="13"/>
  <c r="E8032" i="13"/>
  <c r="E8031" i="13"/>
  <c r="E8030" i="13"/>
  <c r="E8029" i="13"/>
  <c r="E8028" i="13"/>
  <c r="E8027" i="13"/>
  <c r="E8026" i="13"/>
  <c r="E8025" i="13"/>
  <c r="E8024" i="13"/>
  <c r="E8023" i="13"/>
  <c r="E8022" i="13"/>
  <c r="E8021" i="13"/>
  <c r="E8019" i="13"/>
  <c r="E8018" i="13"/>
  <c r="E8017" i="13"/>
  <c r="E8016" i="13"/>
  <c r="E8015" i="13"/>
  <c r="E8014" i="13"/>
  <c r="E8013" i="13"/>
  <c r="E8012" i="13"/>
  <c r="E8011" i="13"/>
  <c r="E8010" i="13"/>
  <c r="E8009" i="13"/>
  <c r="E8008" i="13"/>
  <c r="E8007" i="13"/>
  <c r="E8006" i="13"/>
  <c r="E8005" i="13"/>
  <c r="E8004" i="13"/>
  <c r="E8003" i="13"/>
  <c r="E8002" i="13"/>
  <c r="E8001" i="13"/>
  <c r="E8000" i="13"/>
  <c r="E7999" i="13"/>
  <c r="E7998" i="13"/>
  <c r="E7997" i="13"/>
  <c r="E7996" i="13"/>
  <c r="E7995" i="13"/>
  <c r="E7993" i="13"/>
  <c r="E7992" i="13"/>
  <c r="E7991" i="13"/>
  <c r="E7990" i="13"/>
  <c r="E7989" i="13"/>
  <c r="E7988" i="13"/>
  <c r="E7986" i="13"/>
  <c r="E7985" i="13"/>
  <c r="E7984" i="13"/>
  <c r="E7982" i="13"/>
  <c r="E7981" i="13"/>
  <c r="E7980" i="13"/>
  <c r="E7979" i="13"/>
  <c r="E7978" i="13"/>
  <c r="E7977" i="13"/>
  <c r="E7976" i="13"/>
  <c r="E7975" i="13"/>
  <c r="E7974" i="13"/>
  <c r="E7973" i="13"/>
  <c r="E7972" i="13"/>
  <c r="E7971" i="13"/>
  <c r="E7970" i="13"/>
  <c r="E7969" i="13"/>
  <c r="E7968" i="13"/>
  <c r="E7967" i="13"/>
  <c r="E7966" i="13"/>
  <c r="E7965" i="13"/>
  <c r="E7964" i="13"/>
  <c r="E7963" i="13"/>
  <c r="E7962" i="13"/>
  <c r="E7961" i="13"/>
  <c r="E7960" i="13"/>
  <c r="E7959" i="13"/>
  <c r="E7958" i="13"/>
  <c r="E7957" i="13"/>
  <c r="E7956" i="13"/>
  <c r="E7955" i="13"/>
  <c r="E7954" i="13"/>
  <c r="E7953" i="13"/>
  <c r="E7952" i="13"/>
  <c r="E7951" i="13"/>
  <c r="E7950" i="13"/>
  <c r="E7949" i="13"/>
  <c r="E7948" i="13"/>
  <c r="E7947" i="13"/>
  <c r="E7946" i="13"/>
  <c r="E7945" i="13"/>
  <c r="E7944" i="13"/>
  <c r="E7943" i="13"/>
  <c r="E7942" i="13"/>
  <c r="E7941" i="13"/>
  <c r="E7940" i="13"/>
  <c r="E7939" i="13"/>
  <c r="E7938" i="13"/>
  <c r="E7937" i="13"/>
  <c r="E7936" i="13"/>
  <c r="E7935" i="13"/>
  <c r="E7934" i="13"/>
  <c r="E7933" i="13"/>
  <c r="E7932" i="13"/>
  <c r="E7931" i="13"/>
  <c r="E7930" i="13"/>
  <c r="E7929" i="13"/>
  <c r="E7928" i="13"/>
  <c r="E7927" i="13"/>
  <c r="E7926" i="13"/>
  <c r="E7925" i="13"/>
  <c r="E7924" i="13"/>
  <c r="E7923" i="13"/>
  <c r="E7922" i="13"/>
  <c r="E7921" i="13"/>
  <c r="E7920" i="13"/>
  <c r="E7919" i="13"/>
  <c r="E7918" i="13"/>
  <c r="E7917" i="13"/>
  <c r="E7916" i="13"/>
  <c r="E7915" i="13"/>
  <c r="E7914" i="13"/>
  <c r="E7913" i="13"/>
  <c r="E7912" i="13"/>
  <c r="E7911" i="13"/>
  <c r="E7910" i="13"/>
  <c r="E7909" i="13"/>
  <c r="E7908" i="13"/>
  <c r="E7907" i="13"/>
  <c r="E7906" i="13"/>
  <c r="E7905" i="13"/>
  <c r="E7904" i="13"/>
  <c r="E7903" i="13"/>
  <c r="E7902" i="13"/>
  <c r="E7901" i="13"/>
  <c r="E7900" i="13"/>
  <c r="E7899" i="13"/>
  <c r="E7898" i="13"/>
  <c r="E7897" i="13"/>
  <c r="E7896" i="13"/>
  <c r="E7895" i="13"/>
  <c r="E7894" i="13"/>
  <c r="E7893" i="13"/>
  <c r="E7892" i="13"/>
  <c r="E7891" i="13"/>
  <c r="E7890" i="13"/>
  <c r="E7889" i="13"/>
  <c r="E7888" i="13"/>
  <c r="E7887" i="13"/>
  <c r="E7886" i="13"/>
  <c r="E7885" i="13"/>
  <c r="E7884" i="13"/>
  <c r="E7883" i="13"/>
  <c r="E7882" i="13"/>
  <c r="E7881" i="13"/>
  <c r="E7880" i="13"/>
  <c r="E7879" i="13"/>
  <c r="E7878" i="13"/>
  <c r="E7877" i="13"/>
  <c r="E7876" i="13"/>
  <c r="E7875" i="13"/>
  <c r="E7874" i="13"/>
  <c r="E7873" i="13"/>
  <c r="E7872" i="13"/>
  <c r="E7871" i="13"/>
  <c r="E7870" i="13"/>
  <c r="E7869" i="13"/>
  <c r="E7868" i="13"/>
  <c r="E7867" i="13"/>
  <c r="E7866" i="13"/>
  <c r="E7865" i="13"/>
  <c r="E7864" i="13"/>
  <c r="E7863" i="13"/>
  <c r="E7862" i="13"/>
  <c r="E7861" i="13"/>
  <c r="E7860" i="13"/>
  <c r="E7859" i="13"/>
  <c r="E7858" i="13"/>
  <c r="E7857" i="13"/>
  <c r="E7856" i="13"/>
  <c r="E7855" i="13"/>
  <c r="E7854" i="13"/>
  <c r="E7853" i="13"/>
  <c r="E7852" i="13"/>
  <c r="E7851" i="13"/>
  <c r="E7850" i="13"/>
  <c r="E7849" i="13"/>
  <c r="E7848" i="13"/>
  <c r="E7847" i="13"/>
  <c r="E7846" i="13"/>
  <c r="E7845" i="13"/>
  <c r="E7844" i="13"/>
  <c r="E7843" i="13"/>
  <c r="E7842" i="13"/>
  <c r="E7841" i="13"/>
  <c r="E7840" i="13"/>
  <c r="E7839" i="13"/>
  <c r="E7838" i="13"/>
  <c r="E7837" i="13"/>
  <c r="E7836" i="13"/>
  <c r="E7835" i="13"/>
  <c r="E7834" i="13"/>
  <c r="E7833" i="13"/>
  <c r="E7832" i="13"/>
  <c r="E7831" i="13"/>
  <c r="E7830" i="13"/>
  <c r="E7829" i="13"/>
  <c r="E7828" i="13"/>
  <c r="E7827" i="13"/>
  <c r="E7826" i="13"/>
  <c r="E7825" i="13"/>
  <c r="E7824" i="13"/>
  <c r="E7823" i="13"/>
  <c r="E7822" i="13"/>
  <c r="E7821" i="13"/>
  <c r="E7820" i="13"/>
  <c r="E7819" i="13"/>
  <c r="E7818" i="13"/>
  <c r="E7817" i="13"/>
  <c r="E7816" i="13"/>
  <c r="E7815" i="13"/>
  <c r="E7814" i="13"/>
  <c r="E7813" i="13"/>
  <c r="E7812" i="13"/>
  <c r="E7811" i="13"/>
  <c r="E7810" i="13"/>
  <c r="E7809" i="13"/>
  <c r="E7808" i="13"/>
  <c r="E7807" i="13"/>
  <c r="E7806" i="13"/>
  <c r="E7805" i="13"/>
  <c r="E7804" i="13"/>
  <c r="E7803" i="13"/>
  <c r="E7802" i="13"/>
  <c r="E7801" i="13"/>
  <c r="E7800" i="13"/>
  <c r="E7799" i="13"/>
  <c r="E7798" i="13"/>
  <c r="E7797" i="13"/>
  <c r="E7796" i="13"/>
  <c r="E7795" i="13"/>
  <c r="E7794" i="13"/>
  <c r="E7793" i="13"/>
  <c r="E7792" i="13"/>
  <c r="E7791" i="13"/>
  <c r="E7790" i="13"/>
  <c r="E7789" i="13"/>
  <c r="E7788" i="13"/>
  <c r="E7787" i="13"/>
  <c r="E7786" i="13"/>
  <c r="E7785" i="13"/>
  <c r="E7784" i="13"/>
  <c r="E7783" i="13"/>
  <c r="E7782" i="13"/>
  <c r="E7781" i="13"/>
  <c r="E7780" i="13"/>
  <c r="E7779" i="13"/>
  <c r="E7778" i="13"/>
  <c r="E7777" i="13"/>
  <c r="E7776" i="13"/>
  <c r="E7775" i="13"/>
  <c r="E7774" i="13"/>
  <c r="E7773" i="13"/>
  <c r="E7772" i="13"/>
  <c r="E7771" i="13"/>
  <c r="E7770" i="13"/>
  <c r="E7769" i="13"/>
  <c r="E7768" i="13"/>
  <c r="E7767" i="13"/>
  <c r="E7766" i="13"/>
  <c r="E7765" i="13"/>
  <c r="E7764" i="13"/>
  <c r="E7763" i="13"/>
  <c r="E7762" i="13"/>
  <c r="E7761" i="13"/>
  <c r="E7760" i="13"/>
  <c r="E7759" i="13"/>
  <c r="E7758" i="13"/>
  <c r="E7757" i="13"/>
  <c r="E7756" i="13"/>
  <c r="E7755" i="13"/>
  <c r="E7754" i="13"/>
  <c r="E7753" i="13"/>
  <c r="E7752" i="13"/>
  <c r="E7751" i="13"/>
  <c r="E7750" i="13"/>
  <c r="E7749" i="13"/>
  <c r="E7748" i="13"/>
  <c r="E7747" i="13"/>
  <c r="E7746" i="13"/>
  <c r="E7745" i="13"/>
  <c r="E7744" i="13"/>
  <c r="E7743" i="13"/>
  <c r="E7742" i="13"/>
  <c r="E7741" i="13"/>
  <c r="E7740" i="13"/>
  <c r="E7739" i="13"/>
  <c r="E7738" i="13"/>
  <c r="E7737" i="13"/>
  <c r="E7736" i="13"/>
  <c r="E7735" i="13"/>
  <c r="E7734" i="13"/>
  <c r="E7733" i="13"/>
  <c r="E7732" i="13"/>
  <c r="E7731" i="13"/>
  <c r="E7730" i="13"/>
  <c r="E7729" i="13"/>
  <c r="E7728" i="13"/>
  <c r="E7727" i="13"/>
  <c r="E7726" i="13"/>
  <c r="E7725" i="13"/>
  <c r="E7724" i="13"/>
  <c r="E7723" i="13"/>
  <c r="E7722" i="13"/>
  <c r="E7721" i="13"/>
  <c r="E7720" i="13"/>
  <c r="E7719" i="13"/>
  <c r="E7718" i="13"/>
  <c r="E7717" i="13"/>
  <c r="E7716" i="13"/>
  <c r="E7715" i="13"/>
  <c r="E7714" i="13"/>
  <c r="E7713" i="13"/>
  <c r="E7712" i="13"/>
  <c r="E7711" i="13"/>
  <c r="E7710" i="13"/>
  <c r="E7709" i="13"/>
  <c r="E7708" i="13"/>
  <c r="E7707" i="13"/>
  <c r="E7706" i="13"/>
  <c r="E7705" i="13"/>
  <c r="E7704" i="13"/>
  <c r="E7703" i="13"/>
  <c r="E7702" i="13"/>
  <c r="E7701" i="13"/>
  <c r="E7700" i="13"/>
  <c r="E7699" i="13"/>
  <c r="E7698" i="13"/>
  <c r="E7697" i="13"/>
  <c r="E7696" i="13"/>
  <c r="E7695" i="13"/>
  <c r="E7694" i="13"/>
  <c r="E7693" i="13"/>
  <c r="E7692" i="13"/>
  <c r="E7691" i="13"/>
  <c r="E7690" i="13"/>
  <c r="E7689" i="13"/>
  <c r="E7688" i="13"/>
  <c r="E7687" i="13"/>
  <c r="E7686" i="13"/>
  <c r="E7685" i="13"/>
  <c r="E7684" i="13"/>
  <c r="E7683" i="13"/>
  <c r="E7682" i="13"/>
  <c r="E7681" i="13"/>
  <c r="E7680" i="13"/>
  <c r="E7679" i="13"/>
  <c r="E7678" i="13"/>
  <c r="E7677" i="13"/>
  <c r="E7676" i="13"/>
  <c r="E7675" i="13"/>
  <c r="E7674" i="13"/>
  <c r="E7673" i="13"/>
  <c r="E7672" i="13"/>
  <c r="E7671" i="13"/>
  <c r="E7670" i="13"/>
  <c r="E7669" i="13"/>
  <c r="E7668" i="13"/>
  <c r="E7667" i="13"/>
  <c r="E7666" i="13"/>
  <c r="E7665" i="13"/>
  <c r="E7664" i="13"/>
  <c r="E7663" i="13"/>
  <c r="E7662" i="13"/>
  <c r="E7661" i="13"/>
  <c r="E7660" i="13"/>
  <c r="E7659" i="13"/>
  <c r="E7658" i="13"/>
  <c r="E7657" i="13"/>
  <c r="E7656" i="13"/>
  <c r="E7655" i="13"/>
  <c r="E7654" i="13"/>
  <c r="E7653" i="13"/>
  <c r="E7652" i="13"/>
  <c r="E7651" i="13"/>
  <c r="E7650" i="13"/>
  <c r="E7649" i="13"/>
  <c r="E7648" i="13"/>
  <c r="E7647" i="13"/>
  <c r="E7646" i="13"/>
  <c r="E7645" i="13"/>
  <c r="E7644" i="13"/>
  <c r="E7643" i="13"/>
  <c r="E7642" i="13"/>
  <c r="E7641" i="13"/>
  <c r="E7640" i="13"/>
  <c r="E7639" i="13"/>
  <c r="E7638" i="13"/>
  <c r="E7637" i="13"/>
  <c r="E7636" i="13"/>
  <c r="E7635" i="13"/>
  <c r="E7634" i="13"/>
  <c r="E7633" i="13"/>
  <c r="E7632" i="13"/>
  <c r="E7631" i="13"/>
  <c r="E7630" i="13"/>
  <c r="E7629" i="13"/>
  <c r="E7628" i="13"/>
  <c r="E7627" i="13"/>
  <c r="E7626" i="13"/>
  <c r="E7625" i="13"/>
  <c r="E7624" i="13"/>
  <c r="E7623" i="13"/>
  <c r="E7622" i="13"/>
  <c r="E7621" i="13"/>
  <c r="E7620" i="13"/>
  <c r="E7619" i="13"/>
  <c r="E7618" i="13"/>
  <c r="E7617" i="13"/>
  <c r="E7616" i="13"/>
  <c r="E7615" i="13"/>
  <c r="E7614" i="13"/>
  <c r="E7613" i="13"/>
  <c r="E7612" i="13"/>
  <c r="E7611" i="13"/>
  <c r="E7610" i="13"/>
  <c r="E7609" i="13"/>
  <c r="E7608" i="13"/>
  <c r="E7607" i="13"/>
  <c r="E7606" i="13"/>
  <c r="E7605" i="13"/>
  <c r="E7604" i="13"/>
  <c r="E7603" i="13"/>
  <c r="E7602" i="13"/>
  <c r="E7601" i="13"/>
  <c r="E7600" i="13"/>
  <c r="E7599" i="13"/>
  <c r="E7598" i="13"/>
  <c r="E7597" i="13"/>
  <c r="E7596" i="13"/>
  <c r="E7595" i="13"/>
  <c r="E7594" i="13"/>
  <c r="E7593" i="13"/>
  <c r="E7592" i="13"/>
  <c r="E7591" i="13"/>
  <c r="E7590" i="13"/>
  <c r="E7589" i="13"/>
  <c r="E7588" i="13"/>
  <c r="E7587" i="13"/>
  <c r="E7586" i="13"/>
  <c r="E7585" i="13"/>
  <c r="E7584" i="13"/>
  <c r="E7583" i="13"/>
  <c r="E7582" i="13"/>
  <c r="E7581" i="13"/>
  <c r="E7580" i="13"/>
  <c r="E7579" i="13"/>
  <c r="E7578" i="13"/>
  <c r="E7577" i="13"/>
  <c r="E7576" i="13"/>
  <c r="E7575" i="13"/>
  <c r="E7574" i="13"/>
  <c r="E7573" i="13"/>
  <c r="E7572" i="13"/>
  <c r="E7571" i="13"/>
  <c r="E7570" i="13"/>
  <c r="E7569" i="13"/>
  <c r="E7568" i="13"/>
  <c r="E7567" i="13"/>
  <c r="E7566" i="13"/>
  <c r="E7565" i="13"/>
  <c r="E7564" i="13"/>
  <c r="E7563" i="13"/>
  <c r="E7562" i="13"/>
  <c r="E7561" i="13"/>
  <c r="E7560" i="13"/>
  <c r="E7559" i="13"/>
  <c r="E7558" i="13"/>
  <c r="E7557" i="13"/>
  <c r="E7556" i="13"/>
  <c r="E7555" i="13"/>
  <c r="E7554" i="13"/>
  <c r="E7553" i="13"/>
  <c r="E7552" i="13"/>
  <c r="E7551" i="13"/>
  <c r="E7550" i="13"/>
  <c r="E7549" i="13"/>
  <c r="E7548" i="13"/>
  <c r="E7547" i="13"/>
  <c r="E7546" i="13"/>
  <c r="E7544" i="13"/>
  <c r="E7543" i="13"/>
  <c r="E7542" i="13"/>
  <c r="E7541" i="13"/>
  <c r="E7540" i="13"/>
  <c r="E7539" i="13"/>
  <c r="E7538" i="13"/>
  <c r="E7537" i="13"/>
  <c r="E7536" i="13"/>
  <c r="E7535" i="13"/>
  <c r="E7534" i="13"/>
  <c r="E7533" i="13"/>
  <c r="E7532" i="13"/>
  <c r="E7531" i="13"/>
  <c r="E7530" i="13"/>
  <c r="E7529" i="13"/>
  <c r="E7528" i="13"/>
  <c r="E7527" i="13"/>
  <c r="E7526" i="13"/>
  <c r="E7525" i="13"/>
  <c r="E7524" i="13"/>
  <c r="E7523" i="13"/>
  <c r="E7522" i="13"/>
  <c r="E7521" i="13"/>
  <c r="E7520" i="13"/>
  <c r="E7519" i="13"/>
  <c r="E7518" i="13"/>
  <c r="E7517" i="13"/>
  <c r="E7516" i="13"/>
  <c r="E7515" i="13"/>
  <c r="E7514" i="13"/>
  <c r="E7513" i="13"/>
  <c r="E7512" i="13"/>
  <c r="E7511" i="13"/>
  <c r="E7510" i="13"/>
  <c r="E7509" i="13"/>
  <c r="E7507" i="13"/>
  <c r="E7505" i="13"/>
  <c r="E7504" i="13"/>
  <c r="E7502" i="13"/>
  <c r="E7501" i="13"/>
  <c r="E7500" i="13"/>
  <c r="E7499" i="13"/>
  <c r="E7497" i="13"/>
  <c r="E7496" i="13"/>
  <c r="E7494" i="13"/>
  <c r="E7493" i="13"/>
  <c r="E7492" i="13"/>
  <c r="E7491" i="13"/>
  <c r="E7490" i="13"/>
  <c r="E7489" i="13"/>
  <c r="E7488" i="13"/>
  <c r="E7487" i="13"/>
  <c r="E7486" i="13"/>
  <c r="E7485" i="13"/>
  <c r="E7484" i="13"/>
  <c r="E7483" i="13"/>
  <c r="E7482" i="13"/>
  <c r="E7481" i="13"/>
  <c r="E7480" i="13"/>
  <c r="E7479" i="13"/>
  <c r="E7478" i="13"/>
  <c r="E7477" i="13"/>
  <c r="E7476" i="13"/>
  <c r="E7475" i="13"/>
  <c r="E7474" i="13"/>
  <c r="E7473" i="13"/>
  <c r="E7472" i="13"/>
  <c r="E7471" i="13"/>
  <c r="E7470" i="13"/>
  <c r="E7469" i="13"/>
  <c r="E7468" i="13"/>
  <c r="E7467" i="13"/>
  <c r="E7466" i="13"/>
  <c r="E7465" i="13"/>
  <c r="E7464" i="13"/>
  <c r="E7463" i="13"/>
  <c r="E7462" i="13"/>
  <c r="E7461" i="13"/>
  <c r="E7460" i="13"/>
  <c r="E7459" i="13"/>
  <c r="E7458" i="13"/>
  <c r="E7457" i="13"/>
  <c r="E7456" i="13"/>
  <c r="E7455" i="13"/>
  <c r="E7454" i="13"/>
  <c r="E7453" i="13"/>
  <c r="E7452" i="13"/>
  <c r="E7451" i="13"/>
  <c r="E7450" i="13"/>
  <c r="E7449" i="13"/>
  <c r="E7448" i="13"/>
  <c r="E7447" i="13"/>
  <c r="E7446" i="13"/>
  <c r="E7445" i="13"/>
  <c r="E7444" i="13"/>
  <c r="E7443" i="13"/>
  <c r="E7442" i="13"/>
  <c r="E7441" i="13"/>
  <c r="E7440" i="13"/>
  <c r="E7439" i="13"/>
  <c r="E7438" i="13"/>
  <c r="E7437" i="13"/>
  <c r="E7436" i="13"/>
  <c r="E7435" i="13"/>
  <c r="E7434" i="13"/>
  <c r="E7433" i="13"/>
  <c r="E7432" i="13"/>
  <c r="E7431" i="13"/>
  <c r="E7430" i="13"/>
  <c r="E7429" i="13"/>
  <c r="E7428" i="13"/>
  <c r="E7427" i="13"/>
  <c r="E7426" i="13"/>
  <c r="E7425" i="13"/>
  <c r="E7424" i="13"/>
  <c r="E7423" i="13"/>
  <c r="E7422" i="13"/>
  <c r="E7421" i="13"/>
  <c r="E7420" i="13"/>
  <c r="E7419" i="13"/>
  <c r="E7417" i="13"/>
  <c r="E7416" i="13"/>
  <c r="E7415" i="13"/>
  <c r="E7414" i="13"/>
  <c r="E7413" i="13"/>
  <c r="E7412" i="13"/>
  <c r="E7411" i="13"/>
  <c r="E7410" i="13"/>
  <c r="E7409" i="13"/>
  <c r="E7408" i="13"/>
  <c r="E7407" i="13"/>
  <c r="E7406" i="13"/>
  <c r="E7405" i="13"/>
  <c r="E7404" i="13"/>
  <c r="E7403" i="13"/>
  <c r="E7402" i="13"/>
  <c r="E7401" i="13"/>
  <c r="E7399" i="13"/>
  <c r="E7398" i="13"/>
  <c r="E7397" i="13"/>
  <c r="E7396" i="13"/>
  <c r="E7395" i="13"/>
  <c r="E7394" i="13"/>
  <c r="E7393" i="13"/>
  <c r="E7392" i="13"/>
  <c r="E7391" i="13"/>
  <c r="E7390" i="13"/>
  <c r="E7389" i="13"/>
  <c r="E7388" i="13"/>
  <c r="E7387" i="13"/>
  <c r="E7386" i="13"/>
  <c r="E7385" i="13"/>
  <c r="E7384" i="13"/>
  <c r="E7383" i="13"/>
  <c r="E7382" i="13"/>
  <c r="E7381" i="13"/>
  <c r="E7380" i="13"/>
  <c r="E7379" i="13"/>
  <c r="E7378" i="13"/>
  <c r="E7377" i="13"/>
  <c r="E7376" i="13"/>
  <c r="E7374" i="13"/>
  <c r="E7373" i="13"/>
  <c r="E7371" i="13"/>
  <c r="E7370" i="13"/>
  <c r="E7369" i="13"/>
  <c r="E7368" i="13"/>
  <c r="E7367" i="13"/>
  <c r="E7366" i="13"/>
  <c r="E7365" i="13"/>
  <c r="E7364" i="13"/>
  <c r="E7363" i="13"/>
  <c r="E7362" i="13"/>
  <c r="E7361" i="13"/>
  <c r="E7360" i="13"/>
  <c r="E7359" i="13"/>
  <c r="E7358" i="13"/>
  <c r="E7357" i="13"/>
  <c r="E7356" i="13"/>
  <c r="E7355" i="13"/>
  <c r="E7354" i="13"/>
  <c r="E7353" i="13"/>
  <c r="E7352" i="13"/>
  <c r="E7351" i="13"/>
  <c r="E7350" i="13"/>
  <c r="E7349" i="13"/>
  <c r="E7348" i="13"/>
  <c r="E7347" i="13"/>
  <c r="E7346" i="13"/>
  <c r="E7345" i="13"/>
  <c r="E7344" i="13"/>
  <c r="E7343" i="13"/>
  <c r="E7342" i="13"/>
  <c r="E7341" i="13"/>
  <c r="E7340" i="13"/>
  <c r="E7339" i="13"/>
  <c r="E7338" i="13"/>
  <c r="E7337" i="13"/>
  <c r="E7336" i="13"/>
  <c r="E7335" i="13"/>
  <c r="E7334" i="13"/>
  <c r="E7333" i="13"/>
  <c r="E7332" i="13"/>
  <c r="E7331" i="13"/>
  <c r="E7330" i="13"/>
  <c r="E7329" i="13"/>
  <c r="E7327" i="13"/>
  <c r="E7326" i="13"/>
  <c r="E7325" i="13"/>
  <c r="E7324" i="13"/>
  <c r="E7323" i="13"/>
  <c r="E7322" i="13"/>
  <c r="E7321" i="13"/>
  <c r="E7320" i="13"/>
  <c r="E7319" i="13"/>
  <c r="E7318" i="13"/>
  <c r="E7317" i="13"/>
  <c r="E7316" i="13"/>
  <c r="E7314" i="13"/>
  <c r="E7313" i="13"/>
  <c r="E7312" i="13"/>
  <c r="E7311" i="13"/>
  <c r="E7310" i="13"/>
  <c r="E7309" i="13"/>
  <c r="E7308" i="13"/>
  <c r="E7307" i="13"/>
  <c r="E7306" i="13"/>
  <c r="E7305" i="13"/>
  <c r="E7304" i="13"/>
  <c r="E7303" i="13"/>
  <c r="E7302" i="13"/>
  <c r="E7301" i="13"/>
  <c r="E7300" i="13"/>
  <c r="E7299" i="13"/>
  <c r="E7298" i="13"/>
  <c r="E7297" i="13"/>
  <c r="E7296" i="13"/>
  <c r="E7295" i="13"/>
  <c r="E7294" i="13"/>
  <c r="E7293" i="13"/>
  <c r="E7292" i="13"/>
  <c r="E7291" i="13"/>
  <c r="E7290" i="13"/>
  <c r="E7289" i="13"/>
  <c r="E7288" i="13"/>
  <c r="E7287" i="13"/>
  <c r="E7286" i="13"/>
  <c r="E7285" i="13"/>
  <c r="E7284" i="13"/>
  <c r="E7283" i="13"/>
  <c r="E7282" i="13"/>
  <c r="E7281" i="13"/>
  <c r="E7280" i="13"/>
  <c r="E7279" i="13"/>
  <c r="E7278" i="13"/>
  <c r="E7277" i="13"/>
  <c r="E7276" i="13"/>
  <c r="E7275" i="13"/>
  <c r="E7274" i="13"/>
  <c r="E7273" i="13"/>
  <c r="E7272" i="13"/>
  <c r="E7271" i="13"/>
  <c r="E7270" i="13"/>
  <c r="E7269" i="13"/>
  <c r="E7268" i="13"/>
  <c r="E7267" i="13"/>
  <c r="E7266" i="13"/>
  <c r="E7265" i="13"/>
  <c r="E7264" i="13"/>
  <c r="E7263" i="13"/>
  <c r="E7262" i="13"/>
  <c r="E7261" i="13"/>
  <c r="E7260" i="13"/>
  <c r="E7259" i="13"/>
  <c r="E7257" i="13"/>
  <c r="E7256" i="13"/>
  <c r="E7254" i="13"/>
  <c r="E7253" i="13"/>
  <c r="E7252" i="13"/>
  <c r="E7250" i="13"/>
  <c r="E7249" i="13"/>
  <c r="E7248" i="13"/>
  <c r="E7247" i="13"/>
  <c r="E7246" i="13"/>
  <c r="E7245" i="13"/>
  <c r="E7244" i="13"/>
  <c r="E7243" i="13"/>
  <c r="E7242" i="13"/>
  <c r="E7241" i="13"/>
  <c r="E7240" i="13"/>
  <c r="E7239" i="13"/>
  <c r="E7238" i="13"/>
  <c r="E7237" i="13"/>
  <c r="E7236" i="13"/>
  <c r="E7235" i="13"/>
  <c r="E7234" i="13"/>
  <c r="E7233" i="13"/>
  <c r="E7232" i="13"/>
  <c r="E7231" i="13"/>
  <c r="E7230" i="13"/>
  <c r="E7229" i="13"/>
  <c r="E7228" i="13"/>
  <c r="E7227" i="13"/>
  <c r="E7226" i="13"/>
  <c r="E7225" i="13"/>
  <c r="E7224" i="13"/>
  <c r="E7223" i="13"/>
  <c r="E7222" i="13"/>
  <c r="E7221" i="13"/>
  <c r="E7220" i="13"/>
  <c r="E7219" i="13"/>
  <c r="E7218" i="13"/>
  <c r="E7217" i="13"/>
  <c r="E7216" i="13"/>
  <c r="E7215" i="13"/>
  <c r="E7214" i="13"/>
  <c r="E7213" i="13"/>
  <c r="E7212" i="13"/>
  <c r="E7211" i="13"/>
  <c r="E7210" i="13"/>
  <c r="E7209" i="13"/>
  <c r="E7208" i="13"/>
  <c r="E7207" i="13"/>
  <c r="E7206" i="13"/>
  <c r="E7205" i="13"/>
  <c r="E7204" i="13"/>
  <c r="E7203" i="13"/>
  <c r="E7202" i="13"/>
  <c r="E7201" i="13"/>
  <c r="E7200" i="13"/>
  <c r="E7199" i="13"/>
  <c r="E7198" i="13"/>
  <c r="E7197" i="13"/>
  <c r="E7196" i="13"/>
  <c r="E7195" i="13"/>
  <c r="E7194" i="13"/>
  <c r="E7193" i="13"/>
  <c r="E7192" i="13"/>
  <c r="E7191" i="13"/>
  <c r="E7190" i="13"/>
  <c r="E7189" i="13"/>
  <c r="E7188" i="13"/>
  <c r="E7187" i="13"/>
  <c r="E7186" i="13"/>
  <c r="E7185" i="13"/>
  <c r="E7184" i="13"/>
  <c r="E7183" i="13"/>
  <c r="E7182" i="13"/>
  <c r="E7181" i="13"/>
  <c r="E7180" i="13"/>
  <c r="E7179" i="13"/>
  <c r="E7178" i="13"/>
  <c r="E7177" i="13"/>
  <c r="E7176" i="13"/>
  <c r="E7175" i="13"/>
  <c r="E7174" i="13"/>
  <c r="E7173" i="13"/>
  <c r="E7172" i="13"/>
  <c r="E7171" i="13"/>
  <c r="E7170" i="13"/>
  <c r="E7169" i="13"/>
  <c r="E7168" i="13"/>
  <c r="E7167" i="13"/>
  <c r="E7166" i="13"/>
  <c r="E7165" i="13"/>
  <c r="E7164" i="13"/>
  <c r="E7163" i="13"/>
  <c r="E7162" i="13"/>
  <c r="E7161" i="13"/>
  <c r="E7160" i="13"/>
  <c r="E7159" i="13"/>
  <c r="E7158" i="13"/>
  <c r="E7157" i="13"/>
  <c r="E7156" i="13"/>
  <c r="E7155" i="13"/>
  <c r="E7154" i="13"/>
  <c r="E7153" i="13"/>
  <c r="E7152" i="13"/>
  <c r="E7151" i="13"/>
  <c r="E7150" i="13"/>
  <c r="E7149" i="13"/>
  <c r="E7148" i="13"/>
  <c r="E7147" i="13"/>
  <c r="E7146" i="13"/>
  <c r="E7145" i="13"/>
  <c r="E7144" i="13"/>
  <c r="E7143" i="13"/>
  <c r="E7142" i="13"/>
  <c r="E7141" i="13"/>
  <c r="E7140" i="13"/>
  <c r="E7139" i="13"/>
  <c r="E7138" i="13"/>
  <c r="E7137" i="13"/>
  <c r="E7136" i="13"/>
  <c r="E7135" i="13"/>
  <c r="E7134" i="13"/>
  <c r="E7133" i="13"/>
  <c r="E7132" i="13"/>
  <c r="E7131" i="13"/>
  <c r="E7130" i="13"/>
  <c r="E7129" i="13"/>
  <c r="E7128" i="13"/>
  <c r="E7127" i="13"/>
  <c r="E7126" i="13"/>
  <c r="E7125" i="13"/>
  <c r="E7124" i="13"/>
  <c r="E7123" i="13"/>
  <c r="E7122" i="13"/>
  <c r="E7121" i="13"/>
  <c r="E7120" i="13"/>
  <c r="E7119" i="13"/>
  <c r="E7118" i="13"/>
  <c r="E7117" i="13"/>
  <c r="E7116" i="13"/>
  <c r="E7114" i="13"/>
  <c r="E7113" i="13"/>
  <c r="E7112" i="13"/>
  <c r="E7111" i="13"/>
  <c r="E7110" i="13"/>
  <c r="E7109" i="13"/>
  <c r="E7108" i="13"/>
  <c r="E7107" i="13"/>
  <c r="E7106" i="13"/>
  <c r="E7105" i="13"/>
  <c r="E7104" i="13"/>
  <c r="E7103" i="13"/>
  <c r="E7102" i="13"/>
  <c r="E7101" i="13"/>
  <c r="E7100" i="13"/>
  <c r="E7099" i="13"/>
  <c r="E7098" i="13"/>
  <c r="E7097" i="13"/>
  <c r="E7096" i="13"/>
  <c r="E7095" i="13"/>
  <c r="E7094" i="13"/>
  <c r="E7093" i="13"/>
  <c r="E7092" i="13"/>
  <c r="E7091" i="13"/>
  <c r="E7090" i="13"/>
  <c r="E7089" i="13"/>
  <c r="E7088" i="13"/>
  <c r="E7087" i="13"/>
  <c r="E7086" i="13"/>
  <c r="E7085" i="13"/>
  <c r="E7084" i="13"/>
  <c r="E7083" i="13"/>
  <c r="E7082" i="13"/>
  <c r="E7081" i="13"/>
  <c r="E7080" i="13"/>
  <c r="E7079" i="13"/>
  <c r="E7078" i="13"/>
  <c r="E7077" i="13"/>
  <c r="E7076" i="13"/>
  <c r="E7075" i="13"/>
  <c r="E7074" i="13"/>
  <c r="E7073" i="13"/>
  <c r="E7072" i="13"/>
  <c r="E7071" i="13"/>
  <c r="E7070" i="13"/>
  <c r="E7069" i="13"/>
  <c r="E7068" i="13"/>
  <c r="E7067" i="13"/>
  <c r="E7066" i="13"/>
  <c r="E7065" i="13"/>
  <c r="E7064" i="13"/>
  <c r="E7063" i="13"/>
  <c r="E7062" i="13"/>
  <c r="E7061" i="13"/>
  <c r="E7060" i="13"/>
  <c r="E7059" i="13"/>
  <c r="E7058" i="13"/>
  <c r="E7057" i="13"/>
  <c r="E7056" i="13"/>
  <c r="E7055" i="13"/>
  <c r="E7054" i="13"/>
  <c r="E7053" i="13"/>
  <c r="E7052" i="13"/>
  <c r="E7051" i="13"/>
  <c r="E7050" i="13"/>
  <c r="E7049" i="13"/>
  <c r="E7048" i="13"/>
  <c r="E7047" i="13"/>
  <c r="E7046" i="13"/>
  <c r="E7045" i="13"/>
  <c r="E7044" i="13"/>
  <c r="E7043" i="13"/>
  <c r="E7042" i="13"/>
  <c r="E7041" i="13"/>
  <c r="E7040" i="13"/>
  <c r="E7039" i="13"/>
  <c r="E7038" i="13"/>
  <c r="E7037" i="13"/>
  <c r="E7036" i="13"/>
  <c r="E7035" i="13"/>
  <c r="E7034" i="13"/>
  <c r="E7033" i="13"/>
  <c r="E7032" i="13"/>
  <c r="E7031" i="13"/>
  <c r="E7030" i="13"/>
  <c r="E7029" i="13"/>
  <c r="E7028" i="13"/>
  <c r="E7027" i="13"/>
  <c r="E7026" i="13"/>
  <c r="E7025" i="13"/>
  <c r="E7024" i="13"/>
  <c r="E7023" i="13"/>
  <c r="E7022" i="13"/>
  <c r="E7021" i="13"/>
  <c r="E7020" i="13"/>
  <c r="E7019" i="13"/>
  <c r="E7018" i="13"/>
  <c r="E7017" i="13"/>
  <c r="E7016" i="13"/>
  <c r="E7015" i="13"/>
  <c r="E7014" i="13"/>
  <c r="E7013" i="13"/>
  <c r="E7012" i="13"/>
  <c r="E7011" i="13"/>
  <c r="E7010" i="13"/>
  <c r="E7009" i="13"/>
  <c r="E7008" i="13"/>
  <c r="E7007" i="13"/>
  <c r="E7006" i="13"/>
  <c r="E7005" i="13"/>
  <c r="E7004" i="13"/>
  <c r="E7003" i="13"/>
  <c r="E7002" i="13"/>
  <c r="E7001" i="13"/>
  <c r="E7000" i="13"/>
  <c r="E6999" i="13"/>
  <c r="E6998" i="13"/>
  <c r="E6997" i="13"/>
  <c r="E6996" i="13"/>
  <c r="E6995" i="13"/>
  <c r="E6994" i="13"/>
  <c r="E6993" i="13"/>
  <c r="E6992" i="13"/>
  <c r="E6991" i="13"/>
  <c r="E6990" i="13"/>
  <c r="E6989" i="13"/>
  <c r="E6988" i="13"/>
  <c r="E6987" i="13"/>
  <c r="E6986" i="13"/>
  <c r="E6985" i="13"/>
  <c r="E6984" i="13"/>
  <c r="E6983" i="13"/>
  <c r="E6982" i="13"/>
  <c r="E6981" i="13"/>
  <c r="E6980" i="13"/>
  <c r="E6979" i="13"/>
  <c r="E6978" i="13"/>
  <c r="E6977" i="13"/>
  <c r="E6976" i="13"/>
  <c r="E6975" i="13"/>
  <c r="E6974" i="13"/>
  <c r="E6973" i="13"/>
  <c r="E6972" i="13"/>
  <c r="E6971" i="13"/>
  <c r="E6970" i="13"/>
  <c r="E6969" i="13"/>
  <c r="E6967" i="13"/>
  <c r="E6966" i="13"/>
  <c r="E6965" i="13"/>
  <c r="E6963" i="13"/>
  <c r="E6962" i="13"/>
  <c r="E6961" i="13"/>
  <c r="E6960" i="13"/>
  <c r="E6959" i="13"/>
  <c r="E6958" i="13"/>
  <c r="E6957" i="13"/>
  <c r="E6956" i="13"/>
  <c r="E6955" i="13"/>
  <c r="E6953" i="13"/>
  <c r="E6952" i="13"/>
  <c r="E6951" i="13"/>
  <c r="E6950" i="13"/>
  <c r="E6949" i="13"/>
  <c r="E6948" i="13"/>
  <c r="E6947" i="13"/>
  <c r="E6946" i="13"/>
  <c r="E6945" i="13"/>
  <c r="E6944" i="13"/>
  <c r="E6943" i="13"/>
  <c r="E6942" i="13"/>
  <c r="E6941" i="13"/>
  <c r="E6940" i="13"/>
  <c r="E6939" i="13"/>
  <c r="E6938" i="13"/>
  <c r="E6937" i="13"/>
  <c r="E6936" i="13"/>
  <c r="E6935" i="13"/>
  <c r="E6934" i="13"/>
  <c r="E6933" i="13"/>
  <c r="E6932" i="13"/>
  <c r="E6931" i="13"/>
  <c r="E6930" i="13"/>
  <c r="E6929" i="13"/>
  <c r="E6928" i="13"/>
  <c r="E6927" i="13"/>
  <c r="E6926" i="13"/>
  <c r="E6925" i="13"/>
  <c r="E6924" i="13"/>
  <c r="E6923" i="13"/>
  <c r="E6922" i="13"/>
  <c r="E6921" i="13"/>
  <c r="E6920" i="13"/>
  <c r="E6919" i="13"/>
  <c r="E6918" i="13"/>
  <c r="E6917" i="13"/>
  <c r="E6916" i="13"/>
  <c r="E6915" i="13"/>
  <c r="E6914" i="13"/>
  <c r="E6913" i="13"/>
  <c r="E6912" i="13"/>
  <c r="E6911" i="13"/>
  <c r="E6910" i="13"/>
  <c r="E6909" i="13"/>
  <c r="E6908" i="13"/>
  <c r="E6907" i="13"/>
  <c r="E6906" i="13"/>
  <c r="E6905" i="13"/>
  <c r="E6904" i="13"/>
  <c r="E6903" i="13"/>
  <c r="E6902" i="13"/>
  <c r="E6901" i="13"/>
  <c r="E6900" i="13"/>
  <c r="E6899" i="13"/>
  <c r="E6898" i="13"/>
  <c r="E6897" i="13"/>
  <c r="E6896" i="13"/>
  <c r="E6895" i="13"/>
  <c r="E6894" i="13"/>
  <c r="E6893" i="13"/>
  <c r="E6892" i="13"/>
  <c r="E6891" i="13"/>
  <c r="E6890" i="13"/>
  <c r="E6889" i="13"/>
  <c r="E6888" i="13"/>
  <c r="E6887" i="13"/>
  <c r="E6886" i="13"/>
  <c r="E6885" i="13"/>
  <c r="E6884" i="13"/>
  <c r="E6883" i="13"/>
  <c r="E6882" i="13"/>
  <c r="E6881" i="13"/>
  <c r="E6880" i="13"/>
  <c r="E6879" i="13"/>
  <c r="E6878" i="13"/>
  <c r="E6877" i="13"/>
  <c r="E6876" i="13"/>
  <c r="E6875" i="13"/>
  <c r="E6874" i="13"/>
  <c r="E6873" i="13"/>
  <c r="E6872" i="13"/>
  <c r="E6871" i="13"/>
  <c r="E6870" i="13"/>
  <c r="E6869" i="13"/>
  <c r="E6868" i="13"/>
  <c r="E6867" i="13"/>
  <c r="E6866" i="13"/>
  <c r="E6865" i="13"/>
  <c r="E6864" i="13"/>
  <c r="E6863" i="13"/>
  <c r="E6862" i="13"/>
  <c r="E6861" i="13"/>
  <c r="E6860" i="13"/>
  <c r="E6859" i="13"/>
  <c r="E6858" i="13"/>
  <c r="E6857" i="13"/>
  <c r="E6856" i="13"/>
  <c r="E6855" i="13"/>
  <c r="E6854" i="13"/>
  <c r="E6853" i="13"/>
  <c r="E6852" i="13"/>
  <c r="E6851" i="13"/>
  <c r="E6850" i="13"/>
  <c r="E6849" i="13"/>
  <c r="E6848" i="13"/>
  <c r="E6847" i="13"/>
  <c r="E6846" i="13"/>
  <c r="E6845" i="13"/>
  <c r="E6844" i="13"/>
  <c r="E6843" i="13"/>
  <c r="E6842" i="13"/>
  <c r="E6841" i="13"/>
  <c r="E6840" i="13"/>
  <c r="E6839" i="13"/>
  <c r="E6838" i="13"/>
  <c r="E6837" i="13"/>
  <c r="E6836" i="13"/>
  <c r="E6835" i="13"/>
  <c r="E6834" i="13"/>
  <c r="E6833" i="13"/>
  <c r="E6832" i="13"/>
  <c r="E6831" i="13"/>
  <c r="E6830" i="13"/>
  <c r="E6829" i="13"/>
  <c r="E6828" i="13"/>
  <c r="E6827" i="13"/>
  <c r="E6826" i="13"/>
  <c r="E6825" i="13"/>
  <c r="E6824" i="13"/>
  <c r="E6823" i="13"/>
  <c r="E6822" i="13"/>
  <c r="E6821" i="13"/>
  <c r="E6820" i="13"/>
  <c r="E6819" i="13"/>
  <c r="E6818" i="13"/>
  <c r="E6817" i="13"/>
  <c r="E6816" i="13"/>
  <c r="E6815" i="13"/>
  <c r="E6814" i="13"/>
  <c r="E6813" i="13"/>
  <c r="E6812" i="13"/>
  <c r="E6811" i="13"/>
  <c r="E6810" i="13"/>
  <c r="E6809" i="13"/>
  <c r="E6808" i="13"/>
  <c r="E6807" i="13"/>
  <c r="E6806" i="13"/>
  <c r="E6805" i="13"/>
  <c r="E6804" i="13"/>
  <c r="E6803" i="13"/>
  <c r="E6802" i="13"/>
  <c r="E6801" i="13"/>
  <c r="E6800" i="13"/>
  <c r="E6799" i="13"/>
  <c r="E6798" i="13"/>
  <c r="E6797" i="13"/>
  <c r="E6796" i="13"/>
  <c r="E6795" i="13"/>
  <c r="E6794" i="13"/>
  <c r="E6793" i="13"/>
  <c r="E6792" i="13"/>
  <c r="E6791" i="13"/>
  <c r="E6790" i="13"/>
  <c r="E6789" i="13"/>
  <c r="E6788" i="13"/>
  <c r="E6787" i="13"/>
  <c r="E6786" i="13"/>
  <c r="E6785" i="13"/>
  <c r="E6784" i="13"/>
  <c r="E6783" i="13"/>
  <c r="E6782" i="13"/>
  <c r="E6781" i="13"/>
  <c r="E6780" i="13"/>
  <c r="E6779" i="13"/>
  <c r="E6778" i="13"/>
  <c r="E6777" i="13"/>
  <c r="E6776" i="13"/>
  <c r="E6775" i="13"/>
  <c r="E6774" i="13"/>
  <c r="E6773" i="13"/>
  <c r="E6772" i="13"/>
  <c r="E6771" i="13"/>
  <c r="E6770" i="13"/>
  <c r="E6769" i="13"/>
  <c r="E6768" i="13"/>
  <c r="E6767" i="13"/>
  <c r="E6766" i="13"/>
  <c r="E6765" i="13"/>
  <c r="E6764" i="13"/>
  <c r="E6763" i="13"/>
  <c r="E6762" i="13"/>
  <c r="E6761" i="13"/>
  <c r="E6760" i="13"/>
  <c r="E6759" i="13"/>
  <c r="E6758" i="13"/>
  <c r="E6757" i="13"/>
  <c r="E6756" i="13"/>
  <c r="E6755" i="13"/>
  <c r="E6754" i="13"/>
  <c r="E6753" i="13"/>
  <c r="E6752" i="13"/>
  <c r="E6751" i="13"/>
  <c r="E6750" i="13"/>
  <c r="E6749" i="13"/>
  <c r="E6748" i="13"/>
  <c r="E6747" i="13"/>
  <c r="E6746" i="13"/>
  <c r="E6745" i="13"/>
  <c r="E6744" i="13"/>
  <c r="E6743" i="13"/>
  <c r="E6742" i="13"/>
  <c r="E6741" i="13"/>
  <c r="E6740" i="13"/>
  <c r="E6739" i="13"/>
  <c r="E6738" i="13"/>
  <c r="E6737" i="13"/>
  <c r="E6736" i="13"/>
  <c r="E6735" i="13"/>
  <c r="E6734" i="13"/>
  <c r="E6733" i="13"/>
  <c r="E6732" i="13"/>
  <c r="E6731" i="13"/>
  <c r="E6730" i="13"/>
  <c r="E6729" i="13"/>
  <c r="E6728" i="13"/>
  <c r="E6727" i="13"/>
  <c r="E6726" i="13"/>
  <c r="E6725" i="13"/>
  <c r="E6724" i="13"/>
  <c r="E6723" i="13"/>
  <c r="E6722" i="13"/>
  <c r="E6721" i="13"/>
  <c r="E6720" i="13"/>
  <c r="E6719" i="13"/>
  <c r="E6718" i="13"/>
  <c r="E6717" i="13"/>
  <c r="E6716" i="13"/>
  <c r="E6715" i="13"/>
  <c r="E6714" i="13"/>
  <c r="E6713" i="13"/>
  <c r="E6712" i="13"/>
  <c r="E6711" i="13"/>
  <c r="E6710" i="13"/>
  <c r="E6709" i="13"/>
  <c r="E6708" i="13"/>
  <c r="E6707" i="13"/>
  <c r="E6706" i="13"/>
  <c r="E6705" i="13"/>
  <c r="E6704" i="13"/>
  <c r="E6703" i="13"/>
  <c r="E6702" i="13"/>
  <c r="E6701" i="13"/>
  <c r="E6700" i="13"/>
  <c r="E6699" i="13"/>
  <c r="E6698" i="13"/>
  <c r="E6697" i="13"/>
  <c r="E6696" i="13"/>
  <c r="E6695" i="13"/>
  <c r="E6694" i="13"/>
  <c r="E6693" i="13"/>
  <c r="E6692" i="13"/>
  <c r="E6691" i="13"/>
  <c r="E6690" i="13"/>
  <c r="E6689" i="13"/>
  <c r="E6688" i="13"/>
  <c r="E6687" i="13"/>
  <c r="E6686" i="13"/>
  <c r="E6685" i="13"/>
  <c r="E6684" i="13"/>
  <c r="E6683" i="13"/>
  <c r="E6682" i="13"/>
  <c r="E6681" i="13"/>
  <c r="E6680" i="13"/>
  <c r="E6679" i="13"/>
  <c r="E6678" i="13"/>
  <c r="E6677" i="13"/>
  <c r="E6676" i="13"/>
  <c r="E6675" i="13"/>
  <c r="E6674" i="13"/>
  <c r="E6673" i="13"/>
  <c r="E6672" i="13"/>
  <c r="E6671" i="13"/>
  <c r="E6670" i="13"/>
  <c r="E6669" i="13"/>
  <c r="E6668" i="13"/>
  <c r="E6667" i="13"/>
  <c r="E6666" i="13"/>
  <c r="E6665" i="13"/>
  <c r="E6664" i="13"/>
  <c r="E6663" i="13"/>
  <c r="E6662" i="13"/>
  <c r="E6661" i="13"/>
  <c r="E6660" i="13"/>
  <c r="E6659" i="13"/>
  <c r="E6658" i="13"/>
  <c r="E6657" i="13"/>
  <c r="E6656" i="13"/>
  <c r="E6655" i="13"/>
  <c r="E6654" i="13"/>
  <c r="E6653" i="13"/>
  <c r="E6652" i="13"/>
  <c r="E6651" i="13"/>
  <c r="E6650" i="13"/>
  <c r="E6649" i="13"/>
  <c r="E6648" i="13"/>
  <c r="E6647" i="13"/>
  <c r="E6646" i="13"/>
  <c r="E6645" i="13"/>
  <c r="E6644" i="13"/>
  <c r="E6643" i="13"/>
  <c r="E6642" i="13"/>
  <c r="E6641" i="13"/>
  <c r="E6640" i="13"/>
  <c r="E6639" i="13"/>
  <c r="E6638" i="13"/>
  <c r="E6637" i="13"/>
  <c r="E6636" i="13"/>
  <c r="E6635" i="13"/>
  <c r="E6634" i="13"/>
  <c r="E6633" i="13"/>
  <c r="E6632" i="13"/>
  <c r="E6631" i="13"/>
  <c r="E6630" i="13"/>
  <c r="E6629" i="13"/>
  <c r="E6628" i="13"/>
  <c r="E6627" i="13"/>
  <c r="E6626" i="13"/>
  <c r="E6625" i="13"/>
  <c r="E6624" i="13"/>
  <c r="E6623" i="13"/>
  <c r="E6622" i="13"/>
  <c r="E6621" i="13"/>
  <c r="E6620" i="13"/>
  <c r="E6619" i="13"/>
  <c r="E6618" i="13"/>
  <c r="E6617" i="13"/>
  <c r="E6616" i="13"/>
  <c r="E6615" i="13"/>
  <c r="E6614" i="13"/>
  <c r="E6613" i="13"/>
  <c r="E6612" i="13"/>
  <c r="E6611" i="13"/>
  <c r="E6610" i="13"/>
  <c r="E6609" i="13"/>
  <c r="E6608" i="13"/>
  <c r="E6607" i="13"/>
  <c r="E6606" i="13"/>
  <c r="E6605" i="13"/>
  <c r="E6604" i="13"/>
  <c r="E6603" i="13"/>
  <c r="E6602" i="13"/>
  <c r="E6601" i="13"/>
  <c r="E6600" i="13"/>
  <c r="E6599" i="13"/>
  <c r="E6598" i="13"/>
  <c r="E6597" i="13"/>
  <c r="E6596" i="13"/>
  <c r="E6595" i="13"/>
  <c r="E6594" i="13"/>
  <c r="E6593" i="13"/>
  <c r="E6592" i="13"/>
  <c r="E6591" i="13"/>
  <c r="E6590" i="13"/>
  <c r="E6589" i="13"/>
  <c r="E6588" i="13"/>
  <c r="E6587" i="13"/>
  <c r="E6586" i="13"/>
  <c r="E6585" i="13"/>
  <c r="E6584" i="13"/>
  <c r="E6583" i="13"/>
  <c r="E6582" i="13"/>
  <c r="E6581" i="13"/>
  <c r="E6580" i="13"/>
  <c r="E6579" i="13"/>
  <c r="E6578" i="13"/>
  <c r="E6577" i="13"/>
  <c r="E6576" i="13"/>
  <c r="E6575" i="13"/>
  <c r="E6574" i="13"/>
  <c r="E6573" i="13"/>
  <c r="E6572" i="13"/>
  <c r="E6571" i="13"/>
  <c r="E6570" i="13"/>
  <c r="E6569" i="13"/>
  <c r="E6568" i="13"/>
  <c r="E6567" i="13"/>
  <c r="E6566" i="13"/>
  <c r="E6565" i="13"/>
  <c r="E6564" i="13"/>
  <c r="E6563" i="13"/>
  <c r="E6562" i="13"/>
  <c r="E6561" i="13"/>
  <c r="E6560" i="13"/>
  <c r="E6559" i="13"/>
  <c r="E6558" i="13"/>
  <c r="E6557" i="13"/>
  <c r="E6556" i="13"/>
  <c r="E6555" i="13"/>
  <c r="E6554" i="13"/>
  <c r="E6553" i="13"/>
  <c r="E6552" i="13"/>
  <c r="E6551" i="13"/>
  <c r="E6550" i="13"/>
  <c r="E6549" i="13"/>
  <c r="E6548" i="13"/>
  <c r="E6547" i="13"/>
  <c r="E6546" i="13"/>
  <c r="E6545" i="13"/>
  <c r="E6544" i="13"/>
  <c r="E6543" i="13"/>
  <c r="E6542" i="13"/>
  <c r="E6541" i="13"/>
  <c r="E6540" i="13"/>
  <c r="E6539" i="13"/>
  <c r="E6538" i="13"/>
  <c r="E6537" i="13"/>
  <c r="E6536" i="13"/>
  <c r="E6535" i="13"/>
  <c r="E6534" i="13"/>
  <c r="E6533" i="13"/>
  <c r="E6532" i="13"/>
  <c r="E6531" i="13"/>
  <c r="E6530" i="13"/>
  <c r="E6529" i="13"/>
  <c r="E6528" i="13"/>
  <c r="E6527" i="13"/>
  <c r="E6526" i="13"/>
  <c r="E6525" i="13"/>
  <c r="E6524" i="13"/>
  <c r="E6523" i="13"/>
  <c r="E6522" i="13"/>
  <c r="E6521" i="13"/>
  <c r="E6520" i="13"/>
  <c r="E6519" i="13"/>
  <c r="E6518" i="13"/>
  <c r="E6517" i="13"/>
  <c r="E6516" i="13"/>
  <c r="E6515" i="13"/>
  <c r="E6514" i="13"/>
  <c r="E6513" i="13"/>
  <c r="E6512" i="13"/>
  <c r="E6511" i="13"/>
  <c r="E6510" i="13"/>
  <c r="E6509" i="13"/>
  <c r="E6508" i="13"/>
  <c r="E6507" i="13"/>
  <c r="E6506" i="13"/>
  <c r="E6505" i="13"/>
  <c r="E6504" i="13"/>
  <c r="E6503" i="13"/>
  <c r="E6502" i="13"/>
  <c r="E6501" i="13"/>
  <c r="E6500" i="13"/>
  <c r="E6499" i="13"/>
  <c r="E6498" i="13"/>
  <c r="E6497" i="13"/>
  <c r="E6496" i="13"/>
  <c r="E6495" i="13"/>
  <c r="E6494" i="13"/>
  <c r="E6493" i="13"/>
  <c r="E6492" i="13"/>
  <c r="E6491" i="13"/>
  <c r="E6490" i="13"/>
  <c r="E6489" i="13"/>
  <c r="E6488" i="13"/>
  <c r="E6487" i="13"/>
  <c r="E6486" i="13"/>
  <c r="E6485" i="13"/>
  <c r="E6484" i="13"/>
  <c r="E6483" i="13"/>
  <c r="E6482" i="13"/>
  <c r="E6481" i="13"/>
  <c r="E6480" i="13"/>
  <c r="E6479" i="13"/>
  <c r="E6478" i="13"/>
  <c r="E6477" i="13"/>
  <c r="E6476" i="13"/>
  <c r="E6475" i="13"/>
  <c r="E6474" i="13"/>
  <c r="E6473" i="13"/>
  <c r="E6472" i="13"/>
  <c r="E6471" i="13"/>
  <c r="E6470" i="13"/>
  <c r="E6469" i="13"/>
  <c r="E6468" i="13"/>
  <c r="E6467" i="13"/>
  <c r="E6466" i="13"/>
  <c r="E6465" i="13"/>
  <c r="E6464" i="13"/>
  <c r="E6463" i="13"/>
  <c r="E6462" i="13"/>
  <c r="E6461" i="13"/>
  <c r="E6460" i="13"/>
  <c r="E6459" i="13"/>
  <c r="E6458" i="13"/>
  <c r="E6457" i="13"/>
  <c r="E6456" i="13"/>
  <c r="E6455" i="13"/>
  <c r="E6454" i="13"/>
  <c r="E6453" i="13"/>
  <c r="E6452" i="13"/>
  <c r="E6451" i="13"/>
  <c r="E6450" i="13"/>
  <c r="E6449" i="13"/>
  <c r="E6448" i="13"/>
  <c r="E6447" i="13"/>
  <c r="E6446" i="13"/>
  <c r="E6445" i="13"/>
  <c r="E6444" i="13"/>
  <c r="E6443" i="13"/>
  <c r="E6442" i="13"/>
  <c r="E6441" i="13"/>
  <c r="E6440" i="13"/>
  <c r="E6439" i="13"/>
  <c r="E6438" i="13"/>
  <c r="E6437" i="13"/>
  <c r="E6436" i="13"/>
  <c r="E6435" i="13"/>
  <c r="E6434" i="13"/>
  <c r="E6433" i="13"/>
  <c r="E6432" i="13"/>
  <c r="E6431" i="13"/>
  <c r="E6430" i="13"/>
  <c r="E6429" i="13"/>
  <c r="E6428" i="13"/>
  <c r="E6427" i="13"/>
  <c r="E6426" i="13"/>
  <c r="E6425" i="13"/>
  <c r="E6424" i="13"/>
  <c r="E6423" i="13"/>
  <c r="E6422" i="13"/>
  <c r="E6421" i="13"/>
  <c r="E6420" i="13"/>
  <c r="E6419" i="13"/>
  <c r="E6418" i="13"/>
  <c r="E6417" i="13"/>
  <c r="E6416" i="13"/>
  <c r="E6415" i="13"/>
  <c r="E6414" i="13"/>
  <c r="E6413" i="13"/>
  <c r="E6412" i="13"/>
  <c r="E6411" i="13"/>
  <c r="E6410" i="13"/>
  <c r="E6409" i="13"/>
  <c r="E6408" i="13"/>
  <c r="E6407" i="13"/>
  <c r="E6406" i="13"/>
  <c r="E6405" i="13"/>
  <c r="E6404" i="13"/>
  <c r="E6403" i="13"/>
  <c r="E6402" i="13"/>
  <c r="E6401" i="13"/>
  <c r="E6400" i="13"/>
  <c r="E6399" i="13"/>
  <c r="E6398" i="13"/>
  <c r="E6397" i="13"/>
  <c r="E6396" i="13"/>
  <c r="E6395" i="13"/>
  <c r="E6394" i="13"/>
  <c r="E6393" i="13"/>
  <c r="E6392" i="13"/>
  <c r="E6391" i="13"/>
  <c r="E6390" i="13"/>
  <c r="E6389" i="13"/>
  <c r="E6388" i="13"/>
  <c r="E6387" i="13"/>
  <c r="E6386" i="13"/>
  <c r="E6385" i="13"/>
  <c r="E6384" i="13"/>
  <c r="E6383" i="13"/>
  <c r="E6382" i="13"/>
  <c r="E6381" i="13"/>
  <c r="E6380" i="13"/>
  <c r="E6379" i="13"/>
  <c r="E6378" i="13"/>
  <c r="E6377" i="13"/>
  <c r="E6376" i="13"/>
  <c r="E6375" i="13"/>
  <c r="E6374" i="13"/>
  <c r="E6373" i="13"/>
  <c r="E6372" i="13"/>
  <c r="E6371" i="13"/>
  <c r="E6370" i="13"/>
  <c r="E6369" i="13"/>
  <c r="E6368" i="13"/>
  <c r="E6367" i="13"/>
  <c r="E6366" i="13"/>
  <c r="E6365" i="13"/>
  <c r="E6364" i="13"/>
  <c r="E6363" i="13"/>
  <c r="E6362" i="13"/>
  <c r="E6361" i="13"/>
  <c r="E6360" i="13"/>
  <c r="E6359" i="13"/>
  <c r="E6358" i="13"/>
  <c r="E6357" i="13"/>
  <c r="E6356" i="13"/>
  <c r="E6355" i="13"/>
  <c r="E6354" i="13"/>
  <c r="E6353" i="13"/>
  <c r="E6352" i="13"/>
  <c r="E6351" i="13"/>
  <c r="E6350" i="13"/>
  <c r="E6349" i="13"/>
  <c r="E6348" i="13"/>
  <c r="E6347" i="13"/>
  <c r="E6346" i="13"/>
  <c r="E6345" i="13"/>
  <c r="E6344" i="13"/>
  <c r="E6343" i="13"/>
  <c r="E6342" i="13"/>
  <c r="E6341" i="13"/>
  <c r="E6340" i="13"/>
  <c r="E6339" i="13"/>
  <c r="E6338" i="13"/>
  <c r="E6337" i="13"/>
  <c r="E6336" i="13"/>
  <c r="E6335" i="13"/>
  <c r="E6334" i="13"/>
  <c r="E6333" i="13"/>
  <c r="E6332" i="13"/>
  <c r="E6331" i="13"/>
  <c r="E6330" i="13"/>
  <c r="E6329" i="13"/>
  <c r="E6328" i="13"/>
  <c r="E6327" i="13"/>
  <c r="E6326" i="13"/>
  <c r="E6325" i="13"/>
  <c r="E6324" i="13"/>
  <c r="E6323" i="13"/>
  <c r="E6322" i="13"/>
  <c r="E6321" i="13"/>
  <c r="E6320" i="13"/>
  <c r="E6319" i="13"/>
  <c r="E6318" i="13"/>
  <c r="E6317" i="13"/>
  <c r="E6316" i="13"/>
  <c r="E6315" i="13"/>
  <c r="E6314" i="13"/>
  <c r="E6313" i="13"/>
  <c r="E6312" i="13"/>
  <c r="E6311" i="13"/>
  <c r="E6310" i="13"/>
  <c r="E6309" i="13"/>
  <c r="E6308" i="13"/>
  <c r="E6307" i="13"/>
  <c r="E6306" i="13"/>
  <c r="E6305" i="13"/>
  <c r="E6304" i="13"/>
  <c r="E6303" i="13"/>
  <c r="E6302" i="13"/>
  <c r="E6301" i="13"/>
  <c r="E6300" i="13"/>
  <c r="E6299" i="13"/>
  <c r="E6298" i="13"/>
  <c r="E6297" i="13"/>
  <c r="E6296" i="13"/>
  <c r="E6295" i="13"/>
  <c r="E6294" i="13"/>
  <c r="E6293" i="13"/>
  <c r="E6292" i="13"/>
  <c r="E6291" i="13"/>
  <c r="E6290" i="13"/>
  <c r="E6289" i="13"/>
  <c r="E6288" i="13"/>
  <c r="E6287" i="13"/>
  <c r="E6286" i="13"/>
  <c r="E6285" i="13"/>
  <c r="E6284" i="13"/>
  <c r="E6283" i="13"/>
  <c r="E6282" i="13"/>
  <c r="E6281" i="13"/>
  <c r="E6280" i="13"/>
  <c r="E6279" i="13"/>
  <c r="E6278" i="13"/>
  <c r="E6277" i="13"/>
  <c r="E6276" i="13"/>
  <c r="E6275" i="13"/>
  <c r="E6274" i="13"/>
  <c r="E6273" i="13"/>
  <c r="E6272" i="13"/>
  <c r="E6271" i="13"/>
  <c r="E6270" i="13"/>
  <c r="E6269" i="13"/>
  <c r="E6268" i="13"/>
  <c r="E6267" i="13"/>
  <c r="E6266" i="13"/>
  <c r="E6265" i="13"/>
  <c r="E6264" i="13"/>
  <c r="E6263" i="13"/>
  <c r="E6262" i="13"/>
  <c r="E6261" i="13"/>
  <c r="E6260" i="13"/>
  <c r="E6259" i="13"/>
  <c r="E6258" i="13"/>
  <c r="E6257" i="13"/>
  <c r="E6256" i="13"/>
  <c r="E6255" i="13"/>
  <c r="E6254" i="13"/>
  <c r="E6253" i="13"/>
  <c r="E6252" i="13"/>
  <c r="E6251" i="13"/>
  <c r="E6250" i="13"/>
  <c r="E6249" i="13"/>
  <c r="E6248" i="13"/>
  <c r="E6247" i="13"/>
  <c r="E6246" i="13"/>
  <c r="E6245" i="13"/>
  <c r="E6244" i="13"/>
  <c r="E6243" i="13"/>
  <c r="E6242" i="13"/>
  <c r="E6241" i="13"/>
  <c r="E6240" i="13"/>
  <c r="E6239" i="13"/>
  <c r="E6238" i="13"/>
  <c r="E6237" i="13"/>
  <c r="E6236" i="13"/>
  <c r="E6235" i="13"/>
  <c r="E6234" i="13"/>
  <c r="E6233" i="13"/>
  <c r="E6232" i="13"/>
  <c r="E6231" i="13"/>
  <c r="E6230" i="13"/>
  <c r="E6229" i="13"/>
  <c r="E6228" i="13"/>
  <c r="E6227" i="13"/>
  <c r="E6226" i="13"/>
  <c r="E6225" i="13"/>
  <c r="E6224" i="13"/>
  <c r="E6223" i="13"/>
  <c r="E6222" i="13"/>
  <c r="E6221" i="13"/>
  <c r="E6220" i="13"/>
  <c r="E6219" i="13"/>
  <c r="E6218" i="13"/>
  <c r="E6217" i="13"/>
  <c r="E6216" i="13"/>
  <c r="E6215" i="13"/>
  <c r="E6214" i="13"/>
  <c r="E6213" i="13"/>
  <c r="E6212" i="13"/>
  <c r="E6211" i="13"/>
  <c r="E6210" i="13"/>
  <c r="E6209" i="13"/>
  <c r="E6208" i="13"/>
  <c r="E6207" i="13"/>
  <c r="E6206" i="13"/>
  <c r="E6205" i="13"/>
  <c r="E6204" i="13"/>
  <c r="E6203" i="13"/>
  <c r="E6202" i="13"/>
  <c r="E6201" i="13"/>
  <c r="E6200" i="13"/>
  <c r="E6199" i="13"/>
  <c r="E6198" i="13"/>
  <c r="E6197" i="13"/>
  <c r="E6196" i="13"/>
  <c r="E6195" i="13"/>
  <c r="E6194" i="13"/>
  <c r="E6193" i="13"/>
  <c r="E6192" i="13"/>
  <c r="E6191" i="13"/>
  <c r="E6190" i="13"/>
  <c r="E6189" i="13"/>
  <c r="E6188" i="13"/>
  <c r="E6187" i="13"/>
  <c r="E6186" i="13"/>
  <c r="E6185" i="13"/>
  <c r="E6184" i="13"/>
  <c r="E6183" i="13"/>
  <c r="E6182" i="13"/>
  <c r="E6181" i="13"/>
  <c r="E6180" i="13"/>
  <c r="E6179" i="13"/>
  <c r="E6178" i="13"/>
  <c r="E6177" i="13"/>
  <c r="E6176" i="13"/>
  <c r="E6175" i="13"/>
  <c r="E6174" i="13"/>
  <c r="E6173" i="13"/>
  <c r="E6171" i="13"/>
  <c r="E6170" i="13"/>
  <c r="E6169" i="13"/>
  <c r="E6168" i="13"/>
  <c r="E6167" i="13"/>
  <c r="E6166" i="13"/>
  <c r="E6165" i="13"/>
  <c r="E6164" i="13"/>
  <c r="E6163" i="13"/>
  <c r="E6162" i="13"/>
  <c r="E6161" i="13"/>
  <c r="E6160" i="13"/>
  <c r="E6159" i="13"/>
  <c r="E6158" i="13"/>
  <c r="E6157" i="13"/>
  <c r="E6156" i="13"/>
  <c r="E6155" i="13"/>
  <c r="E6154" i="13"/>
  <c r="E6153" i="13"/>
  <c r="E6152" i="13"/>
  <c r="E6151" i="13"/>
  <c r="E6150" i="13"/>
  <c r="E6149" i="13"/>
  <c r="E6148" i="13"/>
  <c r="E6147" i="13"/>
  <c r="E6146" i="13"/>
  <c r="E6145" i="13"/>
  <c r="E6144" i="13"/>
  <c r="E6143" i="13"/>
  <c r="E6142" i="13"/>
  <c r="E6141" i="13"/>
  <c r="E6140" i="13"/>
  <c r="E6139" i="13"/>
  <c r="E6138" i="13"/>
  <c r="E6137" i="13"/>
  <c r="E6136" i="13"/>
  <c r="E6135" i="13"/>
  <c r="E6134" i="13"/>
  <c r="E6133" i="13"/>
  <c r="E6132" i="13"/>
  <c r="E6131" i="13"/>
  <c r="E6130" i="13"/>
  <c r="E6129" i="13"/>
  <c r="E6128" i="13"/>
  <c r="E6127" i="13"/>
  <c r="E6126" i="13"/>
  <c r="E6125" i="13"/>
  <c r="E6124" i="13"/>
  <c r="E6123" i="13"/>
  <c r="E6122" i="13"/>
  <c r="E6121" i="13"/>
  <c r="E6120" i="13"/>
  <c r="E6119" i="13"/>
  <c r="E6118" i="13"/>
  <c r="E6117" i="13"/>
  <c r="E6116" i="13"/>
  <c r="E6115" i="13"/>
  <c r="E6114" i="13"/>
  <c r="E6113" i="13"/>
  <c r="E6112" i="13"/>
  <c r="E6111" i="13"/>
  <c r="E6110" i="13"/>
  <c r="E6109" i="13"/>
  <c r="E6108" i="13"/>
  <c r="E6107" i="13"/>
  <c r="E6106" i="13"/>
  <c r="E6105" i="13"/>
  <c r="E6104" i="13"/>
  <c r="E6103" i="13"/>
  <c r="E6102" i="13"/>
  <c r="E6101" i="13"/>
  <c r="E6100" i="13"/>
  <c r="E6099" i="13"/>
  <c r="E6098" i="13"/>
  <c r="E6097" i="13"/>
  <c r="E6096" i="13"/>
  <c r="E6095" i="13"/>
  <c r="E6094" i="13"/>
  <c r="E6093" i="13"/>
  <c r="E6092" i="13"/>
  <c r="E6091" i="13"/>
  <c r="E6090" i="13"/>
  <c r="E6089" i="13"/>
  <c r="E6088" i="13"/>
  <c r="E6087" i="13"/>
  <c r="E6086" i="13"/>
  <c r="E6085" i="13"/>
  <c r="E6084" i="13"/>
  <c r="E6083" i="13"/>
  <c r="E6082" i="13"/>
  <c r="E6081" i="13"/>
  <c r="E6080" i="13"/>
  <c r="E6079" i="13"/>
  <c r="E6078" i="13"/>
  <c r="E6077" i="13"/>
  <c r="E6076" i="13"/>
  <c r="E6075" i="13"/>
  <c r="E6074" i="13"/>
  <c r="E6073" i="13"/>
  <c r="E6072" i="13"/>
  <c r="E6071" i="13"/>
  <c r="E6070" i="13"/>
  <c r="E6069" i="13"/>
  <c r="E6068" i="13"/>
  <c r="E6067" i="13"/>
  <c r="E6066" i="13"/>
  <c r="E6065" i="13"/>
  <c r="E6064" i="13"/>
  <c r="E6063" i="13"/>
  <c r="E6062" i="13"/>
  <c r="E6061" i="13"/>
  <c r="E6060" i="13"/>
  <c r="E6059" i="13"/>
  <c r="E6058" i="13"/>
  <c r="E6057" i="13"/>
  <c r="E6056" i="13"/>
  <c r="E6055" i="13"/>
  <c r="E6054" i="13"/>
  <c r="E6053" i="13"/>
  <c r="E6052" i="13"/>
  <c r="E6051" i="13"/>
  <c r="E6050" i="13"/>
  <c r="E6049" i="13"/>
  <c r="E6048" i="13"/>
  <c r="E6047" i="13"/>
  <c r="E6046" i="13"/>
  <c r="E6045" i="13"/>
  <c r="E6044" i="13"/>
  <c r="E6043" i="13"/>
  <c r="E6042" i="13"/>
  <c r="E6041" i="13"/>
  <c r="E6040" i="13"/>
  <c r="E6039" i="13"/>
  <c r="E6038" i="13"/>
  <c r="E6037" i="13"/>
  <c r="E6036" i="13"/>
  <c r="E6035" i="13"/>
  <c r="E6034" i="13"/>
  <c r="E6033" i="13"/>
  <c r="E6032" i="13"/>
  <c r="E6031" i="13"/>
  <c r="E6030" i="13"/>
  <c r="E6029" i="13"/>
  <c r="E6028" i="13"/>
  <c r="E6027" i="13"/>
  <c r="E6026" i="13"/>
  <c r="E6025" i="13"/>
  <c r="E6024" i="13"/>
  <c r="E6023" i="13"/>
  <c r="E6022" i="13"/>
  <c r="E6021" i="13"/>
  <c r="E6020" i="13"/>
  <c r="E6019" i="13"/>
  <c r="E6018" i="13"/>
  <c r="E6017" i="13"/>
  <c r="E6016" i="13"/>
  <c r="E6015" i="13"/>
  <c r="E6014" i="13"/>
  <c r="E6013" i="13"/>
  <c r="E6012" i="13"/>
  <c r="E6011" i="13"/>
  <c r="E6010" i="13"/>
  <c r="E6009" i="13"/>
  <c r="E6008" i="13"/>
  <c r="E6007" i="13"/>
  <c r="E6006" i="13"/>
  <c r="E6005" i="13"/>
  <c r="E6004" i="13"/>
  <c r="E6003" i="13"/>
  <c r="E6002" i="13"/>
  <c r="E6001" i="13"/>
  <c r="E6000" i="13"/>
  <c r="E5999" i="13"/>
  <c r="E5998" i="13"/>
  <c r="E5997" i="13"/>
  <c r="E5996" i="13"/>
  <c r="E5995" i="13"/>
  <c r="E5994" i="13"/>
  <c r="E5993" i="13"/>
  <c r="E5992" i="13"/>
  <c r="E5991" i="13"/>
  <c r="E5990" i="13"/>
  <c r="E5989" i="13"/>
  <c r="E5988" i="13"/>
  <c r="E5987" i="13"/>
  <c r="E5986" i="13"/>
  <c r="E5985" i="13"/>
  <c r="E5984" i="13"/>
  <c r="E5983" i="13"/>
  <c r="E5982" i="13"/>
  <c r="E5981" i="13"/>
  <c r="E5980" i="13"/>
  <c r="E5979" i="13"/>
  <c r="E5978" i="13"/>
  <c r="E5977" i="13"/>
  <c r="E5976" i="13"/>
  <c r="E5975" i="13"/>
  <c r="E5974" i="13"/>
  <c r="E5973" i="13"/>
  <c r="E5972" i="13"/>
  <c r="E5971" i="13"/>
  <c r="E5970" i="13"/>
  <c r="E5969" i="13"/>
  <c r="E5968" i="13"/>
  <c r="E5967" i="13"/>
  <c r="E5966" i="13"/>
  <c r="E5965" i="13"/>
  <c r="E5964" i="13"/>
  <c r="E5963" i="13"/>
  <c r="E5962" i="13"/>
  <c r="E5961" i="13"/>
  <c r="E5960" i="13"/>
  <c r="E5959" i="13"/>
  <c r="E5958" i="13"/>
  <c r="E5957" i="13"/>
  <c r="E5956" i="13"/>
  <c r="E5955" i="13"/>
  <c r="E5954" i="13"/>
  <c r="E5953" i="13"/>
  <c r="E5952" i="13"/>
  <c r="E5951" i="13"/>
  <c r="E5950" i="13"/>
  <c r="E5949" i="13"/>
  <c r="E5948" i="13"/>
  <c r="E5947" i="13"/>
  <c r="E5946" i="13"/>
  <c r="E5945" i="13"/>
  <c r="E5944" i="13"/>
  <c r="E5943" i="13"/>
  <c r="E5942" i="13"/>
  <c r="E5941" i="13"/>
  <c r="E5940" i="13"/>
  <c r="E5939" i="13"/>
  <c r="E5938" i="13"/>
  <c r="E5937" i="13"/>
  <c r="E5936" i="13"/>
  <c r="E5935" i="13"/>
  <c r="E5934" i="13"/>
  <c r="E5933" i="13"/>
  <c r="E5932" i="13"/>
  <c r="E5931" i="13"/>
  <c r="E5930" i="13"/>
  <c r="E5929" i="13"/>
  <c r="E5928" i="13"/>
  <c r="E5927" i="13"/>
  <c r="E5926" i="13"/>
  <c r="E5925" i="13"/>
  <c r="E5924" i="13"/>
  <c r="E5923" i="13"/>
  <c r="E5922" i="13"/>
  <c r="E5921" i="13"/>
  <c r="E5920" i="13"/>
  <c r="E5919" i="13"/>
  <c r="E5918" i="13"/>
  <c r="E5917" i="13"/>
  <c r="E5916" i="13"/>
  <c r="E5915" i="13"/>
  <c r="E5914" i="13"/>
  <c r="E5913" i="13"/>
  <c r="E5912" i="13"/>
  <c r="E5911" i="13"/>
  <c r="E5910" i="13"/>
  <c r="E5909" i="13"/>
  <c r="E5908" i="13"/>
  <c r="E5907" i="13"/>
  <c r="E5906" i="13"/>
  <c r="E5905" i="13"/>
  <c r="E5904" i="13"/>
  <c r="E5903" i="13"/>
  <c r="E5902" i="13"/>
  <c r="E5901" i="13"/>
  <c r="E5900" i="13"/>
  <c r="E5899" i="13"/>
  <c r="E5898" i="13"/>
  <c r="E5897" i="13"/>
  <c r="E5896" i="13"/>
  <c r="E5895" i="13"/>
  <c r="E5894" i="13"/>
  <c r="E5893" i="13"/>
  <c r="E5892" i="13"/>
  <c r="E5891" i="13"/>
  <c r="E5890" i="13"/>
  <c r="E5889" i="13"/>
  <c r="E5888" i="13"/>
  <c r="E5887" i="13"/>
  <c r="E5886" i="13"/>
  <c r="E5885" i="13"/>
  <c r="E5884" i="13"/>
  <c r="E5883" i="13"/>
  <c r="E5882" i="13"/>
  <c r="E5881" i="13"/>
  <c r="E5880" i="13"/>
  <c r="E5879" i="13"/>
  <c r="E5878" i="13"/>
  <c r="E5877" i="13"/>
  <c r="E5876" i="13"/>
  <c r="E5875" i="13"/>
  <c r="E5874" i="13"/>
  <c r="E5873" i="13"/>
  <c r="E5872" i="13"/>
  <c r="E5871" i="13"/>
  <c r="E5870" i="13"/>
  <c r="E5869" i="13"/>
  <c r="E5868" i="13"/>
  <c r="E5867" i="13"/>
  <c r="E5866" i="13"/>
  <c r="E5865" i="13"/>
  <c r="E5864" i="13"/>
  <c r="E5863" i="13"/>
  <c r="E5862" i="13"/>
  <c r="E5861" i="13"/>
  <c r="E5860" i="13"/>
  <c r="E5859" i="13"/>
  <c r="E5858" i="13"/>
  <c r="E5857" i="13"/>
  <c r="E5856" i="13"/>
  <c r="E5855" i="13"/>
  <c r="E5854" i="13"/>
  <c r="E5853" i="13"/>
  <c r="E5852" i="13"/>
  <c r="E5851" i="13"/>
  <c r="E5850" i="13"/>
  <c r="E5849" i="13"/>
  <c r="E5848" i="13"/>
  <c r="E5847" i="13"/>
  <c r="E5846" i="13"/>
  <c r="E5845" i="13"/>
  <c r="E5844" i="13"/>
  <c r="E5843" i="13"/>
  <c r="E5842" i="13"/>
  <c r="E5841" i="13"/>
  <c r="E5840" i="13"/>
  <c r="E5839" i="13"/>
  <c r="E5838" i="13"/>
  <c r="E5837" i="13"/>
  <c r="E5836" i="13"/>
  <c r="E5835" i="13"/>
  <c r="E5834" i="13"/>
  <c r="E5833" i="13"/>
  <c r="E5832" i="13"/>
  <c r="E5831" i="13"/>
  <c r="E5830" i="13"/>
  <c r="E5829" i="13"/>
  <c r="E5828" i="13"/>
  <c r="E5827" i="13"/>
  <c r="E5826" i="13"/>
  <c r="E5825" i="13"/>
  <c r="E5824" i="13"/>
  <c r="E5823" i="13"/>
  <c r="E5822" i="13"/>
  <c r="E5821" i="13"/>
  <c r="E5820" i="13"/>
  <c r="E5819" i="13"/>
  <c r="E5818" i="13"/>
  <c r="E5817" i="13"/>
  <c r="E5816" i="13"/>
  <c r="E5815" i="13"/>
  <c r="E5814" i="13"/>
  <c r="E5813" i="13"/>
  <c r="E5812" i="13"/>
  <c r="E5811" i="13"/>
  <c r="E5810" i="13"/>
  <c r="E5809" i="13"/>
  <c r="E5808" i="13"/>
  <c r="E5807" i="13"/>
  <c r="E5806" i="13"/>
  <c r="E5805" i="13"/>
  <c r="E5804" i="13"/>
  <c r="E5803" i="13"/>
  <c r="E5802" i="13"/>
  <c r="E5801" i="13"/>
  <c r="E5800" i="13"/>
  <c r="E5799" i="13"/>
  <c r="E5798" i="13"/>
  <c r="E5797" i="13"/>
  <c r="E5796" i="13"/>
  <c r="E5795" i="13"/>
  <c r="E5794" i="13"/>
  <c r="E5793" i="13"/>
  <c r="E5792" i="13"/>
  <c r="E5791" i="13"/>
  <c r="E5790" i="13"/>
  <c r="E5789" i="13"/>
  <c r="E5788" i="13"/>
  <c r="E5787" i="13"/>
  <c r="E5786" i="13"/>
  <c r="E5785" i="13"/>
  <c r="E5784" i="13"/>
  <c r="E5783" i="13"/>
  <c r="E5782" i="13"/>
  <c r="E5781" i="13"/>
  <c r="E5780" i="13"/>
  <c r="E5779" i="13"/>
  <c r="E5778" i="13"/>
  <c r="E5777" i="13"/>
  <c r="E5776" i="13"/>
  <c r="E5775" i="13"/>
  <c r="E5774" i="13"/>
  <c r="E5773" i="13"/>
  <c r="E5772" i="13"/>
  <c r="E5771" i="13"/>
  <c r="E5770" i="13"/>
  <c r="E5769" i="13"/>
  <c r="E5768" i="13"/>
  <c r="E5767" i="13"/>
  <c r="E5766" i="13"/>
  <c r="E5765" i="13"/>
  <c r="E5764" i="13"/>
  <c r="E5763" i="13"/>
  <c r="E5762" i="13"/>
  <c r="E5761" i="13"/>
  <c r="E5760" i="13"/>
  <c r="E5759" i="13"/>
  <c r="E5758" i="13"/>
  <c r="E5757" i="13"/>
  <c r="E5756" i="13"/>
  <c r="E5755" i="13"/>
  <c r="E5754" i="13"/>
  <c r="E5753" i="13"/>
  <c r="E5752" i="13"/>
  <c r="E5751" i="13"/>
  <c r="E5750" i="13"/>
  <c r="E5749" i="13"/>
  <c r="E5748" i="13"/>
  <c r="E5747" i="13"/>
  <c r="E5746" i="13"/>
  <c r="E5745" i="13"/>
  <c r="E5744" i="13"/>
  <c r="E5743" i="13"/>
  <c r="E5742" i="13"/>
  <c r="E5741" i="13"/>
  <c r="E5740" i="13"/>
  <c r="E5739" i="13"/>
  <c r="E5738" i="13"/>
  <c r="E5737" i="13"/>
  <c r="E5736" i="13"/>
  <c r="E5735" i="13"/>
  <c r="E5734" i="13"/>
  <c r="E5733" i="13"/>
  <c r="E5732" i="13"/>
  <c r="E5731" i="13"/>
  <c r="E5730" i="13"/>
  <c r="E5729" i="13"/>
  <c r="E5728" i="13"/>
  <c r="E5727" i="13"/>
  <c r="E5726" i="13"/>
  <c r="E5725" i="13"/>
  <c r="E5724" i="13"/>
  <c r="E5723" i="13"/>
  <c r="E5722" i="13"/>
  <c r="E5721" i="13"/>
  <c r="E5720" i="13"/>
  <c r="E5719" i="13"/>
  <c r="E5718" i="13"/>
  <c r="E5717" i="13"/>
  <c r="E5716" i="13"/>
  <c r="E5715" i="13"/>
  <c r="E5714" i="13"/>
  <c r="E5713" i="13"/>
  <c r="E5712" i="13"/>
  <c r="E5711" i="13"/>
  <c r="E5710" i="13"/>
  <c r="E5709" i="13"/>
  <c r="E5708" i="13"/>
  <c r="E5707" i="13"/>
  <c r="E5706" i="13"/>
  <c r="E5705" i="13"/>
  <c r="E5704" i="13"/>
  <c r="E5703" i="13"/>
  <c r="E5702" i="13"/>
  <c r="E5701" i="13"/>
  <c r="E5700" i="13"/>
  <c r="E5699" i="13"/>
  <c r="E5698" i="13"/>
  <c r="E5697" i="13"/>
  <c r="E5696" i="13"/>
  <c r="E5695" i="13"/>
  <c r="E5694" i="13"/>
  <c r="E5693" i="13"/>
  <c r="E5692" i="13"/>
  <c r="E5691" i="13"/>
  <c r="E5690" i="13"/>
  <c r="E5689" i="13"/>
  <c r="E5688" i="13"/>
  <c r="E5687" i="13"/>
  <c r="E5686" i="13"/>
  <c r="E5685" i="13"/>
  <c r="E5684" i="13"/>
  <c r="E5683" i="13"/>
  <c r="E5682" i="13"/>
  <c r="E5681" i="13"/>
  <c r="E5680" i="13"/>
  <c r="E5679" i="13"/>
  <c r="E5678" i="13"/>
  <c r="E5677" i="13"/>
  <c r="E5676" i="13"/>
  <c r="E5675" i="13"/>
  <c r="E5674" i="13"/>
  <c r="E5673" i="13"/>
  <c r="E5672" i="13"/>
  <c r="E5671" i="13"/>
  <c r="E5670" i="13"/>
  <c r="E5669" i="13"/>
  <c r="E5668" i="13"/>
  <c r="E5667" i="13"/>
  <c r="E5666" i="13"/>
  <c r="E5665" i="13"/>
  <c r="E5664" i="13"/>
  <c r="E5663" i="13"/>
  <c r="E5662" i="13"/>
  <c r="E5661" i="13"/>
  <c r="E5660" i="13"/>
  <c r="E5659" i="13"/>
  <c r="E5658" i="13"/>
  <c r="E5657" i="13"/>
  <c r="E5656" i="13"/>
  <c r="E5655" i="13"/>
  <c r="E5654" i="13"/>
  <c r="E5653" i="13"/>
  <c r="E5652" i="13"/>
  <c r="E5651" i="13"/>
  <c r="E5650" i="13"/>
  <c r="E5649" i="13"/>
  <c r="E5648" i="13"/>
  <c r="E5647" i="13"/>
  <c r="E5646" i="13"/>
  <c r="E5645" i="13"/>
  <c r="E5644" i="13"/>
  <c r="E5643" i="13"/>
  <c r="E5642" i="13"/>
  <c r="E5641" i="13"/>
  <c r="E5640" i="13"/>
  <c r="E5639" i="13"/>
  <c r="E5638" i="13"/>
  <c r="E5637" i="13"/>
  <c r="E5636" i="13"/>
  <c r="E5635" i="13"/>
  <c r="E5634" i="13"/>
  <c r="E5633" i="13"/>
  <c r="E5632" i="13"/>
  <c r="E5631" i="13"/>
  <c r="E5630" i="13"/>
  <c r="E5629" i="13"/>
  <c r="E5628" i="13"/>
  <c r="E5627" i="13"/>
  <c r="E5626" i="13"/>
  <c r="E5625" i="13"/>
  <c r="E5624" i="13"/>
  <c r="E5623" i="13"/>
  <c r="E5622" i="13"/>
  <c r="E5621" i="13"/>
  <c r="E5620" i="13"/>
  <c r="E5619" i="13"/>
  <c r="E5618" i="13"/>
  <c r="E5617" i="13"/>
  <c r="E5616" i="13"/>
  <c r="E5615" i="13"/>
  <c r="E5614" i="13"/>
  <c r="E5613" i="13"/>
  <c r="E5612" i="13"/>
  <c r="E5611" i="13"/>
  <c r="E5610" i="13"/>
  <c r="E5609" i="13"/>
  <c r="E5608" i="13"/>
  <c r="E5607" i="13"/>
  <c r="E5606" i="13"/>
  <c r="E5605" i="13"/>
  <c r="E5604" i="13"/>
  <c r="E5603" i="13"/>
  <c r="E5602" i="13"/>
  <c r="E5601" i="13"/>
  <c r="E5600" i="13"/>
  <c r="E5599" i="13"/>
  <c r="E5598" i="13"/>
  <c r="E5597" i="13"/>
  <c r="E5596" i="13"/>
  <c r="E5595" i="13"/>
  <c r="E5594" i="13"/>
  <c r="E5593" i="13"/>
  <c r="E5592" i="13"/>
  <c r="E5591" i="13"/>
  <c r="E5590" i="13"/>
  <c r="E5589" i="13"/>
  <c r="E5588" i="13"/>
  <c r="E5587" i="13"/>
  <c r="E5586" i="13"/>
  <c r="E5585" i="13"/>
  <c r="E5584" i="13"/>
  <c r="E5583" i="13"/>
  <c r="E5582" i="13"/>
  <c r="E5581" i="13"/>
  <c r="E5580" i="13"/>
  <c r="E5579" i="13"/>
  <c r="E5578" i="13"/>
  <c r="E5577" i="13"/>
  <c r="E5576" i="13"/>
  <c r="E5575" i="13"/>
  <c r="E5574" i="13"/>
  <c r="E5573" i="13"/>
  <c r="E5572" i="13"/>
  <c r="E5571" i="13"/>
  <c r="E5570" i="13"/>
  <c r="E5569" i="13"/>
  <c r="E5568" i="13"/>
  <c r="E5567" i="13"/>
  <c r="E5566" i="13"/>
  <c r="E5565" i="13"/>
  <c r="E5564" i="13"/>
  <c r="E5563" i="13"/>
  <c r="E5562" i="13"/>
  <c r="E5561" i="13"/>
  <c r="E5560" i="13"/>
  <c r="E5559" i="13"/>
  <c r="E5558" i="13"/>
  <c r="E5557" i="13"/>
  <c r="E5556" i="13"/>
  <c r="E5555" i="13"/>
  <c r="E5554" i="13"/>
  <c r="E5553" i="13"/>
  <c r="E5552" i="13"/>
  <c r="E5551" i="13"/>
  <c r="E5550" i="13"/>
  <c r="E5549" i="13"/>
  <c r="E5548" i="13"/>
  <c r="E5547" i="13"/>
  <c r="E5546" i="13"/>
  <c r="E5545" i="13"/>
  <c r="E5544" i="13"/>
  <c r="E5543" i="13"/>
  <c r="E5542" i="13"/>
  <c r="E5541" i="13"/>
  <c r="E5540" i="13"/>
  <c r="E5539" i="13"/>
  <c r="E5538" i="13"/>
  <c r="E5537" i="13"/>
  <c r="E5536" i="13"/>
  <c r="E5535" i="13"/>
  <c r="E5534" i="13"/>
  <c r="E5533" i="13"/>
  <c r="E5532" i="13"/>
  <c r="E5531" i="13"/>
  <c r="E5530" i="13"/>
  <c r="E5529" i="13"/>
  <c r="E5528" i="13"/>
  <c r="E5527" i="13"/>
  <c r="E5526" i="13"/>
  <c r="E5525" i="13"/>
  <c r="E5524" i="13"/>
  <c r="E5523" i="13"/>
  <c r="E5522" i="13"/>
  <c r="E5521" i="13"/>
  <c r="E5520" i="13"/>
  <c r="E5519" i="13"/>
  <c r="E5518" i="13"/>
  <c r="E5517" i="13"/>
  <c r="E5516" i="13"/>
  <c r="E5515" i="13"/>
  <c r="E5514" i="13"/>
  <c r="E5513" i="13"/>
  <c r="E5512" i="13"/>
  <c r="E5511" i="13"/>
  <c r="E5510" i="13"/>
  <c r="E5509" i="13"/>
  <c r="E5508" i="13"/>
  <c r="E5507" i="13"/>
  <c r="E5506" i="13"/>
  <c r="E5505" i="13"/>
  <c r="E5504" i="13"/>
  <c r="E5503" i="13"/>
  <c r="E5502" i="13"/>
  <c r="E5501" i="13"/>
  <c r="E5500" i="13"/>
  <c r="E5499" i="13"/>
  <c r="E5498" i="13"/>
  <c r="E5497" i="13"/>
  <c r="E5496" i="13"/>
  <c r="E5495" i="13"/>
  <c r="E5494" i="13"/>
  <c r="E5493" i="13"/>
  <c r="E5492" i="13"/>
  <c r="E5491" i="13"/>
  <c r="E5490" i="13"/>
  <c r="E5489" i="13"/>
  <c r="E5488" i="13"/>
  <c r="E5487" i="13"/>
  <c r="E5486" i="13"/>
  <c r="E5485" i="13"/>
  <c r="E5484" i="13"/>
  <c r="E5483" i="13"/>
  <c r="E5482" i="13"/>
  <c r="E5481" i="13"/>
  <c r="E5480" i="13"/>
  <c r="E5479" i="13"/>
  <c r="E5478" i="13"/>
  <c r="E5477" i="13"/>
  <c r="E5476" i="13"/>
  <c r="E5475" i="13"/>
  <c r="E5474" i="13"/>
  <c r="E5473" i="13"/>
  <c r="E5472" i="13"/>
  <c r="E5471" i="13"/>
  <c r="E5470" i="13"/>
  <c r="E5469" i="13"/>
  <c r="E5468" i="13"/>
  <c r="E5467" i="13"/>
  <c r="E5466" i="13"/>
  <c r="E5465" i="13"/>
  <c r="E5464" i="13"/>
  <c r="E5463" i="13"/>
  <c r="E5462" i="13"/>
  <c r="E5461" i="13"/>
  <c r="E5460" i="13"/>
  <c r="E5459" i="13"/>
  <c r="E5458" i="13"/>
  <c r="E5457" i="13"/>
  <c r="E5456" i="13"/>
  <c r="E5455" i="13"/>
  <c r="E5454" i="13"/>
  <c r="E5453" i="13"/>
  <c r="E5452" i="13"/>
  <c r="E5451" i="13"/>
  <c r="E5450" i="13"/>
  <c r="E5449" i="13"/>
  <c r="E5448" i="13"/>
  <c r="E5447" i="13"/>
  <c r="E5446" i="13"/>
  <c r="E5445" i="13"/>
  <c r="E5444" i="13"/>
  <c r="E5443" i="13"/>
  <c r="E5442" i="13"/>
  <c r="E5441" i="13"/>
  <c r="E5440" i="13"/>
  <c r="E5439" i="13"/>
  <c r="E5438" i="13"/>
  <c r="E5437" i="13"/>
  <c r="E5436" i="13"/>
  <c r="E5435" i="13"/>
  <c r="E5434" i="13"/>
  <c r="E5433" i="13"/>
  <c r="E5432" i="13"/>
  <c r="E5431" i="13"/>
  <c r="E5430" i="13"/>
  <c r="E5429" i="13"/>
  <c r="E5428" i="13"/>
  <c r="E5427" i="13"/>
  <c r="E5426" i="13"/>
  <c r="E5425" i="13"/>
  <c r="E5424" i="13"/>
  <c r="E5423" i="13"/>
  <c r="E5422" i="13"/>
  <c r="E5421" i="13"/>
  <c r="E5420" i="13"/>
  <c r="E5419" i="13"/>
  <c r="E5418" i="13"/>
  <c r="E5417" i="13"/>
  <c r="E5416" i="13"/>
  <c r="E5415" i="13"/>
  <c r="E5414" i="13"/>
  <c r="E5413" i="13"/>
  <c r="E5412" i="13"/>
  <c r="E5411" i="13"/>
  <c r="E5410" i="13"/>
  <c r="E5409" i="13"/>
  <c r="E5408" i="13"/>
  <c r="E5407" i="13"/>
  <c r="E5406" i="13"/>
  <c r="E5405" i="13"/>
  <c r="E5404" i="13"/>
  <c r="E5403" i="13"/>
  <c r="E5402" i="13"/>
  <c r="E5401" i="13"/>
  <c r="E5400" i="13"/>
  <c r="E5399" i="13"/>
  <c r="E5398" i="13"/>
  <c r="E5397" i="13"/>
  <c r="E5396" i="13"/>
  <c r="E5395" i="13"/>
  <c r="E5394" i="13"/>
  <c r="E5393" i="13"/>
  <c r="E5392" i="13"/>
  <c r="E5391" i="13"/>
  <c r="E5390" i="13"/>
  <c r="E5389" i="13"/>
  <c r="E5388" i="13"/>
  <c r="E5387" i="13"/>
  <c r="E5386" i="13"/>
  <c r="E5385" i="13"/>
  <c r="E5384" i="13"/>
  <c r="E5383" i="13"/>
  <c r="E5382" i="13"/>
  <c r="E5381" i="13"/>
  <c r="E5380" i="13"/>
  <c r="E5379" i="13"/>
  <c r="E5378" i="13"/>
  <c r="E5377" i="13"/>
  <c r="E5376" i="13"/>
  <c r="E5375" i="13"/>
  <c r="E5374" i="13"/>
  <c r="E5373" i="13"/>
  <c r="E5372" i="13"/>
  <c r="E5371" i="13"/>
  <c r="E5370" i="13"/>
  <c r="E5369" i="13"/>
  <c r="E5368" i="13"/>
  <c r="E5367" i="13"/>
  <c r="E5366" i="13"/>
  <c r="E5365" i="13"/>
  <c r="E5364" i="13"/>
  <c r="E5363" i="13"/>
  <c r="E5362" i="13"/>
  <c r="E5361" i="13"/>
  <c r="E5360" i="13"/>
  <c r="E5359" i="13"/>
  <c r="E5358" i="13"/>
  <c r="E5357" i="13"/>
  <c r="E5356" i="13"/>
  <c r="E5355" i="13"/>
  <c r="E5354" i="13"/>
  <c r="E5353" i="13"/>
  <c r="E5352" i="13"/>
  <c r="E5351" i="13"/>
  <c r="E5350" i="13"/>
  <c r="E5349" i="13"/>
  <c r="E5348" i="13"/>
  <c r="E5347" i="13"/>
  <c r="E5346" i="13"/>
  <c r="E5345" i="13"/>
  <c r="E5344" i="13"/>
  <c r="E5343" i="13"/>
  <c r="E5342" i="13"/>
  <c r="E5341" i="13"/>
  <c r="E5340" i="13"/>
  <c r="E5339" i="13"/>
  <c r="E5338" i="13"/>
  <c r="E5337" i="13"/>
  <c r="E5336" i="13"/>
  <c r="E5335" i="13"/>
  <c r="E5334" i="13"/>
  <c r="E5333" i="13"/>
  <c r="E5332" i="13"/>
  <c r="E5331" i="13"/>
  <c r="E5330" i="13"/>
  <c r="E5329" i="13"/>
  <c r="E5328" i="13"/>
  <c r="E5327" i="13"/>
  <c r="E5326" i="13"/>
  <c r="E5325" i="13"/>
  <c r="E5324" i="13"/>
  <c r="E5323" i="13"/>
  <c r="E5322" i="13"/>
  <c r="E5321" i="13"/>
  <c r="E5320" i="13"/>
  <c r="E5319" i="13"/>
  <c r="E5318" i="13"/>
  <c r="E5317" i="13"/>
  <c r="E5316" i="13"/>
  <c r="E5315" i="13"/>
  <c r="E5314" i="13"/>
  <c r="E5313" i="13"/>
  <c r="E5312" i="13"/>
  <c r="E5311" i="13"/>
  <c r="E5310" i="13"/>
  <c r="E5309" i="13"/>
  <c r="E5308" i="13"/>
  <c r="E5307" i="13"/>
  <c r="E5306" i="13"/>
  <c r="E5305" i="13"/>
  <c r="E5304" i="13"/>
  <c r="E5303" i="13"/>
  <c r="E5302" i="13"/>
  <c r="E5301" i="13"/>
  <c r="E5300" i="13"/>
  <c r="E5299" i="13"/>
  <c r="E5298" i="13"/>
  <c r="E5297" i="13"/>
  <c r="E5296" i="13"/>
  <c r="E5295" i="13"/>
  <c r="E5294" i="13"/>
  <c r="E5293" i="13"/>
  <c r="E5292" i="13"/>
  <c r="E5291" i="13"/>
  <c r="E5290" i="13"/>
  <c r="E5289" i="13"/>
  <c r="E5288" i="13"/>
  <c r="E5287" i="13"/>
  <c r="E5286" i="13"/>
  <c r="E5285" i="13"/>
  <c r="E5284" i="13"/>
  <c r="E5283" i="13"/>
  <c r="E5282" i="13"/>
  <c r="E5281" i="13"/>
  <c r="E5280" i="13"/>
  <c r="E5279" i="13"/>
  <c r="E5278" i="13"/>
  <c r="E5277" i="13"/>
  <c r="E5276" i="13"/>
  <c r="E5275" i="13"/>
  <c r="E5274" i="13"/>
  <c r="E5273" i="13"/>
  <c r="E5272" i="13"/>
  <c r="E5271" i="13"/>
  <c r="E5270" i="13"/>
  <c r="E5269" i="13"/>
  <c r="E5268" i="13"/>
  <c r="E5267" i="13"/>
  <c r="E5266" i="13"/>
  <c r="E5265" i="13"/>
  <c r="E5264" i="13"/>
  <c r="E5263" i="13"/>
  <c r="E5262" i="13"/>
  <c r="E5261" i="13"/>
  <c r="E5260" i="13"/>
  <c r="E5259" i="13"/>
  <c r="E5258" i="13"/>
  <c r="E5257" i="13"/>
  <c r="E5256" i="13"/>
  <c r="E5255" i="13"/>
  <c r="E5254" i="13"/>
  <c r="E5253" i="13"/>
  <c r="E5252" i="13"/>
  <c r="E5251" i="13"/>
  <c r="E5250" i="13"/>
  <c r="E5249" i="13"/>
  <c r="E5248" i="13"/>
  <c r="E5247" i="13"/>
  <c r="E5246" i="13"/>
  <c r="E5245" i="13"/>
  <c r="E5244" i="13"/>
  <c r="E5243" i="13"/>
  <c r="E5242" i="13"/>
  <c r="E5241" i="13"/>
  <c r="E5240" i="13"/>
  <c r="E5239" i="13"/>
  <c r="E5238" i="13"/>
  <c r="E5237" i="13"/>
  <c r="E5236" i="13"/>
  <c r="E5235" i="13"/>
  <c r="E5234" i="13"/>
  <c r="E5233" i="13"/>
  <c r="E5232" i="13"/>
  <c r="E5231" i="13"/>
  <c r="E5230" i="13"/>
  <c r="E5229" i="13"/>
  <c r="E5228" i="13"/>
  <c r="E5227" i="13"/>
  <c r="E5226" i="13"/>
  <c r="E5225" i="13"/>
  <c r="E5224" i="13"/>
  <c r="E5223" i="13"/>
  <c r="E5222" i="13"/>
  <c r="E5221" i="13"/>
  <c r="E5220" i="13"/>
  <c r="E5219" i="13"/>
  <c r="E5218" i="13"/>
  <c r="E5217" i="13"/>
  <c r="E5216" i="13"/>
  <c r="E5215" i="13"/>
  <c r="E5214" i="13"/>
  <c r="E5213" i="13"/>
  <c r="E5212" i="13"/>
  <c r="E5211" i="13"/>
  <c r="E5210" i="13"/>
  <c r="E5209" i="13"/>
  <c r="E5208" i="13"/>
  <c r="E5207" i="13"/>
  <c r="E5206" i="13"/>
  <c r="E5205" i="13"/>
  <c r="E5204" i="13"/>
  <c r="E5203" i="13"/>
  <c r="E5202" i="13"/>
  <c r="E5201" i="13"/>
  <c r="E5200" i="13"/>
  <c r="E5199" i="13"/>
  <c r="E5198" i="13"/>
  <c r="E5197" i="13"/>
  <c r="E5196" i="13"/>
  <c r="E5195" i="13"/>
  <c r="E5194" i="13"/>
  <c r="E5193" i="13"/>
  <c r="E5192" i="13"/>
  <c r="E5191" i="13"/>
  <c r="E5190" i="13"/>
  <c r="E5189" i="13"/>
  <c r="E5188" i="13"/>
  <c r="E5187" i="13"/>
  <c r="E5186" i="13"/>
  <c r="E5185" i="13"/>
  <c r="E5184" i="13"/>
  <c r="E5183" i="13"/>
  <c r="E5182" i="13"/>
  <c r="E5181" i="13"/>
  <c r="E5180" i="13"/>
  <c r="E5179" i="13"/>
  <c r="E5178" i="13"/>
  <c r="E5177" i="13"/>
  <c r="E5176" i="13"/>
  <c r="E5175" i="13"/>
  <c r="E5174" i="13"/>
  <c r="E5173" i="13"/>
  <c r="E5172" i="13"/>
  <c r="E5171" i="13"/>
  <c r="E5170" i="13"/>
  <c r="E5169" i="13"/>
  <c r="E5168" i="13"/>
  <c r="E5167" i="13"/>
  <c r="E5166" i="13"/>
  <c r="E5165" i="13"/>
  <c r="E5164" i="13"/>
  <c r="E5163" i="13"/>
  <c r="E5162" i="13"/>
  <c r="E5161" i="13"/>
  <c r="E5160" i="13"/>
  <c r="E5159" i="13"/>
  <c r="E5158" i="13"/>
  <c r="E5157" i="13"/>
  <c r="E5156" i="13"/>
  <c r="E5155" i="13"/>
  <c r="E5154" i="13"/>
  <c r="E5153" i="13"/>
  <c r="E5152" i="13"/>
  <c r="E5151" i="13"/>
  <c r="E5150" i="13"/>
  <c r="E5149" i="13"/>
  <c r="E5148" i="13"/>
  <c r="E5147" i="13"/>
  <c r="E5146" i="13"/>
  <c r="E5145" i="13"/>
  <c r="E5143" i="13"/>
  <c r="E5142" i="13"/>
  <c r="E5141" i="13"/>
  <c r="E5140" i="13"/>
  <c r="E5139" i="13"/>
  <c r="E5138" i="13"/>
  <c r="E5137" i="13"/>
  <c r="E5136" i="13"/>
  <c r="E5135" i="13"/>
  <c r="E5134" i="13"/>
  <c r="E5133" i="13"/>
  <c r="E5132" i="13"/>
  <c r="E5131" i="13"/>
  <c r="E5130" i="13"/>
  <c r="E5129" i="13"/>
  <c r="E5127" i="13"/>
  <c r="E5126" i="13"/>
  <c r="E5125" i="13"/>
  <c r="E5124" i="13"/>
  <c r="E5123" i="13"/>
  <c r="E5122" i="13"/>
  <c r="E5121" i="13"/>
  <c r="E5120" i="13"/>
  <c r="E5119" i="13"/>
  <c r="E5118" i="13"/>
  <c r="E5117" i="13"/>
  <c r="E5116" i="13"/>
  <c r="E5115" i="13"/>
  <c r="E5114" i="13"/>
  <c r="E5113" i="13"/>
  <c r="E5112" i="13"/>
  <c r="E5111" i="13"/>
  <c r="E5110" i="13"/>
  <c r="E5109" i="13"/>
  <c r="E5108" i="13"/>
  <c r="E5107" i="13"/>
  <c r="E5106" i="13"/>
  <c r="E5105" i="13"/>
  <c r="E5104" i="13"/>
  <c r="E5103" i="13"/>
  <c r="E5102" i="13"/>
  <c r="E5101" i="13"/>
  <c r="E5100" i="13"/>
  <c r="E5099" i="13"/>
  <c r="E5098" i="13"/>
  <c r="E5096" i="13"/>
  <c r="E5095" i="13"/>
  <c r="E5094" i="13"/>
  <c r="E5093" i="13"/>
  <c r="E5092" i="13"/>
  <c r="E5091" i="13"/>
  <c r="E5090" i="13"/>
  <c r="E5088" i="13"/>
  <c r="E5087" i="13"/>
  <c r="E5086" i="13"/>
  <c r="E5085" i="13"/>
  <c r="E5084" i="13"/>
  <c r="E5083" i="13"/>
  <c r="E5082" i="13"/>
  <c r="E5081" i="13"/>
  <c r="E5080" i="13"/>
  <c r="E5079" i="13"/>
  <c r="E5078" i="13"/>
  <c r="E5077" i="13"/>
  <c r="E5076" i="13"/>
  <c r="E5075" i="13"/>
  <c r="E5074" i="13"/>
  <c r="E5073" i="13"/>
  <c r="E5072" i="13"/>
  <c r="E5071" i="13"/>
  <c r="E5070" i="13"/>
  <c r="E5069" i="13"/>
  <c r="E5068" i="13"/>
  <c r="E5067" i="13"/>
  <c r="E5066" i="13"/>
  <c r="E5065" i="13"/>
  <c r="E5064" i="13"/>
  <c r="E5063" i="13"/>
  <c r="E5062" i="13"/>
  <c r="E5061" i="13"/>
  <c r="E5060" i="13"/>
  <c r="E5059" i="13"/>
  <c r="E5058" i="13"/>
  <c r="E5057" i="13"/>
  <c r="E5056" i="13"/>
  <c r="E5055" i="13"/>
  <c r="E5054" i="13"/>
  <c r="E5053" i="13"/>
  <c r="E5052" i="13"/>
  <c r="E5051" i="13"/>
  <c r="E5050" i="13"/>
  <c r="E5049" i="13"/>
  <c r="E5048" i="13"/>
  <c r="E5047" i="13"/>
  <c r="E5046" i="13"/>
  <c r="E5045" i="13"/>
  <c r="E5044" i="13"/>
  <c r="E5043" i="13"/>
  <c r="E5042" i="13"/>
  <c r="E5041" i="13"/>
  <c r="E5040" i="13"/>
  <c r="E5039" i="13"/>
  <c r="E5038" i="13"/>
  <c r="E5037" i="13"/>
  <c r="E5036" i="13"/>
  <c r="E5035" i="13"/>
  <c r="E5034" i="13"/>
  <c r="E5033" i="13"/>
  <c r="E5032" i="13"/>
  <c r="E5031" i="13"/>
  <c r="E5030" i="13"/>
  <c r="E5029" i="13"/>
  <c r="E5028" i="13"/>
  <c r="E5027" i="13"/>
  <c r="E5026" i="13"/>
  <c r="E5025" i="13"/>
  <c r="E5024" i="13"/>
  <c r="E5023" i="13"/>
  <c r="E5022" i="13"/>
  <c r="E5021" i="13"/>
  <c r="E5020" i="13"/>
  <c r="E5019" i="13"/>
  <c r="E5018" i="13"/>
  <c r="E5017" i="13"/>
  <c r="E5016" i="13"/>
  <c r="E5015" i="13"/>
  <c r="E5014" i="13"/>
  <c r="E5013" i="13"/>
  <c r="E5012" i="13"/>
  <c r="E5011" i="13"/>
  <c r="E5010" i="13"/>
  <c r="E5009" i="13"/>
  <c r="E5008" i="13"/>
  <c r="E5007" i="13"/>
  <c r="E5006" i="13"/>
  <c r="E5005" i="13"/>
  <c r="E5004" i="13"/>
  <c r="E5003" i="13"/>
  <c r="E5002" i="13"/>
  <c r="E5001" i="13"/>
  <c r="E5000" i="13"/>
  <c r="E4999" i="13"/>
  <c r="E4998" i="13"/>
  <c r="E4997" i="13"/>
  <c r="E4996" i="13"/>
  <c r="E4995" i="13"/>
  <c r="E4994" i="13"/>
  <c r="E4993" i="13"/>
  <c r="E4992" i="13"/>
  <c r="E4991" i="13"/>
  <c r="E4990" i="13"/>
  <c r="E4989" i="13"/>
  <c r="E4988" i="13"/>
  <c r="E4987" i="13"/>
  <c r="E4986" i="13"/>
  <c r="E4985" i="13"/>
  <c r="E4984" i="13"/>
  <c r="E4983" i="13"/>
  <c r="E4982" i="13"/>
  <c r="E4981" i="13"/>
  <c r="E4980" i="13"/>
  <c r="E4979" i="13"/>
  <c r="E4978" i="13"/>
  <c r="E4977" i="13"/>
  <c r="E4976" i="13"/>
  <c r="E4975" i="13"/>
  <c r="E4974" i="13"/>
  <c r="E4973" i="13"/>
  <c r="E4972" i="13"/>
  <c r="E4971" i="13"/>
  <c r="E4970" i="13"/>
  <c r="E4969" i="13"/>
  <c r="E4968" i="13"/>
  <c r="E4967" i="13"/>
  <c r="E4966" i="13"/>
  <c r="E4965" i="13"/>
  <c r="E4964" i="13"/>
  <c r="E4963" i="13"/>
  <c r="E4962" i="13"/>
  <c r="E4961" i="13"/>
  <c r="E4960" i="13"/>
  <c r="E4959" i="13"/>
  <c r="E4958" i="13"/>
  <c r="E4957" i="13"/>
  <c r="E4956" i="13"/>
  <c r="E4955" i="13"/>
  <c r="E4954" i="13"/>
  <c r="E4953" i="13"/>
  <c r="E4952" i="13"/>
  <c r="E4951" i="13"/>
  <c r="E4950" i="13"/>
  <c r="E4949" i="13"/>
  <c r="E4948" i="13"/>
  <c r="E4947" i="13"/>
  <c r="E4946" i="13"/>
  <c r="E4945" i="13"/>
  <c r="E4944" i="13"/>
  <c r="E4943" i="13"/>
  <c r="E4942" i="13"/>
  <c r="E4941" i="13"/>
  <c r="E4940" i="13"/>
  <c r="E4939" i="13"/>
  <c r="E4938" i="13"/>
  <c r="E4937" i="13"/>
  <c r="E4936" i="13"/>
  <c r="E4935" i="13"/>
  <c r="E4934" i="13"/>
  <c r="E4933" i="13"/>
  <c r="E4932" i="13"/>
  <c r="E4931" i="13"/>
  <c r="E4930" i="13"/>
  <c r="E4929" i="13"/>
  <c r="E4928" i="13"/>
  <c r="E4927" i="13"/>
  <c r="E4926" i="13"/>
  <c r="E4925" i="13"/>
  <c r="E4924" i="13"/>
  <c r="E4923" i="13"/>
  <c r="E4922" i="13"/>
  <c r="E4921" i="13"/>
  <c r="E4920" i="13"/>
  <c r="E4919" i="13"/>
  <c r="E4918" i="13"/>
  <c r="E4917" i="13"/>
  <c r="E4916" i="13"/>
  <c r="E4915" i="13"/>
  <c r="E4914" i="13"/>
  <c r="E4913" i="13"/>
  <c r="E4912" i="13"/>
  <c r="E4911" i="13"/>
  <c r="E4910" i="13"/>
  <c r="E4909" i="13"/>
  <c r="E4908" i="13"/>
  <c r="E4907" i="13"/>
  <c r="E4906" i="13"/>
  <c r="E4905" i="13"/>
  <c r="E4904" i="13"/>
  <c r="E4903" i="13"/>
  <c r="E4902" i="13"/>
  <c r="E4901" i="13"/>
  <c r="E4900" i="13"/>
  <c r="E4899" i="13"/>
  <c r="E4898" i="13"/>
  <c r="E4897" i="13"/>
  <c r="E4896" i="13"/>
  <c r="E4895" i="13"/>
  <c r="E4894" i="13"/>
  <c r="E4893" i="13"/>
  <c r="E4892" i="13"/>
  <c r="E4891" i="13"/>
  <c r="E4890" i="13"/>
  <c r="E4889" i="13"/>
  <c r="E4888" i="13"/>
  <c r="E4887" i="13"/>
  <c r="E4886" i="13"/>
  <c r="E4885" i="13"/>
  <c r="E4884" i="13"/>
  <c r="E4883" i="13"/>
  <c r="E4882" i="13"/>
  <c r="E4881" i="13"/>
  <c r="E4880" i="13"/>
  <c r="E4879" i="13"/>
  <c r="E4878" i="13"/>
  <c r="E4877" i="13"/>
  <c r="E4876" i="13"/>
  <c r="E4875" i="13"/>
  <c r="E4874" i="13"/>
  <c r="E4873" i="13"/>
  <c r="E4872" i="13"/>
  <c r="E4871" i="13"/>
  <c r="E4870" i="13"/>
  <c r="E4869" i="13"/>
  <c r="E4868" i="13"/>
  <c r="E4867" i="13"/>
  <c r="E4866" i="13"/>
  <c r="E4865" i="13"/>
  <c r="E4864" i="13"/>
  <c r="E4863" i="13"/>
  <c r="E4862" i="13"/>
  <c r="E4861" i="13"/>
  <c r="E4860" i="13"/>
  <c r="E4859" i="13"/>
  <c r="E4858" i="13"/>
  <c r="E4857" i="13"/>
  <c r="E4856" i="13"/>
  <c r="E4855" i="13"/>
  <c r="E4854" i="13"/>
  <c r="E4853" i="13"/>
  <c r="E4852" i="13"/>
  <c r="E4851" i="13"/>
  <c r="E4850" i="13"/>
  <c r="E4849" i="13"/>
  <c r="E4848" i="13"/>
  <c r="E4847" i="13"/>
  <c r="E4846" i="13"/>
  <c r="E4845" i="13"/>
  <c r="E4844" i="13"/>
  <c r="E4843" i="13"/>
  <c r="E4842" i="13"/>
  <c r="E4841" i="13"/>
  <c r="E4840" i="13"/>
  <c r="E4839" i="13"/>
  <c r="E4838" i="13"/>
  <c r="E4837" i="13"/>
  <c r="E4836" i="13"/>
  <c r="E4835" i="13"/>
  <c r="E4834" i="13"/>
  <c r="E4833" i="13"/>
  <c r="E4832" i="13"/>
  <c r="E4831" i="13"/>
  <c r="E4830" i="13"/>
  <c r="E4829" i="13"/>
  <c r="E4828" i="13"/>
  <c r="E4827" i="13"/>
  <c r="E4826" i="13"/>
  <c r="E4825" i="13"/>
  <c r="E4824" i="13"/>
  <c r="E4823" i="13"/>
  <c r="E4822" i="13"/>
  <c r="E4821" i="13"/>
  <c r="E4820" i="13"/>
  <c r="E4819" i="13"/>
  <c r="E4818" i="13"/>
  <c r="E4817" i="13"/>
  <c r="E4816" i="13"/>
  <c r="E4815" i="13"/>
  <c r="E4814" i="13"/>
  <c r="E4813" i="13"/>
  <c r="E4812" i="13"/>
  <c r="E4811" i="13"/>
  <c r="E4810" i="13"/>
  <c r="E4809" i="13"/>
  <c r="E4808" i="13"/>
  <c r="E4807" i="13"/>
  <c r="E4806" i="13"/>
  <c r="E4805" i="13"/>
  <c r="E4804" i="13"/>
  <c r="E4803" i="13"/>
  <c r="E4802" i="13"/>
  <c r="E4801" i="13"/>
  <c r="E4800" i="13"/>
  <c r="E4799" i="13"/>
  <c r="E4798" i="13"/>
  <c r="E4797" i="13"/>
  <c r="E4796" i="13"/>
  <c r="E4795" i="13"/>
  <c r="E4794" i="13"/>
  <c r="E4793" i="13"/>
  <c r="E4792" i="13"/>
  <c r="E4791" i="13"/>
  <c r="E4790" i="13"/>
  <c r="E4789" i="13"/>
  <c r="E4788" i="13"/>
  <c r="E4787" i="13"/>
  <c r="E4786" i="13"/>
  <c r="E4785" i="13"/>
  <c r="E4784" i="13"/>
  <c r="E4783" i="13"/>
  <c r="E4782" i="13"/>
  <c r="E4781" i="13"/>
  <c r="E4780" i="13"/>
  <c r="E4779" i="13"/>
  <c r="E4778" i="13"/>
  <c r="E4777" i="13"/>
  <c r="E4776" i="13"/>
  <c r="E4775" i="13"/>
  <c r="E4774" i="13"/>
  <c r="E4773" i="13"/>
  <c r="E4772" i="13"/>
  <c r="E4771" i="13"/>
  <c r="E4770" i="13"/>
  <c r="E4769" i="13"/>
  <c r="E4768" i="13"/>
  <c r="E4767" i="13"/>
  <c r="E4766" i="13"/>
  <c r="E4765" i="13"/>
  <c r="E4764" i="13"/>
  <c r="E4763" i="13"/>
  <c r="E4762" i="13"/>
  <c r="E4761" i="13"/>
  <c r="E4760" i="13"/>
  <c r="E4759" i="13"/>
  <c r="E4758" i="13"/>
  <c r="E4757" i="13"/>
  <c r="E4756" i="13"/>
  <c r="E4755" i="13"/>
  <c r="E4754" i="13"/>
  <c r="E4753" i="13"/>
  <c r="E4752" i="13"/>
  <c r="E4751" i="13"/>
  <c r="E4750" i="13"/>
  <c r="E4749" i="13"/>
  <c r="E4748" i="13"/>
  <c r="E4747" i="13"/>
  <c r="E4746" i="13"/>
  <c r="E4745" i="13"/>
  <c r="E4744" i="13"/>
  <c r="E4743" i="13"/>
  <c r="E4742" i="13"/>
  <c r="E4741" i="13"/>
  <c r="E4740" i="13"/>
  <c r="E4739" i="13"/>
  <c r="E4738" i="13"/>
  <c r="E4737" i="13"/>
  <c r="E4736" i="13"/>
  <c r="E4735" i="13"/>
  <c r="E4734" i="13"/>
  <c r="E4733" i="13"/>
  <c r="E4732" i="13"/>
  <c r="E4731" i="13"/>
  <c r="E4730" i="13"/>
  <c r="E4729" i="13"/>
  <c r="E4728" i="13"/>
  <c r="E4727" i="13"/>
  <c r="E4726" i="13"/>
  <c r="E4725" i="13"/>
  <c r="E4724" i="13"/>
  <c r="E4723" i="13"/>
  <c r="E4722" i="13"/>
  <c r="E4721" i="13"/>
  <c r="E4720" i="13"/>
  <c r="E4719" i="13"/>
  <c r="E4718" i="13"/>
  <c r="E4717" i="13"/>
  <c r="E4716" i="13"/>
  <c r="E4715" i="13"/>
  <c r="E4714" i="13"/>
  <c r="E4713" i="13"/>
  <c r="E4712" i="13"/>
  <c r="E4711" i="13"/>
  <c r="E4710" i="13"/>
  <c r="E4709" i="13"/>
  <c r="E4708" i="13"/>
  <c r="E4707" i="13"/>
  <c r="E4706" i="13"/>
  <c r="E4705" i="13"/>
  <c r="E4704" i="13"/>
  <c r="E4703" i="13"/>
  <c r="E4702" i="13"/>
  <c r="E4701" i="13"/>
  <c r="E4700" i="13"/>
  <c r="E4699" i="13"/>
  <c r="E4698" i="13"/>
  <c r="E4697" i="13"/>
  <c r="E4696" i="13"/>
  <c r="E4695" i="13"/>
  <c r="E4694" i="13"/>
  <c r="E4693" i="13"/>
  <c r="E4692" i="13"/>
  <c r="E4691" i="13"/>
  <c r="E4690" i="13"/>
  <c r="E4689" i="13"/>
  <c r="E4688" i="13"/>
  <c r="E4687" i="13"/>
  <c r="E4686" i="13"/>
  <c r="E4685" i="13"/>
  <c r="E4684" i="13"/>
  <c r="E4683" i="13"/>
  <c r="E4682" i="13"/>
  <c r="E4681" i="13"/>
  <c r="E4680" i="13"/>
  <c r="E4679" i="13"/>
  <c r="E4678" i="13"/>
  <c r="E4677" i="13"/>
  <c r="E4676" i="13"/>
  <c r="E4675" i="13"/>
  <c r="E4674" i="13"/>
  <c r="E4673" i="13"/>
  <c r="E4672" i="13"/>
  <c r="E4671" i="13"/>
  <c r="E4670" i="13"/>
  <c r="E4669" i="13"/>
  <c r="E4668" i="13"/>
  <c r="E4667" i="13"/>
  <c r="E4666" i="13"/>
  <c r="E4665" i="13"/>
  <c r="E4664" i="13"/>
  <c r="E4663" i="13"/>
  <c r="E4662" i="13"/>
  <c r="E4661" i="13"/>
  <c r="E4660" i="13"/>
  <c r="E4659" i="13"/>
  <c r="E4658" i="13"/>
  <c r="E4657" i="13"/>
  <c r="E4656" i="13"/>
  <c r="E4655" i="13"/>
  <c r="E4654" i="13"/>
  <c r="E4653" i="13"/>
  <c r="E4652" i="13"/>
  <c r="E4651" i="13"/>
  <c r="E4650" i="13"/>
  <c r="E4649" i="13"/>
  <c r="E4648" i="13"/>
  <c r="E4647" i="13"/>
  <c r="E4646" i="13"/>
  <c r="E4645" i="13"/>
  <c r="E4644" i="13"/>
  <c r="E4643" i="13"/>
  <c r="E4642" i="13"/>
  <c r="E4641" i="13"/>
  <c r="E4640" i="13"/>
  <c r="E4639" i="13"/>
  <c r="E4638" i="13"/>
  <c r="E4637" i="13"/>
  <c r="E4636" i="13"/>
  <c r="E4635" i="13"/>
  <c r="E4634" i="13"/>
  <c r="E4633" i="13"/>
  <c r="E4632" i="13"/>
  <c r="E4631" i="13"/>
  <c r="E4630" i="13"/>
  <c r="E4629" i="13"/>
  <c r="E4628" i="13"/>
  <c r="E4627" i="13"/>
  <c r="E4626" i="13"/>
  <c r="E4625" i="13"/>
  <c r="E4624" i="13"/>
  <c r="E4623" i="13"/>
  <c r="E4622" i="13"/>
  <c r="E4621" i="13"/>
  <c r="E4620" i="13"/>
  <c r="E4619" i="13"/>
  <c r="E4618" i="13"/>
  <c r="E4617" i="13"/>
  <c r="E4616" i="13"/>
  <c r="E4615" i="13"/>
  <c r="E4614" i="13"/>
  <c r="E4613" i="13"/>
  <c r="E4612" i="13"/>
  <c r="E4611" i="13"/>
  <c r="E4610" i="13"/>
  <c r="E4609" i="13"/>
  <c r="E4608" i="13"/>
  <c r="E4607" i="13"/>
  <c r="E4606" i="13"/>
  <c r="E4605" i="13"/>
  <c r="E4604" i="13"/>
  <c r="E4603" i="13"/>
  <c r="E4602" i="13"/>
  <c r="E4601" i="13"/>
  <c r="E4600" i="13"/>
  <c r="E4599" i="13"/>
  <c r="E4598" i="13"/>
  <c r="E4597" i="13"/>
  <c r="E4596" i="13"/>
  <c r="E4595" i="13"/>
  <c r="E4594" i="13"/>
  <c r="E4593" i="13"/>
  <c r="E4591" i="13"/>
  <c r="E4590" i="13"/>
  <c r="E4589" i="13"/>
  <c r="E4588" i="13"/>
  <c r="E4587" i="13"/>
  <c r="E4586" i="13"/>
  <c r="E4585" i="13"/>
  <c r="E4584" i="13"/>
  <c r="E4583" i="13"/>
  <c r="E4582" i="13"/>
  <c r="E4581" i="13"/>
  <c r="E4580" i="13"/>
  <c r="E4579" i="13"/>
  <c r="E4578" i="13"/>
  <c r="E4577" i="13"/>
  <c r="E4576" i="13"/>
  <c r="E4575" i="13"/>
  <c r="E4574" i="13"/>
  <c r="E4573" i="13"/>
  <c r="E4572" i="13"/>
  <c r="E4571" i="13"/>
  <c r="E4570" i="13"/>
  <c r="E4569" i="13"/>
  <c r="E4568" i="13"/>
  <c r="E4567" i="13"/>
  <c r="E4566" i="13"/>
  <c r="E4565" i="13"/>
  <c r="E4564" i="13"/>
  <c r="E4563" i="13"/>
  <c r="E4562" i="13"/>
  <c r="E4561" i="13"/>
  <c r="E4560" i="13"/>
  <c r="E4559" i="13"/>
  <c r="E4558" i="13"/>
  <c r="E4557" i="13"/>
  <c r="E4556" i="13"/>
  <c r="E4555" i="13"/>
  <c r="E4554" i="13"/>
  <c r="E4553" i="13"/>
  <c r="E4552" i="13"/>
  <c r="E4551" i="13"/>
  <c r="E4550" i="13"/>
  <c r="E4549" i="13"/>
  <c r="E4548" i="13"/>
  <c r="E4547" i="13"/>
  <c r="E4546" i="13"/>
  <c r="E4545" i="13"/>
  <c r="E4544" i="13"/>
  <c r="E4543" i="13"/>
  <c r="E4542" i="13"/>
  <c r="E4541" i="13"/>
  <c r="E4540" i="13"/>
  <c r="E4539" i="13"/>
  <c r="E4538" i="13"/>
  <c r="E4537" i="13"/>
  <c r="E4536" i="13"/>
  <c r="E4535" i="13"/>
  <c r="E4534" i="13"/>
  <c r="E4533" i="13"/>
  <c r="E4532" i="13"/>
  <c r="E4531" i="13"/>
  <c r="E4530" i="13"/>
  <c r="E4529" i="13"/>
  <c r="E4528" i="13"/>
  <c r="E4527" i="13"/>
  <c r="E4526" i="13"/>
  <c r="E4525" i="13"/>
  <c r="E4524" i="13"/>
  <c r="E4523" i="13"/>
  <c r="E4522" i="13"/>
  <c r="E4521" i="13"/>
  <c r="E4520" i="13"/>
  <c r="E4519" i="13"/>
  <c r="E4518" i="13"/>
  <c r="E4517" i="13"/>
  <c r="E4516" i="13"/>
  <c r="E4515" i="13"/>
  <c r="E4514" i="13"/>
  <c r="E4513" i="13"/>
  <c r="E4512" i="13"/>
  <c r="E4511" i="13"/>
  <c r="E4510" i="13"/>
  <c r="E4509" i="13"/>
  <c r="E4508" i="13"/>
  <c r="E4507" i="13"/>
  <c r="E4506" i="13"/>
  <c r="E4505" i="13"/>
  <c r="E4504" i="13"/>
  <c r="E4503" i="13"/>
  <c r="E4502" i="13"/>
  <c r="E4501" i="13"/>
  <c r="E4500" i="13"/>
  <c r="E4499" i="13"/>
  <c r="E4498" i="13"/>
  <c r="E4497" i="13"/>
  <c r="E4496" i="13"/>
  <c r="E4495" i="13"/>
  <c r="E4494" i="13"/>
  <c r="E4493" i="13"/>
  <c r="E4492" i="13"/>
  <c r="E4491" i="13"/>
  <c r="E4490" i="13"/>
  <c r="E4489" i="13"/>
  <c r="E4488" i="13"/>
  <c r="E4487" i="13"/>
  <c r="E4486" i="13"/>
  <c r="E4485" i="13"/>
  <c r="E4484" i="13"/>
  <c r="E4483" i="13"/>
  <c r="E4482" i="13"/>
  <c r="E4481" i="13"/>
  <c r="E4480" i="13"/>
  <c r="E4479" i="13"/>
  <c r="E4478" i="13"/>
  <c r="E4477" i="13"/>
  <c r="E4476" i="13"/>
  <c r="E4475" i="13"/>
  <c r="E4474" i="13"/>
  <c r="E4473" i="13"/>
  <c r="E4472" i="13"/>
  <c r="E4471" i="13"/>
  <c r="E4470" i="13"/>
  <c r="E4469" i="13"/>
  <c r="E4468" i="13"/>
  <c r="E4467" i="13"/>
  <c r="E4466" i="13"/>
  <c r="E4465" i="13"/>
  <c r="E4464" i="13"/>
  <c r="E4463" i="13"/>
  <c r="E4462" i="13"/>
  <c r="E4461" i="13"/>
  <c r="E4460" i="13"/>
  <c r="E4459" i="13"/>
  <c r="E4458" i="13"/>
  <c r="E4457" i="13"/>
  <c r="E4456" i="13"/>
  <c r="E4455" i="13"/>
  <c r="E4454" i="13"/>
  <c r="E4453" i="13"/>
  <c r="E4452" i="13"/>
  <c r="E4451" i="13"/>
  <c r="E4450" i="13"/>
  <c r="E4449" i="13"/>
  <c r="E4448" i="13"/>
  <c r="E4447" i="13"/>
  <c r="E4446" i="13"/>
  <c r="E4445" i="13"/>
  <c r="E4444" i="13"/>
  <c r="E4443" i="13"/>
  <c r="E4442" i="13"/>
  <c r="E4441" i="13"/>
  <c r="E4440" i="13"/>
  <c r="E4439" i="13"/>
  <c r="E4438" i="13"/>
  <c r="E4437" i="13"/>
  <c r="E4436" i="13"/>
  <c r="E4435" i="13"/>
  <c r="E4434" i="13"/>
  <c r="E4433" i="13"/>
  <c r="E4432" i="13"/>
  <c r="E4431" i="13"/>
  <c r="E4430" i="13"/>
  <c r="E4429" i="13"/>
  <c r="E4428" i="13"/>
  <c r="E4427" i="13"/>
  <c r="E4426" i="13"/>
  <c r="E4425" i="13"/>
  <c r="E4424" i="13"/>
  <c r="E4423" i="13"/>
  <c r="E4422" i="13"/>
  <c r="E4421" i="13"/>
  <c r="E4420" i="13"/>
  <c r="E4419" i="13"/>
  <c r="E4418" i="13"/>
  <c r="E4417" i="13"/>
  <c r="E4416" i="13"/>
  <c r="E4415" i="13"/>
  <c r="E4414" i="13"/>
  <c r="E4413" i="13"/>
  <c r="E4412" i="13"/>
  <c r="E4411" i="13"/>
  <c r="E4410" i="13"/>
  <c r="E4409" i="13"/>
  <c r="E4408" i="13"/>
  <c r="E4407" i="13"/>
  <c r="E4406" i="13"/>
  <c r="E4405" i="13"/>
  <c r="E4404" i="13"/>
  <c r="E4403" i="13"/>
  <c r="E4402" i="13"/>
  <c r="E4401" i="13"/>
  <c r="E4400" i="13"/>
  <c r="E4399" i="13"/>
  <c r="E4398" i="13"/>
  <c r="E4397" i="13"/>
  <c r="E4396" i="13"/>
  <c r="E4395" i="13"/>
  <c r="E4394" i="13"/>
  <c r="E4393" i="13"/>
  <c r="E4392" i="13"/>
  <c r="E4391" i="13"/>
  <c r="E4390" i="13"/>
  <c r="E4389" i="13"/>
  <c r="E4388" i="13"/>
  <c r="E4387" i="13"/>
  <c r="E4386" i="13"/>
  <c r="E4385" i="13"/>
  <c r="E4384" i="13"/>
  <c r="E4383" i="13"/>
  <c r="E4382" i="13"/>
  <c r="E4381" i="13"/>
  <c r="E4380" i="13"/>
  <c r="E4379" i="13"/>
  <c r="E4378" i="13"/>
  <c r="E4377" i="13"/>
  <c r="E4376" i="13"/>
  <c r="E4375" i="13"/>
  <c r="E4374" i="13"/>
  <c r="E4373" i="13"/>
  <c r="E4372" i="13"/>
  <c r="E4371" i="13"/>
  <c r="E4370" i="13"/>
  <c r="E4369" i="13"/>
  <c r="E4368" i="13"/>
  <c r="E4367" i="13"/>
  <c r="E4366" i="13"/>
  <c r="E4365" i="13"/>
  <c r="E4364" i="13"/>
  <c r="E4363" i="13"/>
  <c r="E4362" i="13"/>
  <c r="E4361" i="13"/>
  <c r="E4360" i="13"/>
  <c r="E4359" i="13"/>
  <c r="E4358" i="13"/>
  <c r="E4357" i="13"/>
  <c r="E4356" i="13"/>
  <c r="E4355" i="13"/>
  <c r="E4354" i="13"/>
  <c r="E4353" i="13"/>
  <c r="E4352" i="13"/>
  <c r="E4351" i="13"/>
  <c r="E4350" i="13"/>
  <c r="E4349" i="13"/>
  <c r="E4348" i="13"/>
  <c r="E4347" i="13"/>
  <c r="E4346" i="13"/>
  <c r="E4345" i="13"/>
  <c r="E4344" i="13"/>
  <c r="E4343" i="13"/>
  <c r="E4342" i="13"/>
  <c r="E4341" i="13"/>
  <c r="E4340" i="13"/>
  <c r="E4339" i="13"/>
  <c r="E4338" i="13"/>
  <c r="E4337" i="13"/>
  <c r="E4336" i="13"/>
  <c r="E4335" i="13"/>
  <c r="E4334" i="13"/>
  <c r="E4333" i="13"/>
  <c r="E4332" i="13"/>
  <c r="E4331" i="13"/>
  <c r="E4330" i="13"/>
  <c r="E4329" i="13"/>
  <c r="E4328" i="13"/>
  <c r="E4327" i="13"/>
  <c r="E4326" i="13"/>
  <c r="E4325" i="13"/>
  <c r="E4324" i="13"/>
  <c r="E4323" i="13"/>
  <c r="E4322" i="13"/>
  <c r="E4321" i="13"/>
  <c r="E4320" i="13"/>
  <c r="E4319" i="13"/>
  <c r="E4318" i="13"/>
  <c r="E4317" i="13"/>
  <c r="E4316" i="13"/>
  <c r="E4315" i="13"/>
  <c r="E4314" i="13"/>
  <c r="E4313" i="13"/>
  <c r="E4312" i="13"/>
  <c r="E4311" i="13"/>
  <c r="E4310" i="13"/>
  <c r="E4309" i="13"/>
  <c r="E4308" i="13"/>
  <c r="E4307" i="13"/>
  <c r="E4306" i="13"/>
  <c r="E4305" i="13"/>
  <c r="E4304" i="13"/>
  <c r="E4303" i="13"/>
  <c r="E4302" i="13"/>
  <c r="E4301" i="13"/>
  <c r="E4300" i="13"/>
  <c r="E4299" i="13"/>
  <c r="E4298" i="13"/>
  <c r="E4297" i="13"/>
  <c r="E4296" i="13"/>
  <c r="E4295" i="13"/>
  <c r="E4294" i="13"/>
  <c r="E4293" i="13"/>
  <c r="E4292" i="13"/>
  <c r="E4291" i="13"/>
  <c r="E4290" i="13"/>
  <c r="E4289" i="13"/>
  <c r="E4288" i="13"/>
  <c r="E4287" i="13"/>
  <c r="E4286" i="13"/>
  <c r="E4285" i="13"/>
  <c r="E4284" i="13"/>
  <c r="E4283" i="13"/>
  <c r="E4282" i="13"/>
  <c r="E4281" i="13"/>
  <c r="E4280" i="13"/>
  <c r="E4279" i="13"/>
  <c r="E4278" i="13"/>
  <c r="E4277" i="13"/>
  <c r="E4276" i="13"/>
  <c r="E4275" i="13"/>
  <c r="E4274" i="13"/>
  <c r="E4273" i="13"/>
  <c r="E4272" i="13"/>
  <c r="E4271" i="13"/>
  <c r="E4270" i="13"/>
  <c r="E4269" i="13"/>
  <c r="E4268" i="13"/>
  <c r="E4267" i="13"/>
  <c r="E4266" i="13"/>
  <c r="E4265" i="13"/>
  <c r="E4264" i="13"/>
  <c r="E4263" i="13"/>
  <c r="E4262" i="13"/>
  <c r="E4261" i="13"/>
  <c r="E4260" i="13"/>
  <c r="E4259" i="13"/>
  <c r="E4258" i="13"/>
  <c r="E4257" i="13"/>
  <c r="E4256" i="13"/>
  <c r="E4255" i="13"/>
  <c r="E4254" i="13"/>
  <c r="E4253" i="13"/>
  <c r="E4252" i="13"/>
  <c r="E4251" i="13"/>
  <c r="E4250" i="13"/>
  <c r="E4249" i="13"/>
  <c r="E4248" i="13"/>
  <c r="E4247" i="13"/>
  <c r="E4246" i="13"/>
  <c r="E4245" i="13"/>
  <c r="E4244" i="13"/>
  <c r="E4243" i="13"/>
  <c r="E4242" i="13"/>
  <c r="E4241" i="13"/>
  <c r="E4240" i="13"/>
  <c r="E4239" i="13"/>
  <c r="E4238" i="13"/>
  <c r="E4237" i="13"/>
  <c r="E4236" i="13"/>
  <c r="E4235" i="13"/>
  <c r="E4234" i="13"/>
  <c r="E4233" i="13"/>
  <c r="E4232" i="13"/>
  <c r="E4231" i="13"/>
  <c r="E4230" i="13"/>
  <c r="E4229" i="13"/>
  <c r="E4228" i="13"/>
  <c r="E4227" i="13"/>
  <c r="E4226" i="13"/>
  <c r="E4225" i="13"/>
  <c r="E4224" i="13"/>
  <c r="E4223" i="13"/>
  <c r="E4222" i="13"/>
  <c r="E4221" i="13"/>
  <c r="E4220" i="13"/>
  <c r="E4219" i="13"/>
  <c r="E4218" i="13"/>
  <c r="E4217" i="13"/>
  <c r="E4216" i="13"/>
  <c r="E4215" i="13"/>
  <c r="E4214" i="13"/>
  <c r="E4213" i="13"/>
  <c r="E4212" i="13"/>
  <c r="E4211" i="13"/>
  <c r="E4210" i="13"/>
  <c r="E4209" i="13"/>
  <c r="E4208" i="13"/>
  <c r="E4207" i="13"/>
  <c r="E4206" i="13"/>
  <c r="E4205" i="13"/>
  <c r="E4204" i="13"/>
  <c r="E4203" i="13"/>
  <c r="E4201" i="13"/>
  <c r="E4200" i="13"/>
  <c r="E4199" i="13"/>
  <c r="E4198" i="13"/>
  <c r="E4197" i="13"/>
  <c r="E4196" i="13"/>
  <c r="E4195" i="13"/>
  <c r="E4194" i="13"/>
  <c r="E4193" i="13"/>
  <c r="E4192" i="13"/>
  <c r="E4191" i="13"/>
  <c r="E4190" i="13"/>
  <c r="E4189" i="13"/>
  <c r="E4188" i="13"/>
  <c r="E4187" i="13"/>
  <c r="E4186" i="13"/>
  <c r="E4185" i="13"/>
  <c r="E4184" i="13"/>
  <c r="E4183" i="13"/>
  <c r="E4182" i="13"/>
  <c r="E4181" i="13"/>
  <c r="E4180" i="13"/>
  <c r="E4179" i="13"/>
  <c r="E4178" i="13"/>
  <c r="E4177" i="13"/>
  <c r="E4176" i="13"/>
  <c r="E4175" i="13"/>
  <c r="E4174" i="13"/>
  <c r="E4173" i="13"/>
  <c r="E4172" i="13"/>
  <c r="E4171" i="13"/>
  <c r="E4170" i="13"/>
  <c r="E4169" i="13"/>
  <c r="E4168" i="13"/>
  <c r="E4167" i="13"/>
  <c r="E4166" i="13"/>
  <c r="E4165" i="13"/>
  <c r="E4164" i="13"/>
  <c r="E4163" i="13"/>
  <c r="E4162" i="13"/>
  <c r="E4161" i="13"/>
  <c r="E4160" i="13"/>
  <c r="E4159" i="13"/>
  <c r="E4158" i="13"/>
  <c r="E4157" i="13"/>
  <c r="E4156" i="13"/>
  <c r="E4155" i="13"/>
  <c r="E4154" i="13"/>
  <c r="E4153" i="13"/>
  <c r="E4152" i="13"/>
  <c r="E4151" i="13"/>
  <c r="E4150" i="13"/>
  <c r="E4149" i="13"/>
  <c r="E4148" i="13"/>
  <c r="E4147" i="13"/>
  <c r="E4146" i="13"/>
  <c r="E4145" i="13"/>
  <c r="E4144" i="13"/>
  <c r="E4143" i="13"/>
  <c r="E4142" i="13"/>
  <c r="E4141" i="13"/>
  <c r="E4140" i="13"/>
  <c r="E4139" i="13"/>
  <c r="E4138" i="13"/>
  <c r="E4137" i="13"/>
  <c r="E4136" i="13"/>
  <c r="E4135" i="13"/>
  <c r="E4134" i="13"/>
  <c r="E4133" i="13"/>
  <c r="E4132" i="13"/>
  <c r="E4131" i="13"/>
  <c r="E4130" i="13"/>
  <c r="E4129" i="13"/>
  <c r="E4128" i="13"/>
  <c r="E4127" i="13"/>
  <c r="E4126" i="13"/>
  <c r="E4125" i="13"/>
  <c r="E4124" i="13"/>
  <c r="E4123" i="13"/>
  <c r="E4122" i="13"/>
  <c r="E4121" i="13"/>
  <c r="E4120" i="13"/>
  <c r="E4119" i="13"/>
  <c r="E4118" i="13"/>
  <c r="E4117" i="13"/>
  <c r="E4116" i="13"/>
  <c r="E4115" i="13"/>
  <c r="E4114" i="13"/>
  <c r="E4113" i="13"/>
  <c r="E4112" i="13"/>
  <c r="E4111" i="13"/>
  <c r="E4110" i="13"/>
  <c r="E4109" i="13"/>
  <c r="E4108" i="13"/>
  <c r="E4107" i="13"/>
  <c r="E4106" i="13"/>
  <c r="E4105" i="13"/>
  <c r="E4104" i="13"/>
  <c r="E4103" i="13"/>
  <c r="E4102" i="13"/>
  <c r="E4101" i="13"/>
  <c r="E4100" i="13"/>
  <c r="E4099" i="13"/>
  <c r="E4098" i="13"/>
  <c r="E4097" i="13"/>
  <c r="E4096" i="13"/>
  <c r="E4095" i="13"/>
  <c r="E4094" i="13"/>
  <c r="E4093" i="13"/>
  <c r="E4092" i="13"/>
  <c r="E4091" i="13"/>
  <c r="E4090" i="13"/>
  <c r="E4089" i="13"/>
  <c r="E4088" i="13"/>
  <c r="E4087" i="13"/>
  <c r="E4086" i="13"/>
  <c r="E4085" i="13"/>
  <c r="E4084" i="13"/>
  <c r="E4083" i="13"/>
  <c r="E4082" i="13"/>
  <c r="E4081" i="13"/>
  <c r="E4080" i="13"/>
  <c r="E4079" i="13"/>
  <c r="E4078" i="13"/>
  <c r="E4077" i="13"/>
  <c r="E4076" i="13"/>
  <c r="E4075" i="13"/>
  <c r="E4074" i="13"/>
  <c r="E4073" i="13"/>
  <c r="E4072" i="13"/>
  <c r="E4071" i="13"/>
  <c r="E4070" i="13"/>
  <c r="E4069" i="13"/>
  <c r="E4068" i="13"/>
  <c r="E4067" i="13"/>
  <c r="E4066" i="13"/>
  <c r="E4065" i="13"/>
  <c r="E4064" i="13"/>
  <c r="E4063" i="13"/>
  <c r="E4062" i="13"/>
  <c r="E4061" i="13"/>
  <c r="E4060" i="13"/>
  <c r="E4059" i="13"/>
  <c r="E4058" i="13"/>
  <c r="E4057" i="13"/>
  <c r="E4056" i="13"/>
  <c r="E4055" i="13"/>
  <c r="E4054" i="13"/>
  <c r="E4053" i="13"/>
  <c r="E4052" i="13"/>
  <c r="E4051" i="13"/>
  <c r="E4050" i="13"/>
  <c r="E4049" i="13"/>
  <c r="E4048" i="13"/>
  <c r="E4047" i="13"/>
  <c r="E4046" i="13"/>
  <c r="E4045" i="13"/>
  <c r="E4044" i="13"/>
  <c r="E4043" i="13"/>
  <c r="E4042" i="13"/>
  <c r="E4041" i="13"/>
  <c r="E4040" i="13"/>
  <c r="E4039" i="13"/>
  <c r="E4038" i="13"/>
  <c r="E4037" i="13"/>
  <c r="E4036" i="13"/>
  <c r="E4035" i="13"/>
  <c r="E4034" i="13"/>
  <c r="E4033" i="13"/>
  <c r="E4032" i="13"/>
  <c r="E4031" i="13"/>
  <c r="E4030" i="13"/>
  <c r="E4029" i="13"/>
  <c r="E4028" i="13"/>
  <c r="E4027" i="13"/>
  <c r="E4026" i="13"/>
  <c r="E4025" i="13"/>
  <c r="E4024" i="13"/>
  <c r="E4023" i="13"/>
  <c r="E4022" i="13"/>
  <c r="E4021" i="13"/>
  <c r="E4020" i="13"/>
  <c r="E4019" i="13"/>
  <c r="E4018" i="13"/>
  <c r="E4017" i="13"/>
  <c r="E4016" i="13"/>
  <c r="E4015" i="13"/>
  <c r="E4014" i="13"/>
  <c r="E4013" i="13"/>
  <c r="E4012" i="13"/>
  <c r="E4011" i="13"/>
  <c r="E4010" i="13"/>
  <c r="E4009" i="13"/>
  <c r="E4008" i="13"/>
  <c r="E4007" i="13"/>
  <c r="E4006" i="13"/>
  <c r="E4005" i="13"/>
  <c r="E4004" i="13"/>
  <c r="E4003" i="13"/>
  <c r="E4002" i="13"/>
  <c r="E4001" i="13"/>
  <c r="E4000" i="13"/>
  <c r="E3999" i="13"/>
  <c r="E3998" i="13"/>
  <c r="E3997" i="13"/>
  <c r="E3996" i="13"/>
  <c r="E3995" i="13"/>
  <c r="E3994" i="13"/>
  <c r="E3993" i="13"/>
  <c r="E3992" i="13"/>
  <c r="E3991" i="13"/>
  <c r="E3990" i="13"/>
  <c r="E3989" i="13"/>
  <c r="E3988" i="13"/>
  <c r="E3987" i="13"/>
  <c r="E3986" i="13"/>
  <c r="E3985" i="13"/>
  <c r="E3984" i="13"/>
  <c r="E3983" i="13"/>
  <c r="E3982" i="13"/>
  <c r="E3981" i="13"/>
  <c r="E3980" i="13"/>
  <c r="E3979" i="13"/>
  <c r="E3978" i="13"/>
  <c r="E3977" i="13"/>
  <c r="E3976" i="13"/>
  <c r="E3975" i="13"/>
  <c r="E3974" i="13"/>
  <c r="E3973" i="13"/>
  <c r="E3972" i="13"/>
  <c r="E3971" i="13"/>
  <c r="E3970" i="13"/>
  <c r="E3969" i="13"/>
  <c r="E3968" i="13"/>
  <c r="E3967" i="13"/>
  <c r="E3966" i="13"/>
  <c r="E3965" i="13"/>
  <c r="E3964" i="13"/>
  <c r="E3963" i="13"/>
  <c r="E3962" i="13"/>
  <c r="E3961" i="13"/>
  <c r="E3960" i="13"/>
  <c r="E3959" i="13"/>
  <c r="E3958" i="13"/>
  <c r="E3957" i="13"/>
  <c r="E3956" i="13"/>
  <c r="E3955" i="13"/>
  <c r="E3954" i="13"/>
  <c r="E3953" i="13"/>
  <c r="E3952" i="13"/>
  <c r="E3951" i="13"/>
  <c r="E3950" i="13"/>
  <c r="E3949" i="13"/>
  <c r="E3948" i="13"/>
  <c r="E3947" i="13"/>
  <c r="E3946" i="13"/>
  <c r="E3945" i="13"/>
  <c r="E3944" i="13"/>
  <c r="E3943" i="13"/>
  <c r="E3942" i="13"/>
  <c r="E3941" i="13"/>
  <c r="E3940" i="13"/>
  <c r="E3939" i="13"/>
  <c r="E3938" i="13"/>
  <c r="E3937" i="13"/>
  <c r="E3936" i="13"/>
  <c r="E3935" i="13"/>
  <c r="E3934" i="13"/>
  <c r="E3933" i="13"/>
  <c r="E3932" i="13"/>
  <c r="E3931" i="13"/>
  <c r="E3930" i="13"/>
  <c r="E3929" i="13"/>
  <c r="E3928" i="13"/>
  <c r="E3927" i="13"/>
  <c r="E3926" i="13"/>
  <c r="E3925" i="13"/>
  <c r="E3924" i="13"/>
  <c r="E3923" i="13"/>
  <c r="E3922" i="13"/>
  <c r="E3921" i="13"/>
  <c r="E3920" i="13"/>
  <c r="E3919" i="13"/>
  <c r="E3918" i="13"/>
  <c r="E3917" i="13"/>
  <c r="E3916" i="13"/>
  <c r="E3915" i="13"/>
  <c r="E3914" i="13"/>
  <c r="E3913" i="13"/>
  <c r="E3912" i="13"/>
  <c r="E3911" i="13"/>
  <c r="E3910" i="13"/>
  <c r="E3909" i="13"/>
  <c r="E3908" i="13"/>
  <c r="E3907" i="13"/>
  <c r="E3906" i="13"/>
  <c r="E3905" i="13"/>
  <c r="E3904" i="13"/>
  <c r="E3903" i="13"/>
  <c r="E3902" i="13"/>
  <c r="E3901" i="13"/>
  <c r="E3900" i="13"/>
  <c r="E3899" i="13"/>
  <c r="E3897" i="13"/>
  <c r="E3896" i="13"/>
  <c r="E3895" i="13"/>
  <c r="E3894" i="13"/>
  <c r="E3893" i="13"/>
  <c r="E3892" i="13"/>
  <c r="E3891" i="13"/>
  <c r="E3890" i="13"/>
  <c r="E3889" i="13"/>
  <c r="E3888" i="13"/>
  <c r="E3887" i="13"/>
  <c r="E3886" i="13"/>
  <c r="E3885" i="13"/>
  <c r="E3884" i="13"/>
  <c r="E3883" i="13"/>
  <c r="E3882" i="13"/>
  <c r="E3881" i="13"/>
  <c r="E3880" i="13"/>
  <c r="E3879" i="13"/>
  <c r="E3878" i="13"/>
  <c r="E3877" i="13"/>
  <c r="E3876" i="13"/>
  <c r="E3875" i="13"/>
  <c r="E3874" i="13"/>
  <c r="E3873" i="13"/>
  <c r="E3872" i="13"/>
  <c r="E3871" i="13"/>
  <c r="E3870" i="13"/>
  <c r="E3869" i="13"/>
  <c r="E3868" i="13"/>
  <c r="E3867" i="13"/>
  <c r="E3866" i="13"/>
  <c r="E3865" i="13"/>
  <c r="E3864" i="13"/>
  <c r="E3863" i="13"/>
  <c r="E3862" i="13"/>
  <c r="E3861" i="13"/>
  <c r="E3860" i="13"/>
  <c r="E3859" i="13"/>
  <c r="E3858" i="13"/>
  <c r="E3857" i="13"/>
  <c r="E3856" i="13"/>
  <c r="E3855" i="13"/>
  <c r="E3854" i="13"/>
  <c r="E3853" i="13"/>
  <c r="E3852" i="13"/>
  <c r="E3851" i="13"/>
  <c r="E3850" i="13"/>
  <c r="E3849" i="13"/>
  <c r="E3848" i="13"/>
  <c r="E3847" i="13"/>
  <c r="E3846" i="13"/>
  <c r="E3845" i="13"/>
  <c r="E3844" i="13"/>
  <c r="E3843" i="13"/>
  <c r="E3842" i="13"/>
  <c r="E3841" i="13"/>
  <c r="E3840" i="13"/>
  <c r="E3839" i="13"/>
  <c r="E3838" i="13"/>
  <c r="E3837" i="13"/>
  <c r="E3836" i="13"/>
  <c r="E3835" i="13"/>
  <c r="E3834" i="13"/>
  <c r="E3833" i="13"/>
  <c r="E3832" i="13"/>
  <c r="E3831" i="13"/>
  <c r="E3830" i="13"/>
  <c r="E3829" i="13"/>
  <c r="E3828" i="13"/>
  <c r="E3827" i="13"/>
  <c r="E3826" i="13"/>
  <c r="E3825" i="13"/>
  <c r="E3824" i="13"/>
  <c r="E3823" i="13"/>
  <c r="E3822" i="13"/>
  <c r="E3821" i="13"/>
  <c r="E3820" i="13"/>
  <c r="E3819" i="13"/>
  <c r="E3818" i="13"/>
  <c r="E3817" i="13"/>
  <c r="E3816" i="13"/>
  <c r="E3815" i="13"/>
  <c r="E3814" i="13"/>
  <c r="E3813" i="13"/>
  <c r="E3812" i="13"/>
  <c r="E3811" i="13"/>
  <c r="E3810" i="13"/>
  <c r="E3809" i="13"/>
  <c r="E3808" i="13"/>
  <c r="E3807" i="13"/>
  <c r="E3806" i="13"/>
  <c r="E3805" i="13"/>
  <c r="E3804" i="13"/>
  <c r="E3803" i="13"/>
  <c r="E3802" i="13"/>
  <c r="E3801" i="13"/>
  <c r="E3800" i="13"/>
  <c r="E3799" i="13"/>
  <c r="E3798" i="13"/>
  <c r="E3797" i="13"/>
  <c r="E3796" i="13"/>
  <c r="E3795" i="13"/>
  <c r="E3794" i="13"/>
  <c r="E3793" i="13"/>
  <c r="E3792" i="13"/>
  <c r="E3791" i="13"/>
  <c r="E3790" i="13"/>
  <c r="E3789" i="13"/>
  <c r="E3788" i="13"/>
  <c r="E3787" i="13"/>
  <c r="E3786" i="13"/>
  <c r="E3785" i="13"/>
  <c r="E3784" i="13"/>
  <c r="E3783" i="13"/>
  <c r="E3782" i="13"/>
  <c r="E3781" i="13"/>
  <c r="E3780" i="13"/>
  <c r="E3779" i="13"/>
  <c r="E3778" i="13"/>
  <c r="E3777" i="13"/>
  <c r="E3776" i="13"/>
  <c r="E3775" i="13"/>
  <c r="E3774" i="13"/>
  <c r="E3773" i="13"/>
  <c r="E3772" i="13"/>
  <c r="E3771" i="13"/>
  <c r="E3770" i="13"/>
  <c r="E3769" i="13"/>
  <c r="E3768" i="13"/>
  <c r="E3767" i="13"/>
  <c r="E3766" i="13"/>
  <c r="E3765" i="13"/>
  <c r="E3764" i="13"/>
  <c r="E3763" i="13"/>
  <c r="E3762" i="13"/>
  <c r="E3761" i="13"/>
  <c r="E3760" i="13"/>
  <c r="E3759" i="13"/>
  <c r="E3758" i="13"/>
  <c r="E3757" i="13"/>
  <c r="E3756" i="13"/>
  <c r="E3755" i="13"/>
  <c r="E3754" i="13"/>
  <c r="E3753" i="13"/>
  <c r="E3752" i="13"/>
  <c r="E3751" i="13"/>
  <c r="E3750" i="13"/>
  <c r="E3749" i="13"/>
  <c r="E3748" i="13"/>
  <c r="E3747" i="13"/>
  <c r="E3746" i="13"/>
  <c r="E3745" i="13"/>
  <c r="E3744" i="13"/>
  <c r="E3743" i="13"/>
  <c r="E3742" i="13"/>
  <c r="E3741" i="13"/>
  <c r="E3740" i="13"/>
  <c r="E3739" i="13"/>
  <c r="E3738" i="13"/>
  <c r="E3737" i="13"/>
  <c r="E3736" i="13"/>
  <c r="E3735" i="13"/>
  <c r="E3734" i="13"/>
  <c r="E3733" i="13"/>
  <c r="E3732" i="13"/>
  <c r="E3731" i="13"/>
  <c r="E3730" i="13"/>
  <c r="E3729" i="13"/>
  <c r="E3728" i="13"/>
  <c r="E3727" i="13"/>
  <c r="E3726" i="13"/>
  <c r="E3725" i="13"/>
  <c r="E3724" i="13"/>
  <c r="E3723" i="13"/>
  <c r="E3722" i="13"/>
  <c r="E3721" i="13"/>
  <c r="E3720" i="13"/>
  <c r="E3719" i="13"/>
  <c r="E3718" i="13"/>
  <c r="E3717" i="13"/>
  <c r="E3716" i="13"/>
  <c r="E3715" i="13"/>
  <c r="E3714" i="13"/>
  <c r="E3713" i="13"/>
  <c r="E3712" i="13"/>
  <c r="E3711" i="13"/>
  <c r="E3710" i="13"/>
  <c r="E3709" i="13"/>
  <c r="E3708" i="13"/>
  <c r="E3707" i="13"/>
  <c r="E3706" i="13"/>
  <c r="E3705" i="13"/>
  <c r="E3704" i="13"/>
  <c r="E3703" i="13"/>
  <c r="E3702" i="13"/>
  <c r="E3701" i="13"/>
  <c r="E3700" i="13"/>
  <c r="E3699" i="13"/>
  <c r="E3698" i="13"/>
  <c r="E3697" i="13"/>
  <c r="E3696" i="13"/>
  <c r="E3695" i="13"/>
  <c r="E3694" i="13"/>
  <c r="E3693" i="13"/>
  <c r="E3692" i="13"/>
  <c r="E3691" i="13"/>
  <c r="E3690" i="13"/>
  <c r="E3689" i="13"/>
  <c r="E3688" i="13"/>
  <c r="E3687" i="13"/>
  <c r="E3686" i="13"/>
  <c r="E3685" i="13"/>
  <c r="E3684" i="13"/>
  <c r="E3683" i="13"/>
  <c r="E3682" i="13"/>
  <c r="E3681" i="13"/>
  <c r="E3680" i="13"/>
  <c r="E3679" i="13"/>
  <c r="E3678" i="13"/>
  <c r="E3677" i="13"/>
  <c r="E3676" i="13"/>
  <c r="E3675" i="13"/>
  <c r="E3674" i="13"/>
  <c r="E3673" i="13"/>
  <c r="E3672" i="13"/>
  <c r="E3671" i="13"/>
  <c r="E3670" i="13"/>
  <c r="E3669" i="13"/>
  <c r="E3668" i="13"/>
  <c r="E3667" i="13"/>
  <c r="E3666" i="13"/>
  <c r="E3665" i="13"/>
  <c r="E3664" i="13"/>
  <c r="E3663" i="13"/>
  <c r="E3662" i="13"/>
  <c r="E3661" i="13"/>
  <c r="E3660" i="13"/>
  <c r="E3659" i="13"/>
  <c r="E3658" i="13"/>
  <c r="E3657" i="13"/>
  <c r="E3656" i="13"/>
  <c r="E3655" i="13"/>
  <c r="E3654" i="13"/>
  <c r="E3653" i="13"/>
  <c r="E3652" i="13"/>
  <c r="E3651" i="13"/>
  <c r="E3650" i="13"/>
  <c r="E3649" i="13"/>
  <c r="E3648" i="13"/>
  <c r="E3647" i="13"/>
  <c r="E3646" i="13"/>
  <c r="E3645" i="13"/>
  <c r="E3644" i="13"/>
  <c r="E3643" i="13"/>
  <c r="E3642" i="13"/>
  <c r="E3641" i="13"/>
  <c r="E3640" i="13"/>
  <c r="E3639" i="13"/>
  <c r="E3638" i="13"/>
  <c r="E3637" i="13"/>
  <c r="E3636" i="13"/>
  <c r="E3635" i="13"/>
  <c r="E3634" i="13"/>
  <c r="E3633" i="13"/>
  <c r="E3632" i="13"/>
  <c r="E3631" i="13"/>
  <c r="E3630" i="13"/>
  <c r="E3629" i="13"/>
  <c r="E3628" i="13"/>
  <c r="E3627" i="13"/>
  <c r="E3626" i="13"/>
  <c r="E3625" i="13"/>
  <c r="E3624" i="13"/>
  <c r="E3623" i="13"/>
  <c r="E3622" i="13"/>
  <c r="E3621" i="13"/>
  <c r="E3620" i="13"/>
  <c r="E3619" i="13"/>
  <c r="E3618" i="13"/>
  <c r="E3617" i="13"/>
  <c r="E3616" i="13"/>
  <c r="E3615" i="13"/>
  <c r="E3614" i="13"/>
  <c r="E3613" i="13"/>
  <c r="E3612" i="13"/>
  <c r="E3611" i="13"/>
  <c r="E3610" i="13"/>
  <c r="E3609" i="13"/>
  <c r="E3608" i="13"/>
  <c r="E3607" i="13"/>
  <c r="E3606" i="13"/>
  <c r="E3605" i="13"/>
  <c r="E3604" i="13"/>
  <c r="E3603" i="13"/>
  <c r="E3602" i="13"/>
  <c r="E3601" i="13"/>
  <c r="E3600" i="13"/>
  <c r="E3599" i="13"/>
  <c r="E3598" i="13"/>
  <c r="E3597" i="13"/>
  <c r="E3596" i="13"/>
  <c r="E3595" i="13"/>
  <c r="E3594" i="13"/>
  <c r="E3593" i="13"/>
  <c r="E3592" i="13"/>
  <c r="E3591" i="13"/>
  <c r="E3590" i="13"/>
  <c r="E3589" i="13"/>
  <c r="E3588" i="13"/>
  <c r="E3587" i="13"/>
  <c r="E3586" i="13"/>
  <c r="E3585" i="13"/>
  <c r="E3584" i="13"/>
  <c r="E3583" i="13"/>
  <c r="E3582" i="13"/>
  <c r="E3581" i="13"/>
  <c r="E3580" i="13"/>
  <c r="E3579" i="13"/>
  <c r="E3578" i="13"/>
  <c r="E3577" i="13"/>
  <c r="E3576" i="13"/>
  <c r="E3575" i="13"/>
  <c r="E3574" i="13"/>
  <c r="E3573" i="13"/>
  <c r="E3572" i="13"/>
  <c r="E3571" i="13"/>
  <c r="E3570" i="13"/>
  <c r="E3569" i="13"/>
  <c r="E3568" i="13"/>
  <c r="E3567" i="13"/>
  <c r="E3566" i="13"/>
  <c r="E3565" i="13"/>
  <c r="E3564" i="13"/>
  <c r="E3563" i="13"/>
  <c r="E3562" i="13"/>
  <c r="E3561" i="13"/>
  <c r="E3560" i="13"/>
  <c r="E3559" i="13"/>
  <c r="E3558" i="13"/>
  <c r="E3557" i="13"/>
  <c r="E3556" i="13"/>
  <c r="E3555" i="13"/>
  <c r="E3554" i="13"/>
  <c r="E3553" i="13"/>
  <c r="E3552" i="13"/>
  <c r="E3551" i="13"/>
  <c r="E3550" i="13"/>
  <c r="E3549" i="13"/>
  <c r="E3548" i="13"/>
  <c r="E3547" i="13"/>
  <c r="E3546" i="13"/>
  <c r="E3545" i="13"/>
  <c r="E3544" i="13"/>
  <c r="E3543" i="13"/>
  <c r="E3542" i="13"/>
  <c r="E3541" i="13"/>
  <c r="E3540" i="13"/>
  <c r="E3539" i="13"/>
  <c r="E3538" i="13"/>
  <c r="E3537" i="13"/>
  <c r="E3536" i="13"/>
  <c r="E3535" i="13"/>
  <c r="E3534" i="13"/>
  <c r="E3533" i="13"/>
  <c r="E3532" i="13"/>
  <c r="E3531" i="13"/>
  <c r="E3530" i="13"/>
  <c r="E3529" i="13"/>
  <c r="E3528" i="13"/>
  <c r="E3527" i="13"/>
  <c r="E3526" i="13"/>
  <c r="E3525" i="13"/>
  <c r="E3524" i="13"/>
  <c r="E3523" i="13"/>
  <c r="E3522" i="13"/>
  <c r="E3521" i="13"/>
  <c r="E3520" i="13"/>
  <c r="E3519" i="13"/>
  <c r="E3518" i="13"/>
  <c r="E3517" i="13"/>
  <c r="E3516" i="13"/>
  <c r="E3515" i="13"/>
  <c r="E3514" i="13"/>
  <c r="E3513" i="13"/>
  <c r="E3512" i="13"/>
  <c r="E3511" i="13"/>
  <c r="E3510" i="13"/>
  <c r="E3509" i="13"/>
  <c r="E3508" i="13"/>
  <c r="E3507" i="13"/>
  <c r="E3506" i="13"/>
  <c r="E3505" i="13"/>
  <c r="E3504" i="13"/>
  <c r="E3503" i="13"/>
  <c r="E3502" i="13"/>
  <c r="E3501" i="13"/>
  <c r="E3500" i="13"/>
  <c r="E3499" i="13"/>
  <c r="E3498" i="13"/>
  <c r="E3497" i="13"/>
  <c r="E3496" i="13"/>
  <c r="E3495" i="13"/>
  <c r="E3494" i="13"/>
  <c r="E3493" i="13"/>
  <c r="E3492" i="13"/>
  <c r="E3491" i="13"/>
  <c r="E3490" i="13"/>
  <c r="E3489" i="13"/>
  <c r="E3488" i="13"/>
  <c r="E3487" i="13"/>
  <c r="E3486" i="13"/>
  <c r="E3485" i="13"/>
  <c r="E3484" i="13"/>
  <c r="E3483" i="13"/>
  <c r="E3482" i="13"/>
  <c r="E3481" i="13"/>
  <c r="E3480" i="13"/>
  <c r="E3479" i="13"/>
  <c r="E3478" i="13"/>
  <c r="E3477" i="13"/>
  <c r="E3476" i="13"/>
  <c r="E3475" i="13"/>
  <c r="E3474" i="13"/>
  <c r="E3473" i="13"/>
  <c r="E3472" i="13"/>
  <c r="E3471" i="13"/>
  <c r="E3470" i="13"/>
  <c r="E3469" i="13"/>
  <c r="E3468" i="13"/>
  <c r="E3467" i="13"/>
  <c r="E3466" i="13"/>
  <c r="E3465" i="13"/>
  <c r="E3464" i="13"/>
  <c r="E3463" i="13"/>
  <c r="E3462" i="13"/>
  <c r="E3461" i="13"/>
  <c r="E3460" i="13"/>
  <c r="E3459" i="13"/>
  <c r="E3458" i="13"/>
  <c r="E3457" i="13"/>
  <c r="E3456" i="13"/>
  <c r="E3455" i="13"/>
  <c r="E3454" i="13"/>
  <c r="E3453" i="13"/>
  <c r="E3452" i="13"/>
  <c r="E3451" i="13"/>
  <c r="E3450" i="13"/>
  <c r="E3449" i="13"/>
  <c r="E3448" i="13"/>
  <c r="E3447" i="13"/>
  <c r="E3446" i="13"/>
  <c r="E3445" i="13"/>
  <c r="E3444" i="13"/>
  <c r="E3443" i="13"/>
  <c r="E3442" i="13"/>
  <c r="E3441" i="13"/>
  <c r="E3440" i="13"/>
  <c r="E3439" i="13"/>
  <c r="E3438" i="13"/>
  <c r="E3437" i="13"/>
  <c r="E3436" i="13"/>
  <c r="E3435" i="13"/>
  <c r="E3434" i="13"/>
  <c r="E3433" i="13"/>
  <c r="E3432" i="13"/>
  <c r="E3431" i="13"/>
  <c r="E3430" i="13"/>
  <c r="E3429" i="13"/>
  <c r="E3428" i="13"/>
  <c r="E3427" i="13"/>
  <c r="E3426" i="13"/>
  <c r="E3425" i="13"/>
  <c r="E3424" i="13"/>
  <c r="E3423" i="13"/>
  <c r="E3422" i="13"/>
  <c r="E3421" i="13"/>
  <c r="E3420" i="13"/>
  <c r="E3419" i="13"/>
  <c r="E3418" i="13"/>
  <c r="E3417" i="13"/>
  <c r="E3416" i="13"/>
  <c r="E3415" i="13"/>
  <c r="E3414" i="13"/>
  <c r="E3413" i="13"/>
  <c r="E3412" i="13"/>
  <c r="E3411" i="13"/>
  <c r="E3410" i="13"/>
  <c r="E3409" i="13"/>
  <c r="E3408" i="13"/>
  <c r="E3407" i="13"/>
  <c r="E3406" i="13"/>
  <c r="E3405" i="13"/>
  <c r="E3404" i="13"/>
  <c r="E3403" i="13"/>
  <c r="E3402" i="13"/>
  <c r="E3401" i="13"/>
  <c r="E3400" i="13"/>
  <c r="E3399" i="13"/>
  <c r="E3398" i="13"/>
  <c r="E3397" i="13"/>
  <c r="E3396" i="13"/>
  <c r="E3395" i="13"/>
  <c r="E3394" i="13"/>
  <c r="E3393" i="13"/>
  <c r="E3391" i="13"/>
  <c r="E3390" i="13"/>
  <c r="E3389" i="13"/>
  <c r="E3388" i="13"/>
  <c r="E3387" i="13"/>
  <c r="E3386" i="13"/>
  <c r="E3385" i="13"/>
  <c r="E3384" i="13"/>
  <c r="E3383" i="13"/>
  <c r="E3382" i="13"/>
  <c r="E3381" i="13"/>
  <c r="E3380" i="13"/>
  <c r="E3379" i="13"/>
  <c r="E3378" i="13"/>
  <c r="E3377" i="13"/>
  <c r="E3376" i="13"/>
  <c r="E3375" i="13"/>
  <c r="E3374" i="13"/>
  <c r="E3373" i="13"/>
  <c r="E3372" i="13"/>
  <c r="E3371" i="13"/>
  <c r="E3370" i="13"/>
  <c r="E3369" i="13"/>
  <c r="E3368" i="13"/>
  <c r="E3367" i="13"/>
  <c r="E3366" i="13"/>
  <c r="E3365" i="13"/>
  <c r="E3364" i="13"/>
  <c r="E3363" i="13"/>
  <c r="E3362" i="13"/>
  <c r="E3361" i="13"/>
  <c r="E3360" i="13"/>
  <c r="E3359" i="13"/>
  <c r="E3358" i="13"/>
  <c r="E3357" i="13"/>
  <c r="E3356" i="13"/>
  <c r="E3355" i="13"/>
  <c r="E3354" i="13"/>
  <c r="E3353" i="13"/>
  <c r="E3352" i="13"/>
  <c r="E3351" i="13"/>
  <c r="E3350" i="13"/>
  <c r="E3349" i="13"/>
  <c r="E3348" i="13"/>
  <c r="E3347" i="13"/>
  <c r="E3346" i="13"/>
  <c r="E3345" i="13"/>
  <c r="E3344" i="13"/>
  <c r="E3343" i="13"/>
  <c r="E3342" i="13"/>
  <c r="E3341" i="13"/>
  <c r="E3340" i="13"/>
  <c r="E3339" i="13"/>
  <c r="E3338" i="13"/>
  <c r="E3337" i="13"/>
  <c r="E3336" i="13"/>
  <c r="E3335" i="13"/>
  <c r="E3334" i="13"/>
  <c r="E3333" i="13"/>
  <c r="E3332" i="13"/>
  <c r="E3331" i="13"/>
  <c r="E3330" i="13"/>
  <c r="E3329" i="13"/>
  <c r="E3328" i="13"/>
  <c r="E3327" i="13"/>
  <c r="E3326" i="13"/>
  <c r="E3325" i="13"/>
  <c r="E3324" i="13"/>
  <c r="E3323" i="13"/>
  <c r="E3322" i="13"/>
  <c r="E3321" i="13"/>
  <c r="E3320" i="13"/>
  <c r="E3319" i="13"/>
  <c r="E3318" i="13"/>
  <c r="E3317" i="13"/>
  <c r="E3316" i="13"/>
  <c r="E3315" i="13"/>
  <c r="E3314" i="13"/>
  <c r="E3313" i="13"/>
  <c r="E3312" i="13"/>
  <c r="E3311" i="13"/>
  <c r="E3310" i="13"/>
  <c r="E3309" i="13"/>
  <c r="E3308" i="13"/>
  <c r="E3307" i="13"/>
  <c r="E3306" i="13"/>
  <c r="E3305" i="13"/>
  <c r="E3304" i="13"/>
  <c r="E3303" i="13"/>
  <c r="E3302" i="13"/>
  <c r="E3301" i="13"/>
  <c r="E3300" i="13"/>
  <c r="E3299" i="13"/>
  <c r="E3298" i="13"/>
  <c r="E3297" i="13"/>
  <c r="E3296" i="13"/>
  <c r="E3295" i="13"/>
  <c r="E3294" i="13"/>
  <c r="E3293" i="13"/>
  <c r="E3292" i="13"/>
  <c r="E3291" i="13"/>
  <c r="E3290" i="13"/>
  <c r="E3289" i="13"/>
  <c r="E3288" i="13"/>
  <c r="E3287" i="13"/>
  <c r="E3286" i="13"/>
  <c r="E3285" i="13"/>
  <c r="E3284" i="13"/>
  <c r="E3283" i="13"/>
  <c r="E3282" i="13"/>
  <c r="E3281" i="13"/>
  <c r="E3280" i="13"/>
  <c r="E3279" i="13"/>
  <c r="E3278" i="13"/>
  <c r="E3277" i="13"/>
  <c r="E3276" i="13"/>
  <c r="E3275" i="13"/>
  <c r="E3274" i="13"/>
  <c r="E3273" i="13"/>
  <c r="E3272" i="13"/>
  <c r="E3271" i="13"/>
  <c r="E3270" i="13"/>
  <c r="E3269" i="13"/>
  <c r="E3268" i="13"/>
  <c r="E3267" i="13"/>
  <c r="E3266" i="13"/>
  <c r="E3265" i="13"/>
  <c r="E3264" i="13"/>
  <c r="E3263" i="13"/>
  <c r="E3262" i="13"/>
  <c r="E3261" i="13"/>
  <c r="E3260" i="13"/>
  <c r="E3259" i="13"/>
  <c r="E3258" i="13"/>
  <c r="E3257" i="13"/>
  <c r="E3256" i="13"/>
  <c r="E3255" i="13"/>
  <c r="E3254" i="13"/>
  <c r="E3253" i="13"/>
  <c r="E3252" i="13"/>
  <c r="E3251" i="13"/>
  <c r="E3250" i="13"/>
  <c r="E3249" i="13"/>
  <c r="E3248" i="13"/>
  <c r="E3247" i="13"/>
  <c r="E3246" i="13"/>
  <c r="E3245" i="13"/>
  <c r="E3244" i="13"/>
  <c r="E3243" i="13"/>
  <c r="E3242" i="13"/>
  <c r="E3241" i="13"/>
  <c r="E3240" i="13"/>
  <c r="E3239" i="13"/>
  <c r="E3238" i="13"/>
  <c r="E3237" i="13"/>
  <c r="E3236" i="13"/>
  <c r="E3235" i="13"/>
  <c r="E3234" i="13"/>
  <c r="E3233" i="13"/>
  <c r="E3232" i="13"/>
  <c r="E3231" i="13"/>
  <c r="E3230" i="13"/>
  <c r="E3229" i="13"/>
  <c r="E3228" i="13"/>
  <c r="E3227" i="13"/>
  <c r="E3226" i="13"/>
  <c r="E3225" i="13"/>
  <c r="E3224" i="13"/>
  <c r="E3223" i="13"/>
  <c r="E3222" i="13"/>
  <c r="E3221" i="13"/>
  <c r="E3220" i="13"/>
  <c r="E3219" i="13"/>
  <c r="E3218" i="13"/>
  <c r="E3217" i="13"/>
  <c r="E3216" i="13"/>
  <c r="E3215" i="13"/>
  <c r="E3214" i="13"/>
  <c r="E3213" i="13"/>
  <c r="E3212" i="13"/>
  <c r="E3211" i="13"/>
  <c r="E3210" i="13"/>
  <c r="E3209" i="13"/>
  <c r="E3208" i="13"/>
  <c r="E3207" i="13"/>
  <c r="E3206" i="13"/>
  <c r="E3205" i="13"/>
  <c r="E3204" i="13"/>
  <c r="E3203" i="13"/>
  <c r="E3202" i="13"/>
  <c r="E3201" i="13"/>
  <c r="E3200" i="13"/>
  <c r="E3199" i="13"/>
  <c r="E3198" i="13"/>
  <c r="E3197" i="13"/>
  <c r="E3196" i="13"/>
  <c r="E3195" i="13"/>
  <c r="E3194" i="13"/>
  <c r="E3193" i="13"/>
  <c r="E3192" i="13"/>
  <c r="E3191" i="13"/>
  <c r="E3190" i="13"/>
  <c r="E3189" i="13"/>
  <c r="E3188" i="13"/>
  <c r="E3187" i="13"/>
  <c r="E3186" i="13"/>
  <c r="E3185" i="13"/>
  <c r="E3184" i="13"/>
  <c r="E3183" i="13"/>
  <c r="E3182" i="13"/>
  <c r="E3181" i="13"/>
  <c r="E3180" i="13"/>
  <c r="E3179" i="13"/>
  <c r="E3178" i="13"/>
  <c r="E3177" i="13"/>
  <c r="E3176" i="13"/>
  <c r="E3175" i="13"/>
  <c r="E3174" i="13"/>
  <c r="E3173" i="13"/>
  <c r="E3172" i="13"/>
  <c r="E3171" i="13"/>
  <c r="E3170" i="13"/>
  <c r="E3169" i="13"/>
  <c r="E3168" i="13"/>
  <c r="E3167" i="13"/>
  <c r="E3166" i="13"/>
  <c r="E3165" i="13"/>
  <c r="E3164" i="13"/>
  <c r="E3163" i="13"/>
  <c r="E3162" i="13"/>
  <c r="E3161" i="13"/>
  <c r="E3160" i="13"/>
  <c r="E3159" i="13"/>
  <c r="E3158" i="13"/>
  <c r="E3157" i="13"/>
  <c r="E3156" i="13"/>
  <c r="E3155" i="13"/>
  <c r="E3154" i="13"/>
  <c r="E3153" i="13"/>
  <c r="E3152" i="13"/>
  <c r="E3151" i="13"/>
  <c r="E3150" i="13"/>
  <c r="E3149" i="13"/>
  <c r="E3148" i="13"/>
  <c r="E3147" i="13"/>
  <c r="E3146" i="13"/>
  <c r="E3145" i="13"/>
  <c r="E3144" i="13"/>
  <c r="E3143" i="13"/>
  <c r="E3142" i="13"/>
  <c r="E3141" i="13"/>
  <c r="E3140" i="13"/>
  <c r="E3139" i="13"/>
  <c r="E3138" i="13"/>
  <c r="E3137" i="13"/>
  <c r="E3136" i="13"/>
  <c r="E3135" i="13"/>
  <c r="E3134" i="13"/>
  <c r="E3133" i="13"/>
  <c r="E3132" i="13"/>
  <c r="E3131" i="13"/>
  <c r="E3130" i="13"/>
  <c r="E3129" i="13"/>
  <c r="E3128" i="13"/>
  <c r="E3127" i="13"/>
  <c r="E3126" i="13"/>
  <c r="E3125" i="13"/>
  <c r="E3124" i="13"/>
  <c r="E3123" i="13"/>
  <c r="E3122" i="13"/>
  <c r="E3121" i="13"/>
  <c r="E3120" i="13"/>
  <c r="E3119" i="13"/>
  <c r="E3118" i="13"/>
  <c r="E3117" i="13"/>
  <c r="E3116" i="13"/>
  <c r="E3115" i="13"/>
  <c r="E3114" i="13"/>
  <c r="E3113" i="13"/>
  <c r="E3112" i="13"/>
  <c r="E3111" i="13"/>
  <c r="E3110" i="13"/>
  <c r="E3109" i="13"/>
  <c r="E3108" i="13"/>
  <c r="E3107" i="13"/>
  <c r="E3106" i="13"/>
  <c r="E3105" i="13"/>
  <c r="E3104" i="13"/>
  <c r="E3103" i="13"/>
  <c r="E3102" i="13"/>
  <c r="E3101" i="13"/>
  <c r="E3100" i="13"/>
  <c r="E3099" i="13"/>
  <c r="E3098" i="13"/>
  <c r="E3097" i="13"/>
  <c r="E3096" i="13"/>
  <c r="E3095" i="13"/>
  <c r="E3094" i="13"/>
  <c r="E3093" i="13"/>
  <c r="E3092" i="13"/>
  <c r="E3091" i="13"/>
  <c r="E3090" i="13"/>
  <c r="E3089" i="13"/>
  <c r="E3088" i="13"/>
  <c r="E3087" i="13"/>
  <c r="E3086" i="13"/>
  <c r="E3085" i="13"/>
  <c r="E3084" i="13"/>
  <c r="E3083" i="13"/>
  <c r="E3082" i="13"/>
  <c r="E3081" i="13"/>
  <c r="E3080" i="13"/>
  <c r="E3079" i="13"/>
  <c r="E3078" i="13"/>
  <c r="E3077" i="13"/>
  <c r="E3076" i="13"/>
  <c r="E3075" i="13"/>
  <c r="E3074" i="13"/>
  <c r="E3073" i="13"/>
  <c r="E3072" i="13"/>
  <c r="E3071" i="13"/>
  <c r="E3070" i="13"/>
  <c r="E3069" i="13"/>
  <c r="E3068" i="13"/>
  <c r="E3067" i="13"/>
  <c r="E3066" i="13"/>
  <c r="E3065" i="13"/>
  <c r="E3064" i="13"/>
  <c r="E3063" i="13"/>
  <c r="E3062" i="13"/>
  <c r="E3061" i="13"/>
  <c r="E3060" i="13"/>
  <c r="E3059" i="13"/>
  <c r="E3058" i="13"/>
  <c r="E3057" i="13"/>
  <c r="E3056" i="13"/>
  <c r="E3055" i="13"/>
  <c r="E3054" i="13"/>
  <c r="E3053" i="13"/>
  <c r="E3052" i="13"/>
  <c r="E3051" i="13"/>
  <c r="E3050" i="13"/>
  <c r="E3049" i="13"/>
  <c r="E3048" i="13"/>
  <c r="E3047" i="13"/>
  <c r="E3046" i="13"/>
  <c r="E3045" i="13"/>
  <c r="E3044" i="13"/>
  <c r="E3043" i="13"/>
  <c r="E3042" i="13"/>
  <c r="E3041" i="13"/>
  <c r="E3040" i="13"/>
  <c r="E3039" i="13"/>
  <c r="E3038" i="13"/>
  <c r="E3037" i="13"/>
  <c r="E3036" i="13"/>
  <c r="E3035" i="13"/>
  <c r="E3034" i="13"/>
  <c r="E3033" i="13"/>
  <c r="E3032" i="13"/>
  <c r="E3031" i="13"/>
  <c r="E3030" i="13"/>
  <c r="E3029" i="13"/>
  <c r="E3028" i="13"/>
  <c r="E3027" i="13"/>
  <c r="E3026" i="13"/>
  <c r="E3025" i="13"/>
  <c r="E3024" i="13"/>
  <c r="E3023" i="13"/>
  <c r="E3022" i="13"/>
  <c r="E3021" i="13"/>
  <c r="E3020" i="13"/>
  <c r="E3019" i="13"/>
  <c r="E3018" i="13"/>
  <c r="E3017" i="13"/>
  <c r="E3016" i="13"/>
  <c r="E3015" i="13"/>
  <c r="E3014" i="13"/>
  <c r="E3013" i="13"/>
  <c r="E3012" i="13"/>
  <c r="E3011" i="13"/>
  <c r="E3010" i="13"/>
  <c r="E3009" i="13"/>
  <c r="E3008" i="13"/>
  <c r="E3007" i="13"/>
  <c r="E3006" i="13"/>
  <c r="E3005" i="13"/>
  <c r="E3004" i="13"/>
  <c r="E3003" i="13"/>
  <c r="E3002" i="13"/>
  <c r="E3001" i="13"/>
  <c r="E3000" i="13"/>
  <c r="E2999" i="13"/>
  <c r="E2998" i="13"/>
  <c r="E2997" i="13"/>
  <c r="E2996" i="13"/>
  <c r="E2995" i="13"/>
  <c r="E2994" i="13"/>
  <c r="E2993" i="13"/>
  <c r="E2992" i="13"/>
  <c r="E2991" i="13"/>
  <c r="E2990" i="13"/>
  <c r="E2989" i="13"/>
  <c r="E2988" i="13"/>
  <c r="E2987" i="13"/>
  <c r="E2986" i="13"/>
  <c r="E2985" i="13"/>
  <c r="E2984" i="13"/>
  <c r="E2983" i="13"/>
  <c r="E2982" i="13"/>
  <c r="E2981" i="13"/>
  <c r="E2980" i="13"/>
  <c r="E2979" i="13"/>
  <c r="E2978" i="13"/>
  <c r="E2977" i="13"/>
  <c r="E2976" i="13"/>
  <c r="E2975" i="13"/>
  <c r="E2974" i="13"/>
  <c r="E2973" i="13"/>
  <c r="E2972" i="13"/>
  <c r="E2971" i="13"/>
  <c r="E2970" i="13"/>
  <c r="E2969" i="13"/>
  <c r="E2968" i="13"/>
  <c r="E2967" i="13"/>
  <c r="E2966" i="13"/>
  <c r="E2965" i="13"/>
  <c r="E2964" i="13"/>
  <c r="E2963" i="13"/>
  <c r="E2962" i="13"/>
  <c r="E2961" i="13"/>
  <c r="E2960" i="13"/>
  <c r="E2959" i="13"/>
  <c r="E2958" i="13"/>
  <c r="E2957" i="13"/>
  <c r="E2956" i="13"/>
  <c r="E2955" i="13"/>
  <c r="E2954" i="13"/>
  <c r="E2953" i="13"/>
  <c r="E2952" i="13"/>
  <c r="E2951" i="13"/>
  <c r="E2950" i="13"/>
  <c r="E2949" i="13"/>
  <c r="E2948" i="13"/>
  <c r="E2947" i="13"/>
  <c r="E2946" i="13"/>
  <c r="E2945" i="13"/>
  <c r="E2944" i="13"/>
  <c r="E2943" i="13"/>
  <c r="E2942" i="13"/>
  <c r="E2941" i="13"/>
  <c r="E2940" i="13"/>
  <c r="E2939" i="13"/>
  <c r="E2938" i="13"/>
  <c r="E2937" i="13"/>
  <c r="E2936" i="13"/>
  <c r="E2935" i="13"/>
  <c r="E2934" i="13"/>
  <c r="E2933" i="13"/>
  <c r="E2932" i="13"/>
  <c r="E2931" i="13"/>
  <c r="E2930" i="13"/>
  <c r="E2929" i="13"/>
  <c r="E2928" i="13"/>
  <c r="E2927" i="13"/>
  <c r="E2926" i="13"/>
  <c r="E2925" i="13"/>
  <c r="E2924" i="13"/>
  <c r="E2923" i="13"/>
  <c r="E2922" i="13"/>
  <c r="E2921" i="13"/>
  <c r="E2920" i="13"/>
  <c r="E2919" i="13"/>
  <c r="E2918" i="13"/>
  <c r="E2917" i="13"/>
  <c r="E2916" i="13"/>
  <c r="E2915" i="13"/>
  <c r="E2914" i="13"/>
  <c r="E2913" i="13"/>
  <c r="E2912" i="13"/>
  <c r="E2911" i="13"/>
  <c r="E2910" i="13"/>
  <c r="E2909" i="13"/>
  <c r="E2908" i="13"/>
  <c r="E2907" i="13"/>
  <c r="E2906" i="13"/>
  <c r="E2905" i="13"/>
  <c r="E2904" i="13"/>
  <c r="E2903" i="13"/>
  <c r="E2902" i="13"/>
  <c r="E2901" i="13"/>
  <c r="E2900" i="13"/>
  <c r="E2899" i="13"/>
  <c r="E2898" i="13"/>
  <c r="E2897" i="13"/>
  <c r="E2896" i="13"/>
  <c r="E2895" i="13"/>
  <c r="E2894" i="13"/>
  <c r="E2893" i="13"/>
  <c r="E2892" i="13"/>
  <c r="E2891" i="13"/>
  <c r="E2890" i="13"/>
  <c r="E2889" i="13"/>
  <c r="E2888" i="13"/>
  <c r="E2887" i="13"/>
  <c r="E2886" i="13"/>
  <c r="E2885" i="13"/>
  <c r="E2884" i="13"/>
  <c r="E2883" i="13"/>
  <c r="E2882" i="13"/>
  <c r="E2881" i="13"/>
  <c r="E2880" i="13"/>
  <c r="E2879" i="13"/>
  <c r="E2878" i="13"/>
  <c r="E2877" i="13"/>
  <c r="E2876" i="13"/>
  <c r="E2875" i="13"/>
  <c r="E2874" i="13"/>
  <c r="E2873" i="13"/>
  <c r="E2872" i="13"/>
  <c r="E2871" i="13"/>
  <c r="E2870" i="13"/>
  <c r="E2869" i="13"/>
  <c r="E2868" i="13"/>
  <c r="E2867" i="13"/>
  <c r="E2866" i="13"/>
  <c r="E2865" i="13"/>
  <c r="E2864" i="13"/>
  <c r="E2863" i="13"/>
  <c r="E2862" i="13"/>
  <c r="E2861" i="13"/>
  <c r="E2860" i="13"/>
  <c r="E2859" i="13"/>
  <c r="E2858" i="13"/>
  <c r="E2857" i="13"/>
  <c r="E2856" i="13"/>
  <c r="E2855" i="13"/>
  <c r="E2854" i="13"/>
  <c r="E2853" i="13"/>
  <c r="E2852" i="13"/>
  <c r="E2851" i="13"/>
  <c r="E2850" i="13"/>
  <c r="E2849" i="13"/>
  <c r="E2848" i="13"/>
  <c r="E2847" i="13"/>
  <c r="E2846" i="13"/>
  <c r="E2845" i="13"/>
  <c r="E2844" i="13"/>
  <c r="E2843" i="13"/>
  <c r="E2842" i="13"/>
  <c r="E2841" i="13"/>
  <c r="E2840" i="13"/>
  <c r="E2839" i="13"/>
  <c r="E2838" i="13"/>
  <c r="E2837" i="13"/>
  <c r="E2836" i="13"/>
  <c r="E2835" i="13"/>
  <c r="E2834" i="13"/>
  <c r="E2833" i="13"/>
  <c r="E2832" i="13"/>
  <c r="E2831" i="13"/>
  <c r="E2830" i="13"/>
  <c r="E2829" i="13"/>
  <c r="E2828" i="13"/>
  <c r="E2827" i="13"/>
  <c r="E2826" i="13"/>
  <c r="E2825" i="13"/>
  <c r="E2824" i="13"/>
  <c r="E2823" i="13"/>
  <c r="E2822" i="13"/>
  <c r="E2821" i="13"/>
  <c r="E2820" i="13"/>
  <c r="E2819" i="13"/>
  <c r="E2818" i="13"/>
  <c r="E2817" i="13"/>
  <c r="E2816" i="13"/>
  <c r="E2815" i="13"/>
  <c r="E2814" i="13"/>
  <c r="E2813" i="13"/>
  <c r="E2812" i="13"/>
  <c r="E2811" i="13"/>
  <c r="E2810" i="13"/>
  <c r="E2809" i="13"/>
  <c r="E2808" i="13"/>
  <c r="E2807" i="13"/>
  <c r="E2806" i="13"/>
  <c r="E2805" i="13"/>
  <c r="E2804" i="13"/>
  <c r="E2803" i="13"/>
  <c r="E2802" i="13"/>
  <c r="E2801" i="13"/>
  <c r="E2800" i="13"/>
  <c r="E2799" i="13"/>
  <c r="E2798" i="13"/>
  <c r="E2797" i="13"/>
  <c r="E2796" i="13"/>
  <c r="E2795" i="13"/>
  <c r="E2794" i="13"/>
  <c r="E2793" i="13"/>
  <c r="E2792" i="13"/>
  <c r="E2791" i="13"/>
  <c r="E2790" i="13"/>
  <c r="E2789" i="13"/>
  <c r="E2788" i="13"/>
  <c r="E2787" i="13"/>
  <c r="E2786" i="13"/>
  <c r="E2785" i="13"/>
  <c r="E2784" i="13"/>
  <c r="E2783" i="13"/>
  <c r="E2782" i="13"/>
  <c r="E2781" i="13"/>
  <c r="E2780" i="13"/>
  <c r="E2779" i="13"/>
  <c r="E2778" i="13"/>
  <c r="E2777" i="13"/>
  <c r="E2776" i="13"/>
  <c r="E2775" i="13"/>
  <c r="E2774" i="13"/>
  <c r="E2773" i="13"/>
  <c r="E2772" i="13"/>
  <c r="E2771" i="13"/>
  <c r="E2770" i="13"/>
  <c r="E2769" i="13"/>
  <c r="E2768" i="13"/>
  <c r="E2767" i="13"/>
  <c r="E2766" i="13"/>
  <c r="E2765" i="13"/>
  <c r="E2764" i="13"/>
  <c r="E2763" i="13"/>
  <c r="E2762" i="13"/>
  <c r="E2761" i="13"/>
  <c r="E2760" i="13"/>
  <c r="E2759" i="13"/>
  <c r="E2758" i="13"/>
  <c r="E2757" i="13"/>
  <c r="E2756" i="13"/>
  <c r="E2755" i="13"/>
  <c r="E2754" i="13"/>
  <c r="E2753" i="13"/>
  <c r="E2752" i="13"/>
  <c r="E2751" i="13"/>
  <c r="E2750" i="13"/>
  <c r="E2749" i="13"/>
  <c r="E2748" i="13"/>
  <c r="E2747" i="13"/>
  <c r="E2746" i="13"/>
  <c r="E2745" i="13"/>
  <c r="E2744" i="13"/>
  <c r="E2743" i="13"/>
  <c r="E2742" i="13"/>
  <c r="E2741" i="13"/>
  <c r="E2740" i="13"/>
  <c r="E2739" i="13"/>
  <c r="E2738" i="13"/>
  <c r="E2737" i="13"/>
  <c r="E2736" i="13"/>
  <c r="E2735" i="13"/>
  <c r="E2734" i="13"/>
  <c r="E2733" i="13"/>
  <c r="E2732" i="13"/>
  <c r="E2731" i="13"/>
  <c r="E2730" i="13"/>
  <c r="E2729" i="13"/>
  <c r="E2728" i="13"/>
  <c r="E2727" i="13"/>
  <c r="E2726" i="13"/>
  <c r="E2725" i="13"/>
  <c r="E2724" i="13"/>
  <c r="E2723" i="13"/>
  <c r="E2722" i="13"/>
  <c r="E2721" i="13"/>
  <c r="E2720" i="13"/>
  <c r="E2719" i="13"/>
  <c r="E2718" i="13"/>
  <c r="E2717" i="13"/>
  <c r="E2716" i="13"/>
  <c r="E2715" i="13"/>
  <c r="E2714" i="13"/>
  <c r="E2713" i="13"/>
  <c r="E2712" i="13"/>
  <c r="E2711" i="13"/>
  <c r="E2710" i="13"/>
  <c r="E2709" i="13"/>
  <c r="E2708" i="13"/>
  <c r="E2707" i="13"/>
  <c r="E2706" i="13"/>
  <c r="E2705" i="13"/>
  <c r="E2704" i="13"/>
  <c r="E2703" i="13"/>
  <c r="E2702" i="13"/>
  <c r="E2701" i="13"/>
  <c r="E2700" i="13"/>
  <c r="E2699" i="13"/>
  <c r="E2698" i="13"/>
  <c r="E2697" i="13"/>
  <c r="E2696" i="13"/>
  <c r="E2695" i="13"/>
  <c r="E2694" i="13"/>
  <c r="E2693" i="13"/>
  <c r="E2692" i="13"/>
  <c r="E2691" i="13"/>
  <c r="E2690" i="13"/>
  <c r="E2689" i="13"/>
  <c r="E2688" i="13"/>
  <c r="E2687" i="13"/>
  <c r="E2686" i="13"/>
  <c r="E2685" i="13"/>
  <c r="E2684" i="13"/>
  <c r="E2683" i="13"/>
  <c r="E2682" i="13"/>
  <c r="E2681" i="13"/>
  <c r="E2680" i="13"/>
  <c r="E2679" i="13"/>
  <c r="E2678" i="13"/>
  <c r="E2677" i="13"/>
  <c r="E2676" i="13"/>
  <c r="E2675" i="13"/>
  <c r="E2674" i="13"/>
  <c r="E2673" i="13"/>
  <c r="E2671" i="13"/>
  <c r="E2670" i="13"/>
  <c r="E2669" i="13"/>
  <c r="E2668" i="13"/>
  <c r="E2667" i="13"/>
  <c r="E2666" i="13"/>
  <c r="E2665" i="13"/>
  <c r="E2664" i="13"/>
  <c r="E2663" i="13"/>
  <c r="E2662" i="13"/>
  <c r="E2661" i="13"/>
  <c r="E2660" i="13"/>
  <c r="E2659" i="13"/>
  <c r="E2658" i="13"/>
  <c r="E2657" i="13"/>
  <c r="E2656" i="13"/>
  <c r="E2655" i="13"/>
  <c r="E2654" i="13"/>
  <c r="E2653" i="13"/>
  <c r="E2652" i="13"/>
  <c r="E2651" i="13"/>
  <c r="E2650" i="13"/>
  <c r="E2649" i="13"/>
  <c r="E2648" i="13"/>
  <c r="E2647" i="13"/>
  <c r="E2646" i="13"/>
  <c r="E2645" i="13"/>
  <c r="E2644" i="13"/>
  <c r="E2643" i="13"/>
  <c r="E2642" i="13"/>
  <c r="E2641" i="13"/>
  <c r="E2640" i="13"/>
  <c r="E2639" i="13"/>
  <c r="E2638" i="13"/>
  <c r="E2637" i="13"/>
  <c r="E2636" i="13"/>
  <c r="E2635" i="13"/>
  <c r="E2634" i="13"/>
  <c r="E2633" i="13"/>
  <c r="E2632" i="13"/>
  <c r="E2631" i="13"/>
  <c r="E2630" i="13"/>
  <c r="E2629" i="13"/>
  <c r="E2628" i="13"/>
  <c r="E2627" i="13"/>
  <c r="E2626" i="13"/>
  <c r="E2625" i="13"/>
  <c r="E2624" i="13"/>
  <c r="E2623" i="13"/>
  <c r="E2622" i="13"/>
  <c r="E2621" i="13"/>
  <c r="E2620" i="13"/>
  <c r="E2619" i="13"/>
  <c r="E2618" i="13"/>
  <c r="E2617" i="13"/>
  <c r="E2616" i="13"/>
  <c r="E2615" i="13"/>
  <c r="E2614" i="13"/>
  <c r="E2613" i="13"/>
  <c r="E2612" i="13"/>
  <c r="E2611" i="13"/>
  <c r="E2610" i="13"/>
  <c r="E2609" i="13"/>
  <c r="E2608" i="13"/>
  <c r="E2607" i="13"/>
  <c r="E2606" i="13"/>
  <c r="E2605" i="13"/>
  <c r="E2604" i="13"/>
  <c r="E2603" i="13"/>
  <c r="E2602" i="13"/>
  <c r="E2601" i="13"/>
  <c r="E2600" i="13"/>
  <c r="E2599" i="13"/>
  <c r="E2598" i="13"/>
  <c r="E2597" i="13"/>
  <c r="E2596" i="13"/>
  <c r="E2595" i="13"/>
  <c r="E2594" i="13"/>
  <c r="E2593" i="13"/>
  <c r="E2592" i="13"/>
  <c r="E2591" i="13"/>
  <c r="E2590" i="13"/>
  <c r="E2589" i="13"/>
  <c r="E2588" i="13"/>
  <c r="E2587" i="13"/>
  <c r="E2586" i="13"/>
  <c r="E2585" i="13"/>
  <c r="E2584" i="13"/>
  <c r="E2583" i="13"/>
  <c r="E2582" i="13"/>
  <c r="E2581" i="13"/>
  <c r="E2580" i="13"/>
  <c r="E2579" i="13"/>
  <c r="E2578" i="13"/>
  <c r="E2577" i="13"/>
  <c r="E2576" i="13"/>
  <c r="E2575" i="13"/>
  <c r="E2574" i="13"/>
  <c r="E2573" i="13"/>
  <c r="E2572" i="13"/>
  <c r="E2571" i="13"/>
  <c r="E2570" i="13"/>
  <c r="E2569" i="13"/>
  <c r="E2568" i="13"/>
  <c r="E2567" i="13"/>
  <c r="E2566" i="13"/>
  <c r="E2565" i="13"/>
  <c r="E2564" i="13"/>
  <c r="E2563" i="13"/>
  <c r="E2562" i="13"/>
  <c r="E2561" i="13"/>
  <c r="E2560" i="13"/>
  <c r="E2559" i="13"/>
  <c r="E2558" i="13"/>
  <c r="E2557" i="13"/>
  <c r="E2556" i="13"/>
  <c r="E2555" i="13"/>
  <c r="E2554" i="13"/>
  <c r="E2553" i="13"/>
  <c r="E2552" i="13"/>
  <c r="E2551" i="13"/>
  <c r="E2550" i="13"/>
  <c r="E2549" i="13"/>
  <c r="E2548" i="13"/>
  <c r="E2547" i="13"/>
  <c r="E2546" i="13"/>
  <c r="E2545" i="13"/>
  <c r="E2544" i="13"/>
  <c r="E2543" i="13"/>
  <c r="E2542" i="13"/>
  <c r="E2541" i="13"/>
  <c r="E2540" i="13"/>
  <c r="E2539" i="13"/>
  <c r="E2538" i="13"/>
  <c r="E2537" i="13"/>
  <c r="E2536" i="13"/>
  <c r="E2535" i="13"/>
  <c r="E2534" i="13"/>
  <c r="E2533" i="13"/>
  <c r="E2532" i="13"/>
  <c r="E2531" i="13"/>
  <c r="E2530" i="13"/>
  <c r="E2529" i="13"/>
  <c r="E2528" i="13"/>
  <c r="E2527" i="13"/>
  <c r="E2526" i="13"/>
  <c r="E2525" i="13"/>
  <c r="E2524" i="13"/>
  <c r="E2523" i="13"/>
  <c r="E2522" i="13"/>
  <c r="E2521" i="13"/>
  <c r="E2520" i="13"/>
  <c r="E2519" i="13"/>
  <c r="E2518" i="13"/>
  <c r="E2517" i="13"/>
  <c r="E2516" i="13"/>
  <c r="E2515" i="13"/>
  <c r="E2514" i="13"/>
  <c r="E2513" i="13"/>
  <c r="E2512" i="13"/>
  <c r="E2511" i="13"/>
  <c r="E2510" i="13"/>
  <c r="E2509" i="13"/>
  <c r="E2508" i="13"/>
  <c r="E2507" i="13"/>
  <c r="E2506" i="13"/>
  <c r="E2505" i="13"/>
  <c r="E2504" i="13"/>
  <c r="E2503" i="13"/>
  <c r="E2502" i="13"/>
  <c r="E2501" i="13"/>
  <c r="E2500" i="13"/>
  <c r="E2499" i="13"/>
  <c r="E2498" i="13"/>
  <c r="E2497" i="13"/>
  <c r="E2496" i="13"/>
  <c r="E2495" i="13"/>
  <c r="E2494" i="13"/>
  <c r="E2493" i="13"/>
  <c r="E2492" i="13"/>
  <c r="E2491" i="13"/>
  <c r="E2490" i="13"/>
  <c r="E2489" i="13"/>
  <c r="E2488" i="13"/>
  <c r="E2487" i="13"/>
  <c r="E2486" i="13"/>
  <c r="E2485" i="13"/>
  <c r="E2484" i="13"/>
  <c r="E2483" i="13"/>
  <c r="E2482" i="13"/>
  <c r="E2481" i="13"/>
  <c r="E2480" i="13"/>
  <c r="E2479" i="13"/>
  <c r="E2478" i="13"/>
  <c r="E2477" i="13"/>
  <c r="E2476" i="13"/>
  <c r="E2475" i="13"/>
  <c r="E2474" i="13"/>
  <c r="E2473" i="13"/>
  <c r="E2472" i="13"/>
  <c r="E2471" i="13"/>
  <c r="E2470" i="13"/>
  <c r="E2469" i="13"/>
  <c r="E2468" i="13"/>
  <c r="E2467" i="13"/>
  <c r="E2466" i="13"/>
  <c r="E2465" i="13"/>
  <c r="E2464" i="13"/>
  <c r="E2463" i="13"/>
  <c r="E2462" i="13"/>
  <c r="E2461" i="13"/>
  <c r="E2460" i="13"/>
  <c r="E2459" i="13"/>
  <c r="E2458" i="13"/>
  <c r="E2457" i="13"/>
  <c r="E2456" i="13"/>
  <c r="E2455" i="13"/>
  <c r="E2454" i="13"/>
  <c r="E2453" i="13"/>
  <c r="E2452" i="13"/>
  <c r="E2451" i="13"/>
  <c r="E2450" i="13"/>
  <c r="E2449" i="13"/>
  <c r="E2448" i="13"/>
  <c r="E2447" i="13"/>
  <c r="E2446" i="13"/>
  <c r="E2445" i="13"/>
  <c r="E2444" i="13"/>
  <c r="E2443" i="13"/>
  <c r="E2442" i="13"/>
  <c r="E2441" i="13"/>
  <c r="E2440" i="13"/>
  <c r="E2439" i="13"/>
  <c r="E2438" i="13"/>
  <c r="E2437" i="13"/>
  <c r="E2436" i="13"/>
  <c r="E2435" i="13"/>
  <c r="E2434" i="13"/>
  <c r="E2433" i="13"/>
  <c r="E2432" i="13"/>
  <c r="E2431" i="13"/>
  <c r="E2430" i="13"/>
  <c r="E2429" i="13"/>
  <c r="E2428" i="13"/>
  <c r="E2427" i="13"/>
  <c r="E2426" i="13"/>
  <c r="E2425" i="13"/>
  <c r="E2424" i="13"/>
  <c r="E2423" i="13"/>
  <c r="E2422" i="13"/>
  <c r="E2421" i="13"/>
  <c r="E2420" i="13"/>
  <c r="E2419" i="13"/>
  <c r="E2418" i="13"/>
  <c r="E2417" i="13"/>
  <c r="E2416" i="13"/>
  <c r="E2415" i="13"/>
  <c r="E2414" i="13"/>
  <c r="E2413" i="13"/>
  <c r="E2412" i="13"/>
  <c r="E2411" i="13"/>
  <c r="E2410" i="13"/>
  <c r="E2409" i="13"/>
  <c r="E2408" i="13"/>
  <c r="E2407" i="13"/>
  <c r="E2406" i="13"/>
  <c r="E2405" i="13"/>
  <c r="E2404" i="13"/>
  <c r="E2403" i="13"/>
  <c r="E2402" i="13"/>
  <c r="E2401" i="13"/>
  <c r="E2400" i="13"/>
  <c r="E2399" i="13"/>
  <c r="E2398" i="13"/>
  <c r="E2397" i="13"/>
  <c r="E2396" i="13"/>
  <c r="E2395" i="13"/>
  <c r="E2394" i="13"/>
  <c r="E2393" i="13"/>
  <c r="E2392" i="13"/>
  <c r="E2391" i="13"/>
  <c r="E2390" i="13"/>
  <c r="E2389" i="13"/>
  <c r="E2388" i="13"/>
  <c r="E2387" i="13"/>
  <c r="E2386" i="13"/>
  <c r="E2385" i="13"/>
  <c r="E2384" i="13"/>
  <c r="E2383" i="13"/>
  <c r="E2382" i="13"/>
  <c r="E2381" i="13"/>
  <c r="E2380" i="13"/>
  <c r="E2379" i="13"/>
  <c r="E2378" i="13"/>
  <c r="E2377" i="13"/>
  <c r="E2376" i="13"/>
  <c r="E2375" i="13"/>
  <c r="E2374" i="13"/>
  <c r="E2373" i="13"/>
  <c r="E2372" i="13"/>
  <c r="E2371" i="13"/>
  <c r="E2370" i="13"/>
  <c r="E2369" i="13"/>
  <c r="E2368" i="13"/>
  <c r="E2367" i="13"/>
  <c r="E2366" i="13"/>
  <c r="E2365" i="13"/>
  <c r="E2364" i="13"/>
  <c r="E2363" i="13"/>
  <c r="E2362" i="13"/>
  <c r="E2361" i="13"/>
  <c r="E2360" i="13"/>
  <c r="E2359" i="13"/>
  <c r="E2358" i="13"/>
  <c r="E2357" i="13"/>
  <c r="E2356" i="13"/>
  <c r="E2355" i="13"/>
  <c r="E2354" i="13"/>
  <c r="E2353" i="13"/>
  <c r="E2352" i="13"/>
  <c r="E2351" i="13"/>
  <c r="E2350" i="13"/>
  <c r="E2349" i="13"/>
  <c r="E2348" i="13"/>
  <c r="E2347" i="13"/>
  <c r="E2346" i="13"/>
  <c r="E2345" i="13"/>
  <c r="E2344" i="13"/>
  <c r="E2343" i="13"/>
  <c r="E2342" i="13"/>
  <c r="E2341" i="13"/>
  <c r="E2340" i="13"/>
  <c r="E2339" i="13"/>
  <c r="E2338" i="13"/>
  <c r="E2337" i="13"/>
  <c r="E2336" i="13"/>
  <c r="E2335" i="13"/>
  <c r="E2334" i="13"/>
  <c r="E2333" i="13"/>
  <c r="E2332" i="13"/>
  <c r="E2331" i="13"/>
  <c r="E2330" i="13"/>
  <c r="E2329" i="13"/>
  <c r="E2328" i="13"/>
  <c r="E2327" i="13"/>
  <c r="E2326" i="13"/>
  <c r="E2325" i="13"/>
  <c r="E2324" i="13"/>
  <c r="E2323" i="13"/>
  <c r="E2322" i="13"/>
  <c r="E2321" i="13"/>
  <c r="E2320" i="13"/>
  <c r="E2319" i="13"/>
  <c r="E2318" i="13"/>
  <c r="E2317" i="13"/>
  <c r="E2316" i="13"/>
  <c r="E2315" i="13"/>
  <c r="E2314" i="13"/>
  <c r="E2313" i="13"/>
  <c r="E2312" i="13"/>
  <c r="E2311" i="13"/>
  <c r="E2309" i="13"/>
  <c r="E2308" i="13"/>
  <c r="E2307" i="13"/>
  <c r="E2306" i="13"/>
  <c r="E2305" i="13"/>
  <c r="E2304" i="13"/>
  <c r="E2303" i="13"/>
  <c r="E2302" i="13"/>
  <c r="E2301" i="13"/>
  <c r="E2300" i="13"/>
  <c r="E2299" i="13"/>
  <c r="E2298" i="13"/>
  <c r="E2297" i="13"/>
  <c r="E2296" i="13"/>
  <c r="E2295" i="13"/>
  <c r="E2294" i="13"/>
  <c r="E2293" i="13"/>
  <c r="E2292" i="13"/>
  <c r="E2291" i="13"/>
  <c r="E2290" i="13"/>
  <c r="E2289" i="13"/>
  <c r="E2288" i="13"/>
  <c r="E2287" i="13"/>
  <c r="E2286" i="13"/>
  <c r="E2285" i="13"/>
  <c r="E2284" i="13"/>
  <c r="E2283" i="13"/>
  <c r="E2282" i="13"/>
  <c r="E2281" i="13"/>
  <c r="E2280" i="13"/>
  <c r="E2279" i="13"/>
  <c r="E2278" i="13"/>
  <c r="E2277" i="13"/>
  <c r="E2276" i="13"/>
  <c r="E2275" i="13"/>
  <c r="E2274" i="13"/>
  <c r="E2273" i="13"/>
  <c r="E2272" i="13"/>
  <c r="E2271" i="13"/>
  <c r="E2270" i="13"/>
  <c r="E2269" i="13"/>
  <c r="E2267" i="13"/>
  <c r="E2266" i="13"/>
  <c r="E2265" i="13"/>
  <c r="E2264" i="13"/>
  <c r="E2263" i="13"/>
  <c r="E2262" i="13"/>
  <c r="E2261" i="13"/>
  <c r="E2260" i="13"/>
  <c r="E2259" i="13"/>
  <c r="E2258" i="13"/>
  <c r="E2257" i="13"/>
  <c r="E2256" i="13"/>
  <c r="E2255" i="13"/>
  <c r="E2254" i="13"/>
  <c r="E2253" i="13"/>
  <c r="E2252" i="13"/>
  <c r="E2251" i="13"/>
  <c r="E2250" i="13"/>
  <c r="E2249" i="13"/>
  <c r="E2248" i="13"/>
  <c r="E2247" i="13"/>
  <c r="E2246" i="13"/>
  <c r="E2245" i="13"/>
  <c r="E2244" i="13"/>
  <c r="E2243" i="13"/>
  <c r="E2242" i="13"/>
  <c r="E2241" i="13"/>
  <c r="E2240" i="13"/>
  <c r="E2239" i="13"/>
  <c r="E2238" i="13"/>
  <c r="E2237" i="13"/>
  <c r="E2236" i="13"/>
  <c r="E2235" i="13"/>
  <c r="E2234" i="13"/>
  <c r="E2233" i="13"/>
  <c r="E2232" i="13"/>
  <c r="E2231" i="13"/>
  <c r="E2230" i="13"/>
  <c r="E2229" i="13"/>
  <c r="E2228" i="13"/>
  <c r="E2227" i="13"/>
  <c r="E2226" i="13"/>
  <c r="E2225" i="13"/>
  <c r="E2224" i="13"/>
  <c r="E2223" i="13"/>
  <c r="E2222" i="13"/>
  <c r="E2221" i="13"/>
  <c r="E2220" i="13"/>
  <c r="E2219" i="13"/>
  <c r="E2218" i="13"/>
  <c r="E2217" i="13"/>
  <c r="E2216" i="13"/>
  <c r="E2215" i="13"/>
  <c r="E2214" i="13"/>
  <c r="E2213" i="13"/>
  <c r="E2212" i="13"/>
  <c r="E2211" i="13"/>
  <c r="E2210" i="13"/>
  <c r="E2209" i="13"/>
  <c r="E2208" i="13"/>
  <c r="E2207" i="13"/>
  <c r="E2206" i="13"/>
  <c r="E2205" i="13"/>
  <c r="E2204" i="13"/>
  <c r="E2203" i="13"/>
  <c r="E2202" i="13"/>
  <c r="E2201" i="13"/>
  <c r="E2200" i="13"/>
  <c r="E2199" i="13"/>
  <c r="E2198" i="13"/>
  <c r="E2197" i="13"/>
  <c r="E2196" i="13"/>
  <c r="E2195" i="13"/>
  <c r="E2194" i="13"/>
  <c r="E2193" i="13"/>
  <c r="E2192" i="13"/>
  <c r="E2191" i="13"/>
  <c r="E2190" i="13"/>
  <c r="E2189" i="13"/>
  <c r="E2188" i="13"/>
  <c r="E2187" i="13"/>
  <c r="E2186" i="13"/>
  <c r="E2185" i="13"/>
  <c r="E2184" i="13"/>
  <c r="E2183" i="13"/>
  <c r="E2182" i="13"/>
  <c r="E2181" i="13"/>
  <c r="E2180" i="13"/>
  <c r="E2179" i="13"/>
  <c r="E2178" i="13"/>
  <c r="E2177" i="13"/>
  <c r="E2176" i="13"/>
  <c r="E2175" i="13"/>
  <c r="E2174" i="13"/>
  <c r="E2173" i="13"/>
  <c r="E2172" i="13"/>
  <c r="E2171" i="13"/>
  <c r="E2170" i="13"/>
  <c r="E2169" i="13"/>
  <c r="E2168" i="13"/>
  <c r="E2167" i="13"/>
  <c r="E2166" i="13"/>
  <c r="E2165" i="13"/>
  <c r="E2164" i="13"/>
  <c r="E2163" i="13"/>
  <c r="E2162" i="13"/>
  <c r="E2161" i="13"/>
  <c r="E2160" i="13"/>
  <c r="E2159" i="13"/>
  <c r="E2158" i="13"/>
  <c r="E2157" i="13"/>
  <c r="E2156" i="13"/>
  <c r="E2155" i="13"/>
  <c r="E2154" i="13"/>
  <c r="E2153" i="13"/>
  <c r="E2152" i="13"/>
  <c r="E2151" i="13"/>
  <c r="E2150" i="13"/>
  <c r="E2149" i="13"/>
  <c r="E2148" i="13"/>
  <c r="E2147" i="13"/>
  <c r="E2146" i="13"/>
  <c r="E2145" i="13"/>
  <c r="E2144" i="13"/>
  <c r="E2143" i="13"/>
  <c r="E2142" i="13"/>
  <c r="E2141" i="13"/>
  <c r="E2140" i="13"/>
  <c r="E2139" i="13"/>
  <c r="E2138" i="13"/>
  <c r="E2137" i="13"/>
  <c r="E2136" i="13"/>
  <c r="E2135" i="13"/>
  <c r="E2134" i="13"/>
  <c r="E2133" i="13"/>
  <c r="E2132" i="13"/>
  <c r="E2131" i="13"/>
  <c r="E2130" i="13"/>
  <c r="E2129" i="13"/>
  <c r="E2128" i="13"/>
  <c r="E2127" i="13"/>
  <c r="E2126" i="13"/>
  <c r="E2125" i="13"/>
  <c r="E2124" i="13"/>
  <c r="E2123" i="13"/>
  <c r="E2122" i="13"/>
  <c r="E2121" i="13"/>
  <c r="E2120" i="13"/>
  <c r="E2119" i="13"/>
  <c r="E2118" i="13"/>
  <c r="E2117" i="13"/>
  <c r="E2116" i="13"/>
  <c r="E2115" i="13"/>
  <c r="E2114" i="13"/>
  <c r="E2113" i="13"/>
  <c r="E2112" i="13"/>
  <c r="E2111" i="13"/>
  <c r="E2110" i="13"/>
  <c r="E2109" i="13"/>
  <c r="E2108" i="13"/>
  <c r="E2107" i="13"/>
  <c r="E2106" i="13"/>
  <c r="E2105" i="13"/>
  <c r="E2104" i="13"/>
  <c r="E2103" i="13"/>
  <c r="E2102" i="13"/>
  <c r="E2101" i="13"/>
  <c r="E2100" i="13"/>
  <c r="E2099" i="13"/>
  <c r="E2098" i="13"/>
  <c r="E2097" i="13"/>
  <c r="E2096" i="13"/>
  <c r="E2095" i="13"/>
  <c r="E2094" i="13"/>
  <c r="E2093" i="13"/>
  <c r="E2092" i="13"/>
  <c r="E2091" i="13"/>
  <c r="E2090" i="13"/>
  <c r="E2089" i="13"/>
  <c r="E2088" i="13"/>
  <c r="E2087" i="13"/>
  <c r="E2086" i="13"/>
  <c r="E2085" i="13"/>
  <c r="E2084" i="13"/>
  <c r="E2083" i="13"/>
  <c r="E2082" i="13"/>
  <c r="E2081" i="13"/>
  <c r="E2080" i="13"/>
  <c r="E2079" i="13"/>
  <c r="E2078" i="13"/>
  <c r="E2077" i="13"/>
  <c r="E2076" i="13"/>
  <c r="E2075" i="13"/>
  <c r="E2074" i="13"/>
  <c r="E2073" i="13"/>
  <c r="E2072" i="13"/>
  <c r="E2071" i="13"/>
  <c r="E2070" i="13"/>
  <c r="E2069" i="13"/>
  <c r="E2068" i="13"/>
  <c r="E2067" i="13"/>
  <c r="E2066" i="13"/>
  <c r="E2065" i="13"/>
  <c r="E2064" i="13"/>
  <c r="E2063" i="13"/>
  <c r="E2062" i="13"/>
  <c r="E2061" i="13"/>
  <c r="E2060" i="13"/>
  <c r="E2059" i="13"/>
  <c r="E2058" i="13"/>
  <c r="E2057" i="13"/>
  <c r="E2056" i="13"/>
  <c r="E2055" i="13"/>
  <c r="E2054" i="13"/>
  <c r="E2053" i="13"/>
  <c r="E2052" i="13"/>
  <c r="E2051" i="13"/>
  <c r="E2050" i="13"/>
  <c r="E2049" i="13"/>
  <c r="E2048" i="13"/>
  <c r="E2047" i="13"/>
  <c r="E2046" i="13"/>
  <c r="E2045" i="13"/>
  <c r="E2044" i="13"/>
  <c r="E2043" i="13"/>
  <c r="E2042" i="13"/>
  <c r="E2041" i="13"/>
  <c r="E2040" i="13"/>
  <c r="E2039" i="13"/>
  <c r="E2038" i="13"/>
  <c r="E2037" i="13"/>
  <c r="E2036" i="13"/>
  <c r="E2035" i="13"/>
  <c r="E2034" i="13"/>
  <c r="E2033" i="13"/>
  <c r="E2032" i="13"/>
  <c r="E2031" i="13"/>
  <c r="E2030" i="13"/>
  <c r="E2029" i="13"/>
  <c r="E2028" i="13"/>
  <c r="E2027" i="13"/>
  <c r="E2026" i="13"/>
  <c r="E2025" i="13"/>
  <c r="E2024" i="13"/>
  <c r="E2023" i="13"/>
  <c r="E2022" i="13"/>
  <c r="E2021" i="13"/>
  <c r="E2020" i="13"/>
  <c r="E2019" i="13"/>
  <c r="E2018" i="13"/>
  <c r="E2017" i="13"/>
  <c r="E2016" i="13"/>
  <c r="E2015" i="13"/>
  <c r="E2014" i="13"/>
  <c r="E2013" i="13"/>
  <c r="E2012" i="13"/>
  <c r="E2011" i="13"/>
  <c r="E2010" i="13"/>
  <c r="E2009" i="13"/>
  <c r="E2008" i="13"/>
  <c r="E2007" i="13"/>
  <c r="E2006" i="13"/>
  <c r="E2005" i="13"/>
  <c r="E2004" i="13"/>
  <c r="E2003" i="13"/>
  <c r="E2002" i="13"/>
  <c r="E2001" i="13"/>
  <c r="E2000" i="13"/>
  <c r="E1999" i="13"/>
  <c r="E1998" i="13"/>
  <c r="E1997" i="13"/>
  <c r="E1996" i="13"/>
  <c r="E1995" i="13"/>
  <c r="E1994" i="13"/>
  <c r="E1993" i="13"/>
  <c r="E1992" i="13"/>
  <c r="E1991" i="13"/>
  <c r="E1990" i="13"/>
  <c r="E1989" i="13"/>
  <c r="E1988" i="13"/>
  <c r="E1987" i="13"/>
  <c r="E1986" i="13"/>
  <c r="E1985" i="13"/>
  <c r="E1984" i="13"/>
  <c r="E1983" i="13"/>
  <c r="E1982" i="13"/>
  <c r="E1981" i="13"/>
  <c r="E1980" i="13"/>
  <c r="E1979" i="13"/>
  <c r="E1978" i="13"/>
  <c r="E1977" i="13"/>
  <c r="E1976" i="13"/>
  <c r="E1975" i="13"/>
  <c r="E1974" i="13"/>
  <c r="E1973" i="13"/>
  <c r="E1972" i="13"/>
  <c r="E1971" i="13"/>
  <c r="E1970" i="13"/>
  <c r="E1969" i="13"/>
  <c r="E1968" i="13"/>
  <c r="E1967" i="13"/>
  <c r="E1966" i="13"/>
  <c r="E1965" i="13"/>
  <c r="E1964" i="13"/>
  <c r="E1963" i="13"/>
  <c r="E1962" i="13"/>
  <c r="E1961" i="13"/>
  <c r="E1960" i="13"/>
  <c r="E1959" i="13"/>
  <c r="E1958" i="13"/>
  <c r="E1957" i="13"/>
  <c r="E1956" i="13"/>
  <c r="E1955" i="13"/>
  <c r="E1954" i="13"/>
  <c r="E1953" i="13"/>
  <c r="E1952" i="13"/>
  <c r="E1951" i="13"/>
  <c r="E1950" i="13"/>
  <c r="E1949" i="13"/>
  <c r="E1948" i="13"/>
  <c r="E1947" i="13"/>
  <c r="E1946" i="13"/>
  <c r="E1945" i="13"/>
  <c r="E1944" i="13"/>
  <c r="E1943" i="13"/>
  <c r="E1942" i="13"/>
  <c r="E1941" i="13"/>
  <c r="E1940" i="13"/>
  <c r="E1939" i="13"/>
  <c r="E1938" i="13"/>
  <c r="E1937" i="13"/>
  <c r="E1936" i="13"/>
  <c r="E1935" i="13"/>
  <c r="E1934" i="13"/>
  <c r="E1933" i="13"/>
  <c r="E1932" i="13"/>
  <c r="E1931" i="13"/>
  <c r="E1930" i="13"/>
  <c r="E1929" i="13"/>
  <c r="E1928" i="13"/>
  <c r="E1927" i="13"/>
  <c r="E1926" i="13"/>
  <c r="E1925" i="13"/>
  <c r="E1924" i="13"/>
  <c r="E1923" i="13"/>
  <c r="E1922" i="13"/>
  <c r="E1921" i="13"/>
  <c r="E1920" i="13"/>
  <c r="E1919" i="13"/>
  <c r="E1918" i="13"/>
  <c r="E1917" i="13"/>
  <c r="E1916" i="13"/>
  <c r="E1915" i="13"/>
  <c r="E1914" i="13"/>
  <c r="E1913" i="13"/>
  <c r="E1912" i="13"/>
  <c r="E1911" i="13"/>
  <c r="E1910" i="13"/>
  <c r="E1909" i="13"/>
  <c r="E1908" i="13"/>
  <c r="E1907" i="13"/>
  <c r="E1906" i="13"/>
  <c r="E1905" i="13"/>
  <c r="E1904" i="13"/>
  <c r="E1903" i="13"/>
  <c r="E1902" i="13"/>
  <c r="E1901" i="13"/>
  <c r="E1900" i="13"/>
  <c r="E1899" i="13"/>
  <c r="E1898" i="13"/>
  <c r="E1897" i="13"/>
  <c r="E1896" i="13"/>
  <c r="E1895" i="13"/>
  <c r="E1894" i="13"/>
  <c r="E1893" i="13"/>
  <c r="E1892" i="13"/>
  <c r="E1891" i="13"/>
  <c r="E1890" i="13"/>
  <c r="E1889" i="13"/>
  <c r="E1888" i="13"/>
  <c r="E1887" i="13"/>
  <c r="E1886" i="13"/>
  <c r="E1885" i="13"/>
  <c r="E1884" i="13"/>
  <c r="E1883" i="13"/>
  <c r="E1882" i="13"/>
  <c r="E1881" i="13"/>
  <c r="E1880" i="13"/>
  <c r="E1879" i="13"/>
  <c r="E1878" i="13"/>
  <c r="E1877" i="13"/>
  <c r="E1876" i="13"/>
  <c r="E1875" i="13"/>
  <c r="E1874" i="13"/>
  <c r="E1873" i="13"/>
  <c r="E1872" i="13"/>
  <c r="E1871" i="13"/>
  <c r="E1870" i="13"/>
  <c r="E1869" i="13"/>
  <c r="E1868" i="13"/>
  <c r="E1867" i="13"/>
  <c r="E1866" i="13"/>
  <c r="E1865" i="13"/>
  <c r="E1864" i="13"/>
  <c r="E1863" i="13"/>
  <c r="E1862" i="13"/>
  <c r="E1861" i="13"/>
  <c r="E1860" i="13"/>
  <c r="E1859" i="13"/>
  <c r="E1858" i="13"/>
  <c r="E1857" i="13"/>
  <c r="E1856" i="13"/>
  <c r="E1855" i="13"/>
  <c r="E1854" i="13"/>
  <c r="E1853" i="13"/>
  <c r="E1852" i="13"/>
  <c r="E1851" i="13"/>
  <c r="E1850" i="13"/>
  <c r="E1849" i="13"/>
  <c r="E1848" i="13"/>
  <c r="E1847" i="13"/>
  <c r="E1845" i="13"/>
  <c r="E1844" i="13"/>
  <c r="E1843" i="13"/>
  <c r="E1842" i="13"/>
  <c r="E1841" i="13"/>
  <c r="E1840" i="13"/>
  <c r="E1839" i="13"/>
  <c r="E1838" i="13"/>
  <c r="E1837" i="13"/>
  <c r="E1836" i="13"/>
  <c r="E1835" i="13"/>
  <c r="E1834" i="13"/>
  <c r="E1833" i="13"/>
  <c r="E1832" i="13"/>
  <c r="E1831" i="13"/>
  <c r="E1830" i="13"/>
  <c r="E1829" i="13"/>
  <c r="E1828" i="13"/>
  <c r="E1826" i="13"/>
  <c r="E1825" i="13"/>
  <c r="E1824" i="13"/>
  <c r="E1823" i="13"/>
  <c r="E1822" i="13"/>
  <c r="E1821" i="13"/>
  <c r="E1820" i="13"/>
  <c r="E1819" i="13"/>
  <c r="E1818" i="13"/>
  <c r="E1817" i="13"/>
  <c r="E1816" i="13"/>
  <c r="E1815" i="13"/>
  <c r="E1814" i="13"/>
  <c r="E1813" i="13"/>
  <c r="E1812" i="13"/>
  <c r="E1811" i="13"/>
  <c r="E1810" i="13"/>
  <c r="E1809" i="13"/>
  <c r="E1808" i="13"/>
  <c r="E1807" i="13"/>
  <c r="E1806" i="13"/>
  <c r="E1805" i="13"/>
  <c r="E1804" i="13"/>
  <c r="E1803" i="13"/>
  <c r="E1802" i="13"/>
  <c r="E1801" i="13"/>
  <c r="E1800" i="13"/>
  <c r="E1799" i="13"/>
  <c r="E1798" i="13"/>
  <c r="E1797" i="13"/>
  <c r="E1796" i="13"/>
  <c r="E1795" i="13"/>
  <c r="E1794" i="13"/>
  <c r="E1793" i="13"/>
  <c r="E1792" i="13"/>
  <c r="E1791" i="13"/>
  <c r="E1790" i="13"/>
  <c r="E1789" i="13"/>
  <c r="E1788" i="13"/>
  <c r="E1787" i="13"/>
  <c r="E1786" i="13"/>
  <c r="E1785" i="13"/>
  <c r="E1784" i="13"/>
  <c r="E1783" i="13"/>
  <c r="E1782" i="13"/>
  <c r="E1781" i="13"/>
  <c r="E1780" i="13"/>
  <c r="E1779" i="13"/>
  <c r="E1778" i="13"/>
  <c r="E1777" i="13"/>
  <c r="E1776" i="13"/>
  <c r="E1775" i="13"/>
  <c r="E1774" i="13"/>
  <c r="E1773" i="13"/>
  <c r="E1772" i="13"/>
  <c r="E1771" i="13"/>
  <c r="E1770" i="13"/>
  <c r="E1769" i="13"/>
  <c r="E1768" i="13"/>
  <c r="E1767" i="13"/>
  <c r="E1766" i="13"/>
  <c r="E1765" i="13"/>
  <c r="E1764" i="13"/>
  <c r="E1763" i="13"/>
  <c r="E1762" i="13"/>
  <c r="E1761" i="13"/>
  <c r="E1760" i="13"/>
  <c r="E1759" i="13"/>
  <c r="E1758" i="13"/>
  <c r="E1757" i="13"/>
  <c r="E1756" i="13"/>
  <c r="E1755" i="13"/>
  <c r="E1754" i="13"/>
  <c r="E1753" i="13"/>
  <c r="E1752" i="13"/>
  <c r="E1751" i="13"/>
  <c r="E1750" i="13"/>
  <c r="E1749" i="13"/>
  <c r="E1748" i="13"/>
  <c r="E1747" i="13"/>
  <c r="E1746" i="13"/>
  <c r="E1745" i="13"/>
  <c r="E1744" i="13"/>
  <c r="E1743" i="13"/>
  <c r="E1742" i="13"/>
  <c r="E1741" i="13"/>
  <c r="E1740" i="13"/>
  <c r="E1739" i="13"/>
  <c r="E1738" i="13"/>
  <c r="E1737" i="13"/>
  <c r="E1736" i="13"/>
  <c r="E1735" i="13"/>
  <c r="E1734" i="13"/>
  <c r="E1733" i="13"/>
  <c r="E1732" i="13"/>
  <c r="E1731" i="13"/>
  <c r="E1730" i="13"/>
  <c r="E1729" i="13"/>
  <c r="E1728" i="13"/>
  <c r="E1727" i="13"/>
  <c r="E1726" i="13"/>
  <c r="E1725" i="13"/>
  <c r="E1724" i="13"/>
  <c r="E1723" i="13"/>
  <c r="E1722" i="13"/>
  <c r="E1721" i="13"/>
  <c r="E1720" i="13"/>
  <c r="E1719" i="13"/>
  <c r="E1718" i="13"/>
  <c r="E1717" i="13"/>
  <c r="E1716" i="13"/>
  <c r="E1715" i="13"/>
  <c r="E1714" i="13"/>
  <c r="E1713" i="13"/>
  <c r="E1712" i="13"/>
  <c r="E1711" i="13"/>
  <c r="E1710" i="13"/>
  <c r="E1709" i="13"/>
  <c r="E1708" i="13"/>
  <c r="E1707" i="13"/>
  <c r="E1706" i="13"/>
  <c r="E1705" i="13"/>
  <c r="E1704" i="13"/>
  <c r="E1703" i="13"/>
  <c r="E1702" i="13"/>
  <c r="E1701" i="13"/>
  <c r="E1700" i="13"/>
  <c r="E1699" i="13"/>
  <c r="E1698" i="13"/>
  <c r="E1697" i="13"/>
  <c r="E1696" i="13"/>
  <c r="E1695" i="13"/>
  <c r="E1694" i="13"/>
  <c r="E1693" i="13"/>
  <c r="E1692" i="13"/>
  <c r="E1691" i="13"/>
  <c r="E1690" i="13"/>
  <c r="E1689" i="13"/>
  <c r="E1688" i="13"/>
  <c r="E1687" i="13"/>
  <c r="E1686" i="13"/>
  <c r="E1685" i="13"/>
  <c r="E1684" i="13"/>
  <c r="E1683" i="13"/>
  <c r="E1682" i="13"/>
  <c r="E1681" i="13"/>
  <c r="E1680" i="13"/>
  <c r="E1679" i="13"/>
  <c r="E1678" i="13"/>
  <c r="E1677" i="13"/>
  <c r="E1676" i="13"/>
  <c r="E1675" i="13"/>
  <c r="E1674" i="13"/>
  <c r="E1673" i="13"/>
  <c r="E1672" i="13"/>
  <c r="E1671" i="13"/>
  <c r="E1670" i="13"/>
  <c r="E1669" i="13"/>
  <c r="E1667" i="13"/>
  <c r="E1666" i="13"/>
  <c r="E1665" i="13"/>
  <c r="E1664" i="13"/>
  <c r="E1663" i="13"/>
  <c r="E1662" i="13"/>
  <c r="E1661" i="13"/>
  <c r="E1660" i="13"/>
  <c r="E1659" i="13"/>
  <c r="E1658" i="13"/>
  <c r="E1657" i="13"/>
  <c r="E1656" i="13"/>
  <c r="E1655" i="13"/>
  <c r="E1654" i="13"/>
  <c r="E1653" i="13"/>
  <c r="E1652" i="13"/>
  <c r="E1651" i="13"/>
  <c r="E1650" i="13"/>
  <c r="E1649" i="13"/>
  <c r="E1647" i="13"/>
  <c r="E1646" i="13"/>
  <c r="E1645" i="13"/>
  <c r="E1644" i="13"/>
  <c r="E1643" i="13"/>
  <c r="E1642" i="13"/>
  <c r="E1641" i="13"/>
  <c r="E1640" i="13"/>
  <c r="E1639" i="13"/>
  <c r="E1638" i="13"/>
  <c r="E1637" i="13"/>
  <c r="E1636" i="13"/>
  <c r="E1635" i="13"/>
  <c r="E1634" i="13"/>
  <c r="E1633" i="13"/>
  <c r="E1632" i="13"/>
  <c r="E1631" i="13"/>
  <c r="E1630" i="13"/>
  <c r="E1629" i="13"/>
  <c r="E1628" i="13"/>
  <c r="E1627" i="13"/>
  <c r="E1626" i="13"/>
  <c r="E1625" i="13"/>
  <c r="E1623" i="13"/>
  <c r="E1622" i="13"/>
  <c r="E1621" i="13"/>
  <c r="E1620" i="13"/>
  <c r="E1619" i="13"/>
  <c r="E1618" i="13"/>
  <c r="E1617" i="13"/>
  <c r="E1615" i="13"/>
  <c r="E1614" i="13"/>
  <c r="E1613" i="13"/>
  <c r="E1612" i="13"/>
  <c r="E1611" i="13"/>
  <c r="E1610" i="13"/>
  <c r="E1609" i="13"/>
  <c r="E1608" i="13"/>
  <c r="E1607" i="13"/>
  <c r="E1606" i="13"/>
  <c r="E1605" i="13"/>
  <c r="E1603" i="13"/>
  <c r="E1602" i="13"/>
  <c r="E1601" i="13"/>
  <c r="E1600" i="13"/>
  <c r="E1598" i="13"/>
  <c r="E1597" i="13"/>
  <c r="E1596" i="13"/>
  <c r="E1595" i="13"/>
  <c r="E1594" i="13"/>
  <c r="E1593" i="13"/>
  <c r="E1592" i="13"/>
  <c r="E1591" i="13"/>
  <c r="E1590" i="13"/>
  <c r="E1589" i="13"/>
  <c r="E1588" i="13"/>
  <c r="E1587" i="13"/>
  <c r="E1586" i="13"/>
  <c r="E1585" i="13"/>
  <c r="E1584" i="13"/>
  <c r="E1583" i="13"/>
  <c r="E1582" i="13"/>
  <c r="E1581" i="13"/>
  <c r="E1580" i="13"/>
  <c r="E1579" i="13"/>
  <c r="E1578" i="13"/>
  <c r="E1577" i="13"/>
  <c r="E1576" i="13"/>
  <c r="E1575" i="13"/>
  <c r="E1574" i="13"/>
  <c r="E1573" i="13"/>
  <c r="E1572" i="13"/>
  <c r="E1571" i="13"/>
  <c r="E1570" i="13"/>
  <c r="E1569" i="13"/>
  <c r="E1568" i="13"/>
  <c r="E1567" i="13"/>
  <c r="E1566" i="13"/>
  <c r="E1565" i="13"/>
  <c r="E1564" i="13"/>
  <c r="E1563" i="13"/>
  <c r="E1562" i="13"/>
  <c r="E1561" i="13"/>
  <c r="E1560" i="13"/>
  <c r="E1559" i="13"/>
  <c r="E1558" i="13"/>
  <c r="E1557" i="13"/>
  <c r="E1556" i="13"/>
  <c r="E1555" i="13"/>
  <c r="E1554" i="13"/>
  <c r="E1553" i="13"/>
  <c r="E1552" i="13"/>
  <c r="E1551" i="13"/>
  <c r="E1550" i="13"/>
  <c r="E1549" i="13"/>
  <c r="E1548" i="13"/>
  <c r="E1547" i="13"/>
  <c r="E1546" i="13"/>
  <c r="E1545" i="13"/>
  <c r="E1544" i="13"/>
  <c r="E1543" i="13"/>
  <c r="E1542" i="13"/>
  <c r="E1541" i="13"/>
  <c r="E1540" i="13"/>
  <c r="E1539" i="13"/>
  <c r="E1538" i="13"/>
  <c r="E1537" i="13"/>
  <c r="E1536" i="13"/>
  <c r="E1535" i="13"/>
  <c r="E1534" i="13"/>
  <c r="E1533" i="13"/>
  <c r="E1532" i="13"/>
  <c r="E1531" i="13"/>
  <c r="E1530" i="13"/>
  <c r="E1529" i="13"/>
  <c r="E1528" i="13"/>
  <c r="E1527" i="13"/>
  <c r="E1526" i="13"/>
  <c r="E1525" i="13"/>
  <c r="E1524" i="13"/>
  <c r="E1523" i="13"/>
  <c r="E1522" i="13"/>
  <c r="E1521" i="13"/>
  <c r="E1520" i="13"/>
  <c r="E1519" i="13"/>
  <c r="E1518" i="13"/>
  <c r="E1517" i="13"/>
  <c r="E1516" i="13"/>
  <c r="E1515" i="13"/>
  <c r="E1514" i="13"/>
  <c r="E1513" i="13"/>
  <c r="E1512" i="13"/>
  <c r="E1511" i="13"/>
  <c r="E1510" i="13"/>
  <c r="E1509" i="13"/>
  <c r="E1508" i="13"/>
  <c r="E1507" i="13"/>
  <c r="E1506" i="13"/>
  <c r="E1505" i="13"/>
  <c r="E1504" i="13"/>
  <c r="E1503" i="13"/>
  <c r="E1502" i="13"/>
  <c r="E1501" i="13"/>
  <c r="E1500" i="13"/>
  <c r="E1499" i="13"/>
  <c r="E1498" i="13"/>
  <c r="E1497" i="13"/>
  <c r="E1496" i="13"/>
  <c r="E1495" i="13"/>
  <c r="E1494" i="13"/>
  <c r="E1493" i="13"/>
  <c r="E1492" i="13"/>
  <c r="E1491" i="13"/>
  <c r="E1490" i="13"/>
  <c r="E1489" i="13"/>
  <c r="E1488" i="13"/>
  <c r="E1487" i="13"/>
  <c r="E1486" i="13"/>
  <c r="E1485" i="13"/>
  <c r="E1484" i="13"/>
  <c r="E1483" i="13"/>
  <c r="E1482" i="13"/>
  <c r="E1481" i="13"/>
  <c r="E1480" i="13"/>
  <c r="E1479" i="13"/>
  <c r="E1478" i="13"/>
  <c r="E1477" i="13"/>
  <c r="E1476" i="13"/>
  <c r="E1475" i="13"/>
  <c r="E1474" i="13"/>
  <c r="E1473" i="13"/>
  <c r="E1472" i="13"/>
  <c r="E1470" i="13"/>
  <c r="E1469" i="13"/>
  <c r="E1468" i="13"/>
  <c r="E1467" i="13"/>
  <c r="E1466" i="13"/>
  <c r="E1465" i="13"/>
  <c r="E1464" i="13"/>
  <c r="E1463" i="13"/>
  <c r="E1462" i="13"/>
  <c r="E1461" i="13"/>
  <c r="E1460" i="13"/>
  <c r="E1459" i="13"/>
  <c r="E1458" i="13"/>
  <c r="E1457" i="13"/>
  <c r="E1456" i="13"/>
  <c r="E1455" i="13"/>
  <c r="E1454" i="13"/>
  <c r="E1453" i="13"/>
  <c r="E1452" i="13"/>
  <c r="E1451" i="13"/>
  <c r="E1450" i="13"/>
  <c r="E1449" i="13"/>
  <c r="E1448" i="13"/>
  <c r="E1447" i="13"/>
  <c r="E1446" i="13"/>
  <c r="E1445" i="13"/>
  <c r="E1444" i="13"/>
  <c r="E1443" i="13"/>
  <c r="E1442" i="13"/>
  <c r="E1441" i="13"/>
  <c r="E1440" i="13"/>
  <c r="E1439" i="13"/>
  <c r="E1438" i="13"/>
  <c r="E1437" i="13"/>
  <c r="E1436" i="13"/>
  <c r="E1435" i="13"/>
  <c r="E1434" i="13"/>
  <c r="E1433" i="13"/>
  <c r="E1432" i="13"/>
  <c r="E1431" i="13"/>
  <c r="E1430" i="13"/>
  <c r="E1429" i="13"/>
  <c r="E1428" i="13"/>
  <c r="E1427" i="13"/>
  <c r="E1426" i="13"/>
  <c r="E1425" i="13"/>
  <c r="E1424" i="13"/>
  <c r="E1423" i="13"/>
  <c r="E1422" i="13"/>
  <c r="E1421" i="13"/>
  <c r="E1420" i="13"/>
  <c r="E1419" i="13"/>
  <c r="E1418" i="13"/>
  <c r="E1417" i="13"/>
  <c r="E1416" i="13"/>
  <c r="E1415" i="13"/>
  <c r="E1414" i="13"/>
  <c r="E1413" i="13"/>
  <c r="E1412" i="13"/>
  <c r="E1411" i="13"/>
  <c r="E1410" i="13"/>
  <c r="E1409" i="13"/>
  <c r="E1408" i="13"/>
  <c r="E1407" i="13"/>
  <c r="E1406" i="13"/>
  <c r="E1405" i="13"/>
  <c r="E1404" i="13"/>
  <c r="E1403" i="13"/>
  <c r="E1402" i="13"/>
  <c r="E1401" i="13"/>
  <c r="E1400" i="13"/>
  <c r="E1399" i="13"/>
  <c r="E1398" i="13"/>
  <c r="E1397" i="13"/>
  <c r="E1396" i="13"/>
  <c r="E1395" i="13"/>
  <c r="E1394" i="13"/>
  <c r="E1393" i="13"/>
  <c r="E1392" i="13"/>
  <c r="E1391" i="13"/>
  <c r="E1390" i="13"/>
  <c r="E1389" i="13"/>
  <c r="E1388" i="13"/>
  <c r="E1387" i="13"/>
  <c r="E1383" i="13"/>
  <c r="E1382" i="13"/>
  <c r="E1381" i="13"/>
  <c r="E1380" i="13"/>
  <c r="E1379" i="13"/>
  <c r="E1378" i="13"/>
  <c r="E1377" i="13"/>
  <c r="E1376" i="13"/>
  <c r="E1375" i="13"/>
  <c r="E1374" i="13"/>
  <c r="E1373" i="13"/>
  <c r="E1372" i="13"/>
  <c r="E1371" i="13"/>
  <c r="E1370" i="13"/>
  <c r="E1369" i="13"/>
  <c r="E1368" i="13"/>
  <c r="E1367" i="13"/>
  <c r="E1366" i="13"/>
  <c r="E1365" i="13"/>
  <c r="E1364" i="13"/>
  <c r="E1363" i="13"/>
  <c r="E1362" i="13"/>
  <c r="E1361" i="13"/>
  <c r="E1360" i="13"/>
  <c r="E1359" i="13"/>
  <c r="E1358" i="13"/>
  <c r="E1357" i="13"/>
  <c r="E1356" i="13"/>
  <c r="E1355" i="13"/>
  <c r="E1354" i="13"/>
  <c r="E1353" i="13"/>
  <c r="E1352" i="13"/>
  <c r="E1351" i="13"/>
  <c r="E1350" i="13"/>
  <c r="E1349" i="13"/>
  <c r="E1348" i="13"/>
  <c r="E1347" i="13"/>
  <c r="E1346" i="13"/>
  <c r="E1345" i="13"/>
  <c r="E1344" i="13"/>
  <c r="E1343" i="13"/>
  <c r="E1342" i="13"/>
  <c r="E1341" i="13"/>
  <c r="E1340" i="13"/>
  <c r="E1339" i="13"/>
  <c r="E1338" i="13"/>
  <c r="E1337" i="13"/>
  <c r="E1336" i="13"/>
  <c r="E1335" i="13"/>
  <c r="E1334" i="13"/>
  <c r="E1333" i="13"/>
  <c r="E1332" i="13"/>
  <c r="E1331" i="13"/>
  <c r="E1330" i="13"/>
  <c r="E1329" i="13"/>
  <c r="E1328" i="13"/>
  <c r="E1327" i="13"/>
  <c r="E1326" i="13"/>
  <c r="E1325" i="13"/>
  <c r="E1324" i="13"/>
  <c r="E1323" i="13"/>
  <c r="E1322" i="13"/>
  <c r="E1321" i="13"/>
  <c r="E1320" i="13"/>
  <c r="E1319" i="13"/>
  <c r="E1318" i="13"/>
  <c r="E1317" i="13"/>
  <c r="E1316" i="13"/>
  <c r="E1315" i="13"/>
  <c r="E1314" i="13"/>
  <c r="E1313" i="13"/>
  <c r="E1312" i="13"/>
  <c r="E1311" i="13"/>
  <c r="E1310" i="13"/>
  <c r="E1309" i="13"/>
  <c r="E1308" i="13"/>
  <c r="E1307" i="13"/>
  <c r="E1306" i="13"/>
  <c r="E1305" i="13"/>
  <c r="E1304" i="13"/>
  <c r="E1303" i="13"/>
  <c r="E1302" i="13"/>
  <c r="E1301" i="13"/>
  <c r="E1300" i="13"/>
  <c r="E1299" i="13"/>
  <c r="E1298" i="13"/>
  <c r="E1297" i="13"/>
  <c r="E1296" i="13"/>
  <c r="E1295" i="13"/>
  <c r="E1294" i="13"/>
  <c r="E1293" i="13"/>
  <c r="E1292" i="13"/>
  <c r="E1291" i="13"/>
  <c r="E1290" i="13"/>
  <c r="E1289" i="13"/>
  <c r="E1288" i="13"/>
  <c r="E1287" i="13"/>
  <c r="E1286" i="13"/>
  <c r="E1285" i="13"/>
  <c r="E1284" i="13"/>
  <c r="E1283" i="13"/>
  <c r="E1282" i="13"/>
  <c r="E1281" i="13"/>
  <c r="E1280" i="13"/>
  <c r="E1279" i="13"/>
  <c r="E1278" i="13"/>
  <c r="E1277" i="13"/>
  <c r="E1276" i="13"/>
  <c r="E1275" i="13"/>
  <c r="E1274" i="13"/>
  <c r="E1273" i="13"/>
  <c r="E1272" i="13"/>
  <c r="E1271" i="13"/>
  <c r="E1270" i="13"/>
  <c r="E1269" i="13"/>
  <c r="E1268" i="13"/>
  <c r="E1267" i="13"/>
  <c r="E1266" i="13"/>
  <c r="E1265" i="13"/>
  <c r="E1264" i="13"/>
  <c r="E1263" i="13"/>
  <c r="E1262" i="13"/>
  <c r="E1261" i="13"/>
  <c r="E1260" i="13"/>
  <c r="E1259" i="13"/>
  <c r="E1258" i="13"/>
  <c r="E1257" i="13"/>
  <c r="E1256" i="13"/>
  <c r="E1255" i="13"/>
  <c r="E1254" i="13"/>
  <c r="E1253" i="13"/>
  <c r="E1252" i="13"/>
  <c r="E1251" i="13"/>
  <c r="E1250" i="13"/>
  <c r="E1249" i="13"/>
  <c r="E1248" i="13"/>
  <c r="E1247" i="13"/>
  <c r="E1246" i="13"/>
  <c r="E1245" i="13"/>
  <c r="E1244" i="13"/>
  <c r="E1243" i="13"/>
  <c r="E1242" i="13"/>
  <c r="E1241" i="13"/>
  <c r="E1240" i="13"/>
  <c r="E1239" i="13"/>
  <c r="E1238" i="13"/>
  <c r="E1237" i="13"/>
  <c r="E1236" i="13"/>
  <c r="E1235" i="13"/>
  <c r="E1234" i="13"/>
  <c r="E1233" i="13"/>
  <c r="E1232" i="13"/>
  <c r="E1231" i="13"/>
  <c r="E1230" i="13"/>
  <c r="E1229" i="13"/>
  <c r="E1228" i="13"/>
  <c r="E1227" i="13"/>
  <c r="E1226" i="13"/>
  <c r="E1225" i="13"/>
  <c r="E1224" i="13"/>
  <c r="E1223" i="13"/>
  <c r="E1222" i="13"/>
  <c r="E1221" i="13"/>
  <c r="E1220" i="13"/>
  <c r="E1219" i="13"/>
  <c r="E1218" i="13"/>
  <c r="E1217" i="13"/>
  <c r="E1216" i="13"/>
  <c r="E1215" i="13"/>
  <c r="E1214" i="13"/>
  <c r="E1213" i="13"/>
  <c r="E1212" i="13"/>
  <c r="E1211" i="13"/>
  <c r="E1210" i="13"/>
  <c r="E1209" i="13"/>
  <c r="E1208" i="13"/>
  <c r="E1207" i="13"/>
  <c r="E1206" i="13"/>
  <c r="E1205" i="13"/>
  <c r="E1204" i="13"/>
  <c r="E1203" i="13"/>
  <c r="E1202" i="13"/>
  <c r="E1201" i="13"/>
  <c r="E1200" i="13"/>
  <c r="E1199" i="13"/>
  <c r="E1198" i="13"/>
  <c r="E1197" i="13"/>
  <c r="E1196" i="13"/>
  <c r="E1195" i="13"/>
  <c r="E1194" i="13"/>
  <c r="E1193" i="13"/>
  <c r="E1192" i="13"/>
  <c r="E1191" i="13"/>
  <c r="E1190" i="13"/>
  <c r="E1189" i="13"/>
  <c r="E1188" i="13"/>
  <c r="E1187" i="13"/>
  <c r="E1186" i="13"/>
  <c r="E1185" i="13"/>
  <c r="E1184" i="13"/>
  <c r="E1183" i="13"/>
  <c r="E1182" i="13"/>
  <c r="E1181" i="13"/>
  <c r="E1180" i="13"/>
  <c r="E1179" i="13"/>
  <c r="E1178" i="13"/>
  <c r="E1177" i="13"/>
  <c r="E1176" i="13"/>
  <c r="E1175" i="13"/>
  <c r="E1174" i="13"/>
  <c r="E1173" i="13"/>
  <c r="E1172" i="13"/>
  <c r="E1171" i="13"/>
  <c r="E1170" i="13"/>
  <c r="E1169" i="13"/>
  <c r="E1168" i="13"/>
  <c r="E1167" i="13"/>
  <c r="E1166" i="13"/>
  <c r="E1165" i="13"/>
  <c r="E1164" i="13"/>
  <c r="E1163" i="13"/>
  <c r="E1162" i="13"/>
  <c r="E1161" i="13"/>
  <c r="E1160" i="13"/>
  <c r="E1159" i="13"/>
  <c r="E1158" i="13"/>
  <c r="E1157" i="13"/>
  <c r="E1156" i="13"/>
  <c r="E1155" i="13"/>
  <c r="E1154" i="13"/>
  <c r="E1153" i="13"/>
  <c r="E1152" i="13"/>
  <c r="E1151" i="13"/>
  <c r="E1150" i="13"/>
  <c r="E1149" i="13"/>
  <c r="E1148" i="13"/>
  <c r="E1147" i="13"/>
  <c r="E1146" i="13"/>
  <c r="E1145" i="13"/>
  <c r="E1144" i="13"/>
  <c r="E1143" i="13"/>
  <c r="E1142" i="13"/>
  <c r="E1141" i="13"/>
  <c r="E1140" i="13"/>
  <c r="E1139" i="13"/>
  <c r="E1138" i="13"/>
  <c r="E1137" i="13"/>
  <c r="E1136" i="13"/>
  <c r="E1135" i="13"/>
  <c r="E1134" i="13"/>
  <c r="E1133" i="13"/>
  <c r="E1132" i="13"/>
  <c r="E1131" i="13"/>
  <c r="E1130" i="13"/>
  <c r="E1129" i="13"/>
  <c r="E1128" i="13"/>
  <c r="E1127" i="13"/>
  <c r="E1126" i="13"/>
  <c r="E1125" i="13"/>
  <c r="E1124" i="13"/>
  <c r="E1123" i="13"/>
  <c r="E1122" i="13"/>
  <c r="E1121" i="13"/>
  <c r="E1120" i="13"/>
  <c r="E1119" i="13"/>
  <c r="E1118" i="13"/>
  <c r="E1117" i="13"/>
  <c r="E1116" i="13"/>
  <c r="E1115" i="13"/>
  <c r="E1114" i="13"/>
  <c r="E1113" i="13"/>
  <c r="E1112" i="13"/>
  <c r="E1111" i="13"/>
  <c r="E1110" i="13"/>
  <c r="E1109" i="13"/>
  <c r="E1108" i="13"/>
  <c r="E1107" i="13"/>
  <c r="E1106" i="13"/>
  <c r="E1105" i="13"/>
  <c r="E1104" i="13"/>
  <c r="E1103" i="13"/>
  <c r="E1102" i="13"/>
  <c r="E1101" i="13"/>
  <c r="E1100" i="13"/>
  <c r="E1099" i="13"/>
  <c r="E1098" i="13"/>
  <c r="E1097" i="13"/>
  <c r="E1096" i="13"/>
  <c r="E1095" i="13"/>
  <c r="E1094" i="13"/>
  <c r="E1093" i="13"/>
  <c r="E1092" i="13"/>
  <c r="E1091" i="13"/>
  <c r="E1090" i="13"/>
  <c r="E1089" i="13"/>
  <c r="E1088" i="13"/>
  <c r="E1087" i="13"/>
  <c r="E1086" i="13"/>
  <c r="E1085" i="13"/>
  <c r="E1084" i="13"/>
  <c r="E1083" i="13"/>
  <c r="E1082" i="13"/>
  <c r="E1081" i="13"/>
  <c r="E1080" i="13"/>
  <c r="E1079" i="13"/>
  <c r="E1078" i="13"/>
  <c r="E1077" i="13"/>
  <c r="E1076" i="13"/>
  <c r="E1075" i="13"/>
  <c r="E1074" i="13"/>
  <c r="E1073" i="13"/>
  <c r="E1072" i="13"/>
  <c r="E1071" i="13"/>
  <c r="E1070" i="13"/>
  <c r="E1069" i="13"/>
  <c r="E1068" i="13"/>
  <c r="E1067" i="13"/>
  <c r="E1066" i="13"/>
  <c r="E1065" i="13"/>
  <c r="E1064" i="13"/>
  <c r="E1063" i="13"/>
  <c r="E1062" i="13"/>
  <c r="E1061" i="13"/>
  <c r="E1060" i="13"/>
  <c r="E1059" i="13"/>
  <c r="E1058" i="13"/>
  <c r="E1057" i="13"/>
  <c r="E1056" i="13"/>
  <c r="E1055" i="13"/>
  <c r="E1054" i="13"/>
  <c r="E1053" i="13"/>
  <c r="E1052" i="13"/>
  <c r="E1051" i="13"/>
  <c r="E1050" i="13"/>
  <c r="E1049" i="13"/>
  <c r="E1048" i="13"/>
  <c r="E1047" i="13"/>
  <c r="E1046" i="13"/>
  <c r="E1045" i="13"/>
  <c r="E1044" i="13"/>
  <c r="E1043" i="13"/>
  <c r="E1042" i="13"/>
  <c r="E1041" i="13"/>
  <c r="E1040" i="13"/>
  <c r="E1039" i="13"/>
  <c r="E1038" i="13"/>
  <c r="E1037" i="13"/>
  <c r="E1036" i="13"/>
  <c r="E1035" i="13"/>
  <c r="E1034" i="13"/>
  <c r="E1033" i="13"/>
  <c r="E1032" i="13"/>
  <c r="E1031" i="13"/>
  <c r="E1030" i="13"/>
  <c r="E1029" i="13"/>
  <c r="E1028" i="13"/>
  <c r="E1027" i="13"/>
  <c r="E1026" i="13"/>
  <c r="E1025" i="13"/>
  <c r="E1024" i="13"/>
  <c r="E1023" i="13"/>
  <c r="E1022" i="13"/>
  <c r="E1021" i="13"/>
  <c r="E1020" i="13"/>
  <c r="E1019" i="13"/>
  <c r="E1018" i="13"/>
  <c r="E1017" i="13"/>
  <c r="E1016" i="13"/>
  <c r="E1015" i="13"/>
  <c r="E1014" i="13"/>
  <c r="E1013" i="13"/>
  <c r="E1012" i="13"/>
  <c r="E1011" i="13"/>
  <c r="E1010" i="13"/>
  <c r="E1009" i="13"/>
  <c r="E1008" i="13"/>
  <c r="E1007" i="13"/>
  <c r="E1006" i="13"/>
  <c r="E1005" i="13"/>
  <c r="E1004" i="13"/>
  <c r="E1003" i="13"/>
  <c r="E1002" i="13"/>
  <c r="E1001" i="13"/>
  <c r="E1000" i="13"/>
  <c r="E999" i="13"/>
  <c r="E998" i="13"/>
  <c r="E997" i="13"/>
  <c r="E996" i="13"/>
  <c r="E995" i="13"/>
  <c r="E994" i="13"/>
  <c r="E993" i="13"/>
  <c r="E992" i="13"/>
  <c r="E991" i="13"/>
  <c r="E990" i="13"/>
  <c r="E989" i="13"/>
  <c r="E988" i="13"/>
  <c r="E987" i="13"/>
  <c r="E986" i="13"/>
  <c r="E985" i="13"/>
  <c r="E984" i="13"/>
  <c r="E983" i="13"/>
  <c r="E982" i="13"/>
  <c r="E981" i="13"/>
  <c r="E980" i="13"/>
  <c r="E979" i="13"/>
  <c r="E978" i="13"/>
  <c r="E977" i="13"/>
  <c r="E976" i="13"/>
  <c r="E975" i="13"/>
  <c r="E974" i="13"/>
  <c r="E973" i="13"/>
  <c r="E972" i="13"/>
  <c r="E971" i="13"/>
  <c r="E970" i="13"/>
  <c r="E969" i="13"/>
  <c r="E968" i="13"/>
  <c r="E967" i="13"/>
  <c r="E966" i="13"/>
  <c r="E965" i="13"/>
  <c r="E964" i="13"/>
  <c r="E963" i="13"/>
  <c r="E962" i="13"/>
  <c r="E961" i="13"/>
  <c r="E960" i="13"/>
  <c r="E959" i="13"/>
  <c r="E958" i="13"/>
  <c r="E957" i="13"/>
  <c r="E956" i="13"/>
  <c r="E955" i="13"/>
  <c r="E954" i="13"/>
  <c r="E953" i="13"/>
  <c r="E952" i="13"/>
  <c r="E951" i="13"/>
  <c r="E950" i="13"/>
  <c r="E949" i="13"/>
  <c r="E948" i="13"/>
  <c r="E947" i="13"/>
  <c r="E946" i="13"/>
  <c r="E945" i="13"/>
  <c r="E944" i="13"/>
  <c r="E943" i="13"/>
  <c r="E942" i="13"/>
  <c r="E941" i="13"/>
  <c r="E940" i="13"/>
  <c r="E939" i="13"/>
  <c r="E938" i="13"/>
  <c r="E937" i="13"/>
  <c r="E936" i="13"/>
  <c r="E935" i="13"/>
  <c r="E934" i="13"/>
  <c r="E933" i="13"/>
  <c r="E932" i="13"/>
  <c r="E931" i="13"/>
  <c r="E930" i="13"/>
  <c r="E929" i="13"/>
  <c r="E928" i="13"/>
  <c r="E927" i="13"/>
  <c r="E926" i="13"/>
  <c r="E925" i="13"/>
  <c r="E924" i="13"/>
  <c r="E923" i="13"/>
  <c r="E922" i="13"/>
  <c r="E921" i="13"/>
  <c r="E920" i="13"/>
  <c r="E919" i="13"/>
  <c r="E918" i="13"/>
  <c r="E917" i="13"/>
  <c r="E916" i="13"/>
  <c r="E915" i="13"/>
  <c r="E914" i="13"/>
  <c r="E913" i="13"/>
  <c r="E912" i="13"/>
  <c r="E911" i="13"/>
  <c r="E910" i="13"/>
  <c r="E909" i="13"/>
  <c r="E908" i="13"/>
  <c r="E907" i="13"/>
  <c r="E906" i="13"/>
  <c r="E905" i="13"/>
  <c r="E904" i="13"/>
  <c r="E903" i="13"/>
  <c r="E902" i="13"/>
  <c r="E901" i="13"/>
  <c r="E900" i="13"/>
  <c r="E899" i="13"/>
  <c r="E898" i="13"/>
  <c r="E897" i="13"/>
  <c r="E896" i="13"/>
  <c r="E895" i="13"/>
  <c r="E894" i="13"/>
  <c r="E893" i="13"/>
  <c r="E892" i="13"/>
  <c r="E891" i="13"/>
  <c r="E890" i="13"/>
  <c r="E889" i="13"/>
  <c r="E888" i="13"/>
  <c r="E887" i="13"/>
  <c r="E886" i="13"/>
  <c r="E885" i="13"/>
  <c r="E884" i="13"/>
  <c r="E883" i="13"/>
  <c r="E882" i="13"/>
  <c r="E881" i="13"/>
  <c r="E880" i="13"/>
  <c r="E879" i="13"/>
  <c r="E878" i="13"/>
  <c r="E877" i="13"/>
  <c r="E876" i="13"/>
  <c r="E875" i="13"/>
  <c r="E874" i="13"/>
  <c r="E873" i="13"/>
  <c r="E872" i="13"/>
  <c r="E871" i="13"/>
  <c r="E870" i="13"/>
  <c r="E869" i="13"/>
  <c r="E868" i="13"/>
  <c r="E867" i="13"/>
  <c r="E866" i="13"/>
  <c r="E865" i="13"/>
  <c r="E864" i="13"/>
  <c r="E863" i="13"/>
  <c r="E862" i="13"/>
  <c r="E861" i="13"/>
  <c r="E860" i="13"/>
  <c r="E859" i="13"/>
  <c r="E858" i="13"/>
  <c r="E857" i="13"/>
  <c r="E856" i="13"/>
  <c r="E855" i="13"/>
  <c r="E854" i="13"/>
  <c r="E853" i="13"/>
  <c r="E852" i="13"/>
  <c r="E851" i="13"/>
  <c r="E850" i="13"/>
  <c r="E849" i="13"/>
  <c r="E848" i="13"/>
  <c r="E847" i="13"/>
  <c r="E845" i="13"/>
  <c r="E844" i="13"/>
  <c r="E843" i="13"/>
  <c r="E842" i="13"/>
  <c r="E841" i="13"/>
  <c r="E840" i="13"/>
  <c r="E839" i="13"/>
  <c r="E838" i="13"/>
  <c r="E837" i="13"/>
  <c r="E836" i="13"/>
  <c r="E835" i="13"/>
  <c r="E834" i="13"/>
  <c r="E833" i="13"/>
  <c r="E832" i="13"/>
  <c r="E831" i="13"/>
  <c r="E830" i="13"/>
  <c r="E829" i="13"/>
  <c r="E828" i="13"/>
  <c r="E827" i="13"/>
  <c r="E826" i="13"/>
  <c r="E825" i="13"/>
  <c r="E824" i="13"/>
  <c r="E823" i="13"/>
  <c r="E822" i="13"/>
  <c r="E821" i="13"/>
  <c r="E820" i="13"/>
  <c r="E819" i="13"/>
  <c r="E818" i="13"/>
  <c r="E817" i="13"/>
  <c r="E816" i="13"/>
  <c r="E815" i="13"/>
  <c r="E814" i="13"/>
  <c r="E813" i="13"/>
  <c r="E812" i="13"/>
  <c r="E811" i="13"/>
  <c r="E810" i="13"/>
  <c r="E809" i="13"/>
  <c r="E808" i="13"/>
  <c r="E807" i="13"/>
  <c r="E806" i="13"/>
  <c r="E805" i="13"/>
  <c r="E804" i="13"/>
  <c r="E803" i="13"/>
  <c r="E802" i="13"/>
  <c r="E801" i="13"/>
  <c r="E800" i="13"/>
  <c r="E799" i="13"/>
  <c r="E798" i="13"/>
  <c r="E797" i="13"/>
  <c r="E796" i="13"/>
  <c r="E795" i="13"/>
  <c r="E794" i="13"/>
  <c r="E793" i="13"/>
  <c r="E792" i="13"/>
  <c r="E791" i="13"/>
  <c r="E790" i="13"/>
  <c r="E789" i="13"/>
  <c r="E788" i="13"/>
  <c r="E787" i="13"/>
  <c r="E786" i="13"/>
  <c r="E785" i="13"/>
  <c r="E784" i="13"/>
  <c r="E783" i="13"/>
  <c r="E782" i="13"/>
  <c r="E781" i="13"/>
  <c r="E780" i="13"/>
  <c r="E779" i="13"/>
  <c r="E778" i="13"/>
  <c r="E777" i="13"/>
  <c r="E776" i="13"/>
  <c r="E775" i="13"/>
  <c r="E774" i="13"/>
  <c r="E773" i="13"/>
  <c r="E772" i="13"/>
  <c r="E771" i="13"/>
  <c r="E770" i="13"/>
  <c r="E769" i="13"/>
  <c r="E768" i="13"/>
  <c r="E767" i="13"/>
  <c r="E766" i="13"/>
  <c r="E765" i="13"/>
  <c r="E764" i="13"/>
  <c r="E763" i="13"/>
  <c r="E762" i="13"/>
  <c r="E761" i="13"/>
  <c r="E760" i="13"/>
  <c r="E759" i="13"/>
  <c r="E758" i="13"/>
  <c r="E757" i="13"/>
  <c r="E756" i="13"/>
  <c r="E755" i="13"/>
  <c r="E754" i="13"/>
  <c r="E753" i="13"/>
  <c r="E752" i="13"/>
  <c r="E751" i="13"/>
  <c r="E750" i="13"/>
  <c r="E749" i="13"/>
  <c r="E748" i="13"/>
  <c r="E747" i="13"/>
  <c r="E746" i="13"/>
  <c r="E745" i="13"/>
  <c r="E744" i="13"/>
  <c r="E743" i="13"/>
  <c r="E742" i="13"/>
  <c r="E741" i="13"/>
  <c r="E740" i="13"/>
  <c r="E739" i="13"/>
  <c r="E738" i="13"/>
  <c r="E737" i="13"/>
  <c r="E736" i="13"/>
  <c r="E735" i="13"/>
  <c r="E734" i="13"/>
  <c r="E733" i="13"/>
  <c r="E732" i="13"/>
  <c r="E731" i="13"/>
  <c r="E730" i="13"/>
  <c r="E729" i="13"/>
  <c r="E728" i="13"/>
  <c r="E727" i="13"/>
  <c r="E726" i="13"/>
  <c r="E725" i="13"/>
  <c r="E724" i="13"/>
  <c r="E723" i="13"/>
  <c r="E722" i="13"/>
  <c r="E721" i="13"/>
  <c r="E720" i="13"/>
  <c r="E719" i="13"/>
  <c r="E718" i="13"/>
  <c r="E717" i="13"/>
  <c r="E716" i="13"/>
  <c r="E715" i="13"/>
  <c r="E714" i="13"/>
  <c r="E713" i="13"/>
  <c r="E712" i="13"/>
  <c r="E711" i="13"/>
  <c r="E710" i="13"/>
  <c r="E709" i="13"/>
  <c r="E708" i="13"/>
  <c r="E707" i="13"/>
  <c r="E706" i="13"/>
  <c r="E705" i="13"/>
  <c r="E704" i="13"/>
  <c r="E703" i="13"/>
  <c r="E702" i="13"/>
  <c r="E701" i="13"/>
  <c r="E700" i="13"/>
  <c r="E699" i="13"/>
  <c r="E698" i="13"/>
  <c r="E697" i="13"/>
  <c r="E696" i="13"/>
  <c r="E695" i="13"/>
  <c r="E694" i="13"/>
  <c r="E693" i="13"/>
  <c r="E692" i="13"/>
  <c r="E691" i="13"/>
  <c r="E690" i="13"/>
  <c r="E689" i="13"/>
  <c r="E688" i="13"/>
  <c r="E687" i="13"/>
  <c r="E686" i="13"/>
  <c r="E685" i="13"/>
  <c r="E684" i="13"/>
  <c r="E683" i="13"/>
  <c r="E682" i="13"/>
  <c r="E681" i="13"/>
  <c r="E680" i="13"/>
  <c r="E679" i="13"/>
  <c r="E678" i="13"/>
  <c r="E677" i="13"/>
  <c r="E676" i="13"/>
  <c r="E675" i="13"/>
  <c r="E674" i="13"/>
  <c r="E673" i="13"/>
  <c r="E672" i="13"/>
  <c r="E671" i="13"/>
  <c r="E670" i="13"/>
  <c r="E669" i="13"/>
  <c r="E668" i="13"/>
  <c r="E667" i="13"/>
  <c r="E666" i="13"/>
  <c r="E665" i="13"/>
  <c r="E664" i="13"/>
  <c r="E663" i="13"/>
  <c r="E662" i="13"/>
  <c r="E661" i="13"/>
  <c r="E660" i="13"/>
  <c r="E659" i="13"/>
  <c r="E658" i="13"/>
  <c r="E657" i="13"/>
  <c r="E656" i="13"/>
  <c r="E655" i="13"/>
  <c r="E654" i="13"/>
  <c r="E653" i="13"/>
  <c r="E652" i="13"/>
  <c r="E651" i="13"/>
  <c r="E650" i="13"/>
  <c r="E649" i="13"/>
  <c r="E648" i="13"/>
  <c r="E647" i="13"/>
  <c r="E646" i="13"/>
  <c r="E645" i="13"/>
  <c r="E644" i="13"/>
  <c r="E643" i="13"/>
  <c r="E642" i="13"/>
  <c r="E641" i="13"/>
  <c r="E640" i="13"/>
  <c r="E639" i="13"/>
  <c r="E638" i="13"/>
  <c r="E637" i="13"/>
  <c r="E636" i="13"/>
  <c r="E635" i="13"/>
  <c r="E634" i="13"/>
  <c r="E633" i="13"/>
  <c r="E632" i="13"/>
  <c r="E631" i="13"/>
  <c r="E630" i="13"/>
  <c r="E629" i="13"/>
  <c r="E628" i="13"/>
  <c r="E627" i="13"/>
  <c r="E626" i="13"/>
  <c r="E625" i="13"/>
  <c r="E624" i="13"/>
  <c r="E623" i="13"/>
  <c r="E622" i="13"/>
  <c r="E621" i="13"/>
  <c r="E620" i="13"/>
  <c r="E619" i="13"/>
  <c r="E618" i="13"/>
  <c r="E617" i="13"/>
  <c r="E616" i="13"/>
  <c r="E615" i="13"/>
  <c r="E614" i="13"/>
  <c r="E613" i="13"/>
  <c r="E612" i="13"/>
  <c r="E611" i="13"/>
  <c r="E610" i="13"/>
  <c r="E609" i="13"/>
  <c r="E608" i="13"/>
  <c r="E607" i="13"/>
  <c r="E606" i="13"/>
  <c r="E605" i="13"/>
  <c r="E604" i="13"/>
  <c r="E603" i="13"/>
  <c r="E602" i="13"/>
  <c r="E601" i="13"/>
  <c r="E600" i="13"/>
  <c r="E599" i="13"/>
  <c r="E598" i="13"/>
  <c r="E597" i="13"/>
  <c r="E596" i="13"/>
  <c r="E595" i="13"/>
  <c r="E594" i="13"/>
  <c r="E593" i="13"/>
  <c r="E592" i="13"/>
  <c r="E591" i="13"/>
  <c r="E590" i="13"/>
  <c r="E589" i="13"/>
  <c r="E588" i="13"/>
  <c r="E587" i="13"/>
  <c r="E586" i="13"/>
  <c r="E585" i="13"/>
  <c r="E584" i="13"/>
  <c r="E583" i="13"/>
  <c r="E582" i="13"/>
  <c r="E581" i="13"/>
  <c r="E580" i="13"/>
  <c r="E579" i="13"/>
  <c r="E578" i="13"/>
  <c r="E577" i="13"/>
  <c r="E576" i="13"/>
  <c r="E575" i="13"/>
  <c r="E574" i="13"/>
  <c r="E573" i="13"/>
  <c r="E572" i="13"/>
  <c r="E571" i="13"/>
  <c r="E570" i="13"/>
  <c r="E569" i="13"/>
  <c r="E568" i="13"/>
  <c r="E567" i="13"/>
  <c r="E566" i="13"/>
  <c r="E565" i="13"/>
  <c r="E564" i="13"/>
  <c r="E563" i="13"/>
  <c r="E562" i="13"/>
  <c r="E561" i="13"/>
  <c r="E560" i="13"/>
  <c r="E559" i="13"/>
  <c r="E558" i="13"/>
  <c r="E557" i="13"/>
  <c r="E556" i="13"/>
  <c r="E555" i="13"/>
  <c r="E554" i="13"/>
  <c r="E553" i="13"/>
  <c r="E552" i="13"/>
  <c r="E551" i="13"/>
  <c r="E550" i="13"/>
  <c r="E549" i="13"/>
  <c r="E548" i="13"/>
  <c r="E547" i="13"/>
  <c r="E546" i="13"/>
  <c r="E545" i="13"/>
  <c r="E544" i="13"/>
  <c r="E543" i="13"/>
  <c r="E542" i="13"/>
  <c r="E541" i="13"/>
  <c r="E540" i="13"/>
  <c r="E539" i="13"/>
  <c r="E538" i="13"/>
  <c r="E537" i="13"/>
  <c r="E536" i="13"/>
  <c r="E535" i="13"/>
  <c r="E534" i="13"/>
  <c r="E533" i="13"/>
  <c r="E532" i="13"/>
  <c r="E531" i="13"/>
  <c r="E530" i="13"/>
  <c r="E529" i="13"/>
  <c r="E528" i="13"/>
  <c r="E527" i="13"/>
  <c r="E526" i="13"/>
  <c r="E525" i="13"/>
  <c r="E524" i="13"/>
  <c r="E523" i="13"/>
  <c r="E522" i="13"/>
  <c r="E521" i="13"/>
  <c r="E520" i="13"/>
  <c r="E519" i="13"/>
  <c r="E518" i="13"/>
  <c r="E517" i="13"/>
  <c r="E516" i="13"/>
  <c r="E515" i="13"/>
  <c r="E514" i="13"/>
  <c r="E513" i="13"/>
  <c r="E512" i="13"/>
  <c r="E511" i="13"/>
  <c r="E510" i="13"/>
  <c r="E509" i="13"/>
  <c r="E508" i="13"/>
  <c r="E507" i="13"/>
  <c r="E506" i="13"/>
  <c r="E505" i="13"/>
  <c r="E504" i="13"/>
  <c r="E503" i="13"/>
  <c r="E502" i="13"/>
  <c r="E501" i="13"/>
  <c r="E500" i="13"/>
  <c r="E499" i="13"/>
  <c r="E498" i="13"/>
  <c r="E497" i="13"/>
  <c r="E496" i="13"/>
  <c r="E495" i="13"/>
  <c r="E494" i="13"/>
  <c r="E493" i="13"/>
  <c r="E492" i="13"/>
  <c r="E491" i="13"/>
  <c r="E490" i="13"/>
  <c r="E489" i="13"/>
  <c r="E488" i="13"/>
  <c r="E487" i="13"/>
  <c r="E486" i="13"/>
  <c r="E485" i="13"/>
  <c r="E484" i="13"/>
  <c r="E483" i="13"/>
  <c r="E482" i="13"/>
  <c r="E481" i="13"/>
  <c r="E480" i="13"/>
  <c r="E479" i="13"/>
  <c r="E478" i="13"/>
  <c r="E477" i="13"/>
  <c r="E476" i="13"/>
  <c r="E475" i="13"/>
  <c r="E474" i="13"/>
  <c r="E473" i="13"/>
  <c r="E472" i="13"/>
  <c r="E471" i="13"/>
  <c r="E470" i="13"/>
  <c r="E469" i="13"/>
  <c r="E468" i="13"/>
  <c r="E467" i="13"/>
  <c r="E466" i="13"/>
  <c r="E465" i="13"/>
  <c r="E464" i="13"/>
  <c r="E463" i="13"/>
  <c r="E462" i="13"/>
  <c r="E461" i="13"/>
  <c r="E460" i="13"/>
  <c r="E459" i="13"/>
  <c r="E458" i="13"/>
  <c r="E456" i="13"/>
  <c r="E455" i="13"/>
  <c r="E454" i="13"/>
  <c r="E453" i="13"/>
  <c r="E452" i="13"/>
  <c r="E451" i="13"/>
  <c r="E450" i="13"/>
  <c r="E449" i="13"/>
  <c r="E448" i="13"/>
  <c r="E447" i="13"/>
  <c r="E446" i="13"/>
  <c r="E445" i="13"/>
  <c r="E444" i="13"/>
  <c r="E443" i="13"/>
  <c r="E442" i="13"/>
  <c r="E441" i="13"/>
  <c r="E440" i="13"/>
  <c r="E439" i="13"/>
  <c r="E438" i="13"/>
  <c r="E437" i="13"/>
  <c r="E436" i="13"/>
  <c r="E435" i="13"/>
  <c r="E434" i="13"/>
  <c r="E433" i="13"/>
  <c r="E432" i="13"/>
  <c r="E431" i="13"/>
  <c r="E430" i="13"/>
  <c r="E429" i="13"/>
  <c r="E428" i="13"/>
  <c r="E427" i="13"/>
  <c r="E426" i="13"/>
  <c r="E425" i="13"/>
  <c r="E424" i="13"/>
  <c r="E423" i="13"/>
  <c r="E422" i="13"/>
  <c r="E421" i="13"/>
  <c r="E420" i="13"/>
  <c r="E419" i="13"/>
  <c r="E418" i="13"/>
  <c r="E417" i="13"/>
  <c r="E416" i="13"/>
  <c r="E415" i="13"/>
  <c r="E414" i="13"/>
  <c r="E413" i="13"/>
  <c r="E412" i="13"/>
  <c r="E411" i="13"/>
  <c r="E410" i="13"/>
  <c r="E409" i="13"/>
  <c r="E408" i="13"/>
  <c r="E407" i="13"/>
  <c r="E406" i="13"/>
  <c r="E405" i="13"/>
  <c r="E404" i="13"/>
  <c r="E403" i="13"/>
  <c r="E402" i="13"/>
  <c r="E400" i="13"/>
  <c r="E399" i="13"/>
  <c r="E398" i="13"/>
  <c r="E396" i="13"/>
  <c r="E394" i="13"/>
  <c r="E393" i="13"/>
  <c r="E392" i="13"/>
  <c r="E391" i="13"/>
  <c r="E390" i="13"/>
  <c r="E389" i="13"/>
  <c r="E387" i="13"/>
  <c r="E386" i="13"/>
  <c r="E384" i="13"/>
  <c r="E383" i="13"/>
  <c r="E382" i="13"/>
  <c r="E381" i="13"/>
  <c r="E380" i="13"/>
  <c r="E379" i="13"/>
  <c r="E378" i="13"/>
  <c r="E377" i="13"/>
  <c r="E376" i="13"/>
  <c r="E375" i="13"/>
  <c r="E374" i="13"/>
  <c r="E373" i="13"/>
  <c r="E372" i="13"/>
  <c r="E371" i="13"/>
  <c r="E370" i="13"/>
  <c r="E369" i="13"/>
  <c r="E368" i="13"/>
  <c r="E367" i="13"/>
  <c r="E366" i="13"/>
  <c r="E365" i="13"/>
  <c r="E364" i="13"/>
  <c r="E363" i="13"/>
  <c r="E362" i="13"/>
  <c r="E361" i="13"/>
  <c r="E360" i="13"/>
  <c r="E359" i="13"/>
  <c r="E358" i="13"/>
  <c r="E357" i="13"/>
  <c r="E356" i="13"/>
  <c r="E355" i="13"/>
  <c r="E354" i="13"/>
  <c r="E353" i="13"/>
  <c r="E352" i="13"/>
  <c r="E351" i="13"/>
  <c r="E350" i="13"/>
  <c r="E349" i="13"/>
  <c r="E348" i="13"/>
  <c r="E347" i="13"/>
  <c r="E346" i="13"/>
  <c r="E345" i="13"/>
  <c r="E344" i="13"/>
  <c r="E343" i="13"/>
  <c r="E342" i="13"/>
  <c r="E341" i="13"/>
  <c r="E340" i="13"/>
  <c r="E339" i="13"/>
  <c r="E338" i="13"/>
  <c r="E337" i="13"/>
  <c r="E336" i="13"/>
  <c r="E335" i="13"/>
  <c r="E333" i="13"/>
  <c r="E332" i="13"/>
  <c r="E331" i="13"/>
  <c r="E330" i="13"/>
  <c r="E329" i="13"/>
  <c r="E328" i="13"/>
  <c r="E327" i="13"/>
  <c r="E326" i="13"/>
  <c r="E325" i="13"/>
  <c r="E324" i="13"/>
  <c r="E323" i="13"/>
  <c r="E322" i="13"/>
  <c r="E321" i="13"/>
  <c r="E320" i="13"/>
  <c r="E319" i="13"/>
  <c r="E318" i="13"/>
  <c r="E317" i="13"/>
  <c r="E316" i="13"/>
  <c r="E315" i="13"/>
  <c r="E314" i="13"/>
  <c r="E313" i="13"/>
  <c r="E312" i="13"/>
  <c r="E311" i="13"/>
  <c r="E310" i="13"/>
  <c r="E309" i="13"/>
  <c r="E308" i="13"/>
  <c r="E307" i="13"/>
  <c r="E306" i="13"/>
  <c r="E305" i="13"/>
  <c r="E304" i="13"/>
  <c r="E303" i="13"/>
  <c r="E302" i="13"/>
  <c r="E301" i="13"/>
  <c r="E300" i="13"/>
  <c r="E299" i="13"/>
  <c r="E298" i="13"/>
  <c r="E297" i="13"/>
  <c r="E296" i="13"/>
  <c r="E295" i="13"/>
  <c r="E294" i="13"/>
  <c r="E293" i="13"/>
  <c r="E292" i="13"/>
  <c r="E291" i="13"/>
  <c r="E290" i="13"/>
  <c r="E289" i="13"/>
  <c r="E288" i="13"/>
  <c r="E287" i="13"/>
  <c r="E286" i="13"/>
  <c r="E285" i="13"/>
  <c r="E284" i="13"/>
  <c r="E283" i="13"/>
  <c r="E282" i="13"/>
  <c r="E281" i="13"/>
  <c r="E280" i="13"/>
  <c r="E279" i="13"/>
  <c r="E278" i="13"/>
  <c r="E277" i="13"/>
  <c r="E276" i="13"/>
  <c r="E275" i="13"/>
  <c r="E274" i="13"/>
  <c r="E273" i="13"/>
  <c r="E272" i="13"/>
  <c r="E271" i="13"/>
  <c r="E270" i="13"/>
  <c r="E269" i="13"/>
  <c r="E268" i="13"/>
  <c r="E267" i="13"/>
  <c r="E266" i="13"/>
  <c r="E265" i="13"/>
  <c r="E264" i="13"/>
  <c r="E263" i="13"/>
  <c r="E262" i="13"/>
  <c r="E261" i="13"/>
  <c r="E260" i="13"/>
  <c r="E259" i="13"/>
  <c r="E258" i="13"/>
  <c r="E257" i="13"/>
  <c r="E256" i="13"/>
  <c r="E255" i="13"/>
  <c r="E254" i="13"/>
  <c r="E253" i="13"/>
  <c r="E252" i="13"/>
  <c r="E251" i="13"/>
  <c r="E250" i="13"/>
  <c r="E249" i="13"/>
  <c r="E248" i="13"/>
  <c r="E247" i="13"/>
  <c r="E246" i="13"/>
  <c r="E245" i="13"/>
  <c r="E244" i="13"/>
  <c r="E243" i="13"/>
  <c r="E242" i="13"/>
  <c r="E241" i="13"/>
  <c r="E240" i="13"/>
  <c r="E239" i="13"/>
  <c r="E238" i="13"/>
  <c r="E237" i="13"/>
  <c r="E236" i="13"/>
  <c r="E235" i="13"/>
  <c r="E234" i="13"/>
  <c r="E233" i="13"/>
  <c r="E232" i="13"/>
  <c r="E231" i="13"/>
  <c r="E230" i="13"/>
  <c r="E229" i="13"/>
  <c r="E228" i="13"/>
  <c r="E227" i="13"/>
  <c r="E226" i="13"/>
  <c r="E225" i="13"/>
  <c r="E224" i="13"/>
  <c r="E223" i="13"/>
  <c r="E222" i="13"/>
  <c r="E221" i="13"/>
  <c r="E220" i="13"/>
  <c r="E219" i="13"/>
  <c r="E218" i="13"/>
  <c r="E217" i="13"/>
  <c r="E216" i="13"/>
  <c r="E215" i="13"/>
  <c r="E214" i="13"/>
  <c r="E213" i="13"/>
  <c r="E212" i="13"/>
  <c r="E211" i="13"/>
  <c r="E210" i="13"/>
  <c r="E209" i="13"/>
  <c r="E208" i="13"/>
  <c r="E207" i="13"/>
  <c r="E205" i="13"/>
  <c r="E204" i="13"/>
  <c r="E203" i="13"/>
  <c r="E202" i="13"/>
  <c r="E201" i="13"/>
  <c r="E200" i="13"/>
  <c r="E199" i="13"/>
  <c r="E198" i="13"/>
  <c r="E197" i="13"/>
  <c r="E196" i="13"/>
  <c r="E195" i="13"/>
  <c r="E194" i="13"/>
  <c r="E193" i="13"/>
  <c r="E192" i="13"/>
  <c r="E191" i="13"/>
  <c r="E190" i="13"/>
  <c r="E189" i="13"/>
  <c r="E188" i="13"/>
  <c r="E187" i="13"/>
  <c r="E186" i="13"/>
  <c r="E185" i="13"/>
  <c r="E184" i="13"/>
  <c r="E183" i="13"/>
  <c r="E182" i="13"/>
  <c r="E181" i="13"/>
  <c r="E180" i="13"/>
  <c r="E179" i="13"/>
  <c r="E178" i="13"/>
  <c r="E177" i="13"/>
  <c r="E176" i="13"/>
  <c r="E175" i="13"/>
  <c r="E174" i="13"/>
  <c r="E173" i="13"/>
  <c r="E172" i="13"/>
  <c r="E171" i="13"/>
  <c r="E170" i="13"/>
  <c r="E169" i="13"/>
  <c r="E168" i="13"/>
  <c r="E167" i="13"/>
  <c r="E166" i="13"/>
  <c r="E165" i="13"/>
  <c r="E164" i="13"/>
  <c r="E163" i="13"/>
  <c r="E162" i="13"/>
  <c r="E161" i="13"/>
  <c r="E160" i="13"/>
  <c r="E159" i="13"/>
  <c r="E158" i="13"/>
  <c r="E157" i="13"/>
  <c r="E156" i="13"/>
  <c r="E155" i="13"/>
  <c r="E154" i="13"/>
  <c r="E153" i="13"/>
  <c r="E152" i="13"/>
  <c r="E151" i="13"/>
  <c r="E150" i="13"/>
  <c r="E149" i="13"/>
  <c r="E148" i="13"/>
  <c r="E147" i="13"/>
  <c r="E146" i="13"/>
  <c r="E144" i="13"/>
  <c r="E143" i="13"/>
  <c r="E142" i="13"/>
  <c r="E141" i="13"/>
  <c r="E140" i="13"/>
  <c r="E139" i="13"/>
  <c r="E138" i="13"/>
  <c r="E137" i="13"/>
  <c r="E136" i="13"/>
  <c r="E135" i="13"/>
  <c r="E133" i="13"/>
  <c r="E132" i="13"/>
  <c r="E131" i="13"/>
  <c r="E130" i="13"/>
  <c r="E129" i="13"/>
  <c r="E128" i="13"/>
  <c r="E127" i="13"/>
  <c r="E126" i="13"/>
  <c r="E125" i="13"/>
  <c r="E124" i="13"/>
  <c r="E123" i="13"/>
  <c r="E122" i="13"/>
  <c r="E121" i="13"/>
  <c r="E120" i="13"/>
  <c r="E119" i="13"/>
  <c r="E118" i="13"/>
  <c r="E117" i="13"/>
  <c r="E116" i="13"/>
  <c r="E115" i="13"/>
  <c r="E114" i="13"/>
  <c r="E113" i="13"/>
  <c r="E112" i="13"/>
  <c r="E111" i="13"/>
  <c r="E110" i="13"/>
  <c r="E109" i="13"/>
  <c r="E108" i="13"/>
  <c r="E107" i="13"/>
  <c r="E106" i="13"/>
  <c r="E105" i="13"/>
  <c r="E104" i="13"/>
  <c r="E103" i="13"/>
  <c r="E102" i="13"/>
  <c r="E101" i="13"/>
  <c r="E100" i="13"/>
  <c r="E99" i="13"/>
  <c r="E98" i="13"/>
  <c r="E97" i="13"/>
  <c r="E96" i="13"/>
  <c r="E95" i="13"/>
  <c r="E94" i="13"/>
  <c r="E93" i="13"/>
  <c r="E92" i="13"/>
  <c r="E91" i="13"/>
  <c r="E90" i="13"/>
  <c r="E89" i="13"/>
  <c r="E88" i="13"/>
  <c r="E87" i="13"/>
  <c r="E86" i="13"/>
  <c r="E85" i="13"/>
  <c r="E84" i="13"/>
  <c r="E83" i="13"/>
  <c r="E82" i="13"/>
  <c r="E81" i="13"/>
  <c r="E80" i="13"/>
  <c r="E79" i="13"/>
  <c r="E78" i="13"/>
  <c r="E77" i="13"/>
  <c r="E76" i="13"/>
  <c r="E75" i="13"/>
  <c r="E74" i="13"/>
  <c r="E73" i="13"/>
  <c r="E72" i="13"/>
  <c r="E71" i="13"/>
  <c r="E70" i="13"/>
  <c r="E69" i="13"/>
  <c r="E68" i="13"/>
  <c r="E67" i="13"/>
  <c r="E66" i="13"/>
  <c r="E65" i="13"/>
  <c r="E64" i="13"/>
  <c r="E63" i="13"/>
  <c r="E62" i="13"/>
  <c r="E61" i="13"/>
  <c r="E60" i="13"/>
  <c r="E59" i="13"/>
  <c r="E58" i="13"/>
  <c r="E57" i="13"/>
  <c r="E56" i="13"/>
  <c r="E55" i="13"/>
  <c r="E54" i="13"/>
  <c r="E53" i="13"/>
  <c r="E52" i="13"/>
  <c r="E51" i="13"/>
  <c r="E50" i="13"/>
  <c r="E49" i="13"/>
  <c r="E48" i="13"/>
  <c r="E47" i="13"/>
  <c r="E46" i="13"/>
  <c r="E45" i="13"/>
  <c r="E44" i="13"/>
  <c r="E43" i="13"/>
  <c r="E42" i="13"/>
  <c r="E41" i="13"/>
  <c r="E40" i="13"/>
  <c r="E39" i="13"/>
  <c r="E38" i="13"/>
  <c r="E37" i="13"/>
  <c r="E36" i="13"/>
  <c r="E35" i="13"/>
  <c r="E34" i="13"/>
  <c r="E33" i="13"/>
  <c r="E32" i="13"/>
  <c r="E31" i="13"/>
  <c r="E30" i="13"/>
  <c r="E29" i="13"/>
  <c r="E27" i="13"/>
  <c r="E26" i="13"/>
  <c r="E25" i="13"/>
  <c r="E24" i="13"/>
  <c r="E23" i="13"/>
  <c r="E22" i="13"/>
  <c r="E21" i="13"/>
  <c r="E20" i="13"/>
  <c r="E19" i="13"/>
  <c r="E18" i="13"/>
  <c r="E17" i="13"/>
  <c r="E15" i="13"/>
  <c r="E14" i="13"/>
  <c r="E13" i="13"/>
  <c r="E12" i="13"/>
  <c r="E11" i="13"/>
  <c r="E10" i="13"/>
  <c r="E9" i="13"/>
  <c r="E8" i="13"/>
  <c r="E7" i="13"/>
</calcChain>
</file>

<file path=xl/sharedStrings.xml><?xml version="1.0" encoding="utf-8"?>
<sst xmlns="http://schemas.openxmlformats.org/spreadsheetml/2006/main" count="9462" uniqueCount="9446">
  <si>
    <t>Zoradenie:</t>
  </si>
  <si>
    <t xml:space="preserve"> </t>
  </si>
  <si>
    <t>Počet záznamov</t>
  </si>
  <si>
    <t>ISBD</t>
  </si>
  <si>
    <t>Trvalý odkaz - CREPČ</t>
  </si>
  <si>
    <t>ID</t>
  </si>
  <si>
    <t>Kategorizácia</t>
  </si>
  <si>
    <t xml:space="preserve">Podmienky vyhľadávania: </t>
  </si>
  <si>
    <t>Výstup umeleckej činnosti</t>
  </si>
  <si>
    <t>( {musí platiť} Stav záznamu: Zapísané,Potvrdené,Verifikované,Verifikované OHO), ( {musí platiť} Štátna dotácia), ( {musí platiť} 100% úväzok), ({musí platiť} Vykazujúce pracovisko: 24780 | Univerzita Konštantína Filozofa v Nitre : UKF = Constantine the Philosopher University in Nitra; 06; UKF.Nitra), ({musí platiť} Rok vydania: v rozsahu 2018 - 2022)</t>
  </si>
  <si>
    <t>Kategória</t>
  </si>
  <si>
    <t>Vytvorené zo systému CREPČ dňa 29.11.2022 8:29:35</t>
  </si>
  <si>
    <t>I1 - Iný výstup publikačnej činnosti ako celok</t>
  </si>
  <si>
    <t xml:space="preserve">Historický náučný chodník hradisko Zobor [elektronický dokument]  [iný] / Bisták, Peter [Autor, UKFFFAKAR, 30%] ; Meňhart, Peter [Autor, 20%] ; Daňo, Róbert [Autor, 20%] ; Fronc, Gašpar [Autor, 10%] ; Kmeťová, Petra [Autor, 15%] ; Balla, Ivan [Autor, 5%]. – 1. vyd. – Nitra (Slovensko) : OZ Hradisko Zobor, 2021. – 4 s. [online] : text. – [slovenčina]. – [OV 030]. – [ŠO 7115] </t>
  </si>
  <si>
    <t xml:space="preserve">Pick &amp; Roll .Technika, taktika, tréning [elektronický dokument]  [iný] / Horička, Pavol [Autor, UKFPFAKTV, 50%] ; Jansen, Jan Willem [Autor, 50%]. – 1. vyd. – Nitra (Slovensko) : Univerzita Konštantína Filozofa v Nitre, 2022. – 140 s. [online] : text. – [slovenčina]. – [OV 210]. – [ŠO 7418] </t>
  </si>
  <si>
    <t xml:space="preserve">Podhájska a okolie [textový dokument (print)]  [iný] / Bartoníčková, Soňa [Autor, 40%] ; Kramáreková, Hilda [Autor, UKFFPVKGR, 30%] ; Oremusová, Daša [Autor, UKFFPVKGR, 30%]. – 1. vyd. – Trávnica (Slovensko) : Radix, 2022. – 4 s. [0,69 AH] [tlačená forma] : mapy. – [slovenčina]. – [OV 092]. – [ŠO 1217]. – [recenzované] </t>
  </si>
  <si>
    <t xml:space="preserve">Posttraumatická stresová porucha [textový dokument (print)]  [iný] / Šlepecký, Miloš [Autor, UKFFSVKPV, 25%] ; Praško Pavlov, Ján [Autor, UKFFSVKPV, 25%] ; Jandová, Katarína [Autor, 25%] ; Jurišová, Erika [Autor, UKFFSVKPV, 25%] ; Baťová, Zuzana [Recenzent] ; Foltánová, Tatiana [Recenzent]. – 1. vyd. – Bratislava (Slovensko) : Ministerstvo zdravotníctva Slovenskej republiky, 2022. – 38 s. [3,12 AH] [tlačená forma] : text. – [slovenčina]. – [OV 180]. – [ŠO 5618] </t>
  </si>
  <si>
    <t xml:space="preserve">Pracovná učebnica tradičnej kultúry [textový dokument (print)]  [iný] : regionálna výchova pre 1. stupeň základných škôl. Myjavská oblasť - centrálna časť / Šútorová-Konečná, Lenka [Autor, 20%] ; Obuch, Peter [Autor, 20%] ; Čmelová, Eva [Autor, 20%] ; Pakosová, Jana [Autor, 10%] ; Mičicová, Katarína [Autor, UKFFFAKMK, 20%] ; Dubovská, Magdaléna [Autor, 10%]. – 1. vyd. – Myjava (Slovensko) : Centrum tradičnej kultúry v Myjave, 2022. – 55 s. [3,11 AH] [tlačená forma] : text. – [slovenčina]. – [OV 020]. – [ŠO 8110]. – [recenzované] </t>
  </si>
  <si>
    <t xml:space="preserve">Príručka k používaniu inštruktážnych letákov [elektronický dokument]  [iný] / Bošelová, Miriama [Autor, UKFFFAKEF, 80%] ; Hlatky, Roman [Autor, 20%] ; Bošelová, Miriama [Zostavovateľ, editor, UKFFFAKEF, 100%]. – 1. vyd. – Bratislava (Slovensko) : Mareena, 2021. – 14 s. [tlačená forma] : text. – [slovenčina]. – [OV 030]. – [ŠO 7115] </t>
  </si>
  <si>
    <t xml:space="preserve">Školský psychológ v online prostredí zameraný na rizikové správanie žiakov [elektronický dokument]  [iný] : príručka a pracovné materiály pre účastníkov vzdelávania / Papp, Erik [Autor, 10%] ; Gatial, Viktor [Autor, UKFPFAKAP, 90%]. – 1. vyd. – Bratislava (Slovensko) : Metodicko-pedagogické centrum, 2022. – 30 s. [online]. – [slovenčina]. – [OV 010]. – [ŠO 7605]. – ISBN 978-80-565-1508-2 </t>
  </si>
  <si>
    <t xml:space="preserve">Štandard vyšetrení psychomotorického vývinu detí pri 2.-11. preventívnej prehliadke v primárnej starostlivosti - 1. revízia [elektronický dokument]  [iný] : Špecializovaný odbor: Primárna pediatria Odborná pracovná skupina: Primárna pediatria II. (0-3 roky) / Matušková, Oľga [Autor, 20%] ; Prokopová, Elena [Autor, 16%] ; Rajkovičová, Anna [Autor, 16%] ; Jurišová, Erika [Autor, UKFFSVKPV, 16%] ; Vodičková, Barbora [Autor, 16%] ; Gondec, Monika [Autor, 16%] ; Laššán, Štefan [Recenzent] ; Bernátová, Kvetoslava [Recenzent]. – 1. vyd. – Bratislava (Slovensko) : Ministerstvo zdravotníctva Slovenskej republiky, 2022. – 40 s. [3,25 AH] [tlačená forma] [online] : text. – [slovenčina]. – [OV 180]. – [ŠO 5618] </t>
  </si>
  <si>
    <t xml:space="preserve">Štandardný postup na výkon prevencie [textový dokument (print)]  [iný] : Odporúčania pre stravovanie a výživu u dospelých – špeciálna časť / Minárik, Peter [Autor, UKFFSVKUM, 20%] ; Mináriková, Daniela [Autor, UKOFAPR, 20%] ; Golian, Jozef [Autor, SPUFBP32, 20%] ; Penesová, Adela [Autor, 20%] ; Babjaková, Jana [Autor, 20%] ; Bilík, Rastislav [Recenzent] ; Foltánová, Tatiana [Recenzent] ; Eštóková, Milada [Recenzent]. – 1. vyd. – Bratislava (Slovensko) : Ministerstvo zdravotníctva Slovenskej republiky, 2022. – 170 s. – [slovenčina]. – [OV 190, 180]. – [ŠO 2940, 5214] </t>
  </si>
  <si>
    <t>I2 - Iný výstup publikačnej činnosti ako časť publikácie alebo zborníka</t>
  </si>
  <si>
    <t xml:space="preserve">Araneofauna poľnohospodárskej krajiny v katastri obce Runina (NP Poloniny) / Gajdoš, Peter [Autor, 25%] ; Purgat, Pavol [Autor, UKFFPVKEE, 25%] ; Černecká, Ľudmila [Autor, 25%] ; David, Stanislav [Autor, UKFFPVKEE, 25%] ; Ekologické dni, 8 [25.04.2022-26.04.2022, Smolenice, Slovensko]. – text. – [slovenčina]. – [OV 100]. – [ŠO 1610]. – [iný] In: 8. Ekologické dni [textový dokument (print)] : súčasné zmeny a vývojové trendy poľnohospodárskej krajiny Slovenska. Zborník abstraktov z konferencie, Smolenice 25. - 26.4.2022 / Melicher, Jakub [Zostavovateľ, editor] ; Hladká, Alexandra [Zostavovateľ, editor] ; Kozelová, Ivana [Zostavovateľ, editor]. – 1. vyd. – Bratislava (Slovensko) : Slovenská akadémia vied, 2022. – ISBN 978-80-89325-30-6, s. 25-25 [tlačená forma] </t>
  </si>
  <si>
    <t xml:space="preserve">Epigeické spoločenstvá pavúkov Drieňovej hory (Nová Vieska) / Purgat, Pavol [Autor, UKFFPVKEE, 40%] ; Gajdoš, Peter [Autor, 30%] ; Majzlan, Oto [Autor, 30%] ; Ekologické dni, 8 [25.04.2022-26.04.2022, Smolenice, Slovensko]. – text. – [slovenčina]. – [OV 100]. – [ŠO 1610]. – [iný] In: 8. Ekologické dni [textový dokument (print)] : súčasné zmeny a vývojové trendy poľnohospodárskej krajiny Slovenska. Zborník abstraktov z konferencie, Smolenice 25. - 26.4.2022 / Melicher, Jakub [Zostavovateľ, editor] ; Hladká, Alexandra [Zostavovateľ, editor] ; Kozelová, Ivana [Zostavovateľ, editor]. – 1. vyd. – Bratislava (Slovensko) : Slovenská akadémia vied, 2022. – ISBN 978-80-89325-30-6, s. 24-24 [tlačená forma] </t>
  </si>
  <si>
    <t xml:space="preserve">Farby, ľudia a báje južného Kaukazu / Izsófová, Beáta [Prekladateľ, UKFFFAKPO, 100%]. – text. – [slovenčina, angličtina]. – [OV 060]. – [ŠO 6718]. – [iný] In: Farby, ľudia a báje [textový dokument (print)] / Krno, Svetozár [Autor]. – 1. vyd. – Bratislava (Slovensko) : Karpaty-Infopress, 2018. – ISBN 978-80-89985-00-5, s. 199-199 [tlačená forma] </t>
  </si>
  <si>
    <t xml:space="preserve">I. etapa archeologického výskumu na vedecké a dokumentačné účely púchovského hradiska v Jánovciach-Machalovciach / Repka, Dominik [Autor, UKFFFAKAR, 70%] ; Hudáková, Mária [Autor, 30%]. – text. – [slovenčina]. – [OV 030]. – [ŠO 7115]. – [iný]. – [recenzované] In: Informátor (32. ročník / 2021 / 1-2) [elektronický dokument] : revue slovenských archeológov / Turčan, Vladimír [Zostavovateľ, editor]. – 1. vyd. – Nitra (Slovensko) : Slovenská archeologická spoločnosť pri SAV v Nitre, 2021. – ISBN 978-80-974149-0-0, s. 18-19 [online] </t>
  </si>
  <si>
    <t xml:space="preserve">Migračné procesy súvisiace s nemeckou kultúrnou enklávou v okolí Nitrianskeho Pravna / Čukan, Jaroslav [Autor, UKFFFAKMK, 50%] ; Žabenský, Marián [Autor, UKFFFAKMK, 50%]. – text. – [slovenčina]. – [OV 030]. – [ŠO 8110]. – [abstrakt z podujatia - KP] In: Interetnické vztahy ve střední Evropě: soužití - konflikty - migrace [elektronický dokument] / [bez zostavovateľa] [Zostavovateľ, editor]. – 1. vyd. – Brno (Česko) : Masarykova univerzita, 2022, s. 5-6 [online] </t>
  </si>
  <si>
    <t xml:space="preserve">Námety na úlohy zamerané na rozvoj geometrických predstáv s dôrazom na kocku a jej siete / Laššová, Katarína [Autor, UKFFPVKMA, 40%] ; Rumanová, Lucia [Autor, UKFFPVKMA, 40%] ; Záhorská, Júlia [Autor, UKFFPVKMA, 20%]. – text. – [slovenčina]. – [OV 010]. – [ŠO 7605]. – [iný] In: Elementary Mathematics Education 2022 [textový dokument (print)] : Liberec, April 21 - 23, 2022 = Nové výzvy ve vzdělávání matematice v primární škole=New challenges in mathematical education in primary school : sborník abstraktů=book of abstracts / Andrejsová, Dana [Zostavovateľ, editor]. – 1. vyd. – Liberec (Česko) : Technická univerzita v Liberci, 2022, s. 12-13 [tlačená forma] </t>
  </si>
  <si>
    <t xml:space="preserve">Od Hokkaida po Južnú Kóreu / Izsófová, Beáta [Prekladateľ, UKFFFAKPO, 100%]. – text. – [slovenčina, angličtina]. – [OV 060]. – [ŠO 6718]. – [iný] In: Od Hokkaida po Južnú Kóreu [textový dokument (print)] / Krno, Svetozár [Autor] ; Lysý, Jozef [Recenzent] ; Čáky, Milan [Recenzent]. – 1. vyd. – Bratislava (Slovensko) : Karpaty-Infopress, 2019. – ISBN 978-80-89985-01-2, s. 155-155 [tlačená forma] </t>
  </si>
  <si>
    <t xml:space="preserve">Postfazione / Hlad, Ľubomír [Autor, UKFFFAUKD, 100%]. – text. – [taliančina]. – [OV 020]. – [ŠO 6171]. – [iný] In: La Vergine Maria nella storia della salvezza [textový dokument (print)] : Sviluppo storico e significato teologico del titolo mariano di Corredentrice / Čaja, Andrej Mária [Autor]. – 1. vyd. – Neuss (Nemecko) : Foerderstiftung Familie Mariens, 2021. – ISBN 978-3-946565-26-0, s. 325-330 [tlačená forma] </t>
  </si>
  <si>
    <t xml:space="preserve">Regionálna výchova v podmienkach ZŠ s MŠ Rakovec nad Ondavou / Lehotayová, Jarmila [Autor, UKFFPVKEE, 100%] ; Školská geografia - súčasnosť a perspektívy 2022 v kontexte aktuálnej reformy vzdelávania [10.11.2022, Banská Bystrica, Slovensko]. – text. – [slovenčina]. – [OV 100]. – [ŠO 1610]. – [abstrakt z podujatia - KP] In: Školská geografia - súčasnosť a perspektívy v kontexte aktuálnej reformy vzdelávania [textový dokument (print)] [elektronický dokument] : zborník abstraktov / Škodová, Martina [Zostavovateľ, editor]. – 1. vyd. – Banská Bystrica (Slovensko) : IPV Inštitút priemyselnej výchovy, 2022. – ISBN 978-80-89902-28-6. – ISBN (online) 978-80-89902-29-3, s. 8-8 [tlačená forma] [online] </t>
  </si>
  <si>
    <t xml:space="preserve">Rekultivovaná skládka odpadu ako habitat pre epigeické spoločenstvá pavúkov a koscov / Purgat, Pavol [Autor, UKFFPVKEE, 25%] ; Gajdoš, Peter [Autor, 25%] ; Majzlan, Oto [Autor, 25%] ; Litavský, Juraj [Autor, UKOPREEM, 25%] ; Ekologické dni, 8 [25.04.2022-26.04.2022, Smolenice, Slovensko]. – text. – [slovenčina]. – [OV 100, 130]. – [ŠO 1610, 1536]. – [iný]. – SIGN-UKO PR 93/22 In: 8. Ekologické dni [textový dokument (print)] : súčasné zmeny a vývojové trendy poľnohospodárskej krajiny Slovenska. Zborník abstraktov z konferencie, Smolenice 25. - 26.4.2022 / Melicher, Jakub [Zostavovateľ, editor] ; Hladká, Alexandra [Zostavovateľ, editor] ; Kozelová, Ivana [Zostavovateľ, editor]. – 1. vyd. – Bratislava (Slovensko) : Slovenská akadémia vied, 2022. – ISBN 978-80-89325-30-6, s. 22-22 [tlačená forma] </t>
  </si>
  <si>
    <t xml:space="preserve">Spomienka na archivára, pedagóga a historika Jozefa Gindla / Hegyi, Elena [Autor, UKFFFAKHI, 100%]. – [slovenčina]. – [OV 030]. – [ŠO 7115]. – [príspevok] In: Archívny almanach [textový dokument (print)] / [bez zostavovateľa] [Zostavovateľ, editor] ; Černák, Tomáš [Recenzent] ; Feješová, Mária [Recenzent]. – 1. vyd. – Roč. 4. – Bytča (Slovensko) : Spoločnosť slovenských archivárov, 2021. – ISBN 978-80-972999-3-4, s. 153-155 [tlačená forma] </t>
  </si>
  <si>
    <t>I3 - Iný výstup publikačnej činnosti z časopisu</t>
  </si>
  <si>
    <t xml:space="preserve">Aktuálne číslo časopisu Culturologica Slovaca / Ballay, Miroslav [Autor, UKFFFAKMK, 100%]. – text. – [slovenčina]. – [OV 040]. – [ŠO 8110]. – [článok]. – [recenzované] In: Culturologica Slovaca [elektronický dokument] : internetový kulturologický časopis. – Nitra (Slovensko) : Univerzita Konštantína Filozofa v Nitre. – ISSN 2453-9740. – Roč. 7, č. 1 (2022), s. 3-4 [online] </t>
  </si>
  <si>
    <t xml:space="preserve">Anička Hurbanová Jurkovičová : žena, na ktorú mal Štúr ťažké srdce / Nemčeková, Jana [Autor, UKFFFASJL, 100%]. – text. – [slovenčina]. – [OV 020]. – [ŠO 7320]. – [článok] In: Slovenské národné noviny [textový dokument (print)] : týždenník Matice slovenskej. – Martin (Slovensko) : Matica slovenská. – ISSN 0862-8823. – Roč. 36, č. 9 (2021), s. 16-16 [tlačená forma] </t>
  </si>
  <si>
    <t xml:space="preserve">Aprílové zasadnutie vedeckej rady UKF / Bauerová, Mária [Autor, UKFFPVKBG, 100%]. – text. – [slovenčina]. – [OV 010]. – [ŠO 7605]. – [článok] In: Náš čas [textový dokument (print)] : časopis Univerzity Konštatnína Filozofa v Nitre. – Nitra (Slovensko) : Univerzita Konštantína Filozofa v Nitre. – ISSN 1338-3272. – Roč. 26, č. 2 (2022), s. 14-15 [tlačená forma] </t>
  </si>
  <si>
    <t xml:space="preserve">Bázlik po vyše polstoročí opäť v SND / Madunická, Klára [Autor, UKFFFAULK, 100%]. – [slovenčina]. – [OV 020]. – [ŠO 8110]. – [článok]. – [recenzované] In: Hudobný život [textový dokument (print)] [elektronický dokument] : jediný odborný mesačník pre klasickú hudbu a jazz na Slovensku. – Bratislava (Slovensko) : Hudobné centrum. – ISSN 1335-4140. – ISSN (online) 2729-7586. – ISSN (zrušené) 0323-133X. – Roč. 54, č. 7-8 (2022), s. 22-22 [tlačená forma] [online] </t>
  </si>
  <si>
    <t xml:space="preserve">Celoslovenské kolo ŠVUK vo vedách o športe / Halmová, Nora [Autor, UKFPFAKTV, 100%]. – text. – [slovenčina]. – [OV 010]. – [ŠO 7605]. – [článok] In: Náš čas [textový dokument (print)] : časopis Univerzity Konštatnína Filozofa v Nitre. – Nitra (Slovensko) : Univerzita Konštantína Filozofa v Nitre. – ISSN 1338-3272. – Roč. 26, č. 2 (2022), s. 51-51 [tlačená forma] </t>
  </si>
  <si>
    <t xml:space="preserve">Cena od ochranárov pre prof. Boltižiara / Vojtek, Matej [Autor, UKFFPVKGR, 100%]. – [slovenčina]. – [OV 010]. – [ŠO 7605]. – [iný]. – [recenzované] In: Náš čas [textový dokument (print)] : časopis Univerzity Konštatnína Filozofa v Nitre. – Nitra (Slovensko) : Univerzita Konštantína Filozofa v Nitre. – ISSN 1338-3272. – Roč. 25, č. 4 (2021), s. 21-21 [tlačená forma] </t>
  </si>
  <si>
    <t xml:space="preserve">Cieľom je demystifikovať umelú inteligenciu / Skalka, Ján [Autor, UKFFPVKIN, 100%]. – text. – [slovenčina]. – [OV 010]. – [ŠO 7605]. – [článok] In: Náš čas [textový dokument (print)] : časopis Univerzity Konštatnína Filozofa v Nitre. – Nitra (Slovensko) : Univerzita Konštantína Filozofa v Nitre. – ISSN 1338-3272. – Roč. 26, č. 2 (2022), s. 25-25 [tlačená forma] </t>
  </si>
  <si>
    <t xml:space="preserve">Copingové stratégie zvládania záťaže u študentov ošetrovateľstva / Pavelová, Ľuboslava [Autor, UKFFSVKOS, 100%]. – text. – [slovenčina]. – [OV 180]. – [ŠO 5602]. – [iný (hlavný článok)] In: Náš čas [textový dokument (print)] : časopis Univerzity Konštatnína Filozofa v Nitre. – Nitra (Slovensko) : Univerzita Konštantína Filozofa v Nitre. – ISSN 1338-3272. – Roč. 25, č. 5 (2021), s. 27-27 [tlačená forma] </t>
  </si>
  <si>
    <t xml:space="preserve">Dediči posmrtnej ríše - Dominika Madro / Pevčíková, Jozefa [Autor, UKFFFAULK, 100%]. – text. – [slovenčina]. – [OV 020]. – [ŠO 7320]. – [iný]. – [recenzované] In: Multiverzum [elektronický dokument] . – Bratislava (Slovensko) : Multiverzum - Centrum popkultúrneho vzdelávania. – ISSN (online) 2644-657X. – č. 28. jún 2022 (2022), s. 1-2 [online] </t>
  </si>
  <si>
    <t xml:space="preserve">Deň fascinácie rastlinami na UKF / Kuna, Roman [Autor, UKFFPVKBG, 100%]. – text. – [slovenčina]. – [OV 010]. – [ŠO 7605]. – [článok] In: Náš čas [textový dokument (print)] : časopis Univerzity Konštatnína Filozofa v Nitre. – Nitra (Slovensko) : Univerzita Konštantína Filozofa v Nitre. – ISSN 1338-3272. – Roč. 26, č. 2 (2022), s. 28-28 [tlačená forma] </t>
  </si>
  <si>
    <t xml:space="preserve">Deň otvorených dverí na Katedre kulturológie FF UKF v Nitre / Jakubovská, Kristína [Autor, UKFFFAKKU, 100%]. – [slovenčina]. – [OV 020]. – [ŠO 8110]. – [iný (hlavný článok)]. – [recenzované] In: Culturologica Slovaca [elektronický dokument] : internetový kulturologický časopis. – Nitra (Slovensko) : Univerzita Konštantína Filozofa v Nitre. – ISSN 2453-9740. – Roč. 6, č. 1 (2021), s. 125-125 [online] </t>
  </si>
  <si>
    <t xml:space="preserve">Deň otvorených dverí na KMKT FF UKF v Nitre / Kurpaš, Michal [Autor, UKFFFAKMK, 100%]. – [slovenčina]. – [OV 030]. – [ŠO 8110]. – [iný] In: Kontexty kultúry a turizmu [textový dokument (print)] . – Nitra (Slovensko) : Univerzita Konštantína Filozofa v Nitre. Filozofická fakulta. – ISSN 1337-7760. – Roč. 14, č. 1 (2021), s. 100-101 [tlačená forma] </t>
  </si>
  <si>
    <t xml:space="preserve">Deň pre Vaše zdravie / Slamková, Alica [Autor, UKFFSVKOS, 100%]. – text. – [slovenčina]. – [OV 010]. – [ŠO 7605]. – [článok] In: Náš čas [textový dokument (print)] : časopis Univerzity Konštatnína Filozofa v Nitre. – Nitra (Slovensko) : Univerzita Konštantína Filozofa v Nitre. – ISSN 1338-3272. – Roč. 26, č. 2 (2022), s. 26-26 [tlačená forma] </t>
  </si>
  <si>
    <t xml:space="preserve">Docent Vojtek navštívil University of Tuscia / Vojtek, Matej [Autor, UKFFPVKGR, 100%]. – [slovenčina]. – [OV 010]. – [ŠO 7605]. – [iný]. – [recenzované] In: Náš čas [textový dokument (print)] : časopis Univerzity Konštatnína Filozofa v Nitre. – Nitra (Slovensko) : Univerzita Konštantína Filozofa v Nitre. – ISSN 1338-3272. – Roč. 25, č. 4 (2021), s. 37-37 [tlačená forma] </t>
  </si>
  <si>
    <t xml:space="preserve">ERASMUS + školenie na univerzite v Slovinsku / Rožňová, Jitka [Autor, UKFFFAKZU, 100%]. – [slovenčina]. – [OV 010]. – [ŠO 7605]. – [iný]. – [recenzované] In: Náš čas [textový dokument (print)] : časopis Univerzity Konštatnína Filozofa v Nitre. – Nitra (Slovensko) : Univerzita Konštantína Filozofa v Nitre. – ISSN 1338-3272. – Roč. 25, č. 4 (2021), s. 36-36 [tlačená forma] </t>
  </si>
  <si>
    <t xml:space="preserve">Európske dni archeológie 2022 v réžii Katedry archeológie / Borzová, Zuzana [Autor, UKFFFAKAR, 100%]. – text. – [slovenčina]. – [OV 030]. – [ŠO 7115]. – [článok] In: Náš čas [textový dokument (print)] : časopis Univerzity Konštatnína Filozofa v Nitre. – Nitra (Slovensko) : Univerzita Konštantína Filozofa v Nitre. – ISSN 1338-3272. – Roč. 26, č. 2 (2022), s. 21-21 [tlačená forma] </t>
  </si>
  <si>
    <t xml:space="preserve">Fakulta FEST 2022 / Olšanská, Viktória [Autor, 33%] ; Šatara, Erik [Autor, UKFFSVURS, 33%] ; Čerešníková, Miroslava [Autor, UKFFSVURS, 34%]. – text. – [slovenčina]. – [OV 010]. – [ŠO 7605]. – [článok] In: Náš čas [textový dokument (print)] : časopis Univerzity Konštatnína Filozofa v Nitre. – Nitra (Slovensko) : Univerzita Konštantína Filozofa v Nitre. – ISSN 1338-3272. – Roč. 26, č. 2 (2022), s. 38-38 [tlačená forma] </t>
  </si>
  <si>
    <t xml:space="preserve">Fiktívny cvičný hotel / Beták, Norbert [Autor, UKFFSSKCR, 50%] ; Palenčíková, Zuzana [Autor, UKFFSSKCR, 50%]. – text. – [slovenčina]. – [OV 080]. – [ŠO 6213]. – [iný (hlavný článok)] In: Náš čas [textový dokument (print)] : časopis Univerzity Konštatnína Filozofa v Nitre. – Nitra (Slovensko) : Univerzita Konštantína Filozofa v Nitre. – ISSN 1338-3272. – Roč. 25, č. 5 (2021), s. 34-34 [tlačená forma] </t>
  </si>
  <si>
    <t xml:space="preserve">FITPED uľahčí výučbu programovania / Skalka, Ján [Autor, UKFFPVKIN, 100%]. – [slovenčina]. – [OV 160]. – [ŠO 2508]. – [iný]. – [recenzované] In: Náš čas [textový dokument (print)] : časopis Univerzity Konštatnína Filozofa v Nitre. – Nitra (Slovensko) : Univerzita Konštantína Filozofa v Nitre. – ISSN 1338-3272. – Roč. 25, č. 4 (2021), s. 5-5 [tlačená forma] </t>
  </si>
  <si>
    <t xml:space="preserve">FPV a Jaguar Land Rover naďalej spolupracujú / Baláž, Ivan [Autor, UKFFPVKEE, 100%]. – [slovenčina]. – [OV 100]. – [ŠO 1610]. – [iný]. – [recenzované] In: Náš čas [textový dokument (print)] : časopis Univerzity Konštatnína Filozofa v Nitre. – Nitra (Slovensko) : Univerzita Konštantína Filozofa v Nitre. – ISSN 1338-3272. – Roč. 25, č. 4 (2021), s. 5-28 [tlačená forma] </t>
  </si>
  <si>
    <t xml:space="preserve">Fraktál, 2022, roč. 5 / Teplan, Dušan [Autor, UKFFFASJL, 100%]. – text. – [slovenčina]. – [OV 020]. – [ŠO 7320]. – [článok] In: Fraktál [textový dokument (print)] : literatúra horizontálne a vertikálne. – Závod (Slovensko) : Fraktál. – ISSN 2585-8912. – Roč. 5, č. 4 (2022), s. 249-259 [tlačená forma] </t>
  </si>
  <si>
    <t xml:space="preserve">Fyzikálny adventný kalendár opäť zaujal / Valovičová, Ľubomíra [Autor, UKFFPVKFY, 100%]. – text. – [slovenčina]. – [OV 010]. – [ŠO 7605]. – [iný (hlavný článok)] In: Náš čas [textový dokument (print)] : časopis Univerzity Konštatnína Filozofa v Nitre. – Nitra (Slovensko) : Univerzita Konštantína Filozofa v Nitre. – ISSN 1338-3272. – Roč. 25, č. 5 (2021), s. 29-29 [tlačená forma] </t>
  </si>
  <si>
    <t xml:space="preserve">Home sweet home / Timčíková, Zuzana [Autor, UKFFFAULK, 100%]. – text, fotogr. – [slovenčina]. – [OV 040]. – [ŠO 8202]. – [článok]. – [recenzované] In: MLOKi - mladí o kultúre inak [elektronický dokument] . – Bratislava (Slovensko) : Kultúrny spolok MLOKi. – ISSN 1339-8113. – č. 13.marec (2022), s. [1-2] [online] </t>
  </si>
  <si>
    <t xml:space="preserve">Hračka pre dieťa 2022 / Minarovičová, Katarína [Autor, UKFFSVKSP, 50%] ; Mojtová, Martina [Autor, UKFFSVKSP, 50%]. – text. – [slovenčina]. – [OV 010]. – [ŠO 7605]. – [článok] In: Náš čas [textový dokument (print)] : časopis Univerzity Konštatnína Filozofa v Nitre. – Nitra (Slovensko) : Univerzita Konštantína Filozofa v Nitre. – ISSN 1338-3272. – Roč. 26, č. 2 (2022), s. 17-17 [tlačená forma] </t>
  </si>
  <si>
    <t xml:space="preserve">Hudobná monodráma Posledný pastrnok / Laciaková, Diana [Autor, UKFFFAULK, 100%]. – text. – [slovenčina]. – [OV 020]. – [ŠO 8110, 6107]. – [iný (hlavný článok)] In: Apečkoviny [textový dokument (print)] . – Prešov (Slovensko) : Centrum celoživotného a kompetenčného vzdelávania PU. – Roč. 56, č. 1 (2022), s. 16-16 [tlačená forma] [online] </t>
  </si>
  <si>
    <t xml:space="preserve">Interaktívne workshopy pre učiteľov / Stranovská, Eva [Autor, UKFFFAKRO, 100%]. – text. – [slovenčina]. – [OV 010]. – [ŠO 7605]. – [článok] In: Náš čas [textový dokument (print)] : časopis Univerzity Konštatnína Filozofa v Nitre. – Nitra (Slovensko) : Univerzita Konštantína Filozofa v Nitre. – ISSN 1338-3272. – Roč. 26, č. 2 (2022), s. 45-45 [tlačená forma] </t>
  </si>
  <si>
    <t xml:space="preserve">Ján Boleslav Kladivo: Zvonkohra : [recenzia hudobného albumu Jána Boleslava Kladivu Zvonkohra] / Fuják, Július [Autor, UKFFFAKKU, 100%]. – text. – [slovenčina]. – [OV 020]. – [ŠO 8110]. – [iný]. – [recenzované] In: bandcamp [elektronický dokument] : Discover amazing new music and directly support the artists who make it. – Oakland (USA) : Bandcamp. – Roč. 15 (2022), s. 1-1 [online] </t>
  </si>
  <si>
    <t xml:space="preserve">Jarná škola Abcházskych štúdií s účasťou UKF / Mikulášová, Alena [Autor, UKFFFAKHI, 100%]. – text. – [slovenčina]. – [OV 010]. – [ŠO 7605]. – [článok] In: Náš čas [textový dokument (print)] : časopis Univerzity Konštatnína Filozofa v Nitre. – Nitra (Slovensko) : Univerzita Konštantína Filozofa v Nitre. – ISSN 1338-3272. – Roč. 26, č. 2 (2022), s. 30-31 [tlačená forma] </t>
  </si>
  <si>
    <t xml:space="preserve">K 700. danteovskému výročiu / Šavelová, Monika [Autor, UKFFFAKRO, 100%]. – text. – [slovenčina]. – [OV 020]. – [ŠO 7320]. – [iný (hlavný článok)] In: Studi italo-slovacchi [textový dokument (print)] . – Nitra (Slovensko) : Univerzita Konštantína Filozofa v Nitre. Filozofická fakulta, Bratislava (Slovensko) : Slovenská akadémia vied. – ISSN 1338-6778. – Roč. 10, č. 2 (2021), s. 3-4 [tlačená forma] </t>
  </si>
  <si>
    <t xml:space="preserve">K rekonštrukcii Mihálikovej Ruže : rozhovor s literárnym vedcom Martinom Navrátilom / Teplan, Dušan [Autor interview, UKFFFASJL, 50%] ; Navrátil, Martin [Autor účastník interview, 50%]. – text. – [slovenčina]. – [OV 020]. – [ŠO 7320]. – [iný (rozhovor) - ČL]. – [recenzované] In: Fraktál [textový dokument (print)] : literatúra horizontálne a vertikálne. – Závod (Slovensko) : Fraktál. – ISSN 2585-8912. – Roč. 5, č. 1 (2022), s. 19-20 [tlačená forma] </t>
  </si>
  <si>
    <t xml:space="preserve">Katedra etnológie a folkloristiky UKF súčasťou projektu PSOTA na Slovensku / Bošelová, Miriama [Autor, UKFFFAKEF, 100%]. – text. – [slovenčina]. – [OV 030]. – [ŠO 7115]. – [iný (hlavný článok)] In: Náš čas [textový dokument (print)] : časopis Univerzity Konštatnína Filozofa v Nitre. – Nitra (Slovensko) : Univerzita Konštantína Filozofa v Nitre. – ISSN 1338-3272. – Roč. 25, č. 5 (2021), s. 35-35 [tlačená forma] </t>
  </si>
  <si>
    <t xml:space="preserve">Katedra translatológie na prestížnom podujatí v Lipsku / Hodáková, Soňa [Autor, UKFFFAKTR, 100%]. – [slovenčina]. – [OV 010]. – [ŠO 7605]. – [iný]. – [recenzované] In: Náš čas [textový dokument (print)] : časopis Univerzity Konštatnína Filozofa v Nitre. – Nitra (Slovensko) : Univerzita Konštantína Filozofa v Nitre. – ISSN 1338-3272. – Roč. 25, č. 4 (2021), s. 36-36 [tlačená forma] </t>
  </si>
  <si>
    <t xml:space="preserve">Katedra translatológie v medzinárodnom projekte / Hodáková, Soňa [Autor, UKFFFAKTR, 100%]. – [slovenčina]. – [OV 010]. – [ŠO 7605]. – [iný]. – [recenzované] In: Náš čas [textový dokument (print)] : časopis Univerzity Konštatnína Filozofa v Nitre. – Nitra (Slovensko) : Univerzita Konštantína Filozofa v Nitre. – ISSN 1338-3272. – Roč. 25, č. 4 (2021), s. 24-24 [tlačená forma] </t>
  </si>
  <si>
    <t xml:space="preserve">Kazinczyho medaila študentke UKF / Tóth, Anikó [Autor, UKFFSSUML, 100%]. – text. – [slovenčina]. – [OV 010]. – [ŠO 7605]. – [článok] In: Náš čas [textový dokument (print)] : časopis Univerzity Konštatnína Filozofa v Nitre. – Nitra (Slovensko) : Univerzita Konštantína Filozofa v Nitre. – ISSN 1338-3272. – Roč. 26, č. 2 (2022), s. 17-17 [tlačená forma] </t>
  </si>
  <si>
    <t xml:space="preserve">Komplexný ošetrovateľský manažment pacienta v paliatívnej starostlivosti (u dospelých) / Kmeťová, Gabriela [Autor, 34%] ; Slamková, Alica [Autor, UKFFSVKOS, 33%] ; Fabianová, Zuzana [Autor, 33%]. – [slovenčina]. – [OV 180]. – [ŠO 5602]. – [iný (hlavný článok)]. – [recenzované] In: Standardnepostupy.sk [elektronický dokument] . – Bratislava (Slovensko) : Ministerstvo zdravotníctva Slovenskej republiky. – Roč. 1, č. 1 (2021), s. 1-33 [online] </t>
  </si>
  <si>
    <t xml:space="preserve">Komu ešte dlhy splácať : rozhovor / Zumríková Kekeliaková, Monika [Autor interview, UKFFFASJL, 100%]. – text. – [slovenčina]. – [OV 020]. – [ŠO 7320]. – [iný (rozhovor) - ČL]. – [recenzované] In: Vertigo [textový dokument (print)] : časopis o poézii a básnikoch. – Fintice (Slovensko) : FACE - Fórum alternatívnej kultúry a vzdelávania. – ISSN 1339-3820. – Roč. 9, č. 4 (2021), s. 62-63 [tlačená forma] </t>
  </si>
  <si>
    <t xml:space="preserve">Konfrontácie 2021 : [festival hudby] / Čierna, Alena [Autor, UKFPFAKHU, 100%]. – text. – [slovenčina]. – [OV 010]. – [ŠO 7605]. – [iný (hlavný článok)] In: Náš čas [textový dokument (print)] : časopis Univerzity Konštatnína Filozofa v Nitre. – Nitra (Slovensko) : Univerzita Konštantína Filozofa v Nitre. – ISSN 1338-3272. – Roč. 25, č. 5 (2021), s. 28-28 [tlačená forma] </t>
  </si>
  <si>
    <t xml:space="preserve">Kontemplatívny Oliva medzi inými : krátky rozhovor s literárnou vedkyňou Monikou Zumríkovou Kekeliakovou / Teplan, Dušan [Autor interview, UKFFFASJL, 50%] ; Kekeliaková, Monika [Autor účastník interview, KURFILH, 50%]. – text. – [slovenčina]. – [OV 020]. – [ŠO 7320]. – [iný (rozhovor) - ČL] In: Fraktál [textový dokument (print)] : literatúra horizontálne a vertikálne. – Závod (Slovensko) : Fraktál. – ISSN 2585-8912. – Roč. 5, č. 2 (2022), s. 147-148 [tlačená forma] </t>
  </si>
  <si>
    <t xml:space="preserve">Kriaky - Lukáš Polák / Pevčíková, Jozefa [Autor, UKFFFAULK, 100%]. – text. – [slovenčina]. – [OV 020]. – [ŠO 7320]. – [iný]. – [recenzované] In: Multiverzum [elektronický dokument] . – Bratislava (Slovensko) : Multiverzum - Centrum popkultúrneho vzdelávania. – ISSN (online) 2644-657X. – č. 6.jún 2022 (2022), s. 1-2 [online] </t>
  </si>
  <si>
    <t xml:space="preserve">Kultúrne potulky 2022 / Jakubovská, Kristína [Autor, UKFFFAKMK, 100%]. – text. – [slovenčina]. – [OV 020]. – [ŠO 8110]. – [článok]. – [recenzované] In: Culturologica Slovaca [elektronický dokument] : internetový kulturologický časopis. – Nitra (Slovensko) : Univerzita Konštantína Filozofa v Nitre. – ISSN 2453-9740. – Roč. 7, č. 1 (2022), s. 151-152 [online] </t>
  </si>
  <si>
    <t xml:space="preserve">Kurz digitálneho art marketingu bol úspešný / Szabóová, Veronika [Autor, UKFFFAKMR, 100%]. – [slovenčina]. – [OV 160]. – [ŠO 2508]. – [iný]. – [recenzované] In: Náš čas [textový dokument (print)] : časopis Univerzity Konštatnína Filozofa v Nitre. – Nitra (Slovensko) : Univerzita Konštantína Filozofa v Nitre. – ISSN 1338-3272. – Roč. 25, č. 4 (2021), s. 26-26 [tlačená forma] </t>
  </si>
  <si>
    <t xml:space="preserve">Literárne a umelecké cesty virtuálneho priestoru / György, Erik [Autor, UKFFFAKAA, 100%]. – text. – [slovenčina]. – [OV 020]. – [ŠO 7320]. – [iný (hlavný článok)] In: Náš čas [textový dokument (print)] : časopis Univerzity Konštatnína Filozofa v Nitre. – Nitra (Slovensko) : Univerzita Konštantína Filozofa v Nitre. – ISSN 1338-3272. – Roč. 25, č. 5 (2021), s. 37-37 [tlačená forma] </t>
  </si>
  <si>
    <t xml:space="preserve">Literárny vedec a milovník Trenčianskych Teplíc: Profesor Tibor Žilka / Timko, Štefan [Autor, UKFFSSUSJ, 100%]. – text. – [slovenčina]. – [OV 020]. – [ŠO 7320]. – [iný] In: Mestské noviny Trenčianske Teplice [textový dokument (print)] . – ISSN 2644-4771. – Roč. 4, č. 1 (2022), s. 24-24 [online] </t>
  </si>
  <si>
    <t xml:space="preserve">Matematické prechádzky na UKF / Haringová, Silvia [Autor, UKFFPVKIN, 100%]. – text. – [slovenčina]. – [OV 010]. – [ŠO 7605]. – [článok] In: Náš čas [textový dokument (print)] : časopis Univerzity Konštatnína Filozofa v Nitre. – Nitra (Slovensko) : Univerzita Konštantína Filozofa v Nitre. – ISSN 1338-3272. – Roč. 26, č. 2 (2022), s. 46-46 [tlačená forma] </t>
  </si>
  <si>
    <t xml:space="preserve">Medzinárodná konferencia DIDFYZ v Terchovej / Zelenický, Ľubomír [Autor, UKFFPVKFY, 100%]. – text. – [slovenčina]. – [OV 010]. – [ŠO 7605]. – [článok] In: Náš čas [textový dokument (print)] : časopis Univerzity Konštatnína Filozofa v Nitre. – Nitra (Slovensko) : Univerzita Konštantína Filozofa v Nitre. – ISSN 1338-3272. – Roč. 26, č. 2 (2022), s. 27-27 [tlačená forma] </t>
  </si>
  <si>
    <t xml:space="preserve">Medzinárodná spolupráca s RUDN v Moskve / Pavlíková, Martina [Autor, UKFFFAKZU, 100%]. – text. – [slovenčina]. – [OV 010]. – [ŠO 7605]. – [iný (hlavný článok)] In: Náš čas [textový dokument (print)] : časopis Univerzity Konštatnína Filozofa v Nitre. – Nitra (Slovensko) : Univerzita Konštantína Filozofa v Nitre. – ISSN 1338-3272. – Roč. 25, č. 5 (2021), s. 22-23 [tlačená forma] </t>
  </si>
  <si>
    <t xml:space="preserve">Mimoriadny úspech študentov Katedry hudby / Štrbák, Marek [Autor, UKFPFAKHU, 100%]. – [slovenčina]. – [OV 010]. – [ŠO 7605]. – [iný]. – [recenzované] In: Náš čas [textový dokument (print)] : časopis Univerzity Konštatnína Filozofa v Nitre. – Nitra (Slovensko) : Univerzita Konštantína Filozofa v Nitre. – ISSN 1338-3272. – Roč. 25, č. 4 (2021), s. 35-35 [tlačená forma] </t>
  </si>
  <si>
    <t xml:space="preserve">Mjartanovo Sebedražie 2021 / Letavajová, Silvia [Autor, UKFFFAKMK, 100%]. – [slovenčina]. – [OV 030]. – [ŠO 8110]. – [iný]. – [recenzované] In: Kontexty kultúry a turizmu [textový dokument (print)] . – Nitra (Slovensko) : Univerzita Konštantína Filozofa v Nitre. Filozofická fakulta. – ISSN 1337-7760. – Roč. 14, č. 2 (2021), s. 11-112 [tlačená forma] </t>
  </si>
  <si>
    <t xml:space="preserve">Na UKF prednášal Dr. Rostysław Kramar z Varšavskej univerzity / Krauter, Michal [Autor, UKFFSSUSJ, 50%] ; Tkáč-Zabáková, Lenka [Autor, UKFFSSUSJ, 50%]. – [slovenčina]. – [OV 010]. – [ŠO 7605]. – [iný]. – [recenzované] In: Náš čas [textový dokument (print)] : časopis Univerzity Konštatnína Filozofa v Nitre. – Nitra (Slovensko) : Univerzita Konštantína Filozofa v Nitre. – ISSN 1338-3272. – Roč. 25, č. 4 (2021), s. 17-17 [tlačená forma] </t>
  </si>
  <si>
    <t xml:space="preserve">Načo je literárna veda? (editoriál) = What is Literary Science for? (editoriál) / Bátorová, Mária [Autor, ZUZFHVMKD, 50%] ; Gallik, Ján [Autor, UKFFSSUSJ, 50%]. – text. – [slovenčina]. – [OV 020]. – [ŠO 7320]. – [článok]. – [recenzované] In: Stredoeurópske pohľady [textový dokument (print)] [elektronický dokument] : časopis pre jazyk, literatúru, kultúru a médiá. – Nitra (Slovensko) : Univerzita Konštantína Filozofa v Nitre. Fakulta stredoeurópskych štúdií. Ústav stredoeurópskych jazykov a kultúr. – ISSN 2644-6367. – ISSN (online) 2644-6472. – Roč. 4, č. 1 (2022), s. 3-4 [tlačená forma] [online] </t>
  </si>
  <si>
    <t xml:space="preserve">Naša univerzita je súčasťou úspešného projektu INNO3D : projekt zameraný na podporu 3D tlače vo vzdelávaní / Koprda, Štefan [Autor, UKFFPVKIN, 100%]. – text. – [slovenčina]. – [OV 160]. – [ŠO 2508]. – [iný (hlavný článok)] In: Náš čas [textový dokument (print)] : časopis Univerzity Konštatnína Filozofa v Nitre. – Nitra (Slovensko) : Univerzita Konštantína Filozofa v Nitre. – ISSN 1338-3272. – Roč. 25, č. 5 (2021), s. 16-16 [tlačená forma] </t>
  </si>
  <si>
    <t xml:space="preserve">Naši študenti záchranári sú víťazmi Rallye Rejvíz / Mankovecká, Monika [Autor, UKFFSVKUM, 100%]. – text. – [slovenčina]. – [OV 010]. – [ŠO 7605]. – [článok] In: Náš čas [textový dokument (print)] : časopis Univerzity Konštatnína Filozofa v Nitre. – Nitra (Slovensko) : Univerzita Konštantína Filozofa v Nitre. – ISSN 1338-3272. – Roč. 26, č. 2 (2022), s. 31-31 [tlačená forma] </t>
  </si>
  <si>
    <t xml:space="preserve">Nerozmýšľam v termínoch -izmov / Fuják, Július [Autor interview, UKFFFAKMK, 50%] ; Ostertag, Bob [Autor účastník interview, 50%]. – text. – [slovenčina]. – [OV 020]. – [ŠO 8110]. – [iný (rozhovor) - ČL] In: Kapitál [textový dokument (print)] [elektronický dokument] : angažovaný mesačník. – Bratislava (Slovensko) : Občianske združenie Literárny klub, Bratislava (Slovensko) : KPTL občianske združenie. – ISSN 2585-7851. – Roč. 6, č. 10 (2022), s. 28-29 [tlačená forma] </t>
  </si>
  <si>
    <t xml:space="preserve">Niekoľko slov k schematickej etape tvorby Dominika Tatarku / Kolesík, Milan [Autor, UKFFFASJL, 100%]. – [slovenčina]. – [OV 020]. – [ŠO 7320]. – [článok] In: Slovenské národné noviny [textový dokument (print)] : týždenník Matice slovenskej. – Martin (Slovensko) : Matica slovenská. – ISSN 0862-8823. – Roč. 36, č. 9 (2021), s. 9-9 [tlačená forma] </t>
  </si>
  <si>
    <t xml:space="preserve">O slovensko-francúzskej projektovej spolupráci / Benc, Michal [Autor, UKFFPVKBG, 100%]. – text. – [slovenčina]. – [OV 010]. – [ŠO 7605]. – [článok] In: Náš čas [textový dokument (print)] : časopis Univerzity Konštatnína Filozofa v Nitre. – Nitra (Slovensko) : Univerzita Konštantína Filozofa v Nitre. – ISSN 1338-3272. – Roč. 26, č. 2 (2022), s. 48-48 [tlačená forma] </t>
  </si>
  <si>
    <t xml:space="preserve">Ocenenie Katedry archeológie / Repka, Dominik [Autor, UKFFFAKAR, 100%]. – [slovenčina]. – [OV 030]. – [ŠO 7115]. – [iný]. – [recenzované] In: Náš čas [textový dokument (print)] : časopis Univerzity Konštatnína Filozofa v Nitre. – Nitra (Slovensko) : Univerzita Konštantína Filozofa v Nitre. – ISSN 1338-3272. – Roč. 25, č. 4 (2021), s. 26-26 [tlačená forma] </t>
  </si>
  <si>
    <t xml:space="preserve">Ocenenie pre pracovníčku Katedry pedagogiky [Doc. PaedDr. Dana Kollárová, PhD.] / Borisová, Simona [Autor, UKFPFAKPE, 100%]. – [slovenčina]. – [OV 010]. – [ŠO 7605]. – [iný]. – [recenzované] In: Náš čas [textový dokument (print)] : časopis Univerzity Konštatnína Filozofa v Nitre. – Nitra (Slovensko) : Univerzita Konštantína Filozofa v Nitre. – ISSN 1338-3272. – Roč. 25, č. 4 (2021), s. 20-520 [tlačená forma] </t>
  </si>
  <si>
    <t xml:space="preserve">Ocenený za investigatívnu žurnalistiku / Kučerová, Lucia [Autor, UKFFFAKMR, 50%] ; Marek, Radoslav [Autor, UKFFFAKZU, 50%]. – text. – [slovenčina]. – [OV 010]. – [ŠO 7605]. – [článok] In: Náš čas [textový dokument (print)] : časopis Univerzity Konštatnína Filozofa v Nitre. – Nitra (Slovensko) : Univerzita Konštantína Filozofa v Nitre. – ISSN 1338-3272. – Roč. 26, č. 2 (2022), s. 30-30 [tlačená forma] </t>
  </si>
  <si>
    <t xml:space="preserve">Podpora žien vo vede : dokument o rodovej rovnosti a jeho aktívna implementácia je od januára 2022 podmienkou získania grantov EÚ / Medová, Janka [Autor, UKFFPVKMA, 50%] ; Čeretková, Soňa [Autor, UKFFPVKMA, 50%]. – text. – [slovenčina]. – [OV 010]. – [ŠO 7605]. – [iný (hlavný článok)] In: Náš čas [textový dokument (print)] : časopis Univerzity Konštatnína Filozofa v Nitre. – Nitra (Slovensko) : Univerzita Konštantína Filozofa v Nitre. – ISSN 1338-3272. – Roč. 25, č. 5 (2021), s. 17-17 [tlačená forma] </t>
  </si>
  <si>
    <t xml:space="preserve">Posilnenie postavenia pedagógov ošetrovateľstva / Zrubcová, Dana [Autor, UKFFSVKOS, 34%] ; Solgajová, Andrea [Autor, UKFFSVKOS, 33%] ; Pavelová, Ľuboslava [Autor, UKFFSVKOS, 33%]. – text. – [slovenčina]. – [OV 180]. – [ŠO 5602]. – [iný (hlavný článok)] In: Náš čas [textový dokument (print)] : časopis Univerzity Konštatnína Filozofa v Nitre. – Nitra (Slovensko) : Univerzita Konštantína Filozofa v Nitre. – ISSN 1338-3272. – Roč. 25, č. 5 (2021), s. 29-29 [tlačená forma] </t>
  </si>
  <si>
    <t xml:space="preserve">Pracovníci absolvovali kurz rómskeho jazyka / Samko, Milan [Autor, UKFFSVURS, 100%]. – text. – [slovenčina]. – [OV 010]. – [ŠO 7605]. – [článok] In: Náš čas [textový dokument (print)] : časopis Univerzity Konštatnína Filozofa v Nitre. – Nitra (Slovensko) : Univerzita Konštantína Filozofa v Nitre. – ISSN 1338-3272. – Roč. 26, č. 2 (2022), s. 17-17 [tlačená forma] </t>
  </si>
  <si>
    <t xml:space="preserve">Prednášky pre žiakov nitrianskych ZŠ / Kočnerová, Mária [Autor, UKFFFAKPO, 100%]. – text. – [slovenčina]. – [OV 060]. – [ŠO 6718]. – [iný (hlavný článok)] In: Náš čas [textový dokument (print)] : časopis Univerzity Konštatnína Filozofa v Nitre. – Nitra (Slovensko) : Univerzita Konštantína Filozofa v Nitre. – ISSN 1338-3272. – Roč. 25, č. 5 (2021), s. 36-36 [tlačená forma] </t>
  </si>
  <si>
    <t xml:space="preserve">Prezentácia knihy Dar a bremeno dvojitej identity / Krauter, Michal [Autor, UKFFSSUSJ, 100%]. – text. – [slovenčina]. – [OV 020]. – [ŠO 7320]. – [iný (hlavný článok)] In: Náš čas [textový dokument (print)] : časopis Univerzity Konštatnína Filozofa v Nitre. – Nitra (Slovensko) : Univerzita Konštantína Filozofa v Nitre. – ISSN 1338-3272. – Roč. 25, č. 5 (2021), s. 26-26 [tlačená forma] </t>
  </si>
  <si>
    <t xml:space="preserve">Profesor Sirotkin na Erasme v Skopije / Sirotkin, Alexander [Autor, UKFFPVKZA, 100%]. – [slovenčina]. – [OV 130]. – [ŠO 4318]. – [iný]. – [recenzované] In: Náš čas [textový dokument (print)] : časopis Univerzity Konštatnína Filozofa v Nitre. – Nitra (Slovensko) : Univerzita Konštantína Filozofa v Nitre. – ISSN 1338-3272. – Roč. 25, č. 4 (2021), s. 13-13 [tlačená forma] </t>
  </si>
  <si>
    <t xml:space="preserve">Profesorka Jomová medzi najcitovanejšími vedcami / Petrovič, František [Autor, UKFFPVKEE, 100%]. – text. – [slovenčina]. – [OV 010]. – [ŠO 7605]. – [iný (hlavný článok)] In: Náš čas [textový dokument (print)] : časopis Univerzity Konštatnína Filozofa v Nitre. – Nitra (Slovensko) : Univerzita Konštantína Filozofa v Nitre. – ISSN 1338-3272. – Roč. 25, č. 5 (2021), s. 14-14 [tlačená forma] </t>
  </si>
  <si>
    <t xml:space="preserve">Prvé medzinárodné stretnutie riešiteľov projektu Train e-Hotel / Palenčíková, Zuzana [Autor, UKFFSSKCR, 50%] ; Beták, Norbert [Autor, UKFFSSKCR, 50%]. – text. – [slovenčina]. – [OV 010]. – [ŠO 7605]. – [článok] In: Náš čas [textový dokument (print)] : časopis Univerzity Konštatnína Filozofa v Nitre. – Nitra (Slovensko) : Univerzita Konštantína Filozofa v Nitre. – ISSN 1338-3272. – Roč. 26, č. 2 (2022), s. 41-41 [tlačená forma] </t>
  </si>
  <si>
    <t xml:space="preserve">Reflexia vzťahu starovekých spoločností k životnému prostrediu / Fačkovec, Henrich [Autor, UKFFFAKPO, 100%]. – text. – [slovenčina]. – [OV 060]. – [ŠO 6718]. – [iný]. – [recenzované] In: Zelená ľavica [elektronický dokument] . – Bratislava (Slovensko) : Komunita Zelená ľavica. – č. 31. január (2021), s. 1-4 [online] </t>
  </si>
  <si>
    <t xml:space="preserve">Riešitelia projektu COLETTE v Lyone / Medová, Janka [Autor, UKFFPVKMA, 100%]. – text. – [slovenčina]. – [OV 010]. – [ŠO 7605]. – [článok] In: Náš čas [textový dokument (print)] : časopis Univerzity Konštatnína Filozofa v Nitre. – Nitra (Slovensko) : Univerzita Konštantína Filozofa v Nitre. – ISSN 1338-3272. – Roč. 26, č. 2 (2022), s. 23-23 [tlačená forma] </t>
  </si>
  <si>
    <t xml:space="preserve">Ryžovisko Bôrik / Žabenský, Marián [Autor, UKFFFAKMK, 100%]. – text. – [slovenčina]. – [OV 030]. – [ŠO 8110]. – [iný]. – [recenzované] In: Pravnianske Zvesti [textový dokument (print)] . – Nitrianske Pravno (Slovensko) : Obec Nitrianske Pravno. – ISSN 1338-7855. – Roč. 28, č. 1 (2022), s. 8-9 [tlačená forma] </t>
  </si>
  <si>
    <t xml:space="preserve">Skončil sa prvý rok projektu Monitoring teatrologickej literatúry / Laciaková, Diana [Autor, UKFFFAULK, 100%]. – text. – [slovenčina]. – [OV 020]. – [ŠO 6107]. – [iný]. – [recenzované] In: Monitoring divadiel na Slovensku [elektronický dokument] . – Bratislava (Slovensko) : Slovenské centrum AICT. – ISSN (online) 2454-0129. – č. 31.05. (2022), s. 1-1 [online] </t>
  </si>
  <si>
    <t xml:space="preserve">Skúmajú miesto bývalej šibenice / Bešina, Daniel [Autor, UKFFFAKAR, 100%]. – text. – [slovenčina]. – [OV 030]. – [ŠO 7115]. – [článok] In: Náš čas [textový dokument (print)] : časopis Univerzity Konštatnína Filozofa v Nitre. – Nitra (Slovensko) : Univerzita Konštantína Filozofa v Nitre. – ISSN 1338-3272. – Roč. 26, č. 2 (2022), s. 22-22 [tlačená forma] </t>
  </si>
  <si>
    <t xml:space="preserve">Slováci, Ukrajinci a Alžírčania sa učili spolu / Hricková, Mária [Autor, UKFFFAKAA, 100%]. – text. – [slovenčina]. – [OV 010]. – [ŠO 7605]. – [článok] In: Náš čas [textový dokument (print)] : časopis Univerzity Konštatnína Filozofa v Nitre. – Nitra (Slovensko) : Univerzita Konštantína Filozofa v Nitre. – ISSN 1338-3272. – Roč. 26, č. 2 (2022), s. 27-27 [tlačená forma] </t>
  </si>
  <si>
    <t xml:space="preserve">Sociálna práca v digitálnom svete / Kozubík, Michal [Autor, UKFFSVKSP, 100%]. – text. – [slovenčina]. – [OV 010]. – [ŠO 7605]. – [článok] In: Náš čas [textový dokument (print)] : časopis Univerzity Konštatnína Filozofa v Nitre. – Nitra (Slovensko) : Univerzita Konštantína Filozofa v Nitre. – ISSN 1338-3272. – Roč. 26, č. 2 (2022), s. 40-40 [tlačená forma] </t>
  </si>
  <si>
    <t xml:space="preserve">Some Beliefs About Weight Loss / Sirotkin, Alexander [Autor, UKFFPVKZA, 100%]. – text. – [angličtina]. – [OV 130]. – [ŠO 1536]. – [článok]. – [recenzované]. – DOI 10.5281/zenodo.6609563 In: Archives of Nutrition and Public Health [elektronický dokument] . – Derwood (USA) : EScientific Publishers. – Roč. 4, č. 1 (2022), s. 1-5 </t>
  </si>
  <si>
    <t xml:space="preserve">Spolupráca s inštitúciou INRAE vo Francúzsku / Benc, Michal [Autor, UKFFPVKBG, 100%]. – text. – [slovenčina]. – [OV 130]. – [ŠO 1536]. – [iný (hlavný článok)] In: Náš čas [textový dokument (print)] : časopis Univerzity Konštatnína Filozofa v Nitre. – Nitra (Slovensko) : Univerzita Konštantína Filozofa v Nitre. – ISSN 1338-3272. – Roč. 25, č. 5 (2021), s. 40-40 [tlačená forma] </t>
  </si>
  <si>
    <t xml:space="preserve">Stretli sa s inšpiratívnymi učiteľmi / Hricková, Mária [Autor, UKFFFAKAA, 100%]. – text. – [slovenčina]. – [OV 010]. – [ŠO 7605]. – [článok] In: Náš čas [textový dokument (print)] : časopis Univerzity Konštatnína Filozofa v Nitre. – Nitra (Slovensko) : Univerzita Konštantína Filozofa v Nitre. – ISSN 1338-3272. – Roč. 26, č. 2 (2022), s. 42-42 [tlačená forma] </t>
  </si>
  <si>
    <t xml:space="preserve">Stretnutie k projektu INNO3D v Španielsku / Koprda, Štefan [Autor, UKFFPVKIN, 100%]. – text. – [slovenčina]. – [OV 010]. – [ŠO 7605]. – [článok] In: Náš čas [textový dokument (print)] : časopis Univerzity Konštatnína Filozofa v Nitre. – Nitra (Slovensko) : Univerzita Konštantína Filozofa v Nitre. – ISSN 1338-3272. – Roč. 26, č. 2 (2022), s. 23-23 [tlačená forma] </t>
  </si>
  <si>
    <t xml:space="preserve">Stretnutie s rektorom Université Paris II / Pavlíková, Martina [Autor, UKFFFAKZU, 100%]. – text. – [slovenčina]. – [OV 010]. – [ŠO 7605]. – [iný (hlavný článok)] In: Náš čas [textový dokument (print)] : časopis Univerzity Konštatnína Filozofa v Nitre. – Nitra (Slovensko) : Univerzita Konštantína Filozofa v Nitre. – ISSN 1338-3272. – Roč. 25, č. 5 (2021), s. 15-15 [tlačená forma] </t>
  </si>
  <si>
    <t xml:space="preserve">Súťažili v programovaní / Drlík, Martin [Autor, UKFFPVKIN, 100%]. – text. – [slovenčina]. – [OV 010]. – [ŠO 7605]. – [článok] In: Náš čas [textový dokument (print)] : časopis Univerzity Konštatnína Filozofa v Nitre. – Nitra (Slovensko) : Univerzita Konštantína Filozofa v Nitre. – ISSN 1338-3272. – Roč. 26, č. 2 (2022), s. 24-24 [tlačená forma] </t>
  </si>
  <si>
    <t xml:space="preserve">Študenti informatiky v projekte Open Data Lab / Drlík, Martin [Autor, UKFFPVKIN, 100%]. – text. – [slovenčina]. – [OV 010]. – [ŠO 7605]. – [článok] In: Náš čas [textový dokument (print)] : časopis Univerzity Konštatnína Filozofa v Nitre. – Nitra (Slovensko) : Univerzita Konštantína Filozofa v Nitre. – ISSN 1338-3272. – Roč. 26, č. 2 (2022), s. 41-41 [tlačená forma] </t>
  </si>
  <si>
    <t xml:space="preserve">Študenti Katedry hudby zažiarili v Ružomberku aj v Prahe / Štrbák, Marek [Autor, UKFPFAKHU, 100%]. – text. – [slovenčina]. – [OV 010]. – [ŠO 7605]. – [článok] In: Náš čas [textový dokument (print)] : časopis Univerzity Konštatnína Filozofa v Nitre. – Nitra (Slovensko) : Univerzita Konštantína Filozofa v Nitre. – ISSN 1338-3272. – Roč. 26, č. 2 (2022), s. 44-44 [tlačená forma] </t>
  </si>
  <si>
    <t xml:space="preserve">Študentská vedecká a odborná činnosť na Katedre politológie a euroázijských štúdií / Izsófová, Beáta [Autor, UKFFFAKPO, 100%]. – text. – [slovenčina]. – [OV 060]. – [ŠO 6718]. – [iný (informácie, správy, oznámenia) - ČL] In: Civitas [textový dokument (print)] : časopis pre politické a sociálne vedy. – Nitra (Slovensko) : Univerzita Konštantína Filozofa v Nitre. Filozofická fakulta. Katedra politológie a euroázijských štúdií. – ISSN 1335-2652. – Roč. 27, č. 1 (2021), s. 15-16 [tlačená forma] </t>
  </si>
  <si>
    <t xml:space="preserve">ŠVOČ 2021 na Katedre manažmentu kultúry a turizmu FF UKF v Nitre / Letavajová, Silvia [Autor, UKFFFAKMK, 50%] ; Mudrák, Marcel [Autor, UKFFFAKMK, 50%]. – [slovenčina]. – [OV 030]. – [ŠO 8110]. – [iný]. – [recenzované] In: Kontexty kultúry a turizmu [textový dokument (print)] . – Nitra (Slovensko) : Univerzita Konštantína Filozofa v Nitre. Filozofická fakulta. – ISSN 1337-7760. – Roč. 14, č. 1 (2021), s. 102-103 [tlačená forma] </t>
  </si>
  <si>
    <t xml:space="preserve">ŠVOUČ v sekcii archeológia, muzeológia a kultúrne dedičstvo bola úspešná / Šteiner, Pavol [Autor, UKFFFAKAR, 100%]. – text. – [slovenčina]. – [OV 010]. – [ŠO 7605]. – [článok] In: Náš čas [textový dokument (print)] : časopis Univerzity Konštatnína Filozofa v Nitre. – Nitra (Slovensko) : Univerzita Konštantína Filozofa v Nitre. – ISSN 1338-3272. – Roč. 26, č. 2 (2022), s. 49-49 [tlačená forma] </t>
  </si>
  <si>
    <t xml:space="preserve">Tolkien the Religious Man / Juričková, Martina [Autor, UKFFFAKAA, 100%]. – text. – [angličtina]. – [OV 020]. – [ŠO 8202]. – [iný (hlavný článok)] In: Fellowship and Fairydust [elektronický dokument] . – 2022, s. 1-7 [online] </t>
  </si>
  <si>
    <t xml:space="preserve">Translatológovia reflektovali / Koscelníková, Mária [Autor, UKFFFAKTR, 100%]. – text. – [slovenčina]. – [OV 010]. – [ŠO 7605]. – [článok] In: Náš čas [textový dokument (print)] : časopis Univerzity Konštatnína Filozofa v Nitre. – Nitra (Slovensko) : Univerzita Konštantína Filozofa v Nitre. – ISSN 1338-3272. – Roč. 26, č. 2 (2022), s. 47-47 [tlačená forma] </t>
  </si>
  <si>
    <t xml:space="preserve">Tretie miesto na medzinárodnej ŠVOČ / Angyal, Ladislav [Autor, UKFFSSUML, 100%]. – [slovenčina]. – [OV 010]. – [ŠO 7605]. – [iný]. – [recenzované] In: Náš čas [textový dokument (print)] : časopis Univerzity Konštatnína Filozofa v Nitre. – Nitra (Slovensko) : Univerzita Konštantína Filozofa v Nitre. – ISSN 1338-3272. – Roč. 25, č. 4 (2021), s. 24-24 [tlačená forma] </t>
  </si>
  <si>
    <t xml:space="preserve">Týždeň vedy a techniky na UKF v Nitre / Bauerová, Mária [Autor, UKFFPVKBG, 100%]. – text. – [slovenčina]. – [OV 010]. – [ŠO 7605]. – [iný (hlavný článok)] In: Náš čas [textový dokument (print)] : časopis Univerzity Konštatnína Filozofa v Nitre. – Nitra (Slovensko) : Univerzita Konštantína Filozofa v Nitre. – ISSN 1338-3272. – Roč. 25, č. 5 (2021), s. 19-19 [tlačená forma] </t>
  </si>
  <si>
    <t xml:space="preserve">U Rómov som sa priučila ľudskej blízkosti (Jana Belišová) / Ambrózová, Jana [Autor interview, UKFFFAKEF, 100%]. – text. – [slovenčina]. – [OV 030]. – [ŠO 7115]. – [iný (rozhovor) - ČL]. – [recenzované] In: Hudobný život [textový dokument (print)] [elektronický dokument] : jediný odborný mesačník pre klasickú hudbu a jazz na Slovensku. – Bratislava (Slovensko) : Hudobné centrum. – ISSN 1335-4140. – ISSN (online) 2729-7586. – ISSN (zrušené) 0323-133X. – Roč. 54, č. 6 (2022), s. 16-20 [tlačená forma] [online] </t>
  </si>
  <si>
    <t xml:space="preserve">UKF na INTERACY : (Intervention – Reading – Literacy) / Pišová, Paula [Autor, UKFFFAKRO, 50%] ; Horníčková, Mária [Autor, UKFFFAKRO, 50%]. – text. – [slovenčina]. – [OV 020]. – [ŠO 7320]. – [iný]. – [recenzované] In: Náš čas [textový dokument (print)] : časopis Univerzity Konštatnína Filozofa v Nitre. – Nitra (Slovensko) : Univerzita Konštantína Filozofa v Nitre. – ISSN 1338-3272. – Roč. 25, č. 4 (2021), s. 34-34 [tlačená forma] </t>
  </si>
  <si>
    <t xml:space="preserve">UKF na odovzdávaní cien Francúzskej akadémie / Pavlíková, Martina [Autor, UKFFFAKZU, 100%]. – text. – [slovenčina]. – [OV 010]. – [ŠO 7605]. – [iný (hlavný článok)] In: Náš čas [textový dokument (print)] : časopis Univerzity Konštatnína Filozofa v Nitre. – Nitra (Slovensko) : Univerzita Konštantína Filozofa v Nitre. – ISSN 1338-3272. – Roč. 25, č. 5 (2021), s. 15-15 [tlačená forma] </t>
  </si>
  <si>
    <t xml:space="preserve">UKF spolupracovala na modernizácii Pamätnej izby Jána Palárika / Bönde Gogova, Stanislava [Autor, UKFFFAKAR, 100%]. – text. – [slovenčina]. – [OV 010]. – [ŠO 7605]. – [článok] In: Náš čas [textový dokument (print)] : časopis Univerzity Konštatnína Filozofa v Nitre. – Nitra (Slovensko) : Univerzita Konštantína Filozofa v Nitre. – ISSN 1338-3272. – Roč. 26, č. 2 (2022), s. 43-43 [tlačená forma] </t>
  </si>
  <si>
    <t xml:space="preserve">Umelecká súťaž Life of Art na Katedre hudby / Hubinská, Zuzana [Autor, UKFPFAKHU, 50%] ; Sondorová, Dominika [Autor, UKFPFAKHU, 50%]. – text. – [slovenčina]. – [OV 010]. – [ŠO 7605]. – [iný (hlavný článok)] In: Náš čas [textový dokument (print)] : časopis Univerzity Konštatnína Filozofa v Nitre. – Nitra (Slovensko) : Univerzita Konštantína Filozofa v Nitre. – ISSN 1338-3272. – Roč. 25, č. 5 (2021), s. 32-33 [tlačená forma] </t>
  </si>
  <si>
    <t xml:space="preserve">Úspech Katedry informatiky v publikačnej oblasti / Turčáni, Milan [Autor, UKFFPVKIN, 100%]. – [slovenčina]. – [OV 160]. – [ŠO 2508]. – [iný]. – [recenzované] In: Náš čas [textový dokument (print)] : časopis Univerzity Konštatnína Filozofa v Nitre. – Nitra (Slovensko) : Univerzita Konštantína Filozofa v Nitre. – ISSN 1338-3272. – Roč. 25, č. 4 (2021), s. 25-25 [tlačená forma] </t>
  </si>
  <si>
    <t xml:space="preserve">V Chlebnikovovom diele možno naďalej objavovať / Zambor, Ján [Autor, UKOFISL, 50%] ; Teplan, Dušan [Autor, UKFFFASJL, 50%]. – text. – [slovenčina]. – [OV 020]. – [ŠO 7320]. – [iný (hlavný článok)] In: Fraktál [textový dokument (print)] : literatúra horizontálne a vertikálne. – Závod (Slovensko) : Fraktál. – ISSN 2585-8912. – Roč. 5, č. 4 (2022), s. 128-134 [tlačená forma] </t>
  </si>
  <si>
    <t xml:space="preserve">Vedecká rada UKF zasadala online / Bauerová, Mária [Autor, UKFFPVKBG, 100%]. – [slovenčina]. – [OV 010]. – [ŠO 7605]. – [iný]. – [recenzované] In: Náš čas [textový dokument (print)] : časopis Univerzity Konštatnína Filozofa v Nitre. – Nitra (Slovensko) : Univerzita Konštantína Filozofa v Nitre. – ISSN 1338-3272. – Roč. 25, č. 4 (2021), s. 29-29 [tlačená forma] </t>
  </si>
  <si>
    <t xml:space="preserve">Vedecká rada UKF zasadala online / Bauerová, Mária [Autor, UKFFPVKBG, 100%]. – text. – [slovenčina]. – [OV 010]. – [ŠO 7605]. – [iný (hlavný článok)] In: Náš čas [textový dokument (print)] : časopis Univerzity Konštatnína Filozofa v Nitre. – Nitra (Slovensko) : Univerzita Konštantína Filozofa v Nitre. – ISSN 1338-3272. – Roč. 25, č. 5 (2021), s. 9-9 [tlačená forma] </t>
  </si>
  <si>
    <t xml:space="preserve">Viera sa nevypočítava, je úprimnou radosťou / Hlad, Ľubomír [Autor, UKFFFAUKD, 100%]. – text. – [slovenčina]. – [OV 020]. – [ŠO 6171]. – [článok] In: Katolícke noviny [textový dokument (print)] [elektronický dokument] . – Trnava (Slovensko) : Spolok svätého Vojtecha. – ISSN 0139-8512. – ISSN (online) 1336-2399. – Roč. 136, č. 21 (2021), s. 14-14 [tlačená forma] [online] </t>
  </si>
  <si>
    <t xml:space="preserve">Volejbalistky UKF prvé na turnaji univerzít / Paška, Ľubomír [Autor, UKFPFAKTV, 100%]. – text. – [slovenčina]. – [OV 010]. – [ŠO 7605]. – [iný (hlavný článok)] In: Náš čas [textový dokument (print)] : časopis Univerzity Konštatnína Filozofa v Nitre. – Nitra (Slovensko) : Univerzita Konštantína Filozofa v Nitre. – ISSN 1338-3272. – Roč. 25, č. 5 (2021), s. 43-43 [tlačená forma] </t>
  </si>
  <si>
    <t xml:space="preserve">Workshop so zameraním na nemecký jazyk / Szabó, Erzsébet [Autor, UKFFFAKGE, 100%]. – text. – [slovenčina]. – [OV 010]. – [ŠO 7605]. – [iný (hlavný článok)] In: Náš čas [textový dokument (print)] : časopis Univerzity Konštatnína Filozofa v Nitre. – Nitra (Slovensko) : Univerzita Konštantína Filozofa v Nitre. – ISSN 1338-3272. – Roč. 25, č. 5 (2021), s. 21-21 [tlačená forma] </t>
  </si>
  <si>
    <t xml:space="preserve">Zabudnutá próza davistov / Habaj, Michal [Autor, UCMFIFKHIS, 50%] ; Teplan, Dušan [Autor, UKFFFASJL, 50%]. – text. – [slovenčina]. – [OV 020]. – [ŠO 7320]. – [článok] In: Fraktál [textový dokument (print)] : literatúra horizontálne a vertikálne. – Závod (Slovensko) : Fraktál. – ISSN 2585-8912. – Roč. 5, č. 4 (2022), s. 137-140 [tlačená forma] </t>
  </si>
  <si>
    <t xml:space="preserve">Zástupcovia FSVaZ na SOCNET98 vo Francúzsku / Mojtová, Martina [Autor, UKFFSVKSP, 100%]. – text. – [slovenčina]. – [OV 060]. – [ŠO 7761]. – [iný]. – [recenzované] In: Náš čas [textový dokument (print)] : časopis Univerzity Konštatnína Filozofa v Nitre. – Nitra (Slovensko) : Univerzita Konštantína Filozofa v Nitre. – ISSN 1338-3272. – Roč. 25, č. 4 (2021), s. 35-35 [tlačená forma] </t>
  </si>
  <si>
    <t xml:space="preserve">Zastúpenie na danteologickej konferencii mala aj UKF / Šavelová, Monika [Autor, UKFFFAKRO, 100%]. – text. – [slovenčina]. – [OV 010]. – [ŠO 7605]. – [iný]. – [recenzované] In: Náš čas [textový dokument (print)] : časopis Univerzity Konštatnína Filozofa v Nitre. – Nitra (Slovensko) : Univerzita Konštantína Filozofa v Nitre. – ISSN 1338-3272. – Roč. 25, č. 4 (2021), s. 27-27 [tlačená forma] </t>
  </si>
  <si>
    <t xml:space="preserve">Získali prestížny certifikát Kultúrna cesta Rady Európy / Ivanič, Peter [Autor, UKFFFAUKD, 34%] ; Kramáreková, Hilda [Autor, UKFFPVKGR, 33%] ; Krogmann, Alfred [Autor, UKFFPVKGR, 33%]. – text. – [slovenčina]. – [OV 010]. – [ŠO 7605]. – [článok] In: Náš čas [textový dokument (print)] : časopis Univerzity Konštatnína Filozofa v Nitre. – Nitra (Slovensko) : Univerzita Konštantína Filozofa v Nitre. – ISSN 1338-3272. – Roč. 26, č. 2 (2022), s. 26-26 [tlačená forma] </t>
  </si>
  <si>
    <t xml:space="preserve">Zjednocujúca platforma transdisciplinárneho výskumu / Kuzmíková, Jana [Autor, 50%] ; Teplan, Dušan [Autor, UKFFFASJL, 50%]. – [slovenčina]. – [OV 020]. – [ŠO 7320]. – [iný (hlavný článok)] In: Fraktál [textový dokument (print)] : literatúra horizontálne a vertikálne. – Závod (Slovensko) : Fraktál. – ISSN 2585-8912. – Roč. 5, č. 4 (2022), s. 179-180 [tlačená forma] </t>
  </si>
  <si>
    <t>O1 - Odborný výstup publikačnej činnosti ako celok</t>
  </si>
  <si>
    <t xml:space="preserve">8. Ekologické dni [textový dokument (print)]  [zborník - odborný] : súčasné zmeny a vývojové trendy poľnohospodárskej krajiny Slovenska. Zborník abstraktov z konferencie, Smolenice 25. - 26.4.2022 / Melicher, Jakub [Zostavovateľ, editor, UKFFPVKEE, 34%] ; Hladká, Alexandra [Zostavovateľ, editor, UKFFPVKEE, 33%] ; Kozelová, Ivana [Zostavovateľ, editor, 33%] ; Ekologické dni, 8 [25.04.2022-26.04.2022, Smolenice, Slovensko]. – 1. vyd. – Bratislava (Slovensko) : Slovenská akadémia vied, 2022. – 37 s. [3,12 AH] [tlačená forma] : text. – [slovenčina]. – [OV 100]. – [ŠO 1610]. – ISBN 978-80-89325-30-6 </t>
  </si>
  <si>
    <t xml:space="preserve">Didaktické zásady v přírodovědném vzdělávání [textový dokument (print)]  [knižná publikácia - odborná] : metodická příručka pro učitele biologie, chemie, fyziky, geografie, informatiky, matematiky a lektory environmentální vychovy / Jančaříková, Kateřina [Autor, 55%] ; Brůnová, Linda [Autor, 1%] ; Hejnová, Eva [Autor, 1%] ; Hlaváčová, Lucie [Autor, 1%] ; Jančarík, Antonín [Autor, 1%] ; Králik, Jiří [Autor, 1%] ; Krátka, Magdaléna [Autor, 1%] ; Krejčí, Jan [Autor, 1%] ; Kroufek, Roman [Autor, 1%] ; Matějček, Tomáš [Autor, 1%] ; Medová, Janka [Autor, UKFFPVKMA, 31%] ; Pelikánová, Monika [Autor, 1%] ; Svobodová, Silvie [Autor, 1%] ; Šmídl, Milan [Autor, 1%] ; Trahorsch, Petr [Autor, 1%] ; Vojíř, Karel [Autor, 1%] ; Rokoš, Lukáš [Recenzent] ; Šunderlík, Ján [Recenzent]. – 1. vyd. – Praha (Česko) : Univerzita Karlova v Praze, 2022. – 158 s. [tlačená forma] : text. – [čeština]. – [OV 240, 010]. – [ŠO 1113, 7605]. – ISBN 978-80-7603-289-7 </t>
  </si>
  <si>
    <t xml:space="preserve">Koncepcia rozvoja cestovneho ruchu v meste Prievidza [elektronický dokument]  [prehľadová práca] / Tonhaiserová, Andrea [Autor, 10%] ; Žabenský, Marián [Autor, UKFFFAKMK, 40%] ; Zima, Roman [Autor, UKFFFAKMK, 30%] ; Fraňová, Ivona [Autor, REKTOR, 10%] ; Piatková, Simona [Autor, 10%]. – 1. vyd. – Prievidza (Slovensko) : Referát pre projekty a investície a Referát obchodu a cestovného ruchu, 2022. – 76 s. [online] : text. – [slovenčina]. – [OV 030]. – [ŠO 8110] </t>
  </si>
  <si>
    <t xml:space="preserve">Kvalita strojového prekladu v umeleckej literatúre [textový dokument (print)]  [knižná publikácia - odborná] / Pavlová, Renáta [Autor, UKFFFAJZC, 100%]. – 1. vyd. – Nümbrecht (Nemecko) : Kirsch-Verlag, 2022. – 164 s. [tlačená forma]. – [slovenčina]. – [OV 020]. – [ŠO 7320]. – [recenzované]. – ISBN 978-3-943906-62-2. – ISBN 3-943906-62-0 </t>
  </si>
  <si>
    <t xml:space="preserve">Pútnik svätovojtešský [textový dokument (print)]  [zborník - odborný] : kalendár na rok 2023 / Zumríková Kekeliaková, Monika [Zostavovateľ, editor, UKFFFASJL, 50%] ; Grochálová, Martina [Zostavovateľ, editor, 50%]. – 1. vyd. – Roč. 151. – Trnava (Slovensko) : Spolok svätého Vojtecha, 2022. – 156 s. [tlačená forma]. – [slovenčina]. – [OV 020]. – [ŠO 6171]. – ISBN 978-80-8161-589-4 </t>
  </si>
  <si>
    <t xml:space="preserve">Romani Lexicography in the Nineteenth Century (1. Vasile Pogor. Lexicon Româno–Ţigănesc/ Romanian–Gypsy Dictionary) [textový dokument (print)]  [slovník] : Lincom Studies in Romani Linguistics LSRoL 01 / Rotaru, Julieta [Autor] ; Tirard, Aurore [Autor] ; Shapoval, Viktor [Autor] ; Kyuchukov, Hristo [Zostavovateľ, editor, 50%] ; Samko, Milan [Zostavovateľ, editor, UKFFSVURS, 50%]. – 1. vyd. – Mníchov (Nemecko) : Lincom academic publishers, 2022. – 168 s. [tlačená forma] : text. – [angličtina]. – [OV 020]. – [ŠO 7761]. – ISBN 9783969391143 </t>
  </si>
  <si>
    <t xml:space="preserve">Russko-slovacko-anglijskij objasniteľnyj slovar po mežkuľturnoj kommunikacii [textový dokument (print)]  [slovník] / Kalechyts, Alena [Autor, UKFFFASJL, 35%] ; Rudakova, Tetyana [Autor, UKFFFASJL, 20%] ; Nikitsenka, Tatsiana Nikitsenka [Autor, 20%] ; Gallo, Ján [Autor, UKFFFASJL, 15%] ; Vieriková, Lucia [Autor, UKFFFASJL, 10%]. – 1. vyd. – Nitra (Slovensko) : Univerzita Konštantína Filozofa v Nitre, 2022. – 300 s. [tlačená forma] : text. – [ruština]. – [OV 020]. – [ŠO 7320]. – ISBN 978-80-558-1914-3 </t>
  </si>
  <si>
    <t xml:space="preserve">Sociálne znevýhodnené dieťa v škole [textový dokument (print)]  [knižná publikácia - odborná] / Čerešníková, Miroslava [Autor, UKFFSVURS, 100%]. – 1. vyd. – Bratislava (Slovensko) : Dr. Josef Raabe, 2022. – 88 s. [tlačená forma] : text. – [slovenčina]. – [OV 060]. – [ŠO 7761]. – ISBN 978-80-8140-774-1 </t>
  </si>
  <si>
    <t xml:space="preserve">Stredoškolská konferencia 2022 [elektronický dokument]  [zborník - odborný] / Sandanusová, Anna [Zostavovateľ, editor, UKFFPVKZA, 50%] ; Púchovská, Vlasta [Zostavovateľ, editor, 50%] ; Gregušová, Monika [Recenzent] ; Babosová, Ramona [Recenzent] ; Stredoškolská konferencia 2022, 2 [16.06.2022, Bratislava, Slovensko]. – 1. vyd. – Bratislava (Slovensko) : Štátny inštitút odborného vzdelávania ; Nitra (Slovensko) : Univerzita Konštantína Filozofa v Nitre, 2022. – 48 s. [3,12 AH] [CD-ROM]. – [slovenčina]. – [OV 010]. – [ŠO 7605]. – ISBN 978-80-89247-81-3 </t>
  </si>
  <si>
    <t xml:space="preserve">Ženy v tieni dejín 2 [textový dokument (print)]  [zborník - odborný] : (ne)známe ženy v známom prostred. Zborník abstraktov, Nitra 5. - 6. April 2022 = Nők a történelem homályában 2 : Ismer(e)t(len) nők ismert közegben, Absztraktok gyűjtemény, Nitra 5. - 6. April 2022 / Kičková, Adriana [Zostavovateľ, editor, UKFFFAKHI, 50%] ; Molnárová, Mária [Zostavovateľ, editor, UKFFFAKHI, 50%] ; Ženy v tieni dejín, 2 [05.04.2022-06.04.2022, Nitra, Slovensko]. – 1. vyd. – Nitra (Slovensko) : Univerzita Konštantína Filozofa v Nitre, 2022. – 57 s. [3,24 AH] [tlačená forma] : text. – [slovenčina]. – [OV 020]. – [ŠO 7115]. – [recenzované]. – ISBN 978-80-558-1879-5 </t>
  </si>
  <si>
    <t>O2 - Odborný výstup publikačnej činnosti ako časť knižnej publikácie alebo zborníka</t>
  </si>
  <si>
    <t xml:space="preserve">A Roma Community in Two Historical Periods: In the 18th Century and the Present / Kozubík, Michal [Autor, UKFFSVKSP, 100%] ; Gypsy Lore Society Annual Meeting and Conference on Romani Studies [28.09.2022-30.09.2022, Belehrad, Srbsko]. – text. – [angličtina]. – [OV 060]. – [ŠO 7761]. – [abstrakt z podujatia - KP] In: Gypsy Lore Society Annual Meeting and Conference on Romani Studies [elektronický dokument] : Book of Abstracts, Beograd, September 28–30, 2022 / Várady, Tibor [Zostavovateľ, editor] ; Marushiakova, Elena [Zostavovateľ, editor] ; Zahova [Zostavovateľ, editor]. – 1. vyd. – Belehrad (Srbsko) : Serbian Academy of Sciences and Arts, 2022. – ISBN 978-86-7025-940-9, s. 44-44 [online] </t>
  </si>
  <si>
    <t xml:space="preserve">Adaptační efekt přípravné hry se středním počtem hráčů a vysoce intenzivního intervalového tréninku na vybrané kondiční schopnosti fotbalistek s využitím moderních technologií = Effect of small-sided games and high-intensity interval training on physical performance by using GPS and hr-monitoring technologies in women’s football / Domčeková, Andrea [Autor, UKFPFAKTV, 40%] ; Šimonek, Jaromír [Autor, UKFPFAKTV, 20%] ; Bakaľár, Igor [Autor, UKFPFAKTV, 20%] ; Krčmár, Matúš [Autor, UKFPFAKTV, 20%] ; Scientia Movens 2022, 10 [31.05.2022, Praha, Česko]. – text. – [čeština]. – [OV 210]. – [ŠO 7418]. – [abstrakt - KP] In: Scientia Movens 2022 [textový dokument (print)] : 10. ročník mezinárodní studentské konference pořádané dne 31. května 2022 v Praze / Kovač, Ishak [Zostavovateľ, editor] ; Jaklová Dytrtová, Jana [Zostavovateľ, editor] ; Smíšek, Samuel [Zostavovateľ, editor]. – 1. vyd. – Praha (Česko) : Univerzita Karlova v Praze, 2022. – ISBN 978-80-87647-61-5, s. 10-10 [tlačená forma] </t>
  </si>
  <si>
    <t xml:space="preserve">Aplikácia LiDAR vizualizácií na mapovanie smeru obrábania pôdy / Košánová, Svetlana [Autor, UKFFPVKEE, 25%] ; Gemmelová, Lucia [Autor, 25%] ; Lieskovský, Juraj [Autor, 25%] ; Lieskovský, Tibor [Autor, 010130, 25%] ; Ekologické dni, 8 [25.04.2022-26.04.2022, Smolenice, Slovensko]. – text. – [slovenčina]. – [OV 100]. – [ŠO 1610]. – [abstrakt z podujatia - KP] In: 8. Ekologické dni [textový dokument (print)] : súčasné zmeny a vývojové trendy poľnohospodárskej krajiny Slovenska. Zborník abstraktov z konferencie, Smolenice 25. - 26.4.2022 / Melicher, Jakub [Zostavovateľ, editor] ; Hladká, Alexandra [Zostavovateľ, editor] ; Kozelová, Ivana [Zostavovateľ, editor]. – 1. vyd. – Bratislava (Slovensko) : Slovenská akadémia vied, 2022. – ISBN 978-80-89325-30-6, s. 18-18 [tlačená forma] </t>
  </si>
  <si>
    <t xml:space="preserve">Attention economy and surveyllance capitalism as a tools of human downgrading / Moravčíková, Erika [Autor, UKFFFAKKU, 100%] ; Hlobaľni transformaciji u sferi kuľturi: vyklyky sjohodeňňa [29.10.2021-30.10.2021, Ľvov, Ukrajina]. – text. – [slovenčina]. – [OV 020]. – [ŠO 8110]. – [príspevok z podujatia] In: Hlobaľni transformaciji u sferi kuľturi: vyklyky sjohodeňňa [textový dokument (print)] : materialy mižnarodnoji naukovoji konfetenciji 29.-30. žotvňa 2021 / [bez zostavovateľa] [Zostavovateľ, editor]. – 1. vyd. – Ľvov (Ukrajina) : Lvivski nacionaľny universitet imeni Ivana Franka u Ľvovi, 2021, s. 30-32 [tlačená forma] </t>
  </si>
  <si>
    <t xml:space="preserve">Barbara Górnicka- Naskiewicz, Pamiec pokoleń. Tradycja kulturowa Kresowian subregionu glubczyckiego / Beňušková, Zuzana [Autor, UKFFFAKMK, 100%]. – text. – [slovenčina]. – [OV 030]. – [ŠO 7115]. – [recenzia - KP] In: Kontakty 19 [textový dokument (print)] : obraz Poľska a Poliakov v slovenskom písomníctve do roku 1918 = wizerunek Polski i Polaków w slowackim pismiennictwie do 1918 roku / Káša, Peter [Zostavovateľ, editor] ; Vojteková, Marta [Zostavovateľ, editor] ; Mitka, Marek [Recenzent] ; Pálfalvi, Lajos [Recenzent]. – 1. vyd. – Prešov (Slovensko) : Prešovská univerzita v Prešove. Vydavateľstvo Prešovskej univerzity, 2022. – ISBN 978-80-555-2950-9. – SIGN-PU FF-22 150/22, s. 149-151 [tlačená forma] </t>
  </si>
  <si>
    <t xml:space="preserve">Does the Gross Motor Development of Romanian and Hungarian 6 - 7-Year-Old Children Depend on the Degree of Obesity? (First phase of a Longitudinal Study) / Molnár, Andor H. [Autor, 5.888%] ; Boros-Bálint, Iuliana [Autor, 5.882%] ; Deak, Gratiela Flavia [Autor, 5.882%] ; Andrei, Vasile Liviu [Autor, 5.882%] ; Ardelean, Viorel Petru [Autor, 5.882%] ; Šimonek, Jaromír [Autor, UKFPFAKTV, 5.882%] ; Halmová, Nora [Autor, UKFPFAKTV, 5.882%] ; Dobay, Beáta [Autor, UJSPFKTVŠ, 5.882%] ; Nagy, Ágnes Virág [Autor, 5.882%] ; Vári, Beáta [Autor, 5.882%] ; Orbán, Kornélia [Autor, 5.882%] ; Fintor, Csaba [Autor, 5.882%] ; Ocskó, Tímea [Autor, 5.882%] ; Szász, Róbert [Autor, 5.882%] ; Györi, Ferenc [Autor, 5.882%] ; Alattyányi, István [Autor, 5.882%] ; Csetreki, Rita [Autor, 5.882%] ; International Conference of the Universitaria Consortium, ICU 2019, 5 [11.10.2019-12.10.2019, Cluj-Napoca, Rumunsko]. – [angličtina]. – [OV 010]. – [ŠO 7605]. – [príspevok z podujatia] In: Education for Health and Performance, ICU 2019 [textový dokument (print)] / Boros-Bálint, Iuliana [Zostavovateľ, editor] ; Ciocoi-Pop, D. [Zostavovateľ, editor] ; Pop N., Horațiu [Zostavovateľ, editor] ; Deak, Gratiela Flavia [Zostavovateľ, editor]. – 1. vyd. – Boloňa (Taliansko) : EDITOGRAFICA, 2020. – ISBN 978-88-87729-62-7, s. 211-216 [tlačená forma] </t>
  </si>
  <si>
    <t xml:space="preserve">Dramaturgia hudobného festivalu ako nástroj marketingu : Slon pod kobercom / Holetz, Tomáš [Autor, UKFFFAKMR, 100%]. – text. – [slovenčina]. – [OV 060]. – [ŠO 7205]. – [príspevok] In: Proměny dramaturgie 4 [textový dokument (print)] : Dramaturgie v offline a online prostoru : kolektivní monografie k současným uměleckým dramaturgiím / Horsáková, Monika [Zostavovateľ, editor] ; Zelinský, Miroslav [Zostavovateľ, editor] ; Konečný, Lubomír [Recenzent] ; Řehořík, Pavel [Recenzent]. – 1. vyd. – Opava (Česko) : Slezská univerzita v Opavě. Filozoficko-přírodovědecká fakulta, 2020. – ISBN 978-80-7510-445-8, s. 124-149 </t>
  </si>
  <si>
    <t xml:space="preserve">Drevársky a nábytkársky priemysel / Levický, Michal [Autor, UKFFPVUMI, 100%]. – text. – [slovenčina]. – [OV 080]. – [ŠO 6213]. – [kapitola]. – [recenzované] In: Analýza kľúčových odvetví hospodárstva SR za roky 2019 a 2020 [textový dokument (print)] / Holešová, Viera [Autor] ; Kiselicová, Renáta [Autor]. – 1. vyd. – Bratislava (Slovensko) : Centire, 2022. – ISBN 978-80-570-3809-2, s. 273-297 [tlačená forma] </t>
  </si>
  <si>
    <t xml:space="preserve">Ecosystem services approach facilitating sustainable development of rural areas in Slovakia / Mederly, Peter [Autor, UKFFPVKEE, 60%] ; Bezák, Peter [Autor, 20%] ; Izakovičová, Zita [Autor, UKFFPVKEE, 20%] ; ESP Europe Conference [07.06.2021, Tartu, Estónsko]. – [angličtina]. – [OV 100]. – [ŠO 1610]. – [abstrakt z podujatia - KP] In: 3rd ESP Europe Conference [textový dokument (print)] : Developing and advancing national MAES processes: a path from mapping to implementation, book of abstracts / [bez zostavovateľa] [Zostavovateľ, editor]. – 1. vyd. – Tartu (Estónsko) : University of Tartu, 2021, s. 7-7 [tlačená forma] </t>
  </si>
  <si>
    <t xml:space="preserve">Ešte aj hýbať sa ako strom : Pán strom. Recenzia inscenácie hry Stanislava Štepku: Pán strom, réžia: O. Spišák, premiéra: 3. a 4. júna 2021 / Inštitorisová, Dagmar [Autor, UKFFFAKMR, 100%]. – text. – [slovenčina]. – [OV 020]. – [ŠO 7205]. – [recenzia - KP]. – [recenzované] In: Radošinské naivné divadlo [textový dokument (print)] : divadelná ročenka / Hubáček, Ladislav [Zostavovateľ, editor]. – 1. vyd. – Bratislava (Slovensko) : Agentúra RND, 2022. – ISBN 978-80-973114-6-9, s. 28-29 [tlačená forma] </t>
  </si>
  <si>
    <t xml:space="preserve">F. M. Dostojevskij optikou Freudovej psychoanalýzy = F. M. Dostojevskij s psichoanalitičeskoj točki zrenija Frejda / Lekeš, Patrik [Autor, UKFFFASJL, 100%] ; LOQUERE, 4 [29.04.2022, Trnava, Slovensko]. – text. – [slovenčina]. – [OV 020]. – [ŠO 7320]. – [abstrakt z podujatia - KP]. – [recenzované] In: LOQUERE [elektronický dokument] : interdisciplinárna doktorandská konferencia : zborník abstraktov / Grznárová, Michaela [Zostavovateľ, editor] ; Hriadel, Ondrej [Zostavovateľ, editor] ; Kochanová, Dominika [Zostavovateľ, editor] ; Mujkošová, Tamara [Zostavovateľ, editor]. – 1. vyd. – Trnava (Slovensko) : Univerzita sv. Cyrila a Metoda v Trnave, 2022. – ISBN (online) 978-80-572-0244-8, s. 33-34 [CD-ROM] </t>
  </si>
  <si>
    <t xml:space="preserve">Fulvia - a woman who, through her own efforts, established herself in the male world = Fulva -  žena,  ktorá sa vlastným úsilím presadila v mužskom svete / Jirkal, Emanuel [Autor, UKFFFAKHI, 100%] ; Ženy v tieni dejín, 2 [05.04.2022-06.04.2022, Nitra, Slovensko]. – text. – [angličtina]. – [OV 030]. – [ŠO 7115]. – [abstrakt z podujatia - KP] In: Ženy v tieni dejín 2 [textový dokument (print)] : (ne)známe ženy v známom prostred. Zborník abstraktov, Nitra 5. - 6. April 2022 / Kičková, Adriana [Zostavovateľ, editor] ; Molnárová, Mária [Zostavovateľ, editor]. – 1. vyd. – Nitra (Slovensko) : Univerzita Konštantína Filozofa v Nitre, 2022. – ISBN 978-80-558-1879-5, s. 17-18 [tlačená forma] </t>
  </si>
  <si>
    <t xml:space="preserve">Funkčné poruchy pohybového systému u detí s absenciou vybranej fázy motorického vývinu / Kanásová, Janka [Autor, UKFPFAKTV, 40%] ; Halmová, Nora [Autor, UKFPFAKTV, 40%] ; Veis, Alexandra [Autor, UKFPFAKTV, 20%] ; Disportare 2022 [06.10.2022-07.10.2022, České Budějovice, Česko]. – text. – [slovenčina]. – [OV 210]. – [ŠO 7418]. – [abstrakt z podujatia - KP]. – [recenzované] In: Disportare 2022 [textový dokument (print)] : sborník abstraktů z mezinárodní vědecké konference, České Budějovice 5. - 6.10.2022 / Kursová, Vlasta [Zostavovateľ, editor]. – 1. vyd. – České Budějovice (Česko) : Jihočeská univerzita v Českých Budějovicích, 2022. – ISBN 978-80-7394-948-8, s. 24-25 [tlačená forma] </t>
  </si>
  <si>
    <t xml:space="preserve">Goralská kultúra na Reprezentatívnom zozname nehmotného kultúrneho dedičstva Slovenska / Beňušková, Zuzana [Autor, UKFFFAKMK, 100%]. – text. – [slovenčina]. – [OV 030]. – [ŠO 7115]. – [príspevok] In: Kontakty 19 [textový dokument (print)] : obraz Poľska a Poliakov v slovenskom písomníctve do roku 1918 = wizerunek Polski i Polaków w slowackim pismiennictwie do 1918 roku / Káša, Peter [Zostavovateľ, editor] ; Vojteková, Marta [Zostavovateľ, editor] ; Mitka, Marek [Recenzent] ; Pálfalvi, Lajos [Recenzent]. – 1. vyd. – Prešov (Slovensko) : Prešovská univerzita v Prešove. Vydavateľstvo Prešovskej univerzity, 2022. – ISBN 978-80-555-2950-9. – SIGN-PU FF-22 150/22, s. 189-191 [tlačená forma] </t>
  </si>
  <si>
    <t xml:space="preserve">Gospodin Goľadkin i šizofrenija / Lekeš, Patrik [Autor, UKFFFASJL, 100%] ; Aktuaľnyje voprosy filologičeskogo obrazovanija v XXI veke [17.09.2022, Minsk, Bielorusko (predtým ako Bieloruská SSR)]. – text. – [ruština]. – [OV 020]. – [ŠO 7320]. – [príspevok z podujatia] In: Aktuaľnyje voprosy filologičeskogo obrazovanija v XXI veke [textový dokument (print)] : Materijaly Meždunarodnoj naučno-praktičeskoj konferencii v ramkach meždunarodnogo foruma "Studenčeskaja nauka-innovacionnyj potencial buduščego" / Žiganova, E. P. [Zostavovateľ, editor]. – 1. vyd. – Minsk (Bielorusko (predtým ako Bieloruská SSR)) : Belorusskij gosudarstvennyj pedagogičeskij universitet imeni Maxima Tanka, 2022. – ISBN 978-985-29-0179-6, s. 91-93 [tlačená forma] </t>
  </si>
  <si>
    <t xml:space="preserve">Gruzínci a Šota Rustaveli / Krno, Svetozár [Autor, UKFFFAKFI, 100%]. – text. – [slovenčina]. – [OV 060]. – [ŠO 6107]. – [kapitola] In: Junák v tigrej koži [textový dokument (print)] / Rustaveli, Šota [Autor]. – 1. vyd. – Bratislava (Slovensko) : Karpaty-Infopress, 2022. – ISBN 978-80-89985-04-3, s. 293-295 [tlačená forma] </t>
  </si>
  <si>
    <t xml:space="preserve">High hopes : on settlement strategies in Tribeč Mountains, W Slovakia / Bisták, Peter [Autor, UKFFFAKAR, 30%] ; Kmeťová, Petra [Autor, 30%] ; Lieskovský, Tibor [Autor, 10%] ; Felcan, Michal [Autor, 20%] ; Romsauer, Peter [Autor, 10%] ; Early iron age in Central Europe 2022, 4 [06.07.2022-09.07.2022, Nitra, Slovensko]. – text. – [angličtina]. – [OV 030]. – [ŠO 7115]. – [abstrakt z podujatia - KP] In: Early iron age in Central Europe 2022 [textový dokument (print)] / Benediková, Lucia [Zostavovateľ, editor]. – 1. vyd. – Nitra (Slovensko) : Slovenská archeologická spoločnosť pri SAV v Nitre, 2022. – ISBN 978-80-8196-060-4, s. 11-12 [tlačená forma] </t>
  </si>
  <si>
    <t xml:space="preserve">Influence of Feed Quality on the Growth of Individuals of the Genus Agapornis / Langraf, Vladimír [Autor, UKFFPVKZA, 60%] ; Petrovičová, Kornélia [Autor, SPUFAP31, 30%] ; Chvostík, Denis [Autor, 5%] ; Schlarmannová, Janka [Autor, UKFFPVKZA, 5%] ; Zoológia 2022 [17.11.2022-19.11.2022, Smolenice, Slovensko]. – text. – [slovenčina]. – [OV 130]. – [ŠO 1536]. – [abstrakt z podujatia - KP] In: Zborník abstraktov z vedeckého kongresu "Zoológia 2022" [textový dokument (print)] [elektronický dokument] / Fenďa, Peter [Zostavovateľ, editor]. – 1. vyd. – Zvolen (Slovensko) : Technická univerzita vo Zvolene, 2022. – ISBN 978-80-228-3339-4, s. 42-42 [tlačená forma] </t>
  </si>
  <si>
    <t xml:space="preserve">Inovatívne SMART riešenia / Papcunová, Viera [Autor, UKFFPVUMI, 100%]. – text. – [slovenčina]. – [OV 060]. – [ŠO 6213]. – [kapitola]. – [recenzované] In: Analýza kľúčových odvetví hospodárstva SR za roky 2019 a 2020 [textový dokument (print)] / Holešová, Viera [Autor] ; Kiselicová, Renáta [Autor]. – 1. vyd. – Bratislava (Slovensko) : Centire, 2022. – ISBN 978-80-570-3809-2, s. 337-350 [1,12 AH] [tlačená forma] </t>
  </si>
  <si>
    <t xml:space="preserve">Jazero Morské oko (Vihorlat) vzniklo v mladšej dobe bronzovej = Lake Morské oko (Vihorlat, Slovakia) was created in the Late Bronze Age / Kyška Pipík, Radovan [Autor, 12.5%] ; Hamerlík, Ladislav [Autor, UMBFP09, 12.5%] ; Hajnalová, Mária [Autor, UKFFFAKAR, 12.5%] ; Starek, Dušan [Autor, 12.5%] ; Milovská, Stanislava [Autor, 12.5%] ; Milovský, Rastislav [Autor, 12.5%] ; Šurka, Juraj [Autor, 12.5%] ; Bitušík, Peter [Autor, UMBFP09, 12.5%] ; Konferencia Slovenskej limnologickej spoločnosti a České limnologické společnosti, 19 [20.06.2022-24.06.2022, Bratislava, Slovensko]. – text. – [slovenčina]. – [OV 100, 030]. – [ŠO 1610, 7115]. – [abstrakt z podujatia - KP] In: 19. konferencia Slovenskej limnologickej spoločnosti a České limnologické společnosti [textový dokument (print)] [elektronický dokument] : zborník abstraktov : Limnospol 2022 / Čiamporová-Zaťovičová, Zuzana [Zostavovateľ, editor] ; Laššová, Kristína [Zostavovateľ, editor]. – 1. vyd. – Bratislava (Slovensko) : Slovenská akadémia vied. Slovenská limnologická spoločnosť pri SAV, 2022. – ISBN 978-80-971056-1-7. – SIGN-UKO PR 847/22, s. 95-95 [tlačená forma] [online] </t>
  </si>
  <si>
    <t xml:space="preserve">K vzniku slovenského knihovníctva po roku 1918 / Kičková, Adriana [Autor, UKFFFAKHI, 100%]. – text. – [slovenčina]. – [OV 020]. – [ŠO 7115]. – [príspevok] In: 100. rokov knižnice v Topoľčancoch [textový dokument (print)] : pamätnica k výročiu založenia knižnice v Topoľčanoch / Bujnová, Oľga [Zostavovateľ, editor]. – 1. vyd. – Topoľčany (Slovensko) : Tribečská knižnica v Topoľčanoch, 2021. – ISBN 978-80-88761-67-9, s. 15-22 [tlačená forma] </t>
  </si>
  <si>
    <t xml:space="preserve">Katarzyna Marcol, Toutowie. Jezyk i pamiec w ustanawianiu wspolnoty Wiślan w Banacie, Wydawnictwo Uniwersytetu Ślaskiego, Katowice 2020, 346 s. / Čukan, Jaroslav [Autor, UKFFFAKMK, 100%]. – text. – [slovenčina]. – [OV 020]. – [ŠO 8110]. – [recenzia - KP] In: Kontakty 19 [textový dokument (print)] : obraz Poľska a Poliakov v slovenskom písomníctve do roku 1918 = wizerunek Polski i Polaków w slowackim pismiennictwie do 1918 roku / Káša, Peter [Zostavovateľ, editor] ; Vojteková, Marta [Zostavovateľ, editor] ; Mitka, Marek [Recenzent] ; Pálfalvi, Lajos [Recenzent]. – 1. vyd. – Prešov (Slovensko) : Prešovská univerzita v Prešove. Vydavateľstvo Prešovskej univerzity, 2022. – ISBN 978-80-555-2950-9. – SIGN-PU FF-22 150/22, s. 152-154 [tlačená forma] </t>
  </si>
  <si>
    <t xml:space="preserve">Kognitivně-behaviorální přístupy v praxi pedagoga / Erhardtová, Gabriela [Autor, UKFPFAKPE, 100%]. – text. – [čeština]. – [OV 010]. – [ŠO 7605]. – [recenzia - KP] In: EDUCA 16 [textový dokument (print)] : edukácia - kľúč k úspechu. Zborník príspevkov z 16. vedeckej  konferencie doktorandov s medzinárodnou účasťou, Nitra 29. apríl 2021 / Teleková, Radka [Zostavovateľ, editor] ; Koricina, Michal [Zostavovateľ, editor] ; Petlák, Erich [Recenzent] ; Krystoň, Miroslav [Recenzent]. – 1. vyd. – Nitra (Slovensko) : Univerzita Konštantína Filozofa v Nitre, 2021. – ISBN 978-80-558-1811-5, s. 203-204 [tlačená forma] </t>
  </si>
  <si>
    <t xml:space="preserve">Kultúrna pedagogika ako prostriedok formovania kultúrnej identity / Jakubovská, Kristína [Autor, UKFFFAKKU, 100%] ; Hlobaľni transformaciji u sferi kuľturi: vyklyky sjohodeňňa [29.10.2021-30.10.2021, Ľvov, Ukrajina]. – text. – [slovenčina]. – [OV 020]. – [ŠO 8110]. – [príspevok z podujatia] In: Hlobaľni transformaciji u sferi kuľturi: vyklyky sjohodeňňa [textový dokument (print)] : materialy mižnarodnoji naukovoji konfetenciji 29.-30. žotvňa 2021 / [bez zostavovateľa] [Zostavovateľ, editor]. – 1. vyd. – Ľvov (Ukrajina) : Lvivski nacionaľny universitet imeni Ivana Franka u Ľvovi, 2021, s. 152-154 [tlačená forma] </t>
  </si>
  <si>
    <t xml:space="preserve">Maličkosti, na které byste při výchově neměli zapomínat / Janíček Pavelová, Monika [Autor, UKFPFAKPE, 100%]. – text. – [slovenčina]. – [OV 010]. – [ŠO 7605]. – [recenzia - KP] In: EDUCA 16 [textový dokument (print)] : edukácia - kľúč k úspechu. Zborník príspevkov z 16. vedeckej  konferencie doktorandov s medzinárodnou účasťou, Nitra 29. apríl 2021 / Teleková, Radka [Zostavovateľ, editor] ; Koricina, Michal [Zostavovateľ, editor] ; Petlák, Erich [Recenzent] ; Krystoň, Miroslav [Recenzent]. – 1. vyd. – Nitra (Slovensko) : Univerzita Konštantína Filozofa v Nitre, 2021. – ISBN 978-80-558-1811-5, s. 205-206 [tlačená forma] </t>
  </si>
  <si>
    <t xml:space="preserve">Možné vývinové ťažkosti detí a materská škola / Balážová, Jana [Autor, UKFPFAKPE, 60%] ; Domanická, Michaela [Autor, 40%]. – text. – [slovenčina]. – [OV 010]. – [ŠO 7605]. – [príspevok] In: Odborné pohľady na predprimárnu edukáciu [elektronický dokument] : nekonferenčný odborný recenzovaný zborník / Boiarska-Khomenko, Anna [Recenzent] ; Roubalová, Marcela [Recenzent] ; Matulčíková, Mária [Recenzent] ; Portik, Milan [Recenzent] ; Šarníková, Gabriela [Recenzent]. – 1. vyd. – Prešov (Slovensko) : Slovenský výbor Svetovej organizácie pre predškolskú výchovu, 2022. – ISBN 978-80-974139-2-7, s. 11-21 [online] </t>
  </si>
  <si>
    <t xml:space="preserve">Může být ovlivněna rychlost běhu a aerobní vytrvalost po 4  týdnech běžecky založeného hiit v různých formách během  sezóny? / Domčeková, Andrea [Autor, UKFPFAKTV, 20%] ; Šimonek, Jaromír [Autor, UKFPFAKTV, 20%] ; Bakaľár, Igor [Autor, UKFPFAKTV, 20%] ; Kanásová, Janka [Autor, UKFPFAKTV, 10%] ; Krčmárová, Bohumila [Autor, UKFPFAKTV, 10%] ; Krčmár, Matúš [Autor, UKFPFAKTV, 20%] ; Disportare 2022 [06.10.2022-07.10.2022, České Budějovice, Česko]. – text. – [slovenčina]. – [OV 210]. – [ŠO 7418]. – [abstrakt z podujatia - KP]. – [recenzované] In: Disportare 2022 [textový dokument (print)] : sborník abstraktů z mezinárodní vědecké konference, České Budějovice 5. - 6.10.2022 / Kursová, Vlasta [Zostavovateľ, editor]. – 1. vyd. – České Budějovice (Česko) : Jihočeská univerzita v Českých Budějovicích, 2022. – ISBN 978-80-7394-948-8, s. 53-53 [tlačená forma] </t>
  </si>
  <si>
    <t xml:space="preserve">Nitra a okolie v rokoch 1939-1945 [recenzia] / Pavličková, Alexandra [Autor, UKFPFAKPE, 100%] ; EDUCA 17, 17 [05.05.2022, Nitra, Slovensko]. – text. – [slovenčina]. – [OV 010]. – [ŠO 7605]. – [recenzia - KP] In: EDUCA 17 [elektronický dokument] : vzdelanie - cesta pre všetkých. Zborník z vedeckej konferencie doktorandov s medzinárodnou účasťou, Nitra 5.5.2022 / Bielčiková, Kristína [Zostavovateľ, editor] ; Janíček Pavelová, Monika [Zostavovateľ, editor] ; Židová, Monika [Zostavovateľ, editor] ; Krystoň, Miroslav [Recenzent] ; Petlák, Erich [Recenzent]. – 1. vyd. – Nitra (Slovensko) : Univerzita Konštantína Filozofa v Nitre, 2022. – ISBN 978-80-558-1943-3, s. 134-134 [online] </t>
  </si>
  <si>
    <t xml:space="preserve">Oblasti prevencie vývinových porúch učenia v materskej škole a pracovné zošity / Balážová, Jana [Autor, UKFPFAKPE, 60%] ; Domanická, Michaela [Autor, 40%]. – text. – [slovenčina]. – [OV 010]. – [ŠO 7605]. – [príspevok] In: Odborné pohľady na predprimárnu edukáciu [elektronický dokument] : nekonferenčný odborný recenzovaný zborník / Boiarska-Khomenko, Anna [Recenzent] ; Roubalová, Marcela [Recenzent] ; Matulčíková, Mária [Recenzent] ; Portik, Milan [Recenzent] ; Šarníková, Gabriela [Recenzent]. – 1. vyd. – Prešov (Slovensko) : Slovenský výbor Svetovej organizácie pre predškolskú výchovu, 2022. – ISBN 978-80-974139-2-7, s. 22-32 [online] </t>
  </si>
  <si>
    <t xml:space="preserve">Od plagátu k dátovej automatizácii / Holetz, Tomáš [Autor, UKFFFAKMR, 100%]. – text. – [slovenčina]. – [OV 060]. – [ŠO 7205]. – [príspevok] In: Kreativní strategie - strategie kreativity [textový dokument (print)] : změny ve světe marketingových komunikací po nástupu internetu : sborník odborných textů o proměnách marketingové komunikace v internetové epoše / Pavlů, Dušan [Zostavovateľ, editor]. – 1. vyd. – Praha (Česko) : Vysoká škola kreativní komunikace, 2021. – ISBN 978-80-908049-2-0, s. 68-76 [tlačená forma] </t>
  </si>
  <si>
    <t xml:space="preserve">Odborný posudok nedeštruktívneho archeologického prieskumu geofyzikálnym meraním Kostola sv. Gála v Krakovanoch, katastrálne územie Stráže / Tirpák, Ján [Autor, UKFFPVGMU, 100%]. – text. – [slovenčina]. – [OV 030]. – [ŠO 7115]. – [príspevok] In: Archeologický výskum Kostola sv. Gála v Krakovanoch, katastrálne územie Stráže [textový dokument (print)] / Klčo, Marián [Autor] ; Krupa, Vladimír [Autor] ; Tirpák, Jan [Autor] ; Kolena, Branislav [Autor] ; Karlovský, Vladimír [Autor]. – 1. vyd. – Piešťany (Slovensko) : Balneologické múzeum Imricha Wintera v Piešťanoch, 2021. – ISBN 978-80-89155-43-9, s. 85-90 [tlačená forma] </t>
  </si>
  <si>
    <t xml:space="preserve">Oligotrofné alpínske jazero – Prostredné Spišské pleso (Vysoké Tatry) – ako vhodný ukazovateľ zmien klímy / Hrivnáková, Kristína [Autor, UKFFPVKEE, 34%] ; Čajková, Silvia [Autor, UKFFPVKEE, 33%] ; Hreško, Juraj [Autor, UKFFPVKEE, 33%] ; Česká a slovenská geografie, 25 [06.09.2022-08.09.2022, Olomouc, Česko]. – text. – [slovenčina]. – [OV 100]. – [ŠO 1610]. – [abstrakt z podujatia - KP]. – DOI 10.5507/prf.22.24461786 In: Česká a slovenská geografie: mezi národní tradicí a mezinárodní relevancí [elektronický dokument] : sborník abstraktů / Fiedor, David [Zostavovateľ, editor] ; Minxová, Pavla [Zostavovateľ, editor] ; Smolová, Irena [Zostavovateľ, editor]. – 1. vyd. – Olomouc (Česko) : Univerzita Palackého v Olomouci, 2022. – ISBN (online) 978-80-244-6178-6, s. 184-184 [CD-ROM] [online] </t>
  </si>
  <si>
    <t xml:space="preserve">Osteologická analýza jedincov z lokality Krakovany - Stráže, Kostol sv. Gála / Kolena, Branislav [Autor, UKFFPVKZA, 100%]. – text. – [slovenčina]. – [OV 030]. – [ŠO 7115]. – [kapitola] In: Archeologický výskum Kostola sv. Gála v Krakovanoch, katastrálne územie Stráže [textový dokument (print)] / Klčo, Marián [Autor] ; Krupa, Vladimír [Autor] ; Tirpák, Jan [Autor] ; Kolena, Branislav [Autor] ; Karlovský, Vladimír [Autor]. – 1. vyd. – Piešťany (Slovensko) : Balneologické múzeum Imricha Wintera v Piešťanoch, 2021. – ISBN 978-80-89155-43-9, s. 91-102 [1,19 AH] [tlačená forma] </t>
  </si>
  <si>
    <t xml:space="preserve">Parental attitudes and expectations as a determinant of children’s success in school / Gužiková, Libuša [Autor, UKFPFAKPE, 50%] ; Mendelová, Eleonóra [Autor, UKFPFAKPE, 50%] ; CBU International Conference [16.03.2022, Praha, Česko]. – [angličtina]. – [OV 010]. – [ŠO 7605]. – [príspevok z podujatia] In: Proceedings of CBU in Economics and Business : Innovations in Science and Education / Hajek, Petr [Autor] ; Vít, Ondřej [Autor]. – 1. vyd. – Roč. 3. – Praha (Česko) : CBU Research Institute, 2022. – ISSN 2695-0693. – ISSN (online) 2695-0707, s. 35-42 [tlačená forma] [online] </t>
  </si>
  <si>
    <t xml:space="preserve">Personality of Slovak diplomacy - Mária Krásnohorská = Osobnosť slovenskej diplomacie - Mária Krasnohorská / Kočnerová, Mária [Autor, UKFFFAKPO, 100%] ; Ženy v tieni dejín, 2 [05.04.2022-06.04.2022, Nitra, Slovensko]. – text. – [angličtina]. – [OV 060]. – [ŠO 6718]. – [abstrakt z podujatia - KP] In: Ženy v tieni dejín 2 [textový dokument (print)] : (ne)známe ženy v známom prostred. Zborník abstraktov, Nitra 5. - 6. April 2022 / Kičková, Adriana [Zostavovateľ, editor] ; Molnárová, Mária [Zostavovateľ, editor]. – 1. vyd. – Nitra (Slovensko) : Univerzita Konštantína Filozofa v Nitre, 2022. – ISBN 978-80-558-1879-5, s. 27-28 [tlačená forma] </t>
  </si>
  <si>
    <t xml:space="preserve">Plastikársky, chemický a sklársky priemysel / Fiľa, Milan [Autor, UKFFPVUMI, 80%] ; Fiľová, Stanislava [Autor, 20%]. – text. – [slovenčina]. – [OV 080]. – [ŠO 6213]. – [kapitola]. – [recenzované] In: Analýza kľúčových odvetví hospodárstva SR za roky 2019 a 2020 [textový dokument (print)] / Holešová, Viera [Autor] ; Kiselicová, Renáta [Autor]. – 1. vyd. – Bratislava (Slovensko) : Centire, 2022. – ISBN 978-80-570-3809-2, s. 214-231 [1,21 AH] [tlačená forma] </t>
  </si>
  <si>
    <t xml:space="preserve">Postavenie Nitrianskeho kraja v rastlinnej výrobe Slovenska po roku 2004 / Némethová, Jana [Autor, UKFFPVKGR, 100%] ; Kongres České geografické společnosti, 25 [06.09.2022-08.09.2022, Olomouc, Česko]. – text. – [slovenčina]. – [OV 092]. – [ŠO 1217]. – [abstrakt z podujatia - KP] In: Česká a slovenská geografie: mezi národní tradicí a mezinárodní relevancí [elektronický dokument] : sborník abstraktů / Fiedor, David [Zostavovateľ, editor] ; Minxová, Pavla [Zostavovateľ, editor] ; Smolová, Irena [Zostavovateľ, editor]. – 1. vyd. – Olomouc (Česko) : Univerzita Palackého v Olomouci, 2022. – ISBN (online) 978-80-244-6178-6, s. 199-199 [CD-ROM] [online] </t>
  </si>
  <si>
    <t xml:space="preserve">Post-socialist urban change and its spatial patterns - the case of Nitra / Boltižiar, Martin [Autor, UKFFPVKGR, 50%] ; Ira, Vladimír [Autor, 50%] ; Česká a slovenská geografie, 25 [06.09.2022-08.09.2022, Olomouc, Česko]. – text. – [slovenčina]. – [OV 092]. – [ŠO 1217]. – [abstrakt z podujatia - KP]. – DOI 10.5507/prf.22.24461786 In: Česká a slovenská geografie: mezi národní tradicí a mezinárodní relevancí [elektronický dokument] : sborník abstraktů / Fiedor, David [Zostavovateľ, editor] ; Minxová, Pavla [Zostavovateľ, editor] ; Smolová, Irena [Zostavovateľ, editor]. – 1. vyd. – Olomouc (Česko) : Univerzita Palackého v Olomouci, 2022. – ISBN (online) 978-80-244-6178-6, s. 173-173 [CD-ROM] [online] </t>
  </si>
  <si>
    <t xml:space="preserve">Potenciál pre riečne povodne na úrovni obcí Slovenska / Vojtek, Matej [Autor, UKFFPVKGR, 80%] ; Janizadeh, Saeid [Autor, 10%] ; Vojteková, Jana [Autor, UKFFPVKGR, 10%] ; Česká a slovenská geografie, 25 [06.09.2022-08.09.2022, Olomouc, Česko]. – text. – [slovenčina]. – [OV 092]. – [ŠO 1217]. – [abstrakt z podujatia - KP]. – [recenzované]. – DOI 10.5507/prf.22.24461786 In: Česká a slovenská geografie: mezi národní tradicí a mezinárodní relevancí [elektronický dokument] : sborník abstraktů / Fiedor, David [Zostavovateľ, editor] ; Minxová, Pavla [Zostavovateľ, editor] ; Smolová, Irena [Zostavovateľ, editor]. – 1. vyd. – Olomouc (Česko) : Univerzita Palackého v Olomouci, 2022. – ISBN (online) 978-80-244-6178-6, s. 217-217 [CD-ROM] [online] </t>
  </si>
  <si>
    <t xml:space="preserve">Potravinársky priemysel / Papcunová, Viera [Autor, UKFFPVUMI, 100%]. – text. – [slovenčina]. – [OV 060]. – [ŠO 6213]. – [kapitola]. – [recenzované] In: Analýza kľúčových odvetví hospodárstva SR za roky 2019 a 2020 [textový dokument (print)] / Holešová, Viera [Autor] ; Kiselicová, Renáta [Autor]. – 1. vyd. – Bratislava (Slovensko) : Centire, 2022. – ISBN 978-80-570-3809-2, s. 245-276 [tlačená forma] </t>
  </si>
  <si>
    <t xml:space="preserve">Recenzia: Pisoňová M. a kol. Manažment vzdelávania: teoretické, empirické a praxeologické aspekty riadenia vzdelávacích inštitúcií / Pappová, Mária [Autor, UKFPFAKPE, 100%]. – text. – [slovenčina]. – [OV 010]. – [ŠO 7605]. – [recenzia - KP] In: Humanitné a spoločenské vedy v pregraduálnom vzdelávaní 6 [elektronický dokument] : zborník vedeckých prác a vedeckých štúdií = non-conference reviewed collection of papers / Adamcová, Lívia [Zostavovateľ, editor] ; Harajová, Alica [Recenzent] ; Smetanová, Eva [Recenzent]. – 1. vyd. – Bratislava (Slovensko) : Z-F LINGUA, 2022. – ISBN 978-80-8177-092-0. – TUTPFKNJ signatúra E092644, s. 152-157 [CD-ROM] </t>
  </si>
  <si>
    <t xml:space="preserve">Remeselné pivovary na Slovensku a ich potenciál pre rozvoj cestovného ruchu = Craft breweries in Slovakia and their potential for tourism development / Krogmann, Alfred [Autor, UKFFPVKGR, 25%] ; Kramáreková, Hilda [Autor, UKFFPVKGR, 25%] ; Petrikovičová, Lucia [Autor, UKFFPVKGR, 25%] ; Grežo, Henrich [Autor, UKFFPVKEE, 25%] ; Kongres České geografické společnosti, 25 [06.09.2022-08.09.2022, Olomouc, Česko]. – [slovenčina]. – [OV 092]. – [ŠO 1217]. – [abstrakt z podujatia - KP] In: Česká a slovenská geografie: mezi národní tradicí a mezinárodní relevancí [elektronický dokument] : sborník abstraktů / Fiedor, David [Zostavovateľ, editor] ; Minxová, Pavla [Zostavovateľ, editor] ; Smolová, Irena [Zostavovateľ, editor]. – 1. vyd. – Olomouc (Česko) : Univerzita Palackého v Olomouci, 2022. – ISBN (online) 978-80-244-6178-6, s. 190-190 [CD-ROM] [online] </t>
  </si>
  <si>
    <t xml:space="preserve">Slovakia : trust in the media hit a new low, and Slovaks turned away from television as a news source / Chlebcová Hečková, Andrea [Autor, UKFFFAKZU, 50%] ; Smith, Simon [Autor, 50%]. – text. – [angličtina]. – [OV 060]. – [ŠO 7205]. – [príspevok] In: Reuters Institute Digital News report 2022 [textový dokument (print)] / Newman, Nic [Zostavovateľ, editor] ; Fletcher, Richard [Zostavovateľ, editor] ; Robertson, Craig T. [Zostavovateľ, editor] ; Kirsten, Edy [Zostavovateľ, editor] ; Nielsen, Rasmus Kleis [Zostavovateľ, editor]. – 1. vyd. – Oxford (Veľká Británia) : Reuters Institute for the Study of Journalism, 2022. – ISBN 978-1-907384-98-1, s. 100-101 [tlačená forma] </t>
  </si>
  <si>
    <t xml:space="preserve">Slovo dýcha : [na záver] / Gallik, Ján [Autor, UKFFSSUSJ, 100%]. – text. – [slovenčina]. – [OV 020]. – [ŠO 7320]. – [príspevok] In: Slovo dýcha [textový dokument (print)] / Lukáčová, Ingrid [Autor]. – 1. vyd. – Kuzmice (Slovensko) : Filokalia, 2022. – ISBN 978-80-8233-089-5, s. 63-64 [tlačená forma] </t>
  </si>
  <si>
    <t xml:space="preserve">Spevoškrek starého kohúta : Spev kohúta. Recenzia inscenácie hry Stanislava Štepku: Pán strom, réžia: O. Spišák, premiéra: 6. a 7. novembra 2021 / Inštitorisová, Dagmar [Autor, UKFFFAKMR, 100%]. – text. – [slovenčina]. – [OV 020]. – [ŠO 7205]. – [recenzia - KP]. – [recenzované] In: Radošinské naivné divadlo [textový dokument (print)] : divadelná ročenka / Hubáček, Ladislav [Zostavovateľ, editor]. – 1. vyd. – Bratislava (Slovensko) : Agentúra RND, 2022. – ISBN 978-80-973114-6-9, s. 29-30 [tlačená forma] </t>
  </si>
  <si>
    <t xml:space="preserve">Stres, príčiny a dôsledky (C 2.23) / Müller De Morais, Marianna [Autor, UKFPFAKPE, 50%] ; Škorvagová, Eva [Autor, ZUZFHVKPŠ, 50%]. – [slovenčina]. – [OV 060, 010]. – [ŠO 7701, 7605]. – [kapitola] In: Evaluácia v materskej škole [textový dokument (print)] : sprievodca evaluačnými procesmi v materskej škole / [bez zostavovateľa] [Zostavovateľ, editor]. – 1. vyd. – Bratislava (Slovensko) : Dr. Josef Raabe Slovensko, 2022. – ISBN 978-80-8140-252-4, s. 1-58 [tlačená forma] </t>
  </si>
  <si>
    <t xml:space="preserve">Strojársky, hutnícky a zlievarenský priemysel / Fiľa, Milan [Autor, UKFFPVUMI, 50%] ; Fiľová, Stanislava [Autor, 50%]. – text. – [slovenčina]. – [OV 080]. – [ŠO 6213]. – [kapitola]. – [recenzované] In: Analýza kľúčových odvetví hospodárstva SR za roky 2019 a 2020 [textový dokument (print)] / Holešová, Viera [Autor] ; Kiselicová, Renáta [Autor]. – 1. vyd. – Bratislava (Slovensko) : Centire, 2022. – ISBN 978-80-570-3809-2, s. 165-187 [tlačená forma] </t>
  </si>
  <si>
    <t xml:space="preserve">Students’ attitudes towards media education and critical thinking / Bielčiková, Kristína [Autor, UKFPFAKPE, 50%] ; Šutovcová, Lenka [Autor, UKFPFAKPE, 50%] ; Integration of Education, Science and Business in Modern Environment, 3 [03.02.2022-04.02.2022, Dnepropetrovsk, Ukrajina]. – text. – [angličtina]. – [OV 010]. – [ŠO 7605]. – [príspevok z podujatia] In: WayScience [textový dokument (print)] [elektronický dokument] : Integration of Education, Science and Business in Modern Environment: Winter Debates: Proceedings of the 3rd International Scientific and Practical Internet Conference, Dnepropetrovsk, February 3-4, 2022 / [bez zostavovateľa] [Zostavovateľ, editor]. – 1. vyd. – Dnepropetrovsk (Ukrajina) : FOP Marenichenko V.V., 2022. – ISBN 978-617-95218-3-6, s. 51-52 [tlačená forma] [online] </t>
  </si>
  <si>
    <t xml:space="preserve">Súčasné morfodynamické procesy v podmienkach meniacej sa klímy vo  Vysokých Tatrách / Hreško, Juraj [Autor, UKFFPVKEE, 22%] ; Bugár, Gabriel [Autor, UKFFPVKEE, 13%] ; Čajková, Silvia [Autor, UKFFPVKEE, 13%] ; Piscová, Veronika [Autor, UKFFPVKEE, 13%] ; Mišovičová, Regína [Autor, UKFFPVKEE, 13%] ; Sitková, Zuzana [Autor, 13%] ; Sedlák, Andrej [Autor, UKFFPVKEE, 13%] ; Ekologické dni, 8 [25.04.2022-26.04.2022, Smolenice, Slovensko]. – text. – [slovenčina]. – [OV 100]. – [ŠO 1610]. – [abstrakt z podujatia - KP] In: 8. Ekologické dni [textový dokument (print)] : súčasné zmeny a vývojové trendy poľnohospodárskej krajiny Slovenska. Zborník abstraktov z konferencie, Smolenice 25. - 26.4.2022 / Melicher, Jakub [Zostavovateľ, editor] ; Hladká, Alexandra [Zostavovateľ, editor] ; Kozelová, Ivana [Zostavovateľ, editor]. – 1. vyd. – Bratislava (Slovensko) : Slovenská akadémia vied, 2022. – ISBN 978-80-89325-30-6, s. 37-37 [tlačená forma] </t>
  </si>
  <si>
    <t xml:space="preserve">Špecifiká vybraných dimenzií objektívnej chudoby: Prípadová štúdia okresov južného Slovenska / Trembošová, Miroslava [Autor, UKFFPVKGR, 100%] ; Kongres České geografické společnosti, 25 [06.09.2022-08.09.2022, Olomouc, Česko]. – text. – [slovenčina]. – [OV 092]. – [ŠO 1217]. – [abstrakt z podujatia - KP] In: Česká a slovenská geografie: mezi národní tradicí a mezinárodní relevancí [elektronický dokument] : sborník abstraktů / Fiedor, David [Zostavovateľ, editor] ; Minxová, Pavla [Zostavovateľ, editor] ; Smolová, Irena [Zostavovateľ, editor]. – 1. vyd. – Olomouc (Česko) : Univerzita Palackého v Olomouci, 2022. – ISBN (online) 978-80-244-6178-6, s. 215-215 [CD-ROM] [online] </t>
  </si>
  <si>
    <t xml:space="preserve">Tangible Computer Science / Cápay, Martin [Autor, UKFFPVKIN, 50%] ; Bellayová, Magdaléna [Autor, 50%] ; Informatics in Schools – A step beyond digital education, 15 [26.09.2022-28.09.2022, Viedeň, Rakúsko]. – text. – [angličtina]. – [OV 010]. – [ŠO 2508]. – [príspevok z podujatia]. – [recenzované] In: ISSEP 2022 [elektronický dokument] : Informatics in Schools – A step beyond digital education, 15th International Conference  Vienna, September 26-28, 2022 / [bez zostavovateľa] [Zostavovateľ, editor]. – 1. vyd. – Berlín (Nemecko) : Springer Verlag, 2022, s. 1-12 [tlačená forma] [CD-ROM] </t>
  </si>
  <si>
    <t xml:space="preserve">The Music Legacy of Count Jozef Majláth V. in Medzibodrožie / Štrbák Pandiová, Iveta [Autor, UKFPFAKHU, 100%] ; Horizonty umenia, 8 [10.09.2021-15.09.2021, Banská Bystrica, Slovensko]. – text. – [angličtina]. – [OV 010]. – [ŠO 7605]. – [abstrakt z podujatia - KP]. – [recenzované] In: Horizonty umenia 8 [textový dokument (print)] : Zborník abstraktov príspevkov z medzinárodnej vedeckej webovej konferencie 10.9.2021-15.9.2021 / Strenáčiková, Mária [Zostavovateľ, editor]. – 1. vyd. – Roč. 8. – Banská Bystrica (Slovensko) : Akadémia umení. Fakulta múzických umení, 2021. – ISBN 978-80-8206-048-8, s. 25-25 [tlačená forma] </t>
  </si>
  <si>
    <t xml:space="preserve">Variability of the alpine lake Prostredné Spišské Pleso (High Tatras) due to climatic factors / Hrivnáková, Kristína [Autor, UKFFPVKEE, 35%] ; Čajková, Silvia [Autor, UKFFPVKEE, 35%] ; Hreško, Juraj [Autor, UKFFPVKEE, 30%] ; Ekologie 2022, 8 [07.09.2022-09.09.2022, Brno, Česko]. – text. – [angličtina]. – [OV 100]. – [ŠO 1610]. – [abstrakt z podujatia - KP] In: Ekologie 2022 : 8th conference of the Czech Society for Ecology / Mašová, Šárka [Zostavovateľ, editor] ; Košulič, Ondřej [Zostavovateľ, editor]. – 1 vyd. – [České Budějovice] (Česko) : Česká společnost pro ekologii, 2022, s. 97-97 </t>
  </si>
  <si>
    <t xml:space="preserve">Vážky Odonata) prírodnej, poľnohospodárskej a urbárnej krajiny Kysúc / Petrovičová, Kornélia [Autor, SPUFAP31, 34%] ; Langraf, Vladimír [Autor, UKFFPVKZA, 33%] ; David, Stanislav [Autor, UKFFPVKEE, 33%] ; Zoológia 2022 [17.11.2022-19.11.2022, Smolenice, Slovensko]. – text. – [slovenčina]. – [OV 130]. – [ŠO 1536]. – [abstrakt z podujatia - KP] In: Zborník abstraktov z vedeckého kongresu "Zoológia 2022" [textový dokument (print)] [elektronický dokument] / Fenďa, Peter [Zostavovateľ, editor]. – 1. vyd. – Zvolen (Slovensko) : Technická univerzita vo Zvolene, 2022. – ISBN 978-80-228-3339-4, s. 55-56 [tlačená forma] </t>
  </si>
  <si>
    <t xml:space="preserve">Vybrané aspekty rozhodovania sa Rómov z marginalizovaných komunít o práci a pracovnej mobilite = Selected aspects of decision making of marginalized Roma regarding their work and labor mobility / Šatara, Erik [Autor, UKFFSVURS, 34%] ; Havírová, Zuzana [Autor, UKFFSVURS, 33%] ; Gabčová, Lýdia [Autor, UKFFSVURS, 33%] ; Prístup k pracovným príležitostiam pre marginalizované skupiny obyvateľstva [29.09.2021-30.09.2021, Bratislava, Slovensko]. – text. – [slovenčina]. – [OV 060]. – [ŠO 7761]. – [abstrakt z podujatia - KP] In: Prístup k pracovným príležitostiam pre marginalizované skupiny obyvateľstva [textový dokument (print)] : zborník abstraktov z medzinárodnej konferencie, ktorá sa uskutočnila 29. a 30. septembra 2021 v Smoleniciach / Škobla, Daniel [Zostavovateľ, editor]. – 1. vyd. – Bratislava (Slovensko) : Slovenská akadémia vied, 2021. – ISBN 978-80-973372-7-8, s. 12-14 [tlačená forma] </t>
  </si>
  <si>
    <t xml:space="preserve">Význam a prejavy mariánskeho kultu v Nitrianskom kraji / Oremusová, Daša [Autor, UKFFPVKGR, 50%] ; Nemčíková, Magdaléna [Autor, UKFFPVKGR, 50%] ; Kongres České geografické společnosti, 25 [06.09.2022-08.09.2022, Olomouc, Česko]. – text. – [slovenčina]. – [OV 092]. – [ŠO 1217]. – [abstrakt z podujatia - KP] In: Česká a slovenská geografie: mezi národní tradicí a mezinárodní relevancí [elektronický dokument] : sborník abstraktů / Fiedor, David [Zostavovateľ, editor] ; Minxová, Pavla [Zostavovateľ, editor] ; Smolová, Irena [Zostavovateľ, editor]. – 1. vyd. – Olomouc (Česko) : Univerzita Palackého v Olomouci, 2022. – ISBN (online) 978-80-244-6178-6, s. 202-202 [CD-ROM] [online] </t>
  </si>
  <si>
    <t xml:space="preserve">Základné údaje / Černecký, Ján [Autor, UKFFPVKEE, 12.5%] ; Považan, Radoslav [Autor, 12.5%] ; Arany, Ildikó [Autor, 12.5%] ; Ďuricová, Viktória [Autor, UMBFP09, 12.5%] ; Švajda, Juraj [Autor, UMBFP09, 12.5%] ; Affek, Andrzej [Autor, 12.5%] ; Kadlečík, Ján [Autor, 12.5%] ; Lehejček, Jiří [Autor, 12.5%]. – text. – [slovenčina]. – [OV 100]. – [ŠO 1610]. – [príspevok] In: Karpatský nástroj na hodnotenie ekosystémových služieb (CEST) [elektronický dokument] : interdisciplinárny súbor nástrojov pre manažérov a analytikov na hodnotenie ekosystémových služieb / Kanka, Róbert [Recenzent] ; Špulerová, Jana [Recenzent]. – 1. vyd. – Banská Bystrica (Slovensko) : Štátna ochrana prírody Slovenskej republiky, 2021. – ISBN 978-3-903424-06-7, s. 13-26 [online] </t>
  </si>
  <si>
    <t xml:space="preserve">Zaujímavé využitie 3D Geogebry v úlohách / Laššová, Katarína [Autor, UKFFPVKMA, 100%] ; Dva dni s didaktikou matematiky 2022, 7 [08.09.2022-09.09.2022, Bratislava, Slovensko]. – text. – [slovenčina]. – [OV 010]. – [ŠO 7605]. – [príspevok z podujatia] In: Dva dni s didaktikou matematiky 2022 [textový dokument (print)] / Slavíčková, Mária [Zostavovateľ, editor]. – 1. vyd. – 2022 (Slovensko) : Univerzita Komenského v Bratislave, 2022. – ISBN 978-80-8147-123-0, s. 69-73 [tlačená forma] </t>
  </si>
  <si>
    <t xml:space="preserve">Zemplínsky mohykán - Dub v Rakovci nad Ondavou / Lehotayová, Jarmila [Autor, UKFFPVKEE, 100%]. – text. – [slovenčina]. – [OV 100]. – [ŠO 1610]. – [príspevok] In: BIGECHE [textový dokument (print)] / [bez zostavovateľa] [Zostavovateľ, editor]. – 1. vyd. – č. 24. – Prešov (Slovensko) : Metodicko-pedagogické centrum, regionálne pracovisko Prešov, 2021, s. 45-51 [tlačená forma] </t>
  </si>
  <si>
    <t xml:space="preserve">Zraniteľnosť obcí Slovenska voči riečnym povodniam / Vojtek, Matej [Autor, UKFFPVKGR, 70%] ; Vilinová, Katarína [Autor, UKFFPVKGR, 10%] ; Repaská, Gabriela [Autor, UKFFPVKGR, 10%] ; Vojteková, Jana [Autor, UKFFPVKGR, 10%] ; Česká a slovenská geografie, 25 [06.09.2022-08.09.2022, Olomouc, Česko]. – text. – [slovenčina]. – [OV 092]. – [ŠO 1217]. – [abstrakt z podujatia - KP]. – DOI 10.5507/prf.22.24461786 In: Česká a slovenská geografie: mezi národní tradicí a mezinárodní relevancí [elektronický dokument] : sborník abstraktů / Fiedor, David [Zostavovateľ, editor] ; Minxová, Pavla [Zostavovateľ, editor] ; Smolová, Irena [Zostavovateľ, editor]. – 1. vyd. – Olomouc (Česko) : Univerzita Palackého v Olomouci, 2022. – ISBN (online) 978-80-244-6178-6, s. 218-218 [CD-ROM] [online] </t>
  </si>
  <si>
    <t>O3 - Odborný výstup publikačnej činnosti z časopisu</t>
  </si>
  <si>
    <t xml:space="preserve">"A néphagyományra nemcsak célként tekintünk, hanem eszközként is" : Beszélgetés Illés Gáborral, a Hagyományok Háza Hálózat - Szlovákia szervezet elnökével / Petres Csizmadia, Gabriela [Autor, UKFFSSUML, 100%]. – text. – [maďarčina]. – [OV 010]. – [ŠO 7320]. – [článok] In: Katedra [elektronický dokument] : szlovákiai magyar pedagógusok és szülők lapja. – Dunajská Streda (Slovensko) : Nadácia Katedra. – ISSN 1335-6445. – ISSN (online) 2729-9066. – Roč. 30, č. 2 (2022), s. 4-7 [tlačená forma] [online] </t>
  </si>
  <si>
    <t xml:space="preserve">"Chlapče, nechaj si svoje básne, za nič nestoja" : (z korešpondencie slovenských nadrealistov) / Teplan, Dušan [Autor, UKFFFASJL, 50%] ; Kamenčík, Marián [Autor, UCMFIFKSJL, 50%]. – [slovenčina]. – [OV 020]. – [ŠO 7320]. – [článok] In: Vertigo [textový dokument (print)] : časopis o poézii a básnikoch. – Fintice (Slovensko) : FACE - Fórum alternatívnej kultúry a vzdelávania. – ISSN 1339-3820. – Roč. 9, č. 4 (2021), s. 82-91 [tlačená forma] </t>
  </si>
  <si>
    <t xml:space="preserve">A háború utáni holokauszt-kép a szlovák film - művézetben / Timko, Štefan [Autor, UKFFSSUSJ, 100%]. – text. – [maďarčina]. – [OV 020]. – [ŠO 7320]. – [článok] In: Szombat [textový dokument (print)] [elektronický dokument] : zsidó politikai és kulturális folyóirat. – Budapešť (Maďarsko) : Magyar Zsidó Kulturális Egyesület. – ISSN 0865-3844. – Roč. 34, č. 8 (2022), s. 15-17 [tlačená forma] [online] </t>
  </si>
  <si>
    <t xml:space="preserve">A magyar kultúra napjának története / Angyal, Ladislav [Autor, UKFFSSUML, 100%]. – [maďarčina]. – [OV 010]. – [ŠO 7605]. – [článok]. – [recenzované] In: Katedra [elektronický dokument] : szlovákiai magyar pedagógusok és szülők lapja. – Dunajská Streda (Slovensko) : Nadácia Katedra. – ISSN 1335-6445. – ISSN (online) 2729-9066. – Roč. 29, č. 5 (2022), s. 6-7 [tlačená forma] [online] </t>
  </si>
  <si>
    <t xml:space="preserve">Absolventi univerzity tretieho veku pri UKF v Nitre mali promócie / Récka, Adriana [Autor, UKFPFAKVV, 50%] ; Kanásová, Diana [Autor, 50%]. – text. – [slovenčina]. – [OV 010]. – [ŠO 7605]. – [článok] In: Náš čas [textový dokument (print)] : časopis Univerzity Konštatnína Filozofa v Nitre. – Nitra (Slovensko) : Univerzita Konštantína Filozofa v Nitre. – ISSN 1338-3272. – Roč. 26, č. 2 (2022), s. 10-13 [tlačená forma] </t>
  </si>
  <si>
    <t xml:space="preserve">Aké je divadlo, ktoré prekračuje hranice? / Inštitorisová, Dagmar [Autor, UKFFFAKMR, 100%]. – text. – [slovenčina]. – [OV 020]. – [ŠO 6107]. – [recenzia - ČL]. – [recenzované] In: Monitoring divadiel na Slovensku [elektronický dokument] . – Bratislava (Slovensko) : Slovenské centrum AICT. – ISSN (online) 2454-0129. – č. 25.01. (2022), s. 1-10 [online] Rec: Divadlo prekračuje hranice [textový dokument (print)] : Patrice Chéreau. Ariane Mnouchkine. Robert Wilson / Šimková, Soňa [Autor, 100%] ; Flašková, Elena [Prekladateľ, 100%] ; Jobertová, Daniela [Recenzent] ; Christov, Petr [Recenzent]. – 1. vyd. – Bratislava (Slovensko) : Divadelný ústav, 2019. – 373 s. – (Svetové divadlo). – ISBN 978-80-8190-042-6 </t>
  </si>
  <si>
    <t xml:space="preserve">Aplikovanie stratégií na rozvoj riešenia problémového edukačného procesu (1) : riešenie problémov ako kľúčová kompetencia / Bodoríková, Nina [Autor, UKFPFAKPE, 50%] ; Gunišová, Denisa [Autor, UKFPFAKPE, 50%]. – text. – [slovenčina]. – [OV 010]. – [ŠO 7605]. – [článok]. – [recenzované] In: Didaktika [textový dokument (print)] : odborný časopis pre výchovu a vzdelávanie. – Bratislava (Slovensko) : Wolters Kluwer. Wolters Kluwer SR. – ISSN 1338-2845. – Roč. 3, č. 3 (2022), s. 16-19 [tlačená forma] </t>
  </si>
  <si>
    <t xml:space="preserve">Aplikovanie stratégií rozvoja sebaregulácie žiakov (1) / Bodoríková, Nina [Autor, UKFPFAKPE, 50%] ; Gunišová, Denisa [Autor, UKFPFAKPE, 50%]. – text. – [slovenčina]. – [OV 010]. – [ŠO 7605]. – [článok]. – [recenzované] In: Didaktika [textový dokument (print)] : odborný časopis pre výchovu a vzdelávanie. – Bratislava (Slovensko) : Wolters Kluwer. Wolters Kluwer SR. – ISSN 1338-2845. – Roč. 3, č. 1 (2022), s. 2-5 [tlačená forma] </t>
  </si>
  <si>
    <t xml:space="preserve">Apoteóza tvárového ochlpenia(?) / Boszorád, Martin [Autor, UKFFFAKAE, 100%]. – text. – [slovenčina]. – [OV 020]. – [ŠO 6107]. – [recenzia - ČL] In: Knižná revue [textový dokument (print)] [elektronický dokument] : mesačník o nových knihách. – Bratislava (Slovensko) : Literárne informačné centrum. – ISSN 1210-1982. – ISSN (online) 1336-247X. – Roč. 32, č. 9 (2022), s. 7-7 [tlačená forma] [online] </t>
  </si>
  <si>
    <t xml:space="preserve">Application of CLIL Feature in VET : Example of Good Experiences from an Upper Secondary Vocational School / Hašková, Alena [Autor, UKFPFAKTT, 35%] ; Tamene, Getnet [Autor, 35%] ; Zatkalík, Dominik [Autor, 30%]. – text. – [angličtina]. – [OV 010]. – [ŠO 7605]. – [článok]. – [recenzované]. – DOI 10.53349/resource.2022.iS24.a1105 In: R&amp;E-Source [elektronický dokument] . – Baden (Rakúsko) : Pädagogische Hochschule NÖ. – ISSN (online) 2313-1640. – suppl. Factory of Engineering Pedagogy - FEP, č. 24 (2022), s. 21-27 [online] </t>
  </si>
  <si>
    <t xml:space="preserve">Aspekty prevencie v kariérovom vývine žiakov a študentov / Gatial, Viktor [Autor, UKFPFAKAP, 100%]. – text. – [slovenčina]. – [OV 010]. – [ŠO 7605]. – [článok]. – [recenzované] In: Prevencia [textový dokument (print)] : Informačný bulletin zameraný na prevenciu sociálno-patologických javov v rezorte školstva = Information Bulletin Aimed at Prevention of Social-pathological Phenomena in the Education Sector. – Bratislava (Slovensko) : Centrum vedecko-technických informácií SR. – ISSN 1336-3689. – Roč. 20, č. 4 (2021), s. 8-20 [tlačená forma] </t>
  </si>
  <si>
    <t xml:space="preserve">Boh nás miluje všetkých rovnako : predložená otázka sa týka toho, čo teológia nazýva božími vlastnosťami či atribútmi božieho bytia. Božia láska sa vo vzťahu ku každému človeku prejavuje identicky / Hlad, Ľubomír [Autor, UKFFFAKNS, 100%]. – [slovenčina]. – [OV 020]. – [ŠO 6171]. – [článok] In: Katolícke noviny [textový dokument (print)] [elektronický dokument] . – Trnava (Slovensko) : Spolok svätého Vojtecha. – ISSN 0139-8512. – ISSN (online) 1336-2399. – Roč. 137, č. 6 (2022), s. 20-20 [tlačená forma] [online] </t>
  </si>
  <si>
    <t xml:space="preserve">Cvičenia na rozvoj rozhodovacích funkcií v basketbale / Horička, Pavol [Autor, UKFPFAKTV, 80%] ; Paška, Ľubomír [Autor, UKFPFAKTV, 20%]. – text. – [slovenčina]. – [OV 210]. – [ŠO 7418]. – [článok] In: Športový edukátor [elektronický dokument] . – Nitra (Slovensko) : Univerzita Konštantína Filozofa v Nitre. Pedagogická fakulta UKF. Katedra telesnej výchovy a športu. – ISSN (online) 1337-7809. – Roč. 15, č. 1 (2022), s. 41-45 [online] </t>
  </si>
  <si>
    <t xml:space="preserve">Cvičenia so stoličkou ako náhradou fitlopty / Remeňová, Frederika [Autor, 50%] ; Krčmárová, Bohumila [Autor, UKFPFAKTV, 50%]. – text. – [slovenčina]. – [OV 010]. – [ŠO 7418]. – [článok] In: Športový edukátor [elektronický dokument] . – Nitra (Slovensko) : Univerzita Konštantína Filozofa v Nitre. Pedagogická fakulta UKF. Katedra telesnej výchovy a športu. – ISSN (online) 1337-7809. – Roč. 14, č. 2 (2021), s. 28-34 [online] </t>
  </si>
  <si>
    <t xml:space="preserve">Čítanie v mysli režiséra (Romana Poláka) v Prahe a v Bratislave / Inštitorisová, Dagmar [Autor, UKFFFAKMR, 100%]. – [slovenčina]. – [OV 020]. – [ŠO 7205]. – [článok] In: Náš čas [textový dokument (print)] : časopis Univerzity Konštatnína Filozofa v Nitre. – Nitra (Slovensko) : Univerzita Konštantína Filozofa v Nitre. – ISSN 1338-3272. – Roč. 26, č. 2 (2022), s. 29-29 [tlačená forma] </t>
  </si>
  <si>
    <t xml:space="preserve">Čo sme už raz počuli a iné básne / Florková, Janka [Autor, UKFFFASJL, 100%]. – text. – [slovenčina]. – [OV 020]. – [ŠO 7320]. – [recenzia - ČL] In: Fraktál [textový dokument (print)] : literatúra horizontálne a vertikálne. – Závod (Slovensko) : Fraktál. – ISSN 2585-8912. – Roč. 5, č. 2 (2022), s. 161-162 [tlačená forma] </t>
  </si>
  <si>
    <t xml:space="preserve">Čriepky z mesta na vode / Rusnáková, Natália [Autor, UKFFFAKRO, 100%]. – text. – [slovenčina]. – [OV 020]. – [ŠO 7115]. – [článok] In: Historická revue [textový dokument (print)] : vedecko-populárny mesačník o dejinách. – Bratislava (Slovensko) : Slovenský archeologický a historický inštitút. – ISSN 1335-6550. – TUT ID E003501. – Roč. 33, č. 8 (2022), s. 6-7 [tlačená forma] </t>
  </si>
  <si>
    <t xml:space="preserve">ČUKAN, J. - KURPAŠ, M. - MICHALÍK, B. - ZIMA, R. - ŽABENSKÝ, M.: Dolnozemské odtiene slovenskej kultúry. Nadlak: Kultúrna a vedecká spoločnosť Ivana Krasku, 2021, 111 s. / Válek, Ján [Autor, UKFFFAKMK, 100%]. – text. – [slovenčina]. – [OV 020]. – [ŠO 8110]. – [recenzia - ČL]. – [recenzované] In: Kontexty kultúry a turizmu [textový dokument (print)] . – Nitra (Slovensko) : Univerzita Konštantína Filozofa v Nitre. Filozofická fakulta. – ISSN 1337-7760. – Roč. 15, č. 1 (2022), s. 81-82 [tlačená forma] </t>
  </si>
  <si>
    <t xml:space="preserve">Dělej něco! České a slovenské fanziny a budování alternativních scén / Pevčíková, Jozefa [Autor, UKFFFAULK, 100%]. – text. – [slovenčina]. – [OV 020]. – [ŠO 7320]. – [recenzia - ČL]. – [recenzované] In: Slovenská literatúra [textový dokument (print)] [elektronický dokument] : revue pre literárnu vedu : časopis Ústavu slovenskej literatúry Slovenskej akadémie vied. – Bratislava (Slovensko) : Slovenská akadémia vied. Pracoviská SAV. Ústav slovenskej literatúry. – ISSN 0037-6973. – Roč. 69, č. 2 (2022), s. 188-193 [tlačená forma] [online] </t>
  </si>
  <si>
    <t xml:space="preserve">Deviate umenie - a hotovo! / Boszorád, Martin [Autor, UKFFFAULK, 100%]. – text. – [slovenčina]. – [OV 020]. – [ŠO 6107]. – [recenzia - ČL] In: Knižná revue [textový dokument (print)] [elektronický dokument] : mesačník o nových knihách. – Bratislava (Slovensko) : Literárne informačné centrum. – ISSN 1210-1982. – ISSN (online) 1336-247X. – Roč. 32, č. 6 (2022), s. 26-27 [tlačená forma] [online] </t>
  </si>
  <si>
    <t xml:space="preserve">Diplom 2022 / Récka, Adriana [Autor, UKFPFAKVV, 100%]. – text. – [slovenčina]. – [OV 010]. – [ŠO 7605]. – [článok] In: Náš čas [textový dokument (print)] : časopis Univerzity Konštatnína Filozofa v Nitre. – Nitra (Slovensko) : Univerzita Konštantína Filozofa v Nitre. – ISSN 1338-3272. – Roč. 26, č. 2 (2022), s. 18-19 [tlačená forma] </t>
  </si>
  <si>
    <t xml:space="preserve">Diplomatic Code of the Bishopric of Nitra / Filo, Jozef [Autor, UKFFFAKHI, 100%]. – text. – [angličtina]. – [OV 030]. – [ŠO 7115]. – [recenzia - ČL]. – [recenzované]. – WOS CC In: Konštantínove listy [textový dokument (print)] [elektronický dokument] . – Nitra (Slovensko) : Univerzita Konštantína Filozofa v Nitre. Filozofická fakulta. Ústav pre výskum kultúrneho dedičstva Konštantína a Metoda. – ISSN 1337-8740. – ISSN (online) 2453-7675. – Roč. 15, č. 1 (2022), s. 182-184 [tlačená forma] [online] </t>
  </si>
  <si>
    <t xml:space="preserve">Dištančná forma výučby športovej aktivity pre študentov UPJŠ v Košiciach / Čurgali, Marcel [Autor, UPS99110, 70%] ; Cimboláková, Iveta [Autor, UPS99110, 15%] ; Rázus, Martin [Autor, UKFPFAKTV, 15%]. – text. – [slovenčina]. – [OV 210]. – [ŠO 7418]. – [článok]. – [recenzované]. – sign UPJS USEP 000030 In: Športový edukátor [elektronický dokument] . – Nitra (Slovensko) : Univerzita Konštantína Filozofa v Nitre. Pedagogická fakulta UKF. Katedra telesnej výchovy a športu. – ISSN (online) 1337-7809. – Roč. 15, č. 1 (2022), s. 55-62 [online] </t>
  </si>
  <si>
    <t xml:space="preserve">Dobrovoľníctvo ako súčasť štúdia na FSVaZ / Čerešníková, Miroslava [Autor, UKFFSVURS, 100%]. – text. – [slovenčina]. – [OV 180]. – [ŠO 7761]. – [článok] In: Náš čas [textový dokument (print)] : časopis Univerzity Konštatnína Filozofa v Nitre. – Nitra (Slovensko) : Univerzita Konštantína Filozofa v Nitre. – ISSN 1338-3272. – Roč. 25, č. 5 (2021), s. 30-31 [tlačená forma] </t>
  </si>
  <si>
    <t xml:space="preserve">Druhý ročník Zimní školy filosofie výchovy / Blaščíková, Andrea [Autor, UKFFFAKNS, 50%] ; Svobodová, Zuzana [Autor, 50%]. – text. – [čeština]. – [OV 010]. – [ŠO 7605]. – [článok] In: Universum [textový dokument (print)] : revue přírodovědecké a technické sekce České křesťanské akademie = Review for Science and Religion. – Praha (Česko) : Česká křesťanská akademie. – ISSN 0862-8238. – Roč. 32, č. 1 (2022), s. 2-3 [tlačená forma] </t>
  </si>
  <si>
    <t xml:space="preserve">Ďuricová, L., Sollárová, E. a V. Poliach. Líder v edukácii / Pisoňová, Mária [Autor, UKFPFAKPE, 100%]. – text. – [slovenčina]. – [OV 010]. – [ŠO 7605]. – [recenzia - ČL] In: Pedagogické rozhľady [elektronický dokument] [textový dokument (print)] : Odborno-metodický časopis pre školy a školské zariadenia. – Banská Bystrica (Slovensko) : Metodicko-pedagogické centrum. – ISSN (online) 1335-0404. – Roč. 31, č. 1 (2022), s. 28-29 [online] [tlačená forma] </t>
  </si>
  <si>
    <t xml:space="preserve">Dvadsať rokov Hevhetie / Brezina, Pavol [Autor, UKFPFAKHU, 100%]. – text. – [slovenčina]. – [OV 010]. – [ŠO 7605]. – [článok] In: Slovenská hudba [textový dokument (print)] : revue pre hudobnú kultúru. – Bratislava (Slovensko) : Slovenská muzikologická asociácia pri Slovenskej hudobnej únii. – ISSN 1335-2458. – ISSN (zrušené) 0037-6965. – Roč. 48, č. 2 (2022), s. 186-187 [tlačená forma] </t>
  </si>
  <si>
    <t xml:space="preserve">Dvojzväzkové dielo Jána Motulka / Gallik, Ján [Autor, UKFFSSUSJ, 100%]. – text. – [slovenčina]. – [OV 020]. – [ŠO 7320]. – [recenzia - ČL] In: Kultúra [textový dokument (print)] [elektronický dokument] : dvojtýždenník závislý od etiky. – ISSN 1335-3470. – ISSN (online) 1336-2992. – Roč. 25, č. 4 (2022), s. 8-8 [tlačená forma] [online] </t>
  </si>
  <si>
    <t xml:space="preserve">Egy transzkulturális gyerekkönyv margójára : (Marosz Diána – Lucia Molnár Satinská: Benőke és Hanga. A kétnyelvű testvérek. Benőke a Hanga. Dvojjazyční súrodenci. Illusztrálta: Marosz Diána. Vasárnap ‒ Duel-Press Kiadó, Pozsony, 2021) / Petres Csizmadia, Gabriela [Autor, UKFFSSUML, 100%]. – text. – [maďarčina]. – [OV 010]. – [ŠO 7605]. – [recenzia - ČL]. – [recenzované] In: Ambroozia [elektronický dokument] : irodalmi folyóirat évente hatszor. – Győr (Maďarsko) : Hermaion Irodalmi Társaság. – ISSN (online) 2064-3314. – Roč. 12, č. 1 (2022), s. 1-2 [online] </t>
  </si>
  <si>
    <t xml:space="preserve">Élet a hűtőn kívül / Mészárosová, Zuzana [Autor, UKFFFAKPO, 100%]. – [maďarčina]. – [OV 060]. – [ŠO 6718]. – [článok]. – [recenzované] In: Opus [textový dokument (print)] : szlovákiai magyar írók folyóirata. – Dunajská Streda (Slovensko) : Szlovákiai Magyar Írók Társasága. – ISSN 1338-0265. – Roč. 14, č. 76 (2022), s. 44-51 [tlačená forma] </t>
  </si>
  <si>
    <t xml:space="preserve">Excelentný projekt Pedagogickej fakulty UKF v Nitre / Duchovičová, Jana [Autor, UKFPFAKPE, 100%]. – [slovenčina]. – [OV 010]. – [ŠO 7605]. – [článok]. – [recenzované] In: Náš čas [textový dokument (print)] : časopis Univerzity Konštatnína Filozofa v Nitre. – Nitra (Slovensko) : Univerzita Konštantína Filozofa v Nitre. – ISSN 1338-3272. – Roč. 25, č. 4 (2021), s. 10-11 [tlačená forma] </t>
  </si>
  <si>
    <t xml:space="preserve">Free Guy: A Film Portrait of a Digital-gaming Presence / Malíček, Juraj [Autor, UKFFFAULK, 100%]. – text. – [angličtina]. – [OV 020]. – [ŠO 6107]. – [recenzia - ČL] In: Acta Ludologica [textový dokument (print)] [elektronický dokument] . – Trnava (Slovensko) : Univerzita sv. Cyrila a Metoda v Trnave. Fakulta masmediálnej komunikácie. – ISSN 2585-8599. – ISSN (online) 2585-9218. – Roč. 4, č. 2 (2021), s. 117-119 [tlačená forma] [online] </t>
  </si>
  <si>
    <t xml:space="preserve">Fujak, Július: Sondáž nezávislej hudobnej kultúry na Slovensku / Čierna, Alena [Autor, UKFPFAKHU, 100%]. – text. – [slovenčina]. – [OV 010]. – [ŠO 7605]. – [recenzia - ČL]. – [recenzované] In: Slovenská hudba [textový dokument (print)] : revue pre hudobnú kultúru. – Bratislava (Slovensko) : Slovenská muzikologická asociácia pri Slovenskej hudobnej únii. – ISSN 1335-2458. – ISSN (zrušené) 0037-6965. – Roč. 48, č. 1 (2022), s. 81-83 [tlačená forma] </t>
  </si>
  <si>
    <t xml:space="preserve">GALIERIK, T.: Filmové miesta, Bratislava: Dajama, 2021, 156 s / Kurpaš, Michal [Autor, UKFFFAKMK, 100%]. – text. – [slovenčina]. – [OV 020]. – [ŠO 8110]. – [recenzia - ČL]. – [recenzované] In: Kontexty kultúry a turizmu [textový dokument (print)] . – Nitra (Slovensko) : Univerzita Konštantína Filozofa v Nitre. Filozofická fakulta. – ISSN 1337-7760. – Roč. 15, č. 1 (2022), s. 79-80 [tlačená forma] </t>
  </si>
  <si>
    <t xml:space="preserve">Gitarový festival J. K. Mertza / Veselý, Ondrej [Autor, UKFFFAULK, 100%]. – text, fotogr. – [slovenčina]. – [OV 010]. – [ŠO 8202, 7605]. – [článok]. – [recenzované] In: Hudobný život [textový dokument (print)] [elektronický dokument] : jediný odborný mesačník pre klasickú hudbu a jazz na Slovensku. – Bratislava (Slovensko) : Hudobné centrum. – ISSN 1335-4140. – ISSN (online) 2729-7586. – ISSN (zrušené) 0323-133X. – Roč. 54, č. 9 (2022), s. 2-3 [tlačená forma] [online] </t>
  </si>
  <si>
    <t xml:space="preserve">Harmincadszori nekifutá / Petres Csizmadia, Gabriela [Autor, UKFFSSUML, 100%]. – text. – [maďarčina]. – [OV 010]. – [ŠO 7320]. – [článok] In: Katedra [elektronický dokument] : szlovákiai magyar pedagógusok és szülők lapja. – Dunajská Streda (Slovensko) : Nadácia Katedra. – ISSN 1335-6445. – ISSN (online) 2729-9066. – Roč. 30, č. 1 (2022), s. 3-3 [tlačená forma] [online] </t>
  </si>
  <si>
    <t xml:space="preserve">Hermeneutika talianskej literatúry (od stredoveku po renesanciu) / Šavelová, Monika [Autor, UKFFFAKRO, 100%]. – text. – [slovenčina]. – [OV 020]. – [ŠO 7320]. – [článok]. – [recenzované] In: Studi italo-slovacchi [textový dokument (print)] . – Nitra (Slovensko) : Univerzita Konštantína Filozofa v Nitre. Filozofická fakulta, Bratislava (Slovensko) : Slovenská akadémia vied. – ISSN 1338-6778. – Roč. 10, č. 2 (2021), s. 132-143 [tlačená forma] </t>
  </si>
  <si>
    <t xml:space="preserve">Hravá príťažlivosť divadelnej mágie (aj vážneho) / Inštitorisová, Dagmar [Autor, UKFFFAKMR, 100%]. – text. – [slovenčina]. – [OV 020]. – [ŠO 7205]. – [recenzia - ČL] In: Monitoring divadiel na Slovensku [elektronický dokument] . – Bratislava (Slovensko) : Slovenské centrum AICT. – ISSN (online) 2454-0129. – č. 12.09. (2022), s. 1-8 [online] </t>
  </si>
  <si>
    <t xml:space="preserve">Chandler, Heather Maxwell. 2020. The Game Production Toolbox. Boca Raton: Taylor Francis Group / Koscelníková, Mária [Autor, UKFFFAKTR, 100%]. – text. – [angličtina]. – [OV 020]. – [ŠO 7320]. – [recenzia - ČL] In: Bridge [elektronický dokument] : Trends and Traditions in Translation and Interpreting Studies. – Nitra (Slovensko) : Univerzita Konštantína Filozofa v Nitre. Filozofická fakulta. Katedra translatológie. – ISSN (online) 2729-8183. – Roč. 1, č. 2 (2020), s. 136-137 [online] </t>
  </si>
  <si>
    <t xml:space="preserve">Ideológie ovplyvňujúce totalitné režimy: prečo sa Roger Scruton v článku The Totalitarian Temptation mýlil? / Hasaj, Richard [Autor, UKFFFAKAE, 100%]. – text. – [slovenčina]. – [OV 020]. – [ŠO 6107]. – [článok] In: Civitas [textový dokument (print)] : časopis pre politické a sociálne vedy. – Nitra (Slovensko) : Univerzita Konštantína Filozofa v Nitre. Filozofická fakulta. Katedra politológie a euroázijských štúdií. – ISSN 1335-2652. – Roč. 27, č. 2 (2021), s. 7-12 [tlačená forma] </t>
  </si>
  <si>
    <t xml:space="preserve">Il nuovo Paradiso slovacco / Šavelová, Monika [Autor, UKFFFAKRO, 100%]. – text. – [taliančina]. – [OV 020]. – [ŠO 7320]. – [recenzia - ČL] In: Studi italo-slovacchi [textový dokument (print)] . – Nitra (Slovensko) : Univerzita Konštantína Filozofa v Nitre. Filozofická fakulta, Bratislava (Slovensko) : Slovenská akadémia vied. – ISSN 1338-6778. – Roč. 10, č. 2 (2021), s. 190-195 [tlačená forma] </t>
  </si>
  <si>
    <t xml:space="preserve">Immersion, Narrative, and Gender Crisis in Survival Horror Video Games / Koscelníková, Mária [Autor, UKFFFAKTR, 100%]. – text. – [angličtina]. – [OV 020]. – [ŠO 7320]. – [recenzia - ČL]. – [recenzované] In: Acta Ludologica [textový dokument (print)] [elektronický dokument] . – Trnava (Slovensko) : Univerzita sv. Cyrila a Metoda v Trnave. Fakulta masmediálnej komunikácie. – ISSN 2585-8599. – ISSN (online) 2585-9218. – Roč. 4, č. 2 (2021), s. 114-116 [tlačená forma] [online] </t>
  </si>
  <si>
    <t xml:space="preserve">Introduction / Hodáková, Soňa [Autor, UKFFFAKTR, 100%]. – text. – [angličtina]. – [OV 020]. – [ŠO 7320]. – [článok] In: Bridge [elektronický dokument] : Trends and Traditions in Translation and Interpreting Studies. – Nitra (Slovensko) : Univerzita Konštantína Filozofa v Nitre. Filozofická fakulta. Katedra translatológie. – ISSN (online) 2729-8183. – Roč. 3, č. 1 (2022), s. 1-2 [online] </t>
  </si>
  <si>
    <t xml:space="preserve">Jakubovská, V.: Umenie a kultúra (vademékum pre učiteľov) / Jakubovská, Kristína [Autor, UKFFFAKMK, 100%]. – [slovenčina]. – [OV 020]. – [ŠO 8110]. – [recenzia - ČL] In: Mládež a spoločnosť [textový dokument (print)] : slovenský časopis pre štátnu politiku a výskum mládeže = Slovak journal for state policy and youth research. – Bratislava (Slovensko) : Centrum vedecko-technických informácií SR. – ISSN 1335-1109. – Roč. 28, č. 2-3 (2022), s. 77-79 [tlačená forma] </t>
  </si>
  <si>
    <t xml:space="preserve">Jasmina Kuhnke / Zahorák, Andrej [Autor, UKFFFAKTR, 100%]. – text. – [slovenčina]. – [OV 020]. – [ŠO 7320]. – [článok] In: Verzia [elektronický dokument] : časopis zameraný na umelecký preklad. – Bratislava (Slovensko) : DoSlov. – ISSN 2729-9910. – Roč. 3, č. 2 (2022), s. 30-30 [online] </t>
  </si>
  <si>
    <t xml:space="preserve">Juraj Zajonc: Svätí s menom Valentín a sviatky zamilovaných / Jágerová, Margita [Autor, UKFFFAKEF, 100%]. – text. – [slovenčina]. – [OV 030]. – [ŠO 7115]. – [recenzia - ČL]. – [recenzované]. – DOI 10.31577/SN.2022.1.13 In: Slovenský národopis [textový dokument (print)] [elektronický dokument] : časopis Ústavu etnológie Slovenskej akadémie vied = journal of the Institute of Ethnology of the Slovak Academy of Sciences = Zeitschrift des Ethnologischen Institutes der Slowakischen Akademie der Wissenschaften = revue de l'Institut d'ethnologie de l'Académie slovaque des sciences. – Bratislava (Slovensko) : Slovenská akadémia vied. Pracoviská SAV. Ústav etnológie. – ISSN 1335-1303. – ISSN (online) 1339-9357. – Roč. 70, č. 1 (2022), s. 160-163 [tlačená forma] [online] </t>
  </si>
  <si>
    <t xml:space="preserve">Katedra techniky a informačných technológií Pedagogickej Fakulty Univerzity Konštantína Filozofa v Nitre / Depešová, Jana [Autor, UKFPFAKTT, 100%]. – text. – [slovenčina]. – [OV 010]. – [ŠO 7605]. – [článok]. – [recenzované] In: Technika a vzdelávanie [textový dokument (print)] [elektronický dokument] : časopis zameraný na technické vzdelávanie v základných, stredných i na vysokých školách, na oblasť základného a aplikovaného výskumu, aplikáciu informačných technológií vo výučbe odborných predmetov. – Banská Bystrica (Slovensko) : Univerzita Mateja Bela v Banskej Bystrici. Fakulta prírodných vied. – ISSN 1338-9742. – ISSN (online) 1339-9888. – Roč. 10, č. 2 (2021), s. 60-67 [tlačená forma] [online] </t>
  </si>
  <si>
    <t xml:space="preserve">Kemendy Júlia Csenge: Az Anyacsalogató Hadművelet. Nagy Bettina illusztrációival. Kalota Művészeti Alapítvány – Napkút Kiadó, Budapest, 2021 / Petres Csizmadia, Gabriela [Autor, UKFFSSUML, 100%]. – text. – [maďarčina]. – [OV 010]. – [ŠO 7320]. – [recenzia - ČL]. – [recenzované] In: Ambroozia [elektronický dokument] : irodalmi folyóirat évente hatszor. – Győr (Maďarsko) : Hermaion Irodalmi Társaság. – ISSN (online) 2064-3314. – Roč. 11, č. 6 (2021), s. 1-2 [online] </t>
  </si>
  <si>
    <t xml:space="preserve">KOMPASOVÁ, K.: Gastronómia v kontexte vývoja, vplyvov a trendov. Nitra: UKF v Nitre, 2021, 144 s / Mičicová, Katarína [Autor, UKFFFAKMK, 100%]. – text. – [slovenčina]. – [OV 020]. – [ŠO 8110]. – [recenzia - ČL]. – [recenzované] In: Kontexty kultúry a turizmu [textový dokument (print)] . – Nitra (Slovensko) : Univerzita Konštantína Filozofa v Nitre. Filozofická fakulta. – ISSN 1337-7760. – Roč. 15, č. 1 (2022), s. 83-84 [tlačená forma] </t>
  </si>
  <si>
    <t xml:space="preserve">Kritické myslenie ako východisko k rozvoju mediálnej gramotnosti / Bielčiková, Kristína [Autor, UKFPFAKPE, 50%] ; Šutovcová, Lenka [Autor, UKFPFAKPE, 50%]. – text. – [slovenčina]. – [OV 010]. – [ŠO 7605]. – [článok]. – [recenzované] In: Aktuality zväzu [textový dokument (print)] : aktuality zväzu pracovníkov školstva a vedy na Slovensku. – Bratislava (Slovensko) : Odborový zväz pracovníkov školstva a vedy na Slovensku. – ISSN 1338-7960. – Roč. 31, č. 2 (2022), s. 27-29 [tlačená forma] </t>
  </si>
  <si>
    <t xml:space="preserve">Krno, S. – Juza, P. – Praznovská, M. – Čajková, A.: Čína v súčasných medzinárodných vzťahoch / Izsófová, Beáta [Autor, UKFFFAKPO, 100%]. – text. – [slovenčina]. – [OV 060]. – [ŠO 6718]. – [recenzia - ČL] In: Civitas [textový dokument (print)] : časopis pre politické a sociálne vedy. – Nitra (Slovensko) : Univerzita Konštantína Filozofa v Nitre. Filozofická fakulta. Katedra politológie a euroázijských štúdií. – ISSN 1335-2652. – Roč. 27, č. 1 (2021), s. 13-14 [tlačená forma] </t>
  </si>
  <si>
    <t xml:space="preserve">Krno, S., Juza, P.,  Práznovská, M. and Čajková, A. (ed.). (2021). Čína v súčasných medzinárodných vzťahoch / Izsófová, Beáta [Autor, UKFFFAKPO, 100%]. – [angličtina]. – [OV 060]. – [ŠO 6718]. – [recenzia - ČL]. – [recenzované] In: Slovenská politologická revue [textový dokument (print)] [elektronický dokument] : revue pre politický a občiansky život. – Trnava (Slovensko) : Univerzita sv. Cyrila a Metoda v Trnave. Fakulta sociálnych  vied. – ISSN 1338-3140. – ISSN (online) 1335-9096. – Roč. 22, č. 1 (2022), s. 139-145 [tlačená forma] [online] </t>
  </si>
  <si>
    <t xml:space="preserve">Kultúrny kód dvojitej identity (recenzia) = The Cultural Code of Double Identity (Review) / Mierková, Dóra [Autor, UKFFSSUSJ, 100%]. – text. – [slovenčina]. – [OV 020]. – [ŠO 7320]. – [recenzia - ČL]. – [recenzované] In: Stredoeurópske pohľady [textový dokument (print)] [elektronický dokument] : časopis pre jazyk, literatúru, kultúru a médiá. – Nitra (Slovensko) : Univerzita Konštantína Filozofa v Nitre. Fakulta stredoeurópskych štúdií. Ústav stredoeurópskych jazykov a kultúr. – ISSN 2644-6367. – ISSN (online) 2644-6472. – Roč. 4, č. 1 (2022), s. 75-76 [tlačená forma] [online] </t>
  </si>
  <si>
    <t xml:space="preserve">Kyberagresia u žiakov so špeciálnymi výchovno-vzdelávacími potrebami / Hollá, Katarína [Autor, UKFPFAKPE, 60%] ; Kudlová, Karolína [Autor, 40%]. – text. – [slovenčina]. – [OV 010]. – [ŠO 7605]. – [článok] In: Sociálna prevencia [textový dokument (print)] : odborný časopis. – Bratislava (Slovensko) : Národné osvetové centrum. – ISSN 1336-9679. – TUTPR signatúra E025398. – Roč. 17, č. 1 (2022), s. 18-19 [tlačená forma] </t>
  </si>
  <si>
    <t xml:space="preserve">La ricerca della lingua perfetta / Šavelová, Monika [Autor, UKFFFAKRO, 100%]. – text. – [taliančina]. – [OV 020]. – [ŠO 7320]. – [recenzia - ČL] In: Studi italo-slovacchi [textový dokument (print)] . – Nitra (Slovensko) : Univerzita Konštantína Filozofa v Nitre. Filozofická fakulta, Bratislava (Slovensko) : Slovenská akadémia vied. – ISSN 1338-6778. – Roč. 10, č. 2 (2021), s. 196-198 [tlačená forma] </t>
  </si>
  <si>
    <t xml:space="preserve">Leszek Zygner, Biskup Jakub z Kurdwanowa herbu Syrokomla (ok. 1350-1425), Ecclesia clerusque temporibus medii aevi, vol. 7. Toruń 2020 / Krafl, Pavel Otmar [Autor, UKFFFAKHI, 100%]. – text. – [slovenčina]. – [OV 030]. – [ŠO 7115]. – [recenzia - ČL] In: Historia Ecclesiastica [textový dokument (print)] : časopis pre dejiny cirkví a náboženstiev v Strednej Európe. – Prešov (Slovensko) : Prešovská univerzita v Prešove. – ISSN 1338-4341. – Roč. 12, č. 1 (2021), s. 275-278 [tlačená forma] . – CiteScore: 0,4 ; SJR: 0,174 ; SNIP: 0,186 Scimago - History - Q2, Religious studies - Q2 </t>
  </si>
  <si>
    <t xml:space="preserve">Letavajová, S. - Hečková, Chlebcová, A. - Krno, S. - Bošelová, M.: Novodobé migrácie vo verejnej mienke, mediálnej a politickej diskusii / Brhlíková, Radoslava [Autor, UKFFFAKPO, 100%]. – text. – [slovenčina]. – [OV 020]. – [ŠO 8110]. – [recenzia - ČL] In: Civitas [textový dokument (print)] : časopis pre politické a sociálne vedy. – Nitra (Slovensko) : Univerzita Konštantína Filozofa v Nitre. Filozofická fakulta. Katedra politológie a euroázijských štúdií. – ISSN 1335-2652. – Roč. 27, č. 1 (2021), s. 13-13 [tlačená forma] </t>
  </si>
  <si>
    <t xml:space="preserve">Liečebný dosah súčasného slovenského nezávislého divadla : (BALLAY, Miroslav. Sondáž nezávislej divadelnej kultúry na Slovensku) / Hrbek, Milan [Autor, UKFFFAULK, 100%]. – text. – [slovenčina]. – [OV 040]. – [ŠO 8110]. – [recenzia - ČL] In: Slovenské divadlo [textový dokument (print)] [elektronický dokument] : revue dramatických umení. – Bratislava (Slovensko) : Slovenská akadémia vied. Pracoviská SAV. Ústav divadelnej a filmovej vedy. – ISSN 0037-699X. – ISSN (online) 1336-8605. – Roč. 68, č. 4 (2020), s. 3-3 [tlačená forma] [online] . – SJR: 0,173 ; CiteScore: 0,1 ; SNIP: 0,573 Scimago - Communication - Q3, Cultural studies - Q2, History - Q2, Literature and literary theory - Q1, Music - Q2, Visual arts and performing arts - Q1 </t>
  </si>
  <si>
    <t xml:space="preserve">Ľubomír Zabadal : Nástroj / Récka, Adriana [Autor, UKFPFAKVV, 100%]. – text, ilustr. – [slovenčina]. – [OV 010]. – [ŠO 7605]. – [článok] In: Slovenská hudba [textový dokument (print)] : revue pre hudobnú kultúru. – Bratislava (Slovensko) : Slovenská muzikologická asociácia pri Slovenskej hudobnej únii. – ISSN 1335-2458. – ISSN (zrušené) 0037-6965. – Roč. 47, č. 4 (2021), s. 402-402 [tlačená forma] </t>
  </si>
  <si>
    <t xml:space="preserve">Marginálie k figúre šibala v arcinaratívoch : tematologicko-kultúrne súvislosti = Marginalities to the figure of the devil in arch-narratives (Thematic-cultural connections) / Pažitná, Bernadette [Autor, UKFFFAULK, 100%]. – text. – [angličtina]. – [OV 040]. – [ŠO 8110]. – [recenzia - ČL]. – [recenzované]. – WOS CC In: ESPES [elektronický dokument] : Electronic Magazine of the Society for Aesthetics in Slovakia : Journal of Society for Aesthetics in Slovakia and Institute of Aesthetics and Art Culture = Elektronický časopis Spoločnosti pre estetiku na Slovensku. – Prešov (Slovensko) : Prešovská univerzita v Prešove. Filozofická fakulta. Inštitút estetiky a umeleckej kultúry. – ISSN (online) 1339-1119. – Roč. 11, č. 1 (2022), s. 166-170 [online] </t>
  </si>
  <si>
    <t xml:space="preserve">MARIAŃSKI, J.: Scenariusze przemian religijności i Kościoła katolickiego w społeczeństwie polskim. Studium diagnostyczno-prognostyczne (Scenáre premien religiozity a Katolíckej cirkvi v poľskej spoločnosti. Diagnosticko-prognostická štúdia) / Štefaňak, Ondrej [Autor, UKFFFAKSO, 100%]. – text. – [poľština]. – [OV 060]. – [ŠO 6115]. – [recenzia - ČL]. – [recenzované] In: Theologos [textový dokument (print)] [elektronický dokument] : theological revue. – Prešov (Slovensko) : Prešovská univerzita v Prešove. Vydavateľstvo Prešovskej univerzity. – ISSN 1335-5570. – ISSN (online) 2644-5700. – Roč. 24, č. 1 (2022), s. 158-160 [tlačená forma] [online] </t>
  </si>
  <si>
    <t xml:space="preserve">Marko Vrzgula : Mosty (Cez jarný sneh) / Récka, Adriana [Autor, UKFPFAKVV, 100%]. – text. – [slovenčina]. – [OV 010]. – [ŠO 7605]. – [článok] In: Slovenská hudba [textový dokument (print)] : revue pre hudobnú kultúru. – Bratislava (Slovensko) : Slovenská muzikologická asociácia pri Slovenskej hudobnej únii. – ISSN 1335-2458. – ISSN (zrušené) 0037-6965. – Roč. 48, č. 2 (2022), s. 194-194 [tlačená forma] </t>
  </si>
  <si>
    <t xml:space="preserve">Marko Vrzgula : Prieniky (Sivý prienik) / Récka, Adriana [Autor, UKFPFAKVV, 100%]. – text. – [slovenčina]. – [OV 010]. – [ŠO 7605]. – [článok] In: Slovenská hudba [textový dokument (print)] : revue pre hudobnú kultúru. – Bratislava (Slovensko) : Slovenská muzikologická asociácia pri Slovenskej hudobnej únii. – ISSN 1335-2458. – ISSN (zrušené) 0037-6965. – Roč. 48, č. 3 (2022), s. 286-286 [tlačená forma] </t>
  </si>
  <si>
    <t xml:space="preserve">Martyna Gibka, Literary onomastics. A Theory : Irodalmi névtan: Elméleti megközelítés / Hegedüs, Orsolya [Autor, UKFFSSUVP, 100%]. – text. – [maďarčina]. – [OV 020]. – [ŠO 7320]. – [recenzia - ČL] In: Névtani Értesítő [textový dokument (print)] [elektronický dokument] . – Budapešť (Maďarsko) : Magyar nyelvtudományi társaság, Budapešť (Maďarsko) : Eötvös Loránd Tudományegyetem. ELTE Bölcsészettudományi Kar. Magyar Nyelvtudományi és Finnugor Intézet. – ISSN 0139-2190. – ISSN (online) 2064-7484. – Roč. 43 (2021), s. 225-228 [tlačená forma] . – CiteScore: 0,3 ; SJR: 0,101 Scimago - Linguistics and language - Q4 </t>
  </si>
  <si>
    <t xml:space="preserve">Matematika - rajzolva : A szemléltetés fontosságáról a matematikában / Tóth, Anikó [Autor, UKFFSSUML, 50%] ; Lehoťáková, Eva [Autor, UKFFSSUVP, 50%]. – text. – [maďarčina]. – [OV 010]. – [ŠO 7605]. – [článok] In: Katedra [elektronický dokument] : szlovákiai magyar pedagógusok és szülők lapja. – Dunajská Streda (Slovensko) : Nadácia Katedra. – ISSN 1335-6445. – ISSN (online) 2729-9066. – Roč. 29, č. 7 (2022), s. 23-24 [tlačená forma] [online] </t>
  </si>
  <si>
    <t xml:space="preserve">Mediálna kultúra I. Vybrané texty k problematike mediálnej propagandy a manipulácie [recenzia] / Štosel, Marek [Autor, UKFFFAKZU, 100%]. – text. – [slovenčina]. – [OV 020]. – [ŠO 7205]. – [recenzia - ČL] In: Culturologica Slovaca [elektronický dokument] : internetový kulturologický časopis. – Nitra (Slovensko) : Univerzita Konštantína Filozofa v Nitre. – ISSN 2453-9740. – Roč. 7, č. 1 (2022), s. 153-154 [online] </t>
  </si>
  <si>
    <t xml:space="preserve">Medzinárodná vedecká konferencia „Novodobé migrácie a ich odraz vo verejnej diskusii“ / Mičicová, Katarína [Autor, UKFFFAKMK, 100%]. – [slovenčina]. – [OV 020]. – [ŠO 8110]. – [článok]. – [recenzované] In: Kontexty kultúry a turizmu [textový dokument (print)] . – Nitra (Slovensko) : Univerzita Konštantína Filozofa v Nitre. Filozofická fakulta. – ISSN 1337-7760. – Roč. 14, č. 2 (2021), s. 108-110 [tlačená forma] </t>
  </si>
  <si>
    <t xml:space="preserve">Metodika čítania s porozumením v cudzojazyčnej edukácii (2) : aplikačná časť / Gadušová, Zdenka [Autor, UKFFFAKAA, 30%] ; Horníčková, Mária [Autor, UKFFFAKRO, 30%] ; Stranovská, Eva [Autor, UKFFFAKGE, 40%]. – text. – [slovenčina]. – [OV 010]. – [ŠO 7605]. – [článok]. – [recenzované] In: Didaktika [textový dokument (print)] : odborný časopis pre výchovu a vzdelávanie. – Bratislava (Slovensko) : Wolters Kluwer. Wolters Kluwer SR. – ISSN 1338-2845. – Roč. 3, č. 2 (2022), s. 13-21 [tlačená forma] </t>
  </si>
  <si>
    <t xml:space="preserve">Metodika čítania s porozumením v cudzojazyčnej edukácii (1) / Gadušová, Zdenka [Autor, UKFFFAKAA, 30%] ; Horníčková, Mária [Autor, UKFFFAKRO, 40%] ; Stranovská, Eva [Autor, UKFFFAKGE, 30%]. – text. – [slovenčina]. – [OV 010]. – [ŠO 7605]. – [článok]. – [recenzované] In: Didaktika [textový dokument (print)] : odborný časopis pre výchovu a vzdelávanie. – Bratislava (Slovensko) : Wolters Kluwer. Wolters Kluwer SR. – ISSN 1338-2845. – Roč. 3, č. 1 (2022), s. 15-21 [tlačená forma] </t>
  </si>
  <si>
    <t xml:space="preserve">Metódy rozvíjajúce mediálnu gramotnosť a kritické myslenie / Šutovcová, Lenka [Autor, UKFPFAKPE, 50%] ; Bielčiková, Kristína [Autor, UKFPFAKPE, 50%]. – [slovenčina]. – [OV 010]. – [ŠO 7605]. – [článok]. – [recenzované] In: Pedagogické rozhľady [elektronický dokument] [textový dokument (print)] : Odborno-metodický časopis pre školy a školské zariadenia. – Banská Bystrica (Slovensko) : Metodicko-pedagogické centrum. – ISSN (online) 1335-0404. – Roč. 31, č. 1 (2022), s. 6-11 [online] [tlačená forma] </t>
  </si>
  <si>
    <t xml:space="preserve">Mežjazykovaja omonimija pri obučenii slovackich studentov-rusistov i russkich studentov slovakistiki v originaľnom učebnike F. Kalaša / Gallo, Ján [Autor, UKFFFAKRU, 100%]. – [ruština]. – [OV 020]. – [ŠO 7320]. – [recenzia - ČL]. – DOI 10.31577/SlavSlov.2022.1.13 In: Slavica Slovaca [textový dokument (print)] [elektronický dokument] : orgán Slavistického ústavu Jána Stanislava SAV a Slovenského komitétu slavistov. – Bratislava (Slovensko) : Slovenská akadémia vied. Slavistický ústav Jána Stanislava. – ISSN 0037-6787. – ISSN (online) 1336-2364. – Roč. 57, č. 1 (2022), s. 91-93 [tlačená forma] [online] </t>
  </si>
  <si>
    <t xml:space="preserve">Mgr.art. Marko Vrzgula - Pulzary : prelet Luca Bessona 2 / Récka, Adriana [Autor, UKFPFAKVV, 100%]. – text. – [slovenčina]. – [OV 010]. – [ŠO 7605]. – [článok] In: Slovenská hudba [textový dokument (print)] : revue pre hudobnú kultúru. – Bratislava (Slovensko) : Slovenská muzikologická asociácia pri Slovenskej hudobnej únii. – ISSN 1335-2458. – ISSN (zrušené) 0037-6965. – Roč. 48, č. 1 (2022), s. 90-90 [tlačená forma] </t>
  </si>
  <si>
    <t xml:space="preserve">Náznaky smerovania nového vedenia Činohry SND v kontexte vývoja tohto súboru / Zwiefelhofer, Miro [Autor, UKFFFAKKU, 100%]. – text. – [slovenčina]. – [OV 020]. – [ŠO 8110]. – [článok]. – [recenzované] In: Culturologica Slovaca [elektronický dokument] : internetový kulturologický časopis. – Nitra (Slovensko) : Univerzita Konštantína Filozofa v Nitre. – ISSN 2453-9740. – Roč. 6, č. 2 (2021), s. 217-219 [online] </t>
  </si>
  <si>
    <t xml:space="preserve">Niekoľko poznámok ku knihe Deväť dní s Pavlom Straussom alias deviatnik láskavého človeka : od skalpela k filozofii, od filozofie k poézii, od poézie k mystike a od mystiky ku skalpelu / Pružinec, Tomáš [Autor, UKFFFAKFI, 100%]. – text. – [slovenčina]. – [OV 020]. – [ŠO 6107]. – [článok] In: Listy PS [textový dokument (print)] : [bulletin]. – Liptovský Mikuláš (Slovensko) : Spolok priateľov MUDr. Pavla Straussa. – ISSN 2453-9333. – č. 37 (2022), s. 16-16 [tlačená forma] </t>
  </si>
  <si>
    <t xml:space="preserve">Nová inšpiratívna publikácia v oblasti lingvistickej pragmatiky a egolingvistiky / Lekeš, Patrik [Autor, UKFFFASJL, 100%]. – text. – [slovenčina]. – [OV 020]. – [ŠO 7320]. – [recenzia - ČL]. – DOI 10.31577/SlavSlov.2022.2.10 In: Slavica Slovaca [textový dokument (print)] [elektronický dokument] : orgán Slavistického ústavu Jána Stanislava SAV a Slovenského komitétu slavistov. – Bratislava (Slovensko) : Slovenská akadémia vied. Slavistický ústav Jána Stanislava. – ISSN 0037-6787. – ISSN (online) 1336-2364. – Roč. 57, č. 2 (2022), s. 193-194 [tlačená forma] [online] </t>
  </si>
  <si>
    <t xml:space="preserve">O inakosti v literatúre pre deti a mládež (recenzia) = On Otherness in Literature for Children and Youth (Review) / Krauter, Michal [Autor, UKFFSSUSJ, 100%]. – text. – [slovenčina]. – [OV 020]. – [ŠO 7320]. – [recenzia - ČL]. – [recenzované] In: Stredoeurópske pohľady [textový dokument (print)] [elektronický dokument] : časopis pre jazyk, literatúru, kultúru a médiá. – Nitra (Slovensko) : Univerzita Konštantína Filozofa v Nitre. Fakulta stredoeurópskych štúdií. Ústav stredoeurópskych jazykov a kultúr. – ISSN 2644-6367. – ISSN (online) 2644-6472. – Roč. 4, č. 1 (2022), s. 77-79 [tlačená forma] [online] </t>
  </si>
  <si>
    <t xml:space="preserve">O mcdonaldizácii tak trochu inak / Jakubovská, Viera [Autor, UKFFFAKFI, 100%]. – text. – [slovenčina]. – [OV 020]. – [ŠO 6107]. – [článok] In: Mládež a spoločnosť [textový dokument (print)] : slovenský časopis pre štátnu politiku a výskum mládeže = Slovak journal for state policy and youth research. – Bratislava (Slovensko) : Centrum vedecko-technických informácií SR. – ISSN 1335-1109. – Roč. 28, č. 2-3 (2022), s. 26-35 [tlačená forma] </t>
  </si>
  <si>
    <t xml:space="preserve">O nachádzaní skutočného pokladu / Gallik, Ján [Autor, UKFFSSUSJ, 100%]. – text. – [slovenčina]. – [OV 020]. – [ŠO 7320]. – [recenzia - ČL] In: Kultúra [textový dokument (print)] [elektronický dokument] : dvojtýždenník závislý od etiky. – ISSN 1335-3470. – ISSN (online) 1336-2992. – Roč. 25, č. 16 (2022), s. 8-8 [tlačená forma] [online] </t>
  </si>
  <si>
    <t xml:space="preserve">Objavovanie lokality Kunstberg : (Chvojnica, okres Prievidza) / Žabenský, Marián [Autor, UKFFFAKMK, 100%]. – text. – [slovenčina]. – [OV 030]. – [ŠO 8110]. – [článok] In: Montanrevue [textový dokument (print)] : časopis o baníctve a bansko-historickom dedičstve : súčasnosť, história, pamiatky, osobnosti. – Banská Štiavnica (Slovensko) : Združenie baníckych spolkov a cechov Slovenska. – ISSN 1337-9682. – Roč. 15, č. 2 (2022), s. 8-10 [tlačená forma] </t>
  </si>
  <si>
    <t xml:space="preserve">Önállótlanságra nevelünk? / Petres Csizmadia, Gabriela [Autor, UKFFSSUML, 100%]. – text. – [maďarčina]. – [OV 010]. – [ŠO 7320]. – [článok] In: Katedra [elektronický dokument] : szlovákiai magyar pedagógusok és szülők lapja. – Dunajská Streda (Slovensko) : Nadácia Katedra. – ISSN 1335-6445. – ISSN (online) 2729-9066. – Roč. 29, č. 10 (2022), s. 1-3 [tlačená forma] [online] </t>
  </si>
  <si>
    <t xml:space="preserve">Online agresia ako novodobý fenomén ľudského správania / Židová, Monika [Autor, UKFPFAKPE, 50%] ; Bielčiková, Kristína [Autor, UKFPFAKPE, 25%] ; Janíček Pavelová, Monika [Autor, UKFPFAKPE, 25%]. – text. – [slovenčina]. – [OV 010]. – [ŠO 7605]. – [článok] In: Prohuman [elektronický dokument] : vedecko-odborný interdisciplinárny recenzovaný časopis, zameraný na oblasť spoločenských, sociálnych a humanitných vied : vedecko-odborný internetový časopis. – Bratislava (Slovensko) : Business Intelligence Club. – ISSN (online) 1338-1415. – č. 18. september (2022), s. 1-15 [online] </t>
  </si>
  <si>
    <t xml:space="preserve">Online-Spieleabende im Fremdsprachenunterricht am Beispiel von Black Stories / Vergeiner, Elisabeth [Autor, UKFFFAKGE, 100%]. – text. – [nemčina]. – [OV 010]. – [ŠO 7605]. – [článok]. – [recenzované] In: IDV - Magazin [textový dokument (print)] : der Internationale Deutschlehrerverband. – ISSN 1431-5181. – Roč. 53, č. 100 (2021), s. 43-44 [tlačená forma] </t>
  </si>
  <si>
    <t xml:space="preserve">Onoma 53. (2018) / Hegedüs, Orsolya [Autor, UKFFSSUVP, 100%]. – text. – [maďarčina]. – [OV 020]. – [ŠO 7320]. – [recenzia - ČL] In: Névtani Értesítő [textový dokument (print)] [elektronický dokument] . – Budapešť (Maďarsko) : Magyar nyelvtudományi társaság, Budapešť (Maďarsko) : Eötvös Loránd Tudományegyetem. ELTE Bölcsészettudományi Kar. Magyar Nyelvtudományi és Finnugor Intézet. – ISSN 0139-2190. – ISSN (online) 2064-7484. – Roč. 42, č. 3 (2020), s. 284-286 [tlačená forma] . – SJR: 0,244 ; CiteScore: 0,4 ; SNIP: 0,409 Scimago - Language and linguistics - Q2, Linguistics and language - Q2 </t>
  </si>
  <si>
    <t xml:space="preserve">Operné štúdio VŠMU (1952-2022). Časť prvá: apoteóza / Madunická, Klára [Autor, UKFFFAULK, 100%]. – text. – [slovenčina]. – [OV 020]. – [ŠO 8110]. – [článok]. – [recenzované] In: Theatrica [elektronický dokument] : Recenzovaný internetový časopis venovaný divadelným štúdiám, muzikológii a umenovede. – Bratislava (Slovensko) : Theatrica. – ISSN 2729-9031. – 2022, s. 1-8 [online] </t>
  </si>
  <si>
    <t xml:space="preserve">Österreichisch-slowakisches Sommerkolleg 2022 / Wrede, Oľga [Autor, UKFFFAKRO, 100%]. – text. – [nemčina]. – [OV 020]. – [ŠO 7320]. – [článok] In: Karpatenblatt [textový dokument (print)] : monatsblatt der Deutschen in der Slowakei = mesačník Nemcov na Slovensku. – Košice (Slovensko) : Karpatendeutscher Verein der Slowakei e. V. – ISSN 1336-0736. – Roč. 31, č. 9 (2022), s. 3-3 [tlačená forma] </t>
  </si>
  <si>
    <t xml:space="preserve">Panna Mária medzi nami : Prítomnosť Panny Márie Pomáha najmä pri premene ľudí na slobodných a dokonalých / Hlad, Ľubomír [Autor, UKFFFAUKD, 100%]. – text. – [slovenčina]. – [OV 020]. – [ŠO 6171]. – [článok] In: Katolícke noviny [textový dokument (print)] [elektronický dokument] . – Trnava (Slovensko) : Spolok svätého Vojtecha. – ISSN 0139-8512. – ISSN (online) 1336-2399. – Roč. 137, č. 43 (2022), s. 12-13 [tlačená forma] [online] </t>
  </si>
  <si>
    <t xml:space="preserve">Pedagogické diagnostikovanie školskej pripravenosti žiakov / Koleňáková, Rebeka Štefánia [Autor, UKFPFAKPE, 50%] ; Teleková, Radka [Autor, UKFPFAKPE, 50%]. – text. – [slovenčina]. – [OV 010]. – [ŠO 7605]. – [článok]. – [recenzované] In: Manažment školy v praxi [elektronický dokument] : odborný mesačník pre školy a školské zariadenia. – Bratislava (Slovensko) : Wolters Kluwer. – ISSN 1336-9849. – Roč. 17, č. 5 (2022), s. 14-17 [online] </t>
  </si>
  <si>
    <t xml:space="preserve">Poézia, vec analytická / Florková, Janka [Autor, UKFFFASJL, 100%]. – text. – [slovenčina]. – [OV 020]. – [ŠO 7320]. – [recenzia - ČL] In: Fraktál [textový dokument (print)] : literatúra horizontálne a vertikálne. – Závod (Slovensko) : Fraktál. – ISSN 2585-8912. – Roč. 5, č. 1 (2022), s. 180-182 [tlačená forma] </t>
  </si>
  <si>
    <t xml:space="preserve">Političeskaja lingvistika = Political Linguistics / Gallo, Ján [Autor, UKFFFASJL, 100%]. – text. – [ruština]. – [OV 020]. – [ŠO 7320]. – [recenzia - ČL] In: Cross-cultural studies [textový dokument (print)] : education and science. – Middlebury (USA) : Russian Department, Middlebury College. – ISSN 2470-1262. – Roč. 7, č. 3 (2022), s. 152-154 [tlačená forma] </t>
  </si>
  <si>
    <t xml:space="preserve">Postigo Pinazo, Encarnación (ed.). 2020. Interpreting in a changing world: new scenarios, technologies, training challenges and vulnerable groups. Berlin: Peter Lang. / Koscelníková, Mária [Autor, UKFFFAKTR, 100%]. – text. – [angličtina]. – [OV 020]. – [ŠO 7320]. – [recenzia - ČL] In: Bridge [elektronický dokument] : Trends and Traditions in Translation and Interpreting Studies. – Nitra (Slovensko) : Univerzita Konštantína Filozofa v Nitre. Filozofická fakulta. Katedra translatológie. – ISSN (online) 2729-8183. – Roč. 2, č. 2 (2021), s. 96-97 [online] </t>
  </si>
  <si>
    <t xml:space="preserve">Potravinová a nutričná gramotnosť – 1. časť / Minárik, Peter [Autor, UKFFSVKUM, 40%] ; Mináriková, Daniela [Autor, UKOFAPR, 10%] ; Golian, Jozef [Autor, SPUFBP32, 40%] ; Chlebo, Peter [Autor, SPUFAP33, 10%]. – [slovenčina]. – [OV 170, 180, 190]. – [ŠO 2940, 5602, 5214]. – [článok]. – [recenzované] In: Via practica [textový dokument (print)] [elektronický dokument] : moderný časopis pre lekárov prvého kontaktu . – Bratislava (Slovensko) : Solen (SK). – ISSN 1336-4790. – ISSN (online) 1339-424X. – Roč. 19, č. 2 (2022), s. 1-5 [tlačená forma] [online] </t>
  </si>
  <si>
    <t xml:space="preserve">Prednáška významnej osobnosti v rámci cyklu Culturologos / Fuják, Július [Autor, UKFFFAKMK, 100%]. – text. – [slovenčina]. – [OV 020]. – [ŠO 8110]. – [článok]. – [recenzované] In: Culturologica Slovaca [elektronický dokument] : internetový kulturologický časopis. – Nitra (Slovensko) : Univerzita Konštantína Filozofa v Nitre. – ISSN 2453-9740. – Roč. 7, č. 1 (2022), s. 149-150 [online] </t>
  </si>
  <si>
    <t xml:space="preserve">Prevencia kyberagresie posilňovaním sebaobrazu a sebaúcty u screenagerov / Hollá, Katarína [Autor, UKFPFAKPE, 60%] ; Bielčiková, Kristína [Autor, UKFPFAKPE, 40%]. – text. – [slovenčina]. – [OV 010]. – [ŠO 7605]. – [článok]. – [recenzované] In: Prohuman [elektronický dokument] : vedecko-odborný interdisciplinárny recenzovaný časopis, zameraný na oblasť spoločenských, sociálnych a humanitných vied : vedecko-odborný internetový časopis. – Bratislava (Slovensko) : Business Intelligence Club. – ISSN (online) 1338-1415. – č. 20. júl (2022), s. 1-3 [online] </t>
  </si>
  <si>
    <t xml:space="preserve">Preventívny rozmer mediálnej výchovy / Bielčiková, Kristína [Autor, UKFPFAKPE, 100%]. – text. – [slovenčina]. – [OV 010]. – [ŠO 7605]. – [článok] In: Naša škola [textový dokument (print)] : odborný metodický časopis pre učiteľov materských škôl a 1. stupňa základných škôl. – Bratislava (Slovensko) : Pamiko. – ISSN 1335-2733. – Roč. 25, č. 9-10 (2022), s. 5-10 [tlačená forma] </t>
  </si>
  <si>
    <t xml:space="preserve">Profesijný štandard vychovávateľa - kontext špecifík pregraduálnej prípravy a potrieb praxe / Kollárová, Dana [Autor, UKFPFAKPE, 50%] ; Verešová, Jana [Autor, 50%]. – text. – [slovenčina]. – [OV 010]. – [ŠO 7605]. – [článok] In: Pedagogické rozhľady [elektronický dokument] [textový dokument (print)] : Odborno-metodický časopis pre školy a školské zariadenia. – Banská Bystrica (Slovensko) : Metodicko-pedagogické centrum. – ISSN (online) 1335-0404. – Roč. 30, č. 6 (2021), s. 16-20 [online] [tlačená forma] </t>
  </si>
  <si>
    <t xml:space="preserve">Projektové stretnutia MENTRA v Prahe / Pavlíková, Martina [Autor, UKFFFAKZU, 100%]. – text. – [slovenčina]. – [OV 010]. – [ŠO 7605]. – [článok]. – [recenzované] In: Náš čas [textový dokument (print)] : časopis Univerzity Konštatnína Filozofa v Nitre. – Nitra (Slovensko) : Univerzita Konštantína Filozofa v Nitre. – ISSN 1338-3272. – Roč. 25, č. 4 (2021), s. 19-19 [tlačená forma] </t>
  </si>
  <si>
    <t xml:space="preserve">Rap(ort) s príchuťou knedlo-vepřo-zelo alebo Dejiny a súčasnosť českého rapu 101 / Boszorád, Martin [Autor, UKFFFAULK, 100%]. – text. – [slovenčina]. – [OV 020]. – [ŠO 6107]. – [recenzia - ČL] In: 25fps [elektronický dokument] : internetový časopis o filmu a nových médiích. – Praha (Česko) : Wordpress. – ISSN (online) 1802-5714. – č. 9. február (2022), s. 1-4 [online] </t>
  </si>
  <si>
    <t xml:space="preserve">Recenzia publikácie doc. Ing. Františka Vojtecha, PhD.: Controlling / Levický, Michal [Autor, UKFFPVUMI, 100%]. – text. – [slovenčina]. – [OV 080]. – [ŠO 6213]. – [recenzia - ČL] In: Verejná správa a regionálny rozvoj [textový dokument (print)] : vedecký časopis Vysokej školy ekonómie a manažmentu verejnej správy v Bratislave : Ekonómia a manažment. – Bratislava (Slovensko) : Vysoká škola ekonómie a manažmentu verejnej správy v Bratislave. – ISSN 1337-2955. – Roč. 18, č. 1 (2022), s. 151-152 [tlačená forma] </t>
  </si>
  <si>
    <t xml:space="preserve">Resocializácia - štyri koncepty ako reflexia riešenia súčasných problémov jednotlivca a spoločnosti / Škoviera, Albín [Autor, KURPEPESY, 50%] ; Flikingerová, Lenka [Autor, UKFPFAKPE, 50%]. – text. – [slovenčina]. – [OV 010]. – [ŠO 7605]. – [článok] In: Prevencia [textový dokument (print)] : Informačný bulletin zameraný na prevenciu sociálno-patologických javov v rezorte školstva = Information Bulletin Aimed at Prevention of Social-pathological Phenomena in the Education Sector. – Bratislava (Slovensko) : Centrum vedecko-technických informácií SR. – ISSN 1336-3689. – Roč. 20, č. 4 (2021), s. 20-24 [tlačená forma] </t>
  </si>
  <si>
    <t xml:space="preserve">Rozhovor o dejinách a prítomnosti, Židoch a ľuďoch dobrej vôle, o zmierení a nádeji v lepší svet / Pružinec, Tomáš [Autor interview, UKFFFAKFI, 20%] ; Lipták, Mikuláš [Autor účastník interview, 80%]. – text. – [slovenčina]. – [OV 020]. – [ŠO 6107]. – [článok] In: Listy PS [textový dokument (print)] : [bulletin]. – Liptovský Mikuláš (Slovensko) : Spolok priateľov MUDr. Pavla Straussa. – ISSN 2453-9333. – č. 37 (2022), s. 4-8 [tlačená forma] </t>
  </si>
  <si>
    <t xml:space="preserve">Rozkoš (z) mýtotvorby / Boszorád, Martin [Autor, UKFFFAULK, 100%]. – text. – [slovenčina]. – [OV 020]. – [ŠO 6107]. – [recenzia - ČL] In: Knižná revue [textový dokument (print)] [elektronický dokument] : mesačník o nových knihách. – Bratislava (Slovensko) : Literárne informačné centrum. – ISSN 1210-1982. – ISSN (online) 1336-247X. – Roč. 32, č. 3 (2022), s. 26-26 [tlačená forma] [online] </t>
  </si>
  <si>
    <t xml:space="preserve">Russian-Slovak Interlingual Homonymy = Russko-slovackaja mežjazykovaja omonimija / Gallo, Ján [Autor, UKFFFAKRU, 100%]. – text. – [angličtina]. – [OV 020]. – [ŠO 7320]. – [recenzia - ČL]. – [recenzované] In: Cross-cultural studies [textový dokument (print)] : education and science. – Middlebury (USA) : Russian Department, Middlebury College. – ISSN 2470-1262. – Roč. 7, č. 2 (2022), s. 133-135 [tlačená forma] </t>
  </si>
  <si>
    <t xml:space="preserve">SABOLOVÁ, A. – KACERA N. – NAGYOVÁ, P.: Marketing v praxi. Bratislava: Levosphere, 2021, 190 s / Zima, Roman [Autor, UKFFFAKMK, 100%]. – text. – [slovenčina]. – [OV 020]. – [ŠO 8110]. – [recenzia - ČL]. – [recenzované] In: Kontexty kultúry a turizmu [textový dokument (print)] . – Nitra (Slovensko) : Univerzita Konštantína Filozofa v Nitre. Filozofická fakulta. – ISSN 1337-7760. – Roč. 15, č. 1 (2022), s. 84-86 [tlačená forma] </t>
  </si>
  <si>
    <t xml:space="preserve">Scénológia cestovania : (reportážna esej o Maledivách a Nepále) / Ballay, Miroslav [Autor, UKFFFAKMK, 100%]. – text. – [slovenčina]. – [OV 040]. – [ŠO 8110]. – [článok]. – [recenzované] In: Culturologica Slovaca [elektronický dokument] : internetový kulturologický časopis. – Nitra (Slovensko) : Univerzita Konštantína Filozofa v Nitre. – ISSN 2453-9740. – Roč. 7, č. 1 (2022), s. 89-119 [online] </t>
  </si>
  <si>
    <t xml:space="preserve">Semiotica dell’eros: erotismo e testualità nelle culture di lingua romanza / Šavelová, Monika [Autor, UKFFFAKTR, 100%]. – text. – [taliančina]. – [OV 020]. – [ŠO 7320]. – [recenzia - ČL] In: Studi italo-slovacchi [textový dokument (print)] . – Nitra (Slovensko) : Univerzita Konštantína Filozofa v Nitre. Filozofická fakulta, Bratislava (Slovensko) : Slovenská akadémia vied. – ISSN 1338-6778. – Roč. 11, č. 1 (2022), s. 128-130 [tlačená forma] </t>
  </si>
  <si>
    <t xml:space="preserve">Schizoidná osobnosť, Čechov a smrť autora / Zwiefelhofer, Miro [Autor, UKFFFAKMK, 100%]. – text, fotogr. – [slovenčina]. – [OV 030]. – [ŠO 8202, 8110]. – [článok]. – [recenzované] In: MLOKi - mladí o kultúre inak [elektronický dokument] . – Bratislava (Slovensko) : Kultúrny spolok MLOKi. – ISSN 1339-8113. – č. 13.marec (2022), s. [1-2] [online] </t>
  </si>
  <si>
    <t xml:space="preserve">Som veľmi trpezlivý... spravodlivý / Inštitorisová, Dagmar [Autor, UKFFFAKMR, 100%]. – text. – [slovenčina]. – [OV 020]. – [ŠO 7205]. – [recenzia - ČL] In: Monitoring divadiel na Slovensku [elektronický dokument] . – Bratislava (Slovensko) : Slovenské centrum AICT. – ISSN (online) 2454-0129. – č. 15. november (2022), s. 1-7 [online] </t>
  </si>
  <si>
    <t xml:space="preserve">Súčasné vedecké poznatky o NAFLD/MAFLD v období pandémie COVID-19 a prínosy esenciálnych fosfolipidov v liečbe hepatálnej steatózy = Current scientific knowledge about NAFDL/MAFLD during the COVID-19 pandemic and the benefits of essential phospholipids in the treatment of hepatic steatosis / Minárik, Peter [Korešpondenčný autor, UKFFSVKUM, 20%] ; Kyselovič, Ján [Autor, UVLFKFTO, 20%] ; Schréter, Ivan [Autor, UPS51330, 20%] ; Paraličová, Zuzana [Autor, UPS51330, 20%] ; Jarčuška, Peter [Autor, UPS51270, 20%]. – text. – [slovenčina]. – [OV 180]. – [ŠO 5141, 5214]. – [článok]. – [recenzované]. – SIGN-UKO LF 5IK/22. – sign UPJS MSEP 034895 In: Via practica [textový dokument (print)] [elektronický dokument] : moderný časopis pre lekárov prvého kontaktu . – Bratislava (Slovensko) : Solen (SK). – ISSN 1336-4790. – ISSN (online) 1339-424X. – Roč. 19, č. 4 (2022), s. 153-160 [tlačená forma] [online] </t>
  </si>
  <si>
    <t xml:space="preserve">Svetový deň cestovného ruchu na UKF v Nitre opäť netradične - v duchu „klimatických zmien“ / Kompasová, Katarína [Autor, UKFFFAKMK, 100%]. – text. – [slovenčina]. – [OV 020]. – [ŠO 8110]. – [článok]. – [recenzované] In: Kontexty kultúry a turizmu [textový dokument (print)] . – Nitra (Slovensko) : Univerzita Konštantína Filozofa v Nitre. Filozofická fakulta. – ISSN 1337-7760. – Roč. 14, č. 2 (2021), s. 106-107 [tlačená forma] </t>
  </si>
  <si>
    <t xml:space="preserve">Száz Pál  : A tizedik kapu. A haszidizmus hatása a magyar irodalomra : [The tenth gate. The effects of Hasidism on Hungarian literature] / Petres Csizmadia, Gabriela [Autor, UKFFSSUML, 100%]. – text. – [angličtina]. – [OV 020]. – [ŠO 7320]. – [recenzia - ČL]. – [recenzované]. – DOI 10.31577/WLS.2022.14.3.12 In: World Literature Studies [textový dokument (print)] [elektronický dokument] . – Bratislava (Slovensko) : Slovenská akadémia vied. Pracoviská SAV. Ústav svetovej literatúry. – ISSN 1337-9275. – ISSN (online) 1337-9690. – Roč. 14, č. 3 (2022), s. 134-136 [tlačená forma] [online] </t>
  </si>
  <si>
    <t xml:space="preserve">Štefánik ako dobrodružstvo histórie / Inštitorisová, Dagmar [Autor, UKFFFAKMR, 100%]. – text. – [slovenčina]. – [OV 020]. – [ŠO 6107]. – [recenzia - ČL]. – [recenzované] In: Slavica litteraria [textový dokument (print)] [elektronický dokument] : vědecký recenzovaný časopis publikující odborné práce z oblasti literárněvědné slavistiky. – Brno (Česko) : Masarykova univerzita. – ISSN 1212-1509. – ISSN (online) 2336-4491. – Roč. 24, č. 2 (2021), s. 162-163 [tlačená forma] [online] </t>
  </si>
  <si>
    <t xml:space="preserve">Terénny výskum v Nitrianskom Pravne a okolí / Válek, Ján [Autor, UKFFFAKMK, 100%]. – text. – [slovenčina]. – [OV 020]. – [ŠO 8110]. – [článok]. – [recenzované] In: Kontexty kultúry a turizmu [textový dokument (print)] . – Nitra (Slovensko) : Univerzita Konštantína Filozofa v Nitre. Filozofická fakulta. – ISSN 1337-7760. – Roč. 15, č. 1 (2022), s. 81-89 [tlačená forma] </t>
  </si>
  <si>
    <t xml:space="preserve">Tolkien’s Coleridgean Legacy / Juričková, Martina [Autor, UKFFFAKAA, 100%]. – text. – [angličtina]. – [OV 020]. – [ŠO 7320]. – [článok] In: Journal of Tolkien Research [elektronický dokument] . – Valparaiso (USA) : Valparaiso University Press. – ISSN 2471-934X. – Roč. 15, č. 1 (2022), s. 1-7 [online] </t>
  </si>
  <si>
    <t xml:space="preserve">Tvorčestvo i kreativ pri obučenii russkomu jazyku studentov-inostrancev v unikaľnom učebnom posobii A. Kalečic i O. Makarovskoj / Gallo, Ján [Autor, UKFFFASJL, 100%]. – text. – [ruština]. – [OV 020]. – [ŠO 7320]. – [recenzia - ČL]. – [recenzované] In: Jazyk a kultúra [elektronický dokument] : internetový časopis Lingvokulturologického a prekladateľsko-tlmočníckeho centra excelentnosti pri Filozofickej fakulte Prešovskej univerzity. – Prešov (Slovensko) : Prešovská univerzita v Prešove. Lingvokulturologické a prekladateľsko-tlmočnícke centrum excelentnosti. – ISSN (online) 1338-1148. – Roč. 13, č. 49-50 (2022), s. 64-68 [online] </t>
  </si>
  <si>
    <t xml:space="preserve">Učiteľ a študent vo výučbe cudzích jazykov / Štrbová, Monika [Autor, UKFFFAKMK, 100%]. – text. – [slovenčina]. – [OV 060]. – [ŠO 6115]. – [článok]. – [recenzované] In: Mládež a spoločnosť [textový dokument (print)] : slovenský časopis pre štátnu politiku a výskum mládeže = Slovak journal for state policy and youth research. – Bratislava (Slovensko) : Centrum vedecko-technických informácií SR. – ISSN 1335-1109. – Roč. 28, č. 2-3 (2022), s. 5-6 [tlačená forma] </t>
  </si>
  <si>
    <t xml:space="preserve">Učiteľom zo Slovenska v Betliari predstavili programy lesnej pedagogiky / Kollárová, Dana [Autor, UKFPFAKPE, 50%] ; Borisová, Simona [Autor, UKFPFAKPE, 50%]. – [slovenčina]. – [OV 010]. – [ŠO 7605]. – [článok]. – [recenzované] In: Náš čas [textový dokument (print)] : časopis Univerzity Konštatnína Filozofa v Nitre. – Nitra (Slovensko) : Univerzita Konštantína Filozofa v Nitre. – ISSN 1338-3272. – Roč. 25, č. 4 (2021), s. 23-24 [tlačená forma] </t>
  </si>
  <si>
    <t xml:space="preserve">Unikátna kniha o krajinných celkoch Slovenska / Lehotský, Milan [Autor, 50%] ; Boltižiar, Martin [Autor, UKFFPVKGR, 50%]. – text. – [slovenčina]. – [OV 010]. – [ŠO 7605]. – [recenzia - ČL] In: Náš čas [textový dokument (print)] : časopis Univerzity Konštatnína Filozofa v Nitre. – Nitra (Slovensko) : Univerzita Konštantína Filozofa v Nitre. – ISSN 1338-3272. – Roč. 26, č. 2 (2022), s. 20-20 [tlačená forma] </t>
  </si>
  <si>
    <t xml:space="preserve">Use of social media and its impact of conflict / Dukátová, Zuzana [Autor, UKFFFAKMR, 100%]. – text. – [slovenčina]. – [OV 060]. – [ŠO 7205]. – [článok] In: Civitas [textový dokument (print)] : časopis pre politické a sociálne vedy. – Nitra (Slovensko) : Univerzita Konštantína Filozofa v Nitre. Filozofická fakulta. Katedra politológie a euroázijských štúdií. – ISSN 1335-2652. – Roč. 27, č. 2 (2021), s. 9-11 [tlačená forma] </t>
  </si>
  <si>
    <t xml:space="preserve">Vademecum mentora / Jakubovská, Viera [Autor, UKFFFAKFI, 100%]. – text. – [slovenčina]. – [OV 010]. – [ŠO 7605]. – [recenzia - ČL] In: Mládež a spoločnosť [textový dokument (print)] : slovenský časopis pre štátnu politiku a výskum mládeže = Slovak journal for state policy and youth research. – Bratislava (Slovensko) : Centrum vedecko-technických informácií SR. – ISSN 1335-1109. – Roč. 28, č. 2-3 (2022), s. 80-81 [tlačená forma] </t>
  </si>
  <si>
    <t xml:space="preserve">Variabilita komprovizačných metód tvorby súčasnej hudby / Fuják, Július [Autor, UKFFFAKMK, 100%]. – text. – [slovenčina]. – [OV 020]. – [ŠO 8110]. – [článok] In: Musicologica [elektronický dokument] : časopis Katedry muzikológie. – Bratislava (Slovensko) : Univerzita Komenského v Bratislave. Filozofická fakulta UK. Katedra muzikológie. – ISSN (online) 1337-9070. – č. 1 (2022), s. 10-18 [online] </t>
  </si>
  <si>
    <t xml:space="preserve">Viac ako učebnica / Taneski, Martina [Autor, UKFFFASJL, 100%]. – text. – [slovenčina]. – [OV 020]. – [ŠO 7320]. – [recenzia - ČL]. – [recenzované] In: Knižná revue [textový dokument (print)] [elektronický dokument] : mesačník o nových knihách. – Bratislava (Slovensko) : Literárne informačné centrum. – ISSN 1210-1982. – ISSN (online) 1336-247X. – Roč. 32, č. 5 (2022), s. 37-38 [tlačená forma] [online] </t>
  </si>
  <si>
    <t xml:space="preserve">Virtuálny train-e-hotel / Beták, Norbert [Autor, UKFFSSKCR, 50%] ; Palenčíková, Zuzana [Autor, UKFFSSKCR, 50%]. – text. – [slovenčina]. – [OV 080]. – [ŠO 6213]. – [článok] In: Hotelier [textový dokument (print)] : časopis, ktorý si vás nájde. – Žilina (Slovensko) : Direct Press. – ISSN 1337-0545. – Roč. 15, č. 3 (2021), s. 1-1 [tlačená forma] </t>
  </si>
  <si>
    <t xml:space="preserve">Výučbové aktivity ako nástroj rozvoja mediálnej gramotnosti a prevencie kyberagresie / Bielčiková, Kristína [Autor, UKFPFAKPE, 100%]. – text. – [slovenčina]. – [OV 010]. – [ŠO 7605]. – [článok] In: Aktuality zväzu [textový dokument (print)] : aktuality zväzu pracovníkov školstva a vedy na Slovensku. – Bratislava (Slovensko) : Odborový zväz pracovníkov školstva a vedy na Slovensku. – ISSN 1338-7960. – Roč. 31, č. 2 (2022), s. 27-29 [tlačená forma] </t>
  </si>
  <si>
    <t xml:space="preserve">Využitie areálu ZŠsMŠ Rakovec nad Ondavou na realizáciu Environmentálnej výchovy / Lehotayová, Jarmila [Autor, UKFFPVKEE, 100%]. – text. – [slovenčina]. – [OV 100]. – [ŠO 1610]. – [článok]. – [recenzované]. – DOI 10.33542/EDU2022-1-0 In: Edukácia [elektronický dokument] : Vedecko-odborný časopis. – Košice (Slovensko) : Univerzita Pavla Jozefa Šafárika v Košiciach. Celouniverzitné pracovisko UPJŠ. Vydavateľstvo ŠafárikPress UPJŠ. – ISSN 1339-8725. – Roč. 5, č. 1 (2022), s. 53-59 [online] </t>
  </si>
  <si>
    <t xml:space="preserve">Vzdelávanie cudzích jazykov / Štrbová, Monika [Autor, UKFFFAKMK, 100%]. – text. – [slovenčina]. – [OV 060]. – [ŠO 6115]. – [článok]. – [recenzované] In: Mládež a spoločnosť [textový dokument (print)] : slovenský časopis pre štátnu politiku a výskum mládeže = Slovak journal for state policy and youth research. – Bratislava (Slovensko) : Centrum vedecko-technických informácií SR. – ISSN 1335-1109. – Roč. 28, č. 2-3 (2022), s. 5-5 [tlačená forma] </t>
  </si>
  <si>
    <t xml:space="preserve">World literature from the perspective of "small" literatures / Gáfrik, Róbert [Autor, 50%] ; Zelenka, Miloš [Autor, UKFFSSUSJ, 50%]. – [angličtina]. – [OV 020]. – [ŠO 7320]. – [článok]. – [recenzované]. – CCC In: World Literature Studies [textový dokument (print)] [elektronický dokument] . – Bratislava (Slovensko) : Slovenská akadémia vied. Pracoviská SAV. Ústav svetovej literatúry. – ISSN 1337-9275. – ISSN (online) 1337-9690. – Roč. 14, č. 2 (2022), s. 2-4 [tlačená forma] [online] </t>
  </si>
  <si>
    <t xml:space="preserve">Za Michalom Reiserom - osobnosť a dielo / Fuják, Július [Autor, UKFFFAKMK, 100%]. – text. – [slovenčina]. – [OV 020]. – [ŠO 8110]. – [článok]. – [recenzované] In: Culturologica Slovaca [elektronický dokument] : internetový kulturologický časopis. – Nitra (Slovensko) : Univerzita Konštantína Filozofa v Nitre. – ISSN 2453-9740. – Roč. 7, č. 1 (2022), s. 146-148 [online] </t>
  </si>
  <si>
    <t>P1 - Pedagogický výstup publikačnej činnosti ako celok</t>
  </si>
  <si>
    <t xml:space="preserve">Adaptácia sídiel na zmenu klímy [textový dokument (print)]  [učebnica pre vysoké školy] / Rózová, Zdenka [Autor, UKFFPVKEE, 80%] ; Pástorová, Anna [Autor, UKFFPVKEE, 20%] ; Hreško, Juraj [Recenzent] ; Kuczman, Gabriel [Recenzent]. – 1. vyd. – Nitra (Slovensko) : Univerzita Konštantína Filozofa v Nitre, 2022. – 121 s. [tlačená forma] : text. – [slovenčina]. – [OV 100]. – [ŠO 1610]. – ISBN 978-80-558-1810-8 </t>
  </si>
  <si>
    <t xml:space="preserve">Alternative methods in teaching English as a foreign language from early childhood [textový dokument (print)]  [učebnica pre vysoké školy] : part 1 / Reister, Megan A. [Autor, 20%] ; Doktorová, Dominika [Autor, UCMFIFKPSY, 40%] ; Hornáčková Klapicová, Edita [Autor, UKFFFAKTR, 40%] ; Gadušová, Zdenka [Recenzent] ; Bączkowska, Anna [Recenzent]. – 1. vyd. – Madrid (Španielsko) : Ediciones Xorki, 2022. – 215 s. [tlačená forma] : text. – [angličtina]. – [OV 020]. – [ŠO 7320]. – ISBN 978-84-948441-5-7 </t>
  </si>
  <si>
    <t xml:space="preserve">Archeobotanika [textový dokument (print)]  [učebnica pre vysoké školy] : uvod do štúdia archeologických zvyškov rastlín / Hajnalová, Mária [Autor, UKFFFAKAR, 100%] ; Barta, Peter [Recenzent] ; Dreslerová, Dagmar [Recenzent]. – 1. vyd. – Bratislava (Slovensko) : Slovenská akadémia vied. Veda, vydavateľstvo Slovenskej akadémie vied, 2022. – 117 s. [tlačená forma] : text. – [slovenčina]. – [OV 030]. – [ŠO 7115]. – ISBN 978-80-224-1949-9 </t>
  </si>
  <si>
    <t xml:space="preserve">Blchy drobných cicavcov [elektronický dokument]  [učebnica pre vysoké školy] / Baláž, Ivan [Autor, UKFFPVKEE, 50%] ; Košša, Jakub [Autor, UKFFPVKEE, 50%] ; Stanko, Michal [Recenzent] ; Tulis, Filip [Recenzent]. – 1. vyd. – Nitra (Slovensko) : Univerzita Konštantína Filozofa v Nitre, 2022. – 66 s. [online] : text. – [slovenčina]. – [OV 100]. – [ŠO 1610]. – ISBN 978-80-558-1935-8 </t>
  </si>
  <si>
    <t xml:space="preserve">CARPE DIEM... ale bez stresu [textový dokument (print)]  [učebnica pre vysoké školy] : záťaž a stres v kontexte teoretických a výskumných reflexií / Müller De Morais, Marianna [Autor, UKFPFAKPE, 50%] ; Škorvagová, Eva [Autor, ZUZFHVKPŠ, 50%] ; Veteška, Jaroslav [Recenzent] ; Šlepecký, Miloš [Recenzent]. – 1. vyd. – Bratislava (Slovensko) : Dr. Josef Raabe Slovensko, 2022. – 200 s. [tlačená forma]. – [slovenčina]. – [OV 060, 010]. – [ŠO 7701, 7605]. – ISBN 978-80-8140-624-9 </t>
  </si>
  <si>
    <t xml:space="preserve">CARPE DIEM... but without worries [textový dokument (print)]  [učebnica pre vysoké školy] : burden and stress in the context of theoretical and research reflections / Škorvagová, Eva [Autor, ZUZFHVKPŠ, 50%] ; Müller De Morais, Marianna [Autor, UKFPFAKPE, 50%] ; Veteška, Jaroslav [Recenzent] ; Šlepecký, Miloš [Recenzent]. – 1. vyd. – Praha (Česko) : Dr. Josef Raabe, 2022. – 272 s. [tlačená forma]. – [angličtina]. – [OV 060, 010]. – [ŠO 7701, 7605]. – ISBN 978-80-7496-521-0 </t>
  </si>
  <si>
    <t xml:space="preserve">Digital - Art - Content [textový dokument (print)]  [učebnica pre vysoké školy] : praktikum tvorby marketingového obsahu a meranie jeho efektivity / Szabóová, Veronika [Autor, UKFFFAKMR, 34%] ; Cyprich, Peter [Autor, UKFFFAKMR, 33%] ; Peniak, Jozef [Autor, UKFFFAKMR, 33%] ; Inštitorisová, Dagmar [Recenzent] ; Kapsová, Eva [Recenzent]. – 1. vyd. – Praha (Česko) : Vysoká škola mezinárodních a veřejných vztahů, 2022. – 70 s. [tlačená forma] : text. – [slovenčina]. – [OV 060]. – [ŠO 7205]. – ISBN 978-80-973848-4-5 </t>
  </si>
  <si>
    <t xml:space="preserve">Enviro zošit - Bohatí či chudobní ? [textový dokument (print)]  [pracovný zošit] / Jakab, Imrich [Autor, UKFFPVKEE, 30%] ; Szabová, Lucia [Autor, UKFFPVKEE, 30%] ; Bugár, Ján [Autor, 30%] ; Blaško, Jaroslav [Autor, 10%]. – 1. vyd. – Nitra (Slovensko) : Dive2000production, 2021. – 28 s. [tlačená forma] : text. – [slovenčina]. – [OV 100]. – [ŠO 1610]. – ISBN 978-80-970838-2-3 </t>
  </si>
  <si>
    <t xml:space="preserve">Enviro zošiť - Kráľovná Karpát [textový dokument (print)]  [pracovný zošit] / Jakab, Imrich [Autor, UKFFPVKEE, 30%] ; Szabová, Lucia [Autor, UKFFPVKEE, 30%] ; Bugár, Ján [Autor, 30%] ; Blaško, Jaroslav [Autor, 10%]. – 1. vyd. – Nitra (Slovensko) : Dive2000production, 2021. – 30 s. [tlačená forma] : text. – [slovenčina]. – [OV 100]. – [ŠO 1610]. – ISBN 978-80-970838-4-7 </t>
  </si>
  <si>
    <t xml:space="preserve">Enviro zošit - Ostov zlých duchov [textový dokument (print)]  [pracovný zošit] / Jakab, Imrich [Autor, UKFFPVKEE, 30%] ; Szabová, Lucia [Autor, UKFFPVKEE, 30%] ; Bugár, Ján [Autor, 30%] ; Blaško, Jaroslav [Autor, 10%]. – 1. vyd. – Nitra (Slovensko) : Dive2000production, 2021. – 28 s. [tlačená forma] : text. – [slovenčina]. – [OV 100]. – [ŠO 1610]. – ISBN 978-80-970838-5-4 </t>
  </si>
  <si>
    <t xml:space="preserve">Enviro zošit- Inštinkt [textový dokument (print)]  [pracovný zošit] / Jakab, Imrich [Autor, UKFFPVKEE, 30%] ; Masárová, Jana [Autor, 30%] ; Bugár, Ján [Autor, 30%] ; Blaško, Jaroslav [Autor, 10%]. – 1. vyd. – Nitra (Slovensko) : Dive2000production, 2021. – 28 s. [tlačená forma] : text. – [slovenčina]. – [OV 100]. – [ŠO 1610]. – ISBN 978-80-970838-6-1 </t>
  </si>
  <si>
    <t xml:space="preserve">Environmentálna výchova a udržateľný rozvoj (1) [textový dokument (print)]  [didaktická príručka] / Jakab, Imrich [Autor, UKFFPVKEE, 50%] ; Sendecká, Mária [Autor, 20%] ; Szabová, Lucia [Autor, UKFFPVKEE, 20%] ; Blaško, Jaroslav [Autor, 10%]. – 1. vyd. – Nitra (Slovensko) : Dive2000production, 2021. – 140 s. [tlačená forma] : text, fotogr. – [slovenčina]. – [OV 100]. – [ŠO 1610]. – ISBN 978-80-970838-3-0 </t>
  </si>
  <si>
    <t xml:space="preserve">Estetika, percepcia a tvorba vegetačných úprav a rekreácia v urbanizovanom prostredí [textový dokument (print)]  [učebnica pre vysoké školy] / Rózová, Zdenka [Autor, UKFFPVKEE, 70%] ; Pástorová, Anna [Autor, UKFFPVKEE, 20%] ; Feriancová, Ľubica [Autor, SPUFZK30, 10%] ; Kuczman, Gabriel [Recenzent] ; Hreško, Juraj [Recenzent]. – 1. vyd. – Nitra (Slovensko) : Univerzita Konštantína Filozofa v Nitre, 2022. – 273 s. [tlačená forma] : text. – [slovenčina]. – [OV 100]. – [ŠO 1610]. – ISBN 978-80-558-1911-2 </t>
  </si>
  <si>
    <t xml:space="preserve">Finančná analýza podniku [textový dokument (print)]  [učebnica pre vysoké školy] / Levický, Michal [Autor, UKFFPVUMI, 100%] ; Papcunová, Viera [Recenzent] ; Dvořák, Marek [Recenzent]. – 1. vyd. – Nitra (Slovensko) : Univerzita Konštantína Filozofa v Nitre, 2022. – 117 s. [tlačená forma] : text. – [slovenčina]. – [OV 080]. – [ŠO 6213]. – ISBN 978-80-558-1861-0 </t>
  </si>
  <si>
    <t xml:space="preserve">Hudobná výchova [textový dokument (print)]  [učebnica pre základné školy] : učebnica pre 6. ročník ZŠ / Brezina, Pavol [Autor, UKFPFAKHU, 60%] ; Bonde, Richard [Autor, 40%]. – 1. vyd. – Košice (Slovensko) : Taktik vydavateľstvo, 2022. – 59 s. [3,12 AH] [tlačená forma] : text. – [slovenčina]. – [OV 010]. – [ŠO 7605]. – ISBN 978-80-8180-195-2 </t>
  </si>
  <si>
    <t xml:space="preserve">Intercultural communication and digital marketing  in a tourism context [textový dokument (print)]  [učebnica pre vysoké školy] / Beták, Norbert [Autor, UKFFSSKCR, 70%] ; Sándorová, Zuzana [Autor, UKFPFAKLI, 30%] ; Janková, Györgyi [Recenzent] ; Chalupa, Štěpán [Recenzent]. – 1. vyd. – Nitra (Slovensko) : Univerzita Konštantína Filozofa v Nitre, 2022. – 109 s. [tlačená forma] : text. – [angličtina]. – [OV 010]. – [ŠO 7605]. – ISBN 978-80-558-1894-8 </t>
  </si>
  <si>
    <t xml:space="preserve">Keramické materiály [textový dokument (print)]  [skriptum] / Štubňa, Igor [Autor, 34%] ; Ondruška, Ján [Autor, UKFFPVKFY, 33%] ; Húlan, Tomáš [Autor, UKFFPVKFY, 33%]. – 1. vyd. – Nitra (Slovensko) : Univerzita Konštantína Filozofa v Nitre, 2019. – 140 s. [tlačená forma] : text. – [slovenčina]. – [OV 091]. – [ŠO 1160]. – ISBN 978-80-558-1455-1 </t>
  </si>
  <si>
    <t xml:space="preserve">Klinická antropológia [textový dokument (print)]  [učebnica pre vysoké školy] / Matejovičová, Barbora [Autor, UKFFPVKZA, 10%] ; Kopecký, Miroslav [Autor, 45%] ; Vondráková, Mária [Autor, UKFFPVKZA, 45%] ; Sirotkin, Alexander [Recenzent] ; Krejčovský, Lubomír [Recenzent]. – 1. vyd. – Nitra (Slovensko) : Univerzita Konštantína Filozofa v Nitre, 2022. – 316 s. [tlačená forma] : text. – [slovenčina]. – [OV 130]. – [ŠO 1536]. – ISBN 978-80-558-1913-6 </t>
  </si>
  <si>
    <t xml:space="preserve">Kľúč na určovanie bĺch drobných cicavcov [textový dokument (print)]  [didaktická príručka] / Baláž, Ivan [Autor, UKFFPVKEE, 65%] ; Košša, Jakub [Autor, UKFFPVKEE, 35%]. – 1. vyd. – Nitra (Slovensko) : Univerzita Konštantína Filozofa v Nitre, 2022. – 96 s. [tlačená forma] : text. – [slovenčina]. – [OV 100]. – [ŠO 1610]. – ISBN 978-80-558-1934-1 </t>
  </si>
  <si>
    <t xml:space="preserve">Komunálna politika [textový dokument (print)]  [učebnica pre vysoké školy] / Žárska, Elena [Autor, EUBFNHKVR, 60%] ; Papcunová, Viera [Autor, UKFFPVUMI, 40%] ; Šebová, Miriam [Recenzent] ; Jacko, Tomáš [Recenzent]. – 2. preprac. vyd. – Bratislava (Slovensko) : Ekonomická univerzita v Bratislave. Celouniverzitné pracovisko EUBA. Vydavateľstvo EKONÓM, 2021. – 180 s. [11,45 AH] [tlačená forma]. – [slovenčina]. – [OV 080, 010]. – [ŠO 6213]. – ISBN 978-80-225 4927-1 </t>
  </si>
  <si>
    <t xml:space="preserve">Kultúra bezpečnosti v školskom prostredí 2 [textový dokument (print)]  [učebnica pre vysoké školy] / Tureková, Ivana [Autor, UKFPFAKTT, 50%] ; Harangozó, Jozef [Autor, UKFPFAKTT, 50%] ; Zatkalik, Martin [Recenzent] ; Hašková, Alena [Recenzent]. – 1. vyd. – Nitra (Slovensko) : Univerzita Konštantína Filozofa v Nitre, 2022. – 172 s. [tlačená forma]. – [slovenčina]. – [OV 010]. – [ŠO 7605]. – ISBN 978-80-558-1906-8 </t>
  </si>
  <si>
    <t xml:space="preserve">Kužeľosečky [elektronický dokument]  [učebnica pre vysoké školy] / Vallo, Dušan [Autor, UKFFPVKMA, 100%] ; Rumanová, Lucia [Recenzent] ; Vankúš, Peter [Recenzent]. – 2. dopl. vyd. – Nitra (Slovensko) : Univerzita Konštantína Filozofa v Nitre, 2022. – 73 s. [online] : text, ilustr., graf. – [slovenčina]. – [OV 010]. – [ŠO 7605]. – ISBN 978-80-558-1863-4 </t>
  </si>
  <si>
    <t xml:space="preserve">Language Skills in Practice [textový dokument (print)]  [učebnica pre vysoké školy] / Pauliková, Klaudia [Autor, UJSPFKAJ, 50%] ; Kálaziová, Ingrid [Autor, UKFPFAKLI, 50%] ; Horváthová, Božena [Recenzent] ; Reid, Eva [Recenzent]. – 1. vyd. – Komárno (Slovensko) : Univerzita J. Selyeho, 2022. – 104 s. [3,7 AH] [tlačená forma]. – [angličtina]. – [OV 010]. – [ŠO 7605]. – ISBN 978-80-8122-425-6 </t>
  </si>
  <si>
    <t xml:space="preserve">Liečivé rastliny [textový dokument (print)]  [skriptum] / Galuščáková, Ľudmila [Autor, UKFFPVKBG, 64%] ; Babosová, Ramona [Autor, UKFFPVKZA, 18%] ; Poláčiková, Zuzana [Autor, UKFFPVKZA, 18%]. – 1. vyd. – Nitra (Slovensko) : Univerzita Konštantína Filozofa v Nitre, 2022. – 164 s. [tlačená forma] : text, ilustr., fotogr. – [slovenčina]. – [OV 130]. – [ŠO 1536]. – ISBN 978-80-558-1897-9 </t>
  </si>
  <si>
    <t xml:space="preserve">Maďari v Európe včasného stredoveku [textový dokument (print)]  [učebnica pre vysoké školy] : vysokoškolská učebnica / Borzová, Zuzana [Autor, UKFFFAKAR, 100%] ; Nevizánsky, Gabriel [Recenzent] ; Pintérová, Beáta [Recenzent]. – 1. vyd. – Brno (Česko) : Archaia, 2022. – 154 s. [tlačená forma] : text. – [slovenčina]. – [OV 030]. – [ŠO 7115]. – ISBN 978-80-908220-5-4 </t>
  </si>
  <si>
    <t xml:space="preserve">Manažment domácej ošetrovateľskej starostlivosti 2 [textový dokument (print)]  [učebnica pre vysoké školy] : vysokoškolská učebnica [Manažment domácej ošetrovateľskej starostlivosti II.] / Kožuchová, Mária [Autor, 9%] ; Bóriková, Ivana [Autor, UKOLJ240, 7%, 3 AH] ; Ižová, Marcela [Autor, KURZDOS, 15%] ; Kohanová, Dominika [Autor, UKOLJ240, 16%, 6 AH] ; Karasová, Daniela [Autor, 2%] ; Kurucová, Radka [Autor, UKOLJ240, 4%, 1.5 AH] ; Magerčiaková, Mariana [Autor, KURZDOS, 16%] ; Miertová, Michaela [Autor, UKOLJ240, 17%, 6 AH] ; Potašová, Marina [Autor, KURZDFT, 5%] ; Tomášová, Silvia [Autor, 3%] ; Zrubcová, Dana [Autor, UKFFSVKOS, 6%] ; Jarošová, Darja [Recenzent] ; Vörösová, Gabriela [Recenzent] ; Sováriová Soósová, Mária [Recenzent]. – 1. vyd. – Martin (Slovensko) : Vydavateľstvo Osveta, 2022. – 720 s. [36 AH] [tlačená forma] : text, tab., obr. – [slovenčina]. – [OV 180]. – [ŠO 5602]. – ISBN 978-80-8063-508-4. – SIGN-UKO LJ44/22 </t>
  </si>
  <si>
    <t xml:space="preserve">Matematika az alapiskola 6. osztálya és nyolcosztályos gimnázium1. osztálya számára [textový dokument (print)]  [učebnica pre základné školy] : 1. rész / Čeretková, Soňa [Autor, UKFFPVKMA, 80%] ; Šedivý, Ondrej [Autor, 10%] ; Teplička, Ivan [Autor, 10%] ; Horváth, Géza [Prekladateľ]. – 1. vyd. – Bratislava (Slovensko) : Slovenské pedagogické nakladateľstvo - Mladé letá, 2022. – 96 s. [tlačená forma] : text. – [slovenčina]. – [OV 010]. – [ŠO 7605, 1113]. – ISBN 978-80-10-03995-1 </t>
  </si>
  <si>
    <t xml:space="preserve">Matematika pre 7. ročník základnej školy a 2. ročník gymnázia s osemročným štúdiom [textový dokument (print)]  [učebnica pre základné školy] : 2. časť / Čeretková, Soňa [Autor, UKFFPVKMA, 80%] ; Šedivý, Ondrej [Autor, 10%] ; Teplička, Ivan [Autor, 10%]. – 1. vyd. – Bratislava (Slovensko) : Slovenské pedagogické nakladateľstvo - Mladé letá, 2022. – 96 s. [tlačená forma] : text. – [slovenčina]. – [OV 010]. – [ŠO 7605, 1113]. – ISBN 978-80-10-03883-1 </t>
  </si>
  <si>
    <t xml:space="preserve">Matematika pre 7. ročník základnej školy a 2. ročník gymnázia s osemročným štúdiom [textový dokument (print)]  [učebnica pre základné školy] : 1. časť / Čeretková, Soňa [Autor, UKFFPVKMA, 80%] ; Šedivý, Ondrej [Autor, 10%] ; Teplička, Ivan [Autor, 10%]. – 1. vyd. – Bratislava (Slovensko) : Slovenské pedagogické nakladateľstvo - Mladé letá, 2022. – 96 s. [tlačená forma] : text. – [slovenčina]. – [OV 010]. – [ŠO 7605, 1113]. – ISBN 978-80-10-03882-4 </t>
  </si>
  <si>
    <t xml:space="preserve">Mentálna hygiena budúcich prekladateľov a tlmočníkov (nielen) v kontexte dištančnej výučby [textový dokument (print)]  [didaktická príručka] / Hodáková, Soňa [Autor, UKFFFAKTR, 100%]. – 1. vyd. – Nitra (Slovensko) : Univerzita Konštantína Filozofa v Nitre, 2022. – 32 s. [tlačená forma] : text. – [slovenčina]. – [OV 020]. – [ŠO 7320]. – ISBN 978-80-558-1884-9 </t>
  </si>
  <si>
    <t xml:space="preserve">Mnohouholníky v pokrývaní roviny [textový dokument (print)]  [didaktická príručka] / Záhorská, Júlia [Autor, UKFFPVKMA, 50%] ; Rumanová, Lucia [Autor, UKFFPVKMA, 50%]. – 1. vyd. – Nitra (Slovensko) : Univerzita Konštantína Filozofa v Nitre, 2022. – 43 s. [tlačená forma] : text. – [slovenčina]. – [OV 010]. – [ŠO 7605]. – ISBN 978-80-558-1954-9 </t>
  </si>
  <si>
    <t xml:space="preserve">Návody na cvičenia z anatómie a morfológie rastlín [textový dokument (print)]  [učebný text] / Cehula, Marcela [Autor, UKFFPVKBG, 25%] ; Babosová, Ramona [Autor, UKFFPVKZA, 25%] ; Kuna, Roman [Autor, UKFFPVKBG, 25%] ; Bartková, Alexandra [Autor, UKFFPVKBG, 25%]. – 2. rozš. vyd. – Nitra (Slovensko) : Univerzita Konštantína Filozofa v Nitre, 2022. – 130 s. [tlačená forma] : text. – [slovenčina]. – [OV 130]. – [ŠO 1536]. – ISBN 978-80-558-1818-4 </t>
  </si>
  <si>
    <t xml:space="preserve">Neurális hálózatok programi megvalósítása MATLAB-ban [textový dokument (print)]  [učebnica pre vysoké školy] / Kmeť, Tibor [Autor, UJSFEIKI, 34%] ; Kmeťová, Mária [Autor, UKFFPVKMA, 33%] ; Annuš, Norbert [Autor, UJSFEIKI, 33%] ; Kiss, Gábor [Recenzent] ; Barányi, István [Recenzent]. – 1. vyd. – Komárno (Slovensko) : Univerzita J. Selyeho, 2021. – 225 s. [9,3 AH] [tlačená forma] : text, ilustr., tab. – [maďarčina]. – [OV 160]. – [ŠO 2508]. – ISBN 978-80-812-2404-1 </t>
  </si>
  <si>
    <t xml:space="preserve">Online tútoring - proces, komunikácia a príprava didaktických materiálov [textový dokument (print)] [elektronický dokument]  [učebnica pre vysoké školy] / Hafičová, Hedviga [Zostavovateľ, editor, PUPPESP, 34%] ; Rosinský, Rastislav [Zostavovateľ, editor, UKFFSVURS, 33%] ; Dubayová, Tatiana [Zostavovateľ, editor, PUPPESP, 33%] ; Hučík, Ján [Recenzent] ; Rusnáková, Jurina [Recenzent]. – 1. vyd. – Prešov (Slovensko) : Nadácia Rómsky vzdelávací fond, 2022. – 71 s. [tlačená forma] [online] : text. – [slovenčina]. – [OV 060]. – [ŠO 7761]. – ISBN 978-80-570-3565-7. – ISBN (online) 978-80-570-3566-4 </t>
  </si>
  <si>
    <t xml:space="preserve">Osnovy leksikologii i leksikografii [textový dokument (print)]  [učebnica pre vysoké školy] : učebnoje posobije po russkomu jazyku dľa  slovackich studentov / Kalechyts, Alena [Autor, UKFFFASJL, 100%] ; Korina, Natália [Recenzent] ; Antoňáková, Darina [Recenzent] ; Cingerová, Nina [Recenzent]. – 1. vyd. – Nitra (Slovensko) : Univerzita Konštantína Filozofa v Nitre, 2022. – 154 s. [tlačená forma] : text. – [ruština]. – [OV 020]. – [ŠO 7605]. – ISBN 978-80-558-1918-1 </t>
  </si>
  <si>
    <t xml:space="preserve">Padesát pět nejčastejších slov Tanachu ve cvičeních (Díl. 6) [textový dokument (print)]  [učebnica pre vysoké školy] / Roubalová, Marie [Autor, 50%] ; Králik, Roman [Autor, UKFFFAKRO, 50%] ; Kondrla, Peter [Recenzent] ; Beneš, Jiří [Recenzent]. – 1. vyd. – Praha (Česko) : Verbum, 2022. – 187 s. [tlačená forma] : text. – [čeština]. – [OV 010]. – [ŠO 7320, 6171]. – ISBN 978-80-8780-025-6 </t>
  </si>
  <si>
    <t xml:space="preserve">Praktikum z marketingu služieb [textový dokument (print)]  [skriptum] / Gajanová, Ľubica [Autor, ZUZPEDKEK, 25%] ; Nadányiová, Margaréta [Autor, ZUZPEDKEK, 25%] ; Majerová, Jana [Autor, 25%] ; Križanová, Anna [Autor, UKFFFAKSO, 25%]. – 1. vyd. – Žilina (Slovensko) : Žilinská univerzita v Žiline, 2022. – 193 s. [tlačená forma]. – [slovenčina]. – [OV 060]. – [ŠO 6213]. – [recenzované]. – ISBN 978-80-554-1873-5 </t>
  </si>
  <si>
    <t xml:space="preserve">Programovanie vývojovej dosky Arduino: Zbierka úloh pre stredné školy [elektronický dokument]  [učebnica pre stredné školy] / Kuna, Peter [Autor, UKFFPVKIN, 75%] ; Palaj, Miloš [Autor, UKFPFAKTT, 25%]. – 1. vyd. – Nitra (Slovensko) : Univerzita Konštantína Filozofa v Nitre, 2021. – 69 s. [CD-ROM] : text. – [slovenčina]. – [OV 010]. – [ŠO 7605]. – ISBN 978-80-558-1827-6 </t>
  </si>
  <si>
    <t xml:space="preserve">Pytagorova veta v školskej praxi [textový dokument (print)]  [skriptum] / Rumanová, Lucia [Autor, UKFFPVKMA, 50%] ; Záhorská, Júlia [Autor, UKFFPVKMA, 50%]. – 1. vyd. – Nitra (Slovensko) : Univerzita Konštantína Filozofa v Nitre, 2022. – 59 s. [3,11 AH] [tlačená forma] : text. – [slovenčina]. – [OV 010]. – [ŠO 7605]. – ISBN 978-80-558-1953-2 </t>
  </si>
  <si>
    <t xml:space="preserve">Rozvoj tvorivosti vo výtvarnej edukácii [elektronický dokument]  [učebnica pre vysoké školy] : vysokoškolská učebnica odborovej didaktiky / Satková, Janka [Autor, UKFPFAKVV, 100%] ; Pauková, Mariana [Recenzent] ; Tarábkova, Elena [Recenzent]. – 1. vyd. – Nitra (Slovensko) : Univerzita Konštantína Filozofa v Nitre, 2022. – 62 s. [tlačená forma] : text. – [slovenčina]. – [OV 010]. – [ŠO 7605]. – ISBN 978-80-558-1933-4 </t>
  </si>
  <si>
    <t xml:space="preserve">Štatistika pre začiatočníkov [textový dokument (print)]  [učebnica pre vysoké školy] : základy štatistických analýz pre študentov učiteľstva / Ballová Mikušková, Eva [Autor, UKFPFAKAP, 100%] ; Kohut, Michal [Recenzent] ; Halama, Peter [Recenzent]. – 1. vyd. – Nitra (Slovensko) : Univerzita Konštantína Filozofa v Nitre, 2021. – 99 s. [tlačená forma] : text. – [slovenčina]. – [OV 060]. – [ŠO 7701]. – ISBN 978-80-558-1823-8 </t>
  </si>
  <si>
    <t xml:space="preserve">Technická grafika: Zbierka úloh pre stredné odborné školy [elektronický dokument]  [učebnica pre stredné školy] / Kuna, Peter [Autor, UKFFPVKIN, 75%] ; Skačan, Miloslav [Autor, UKFPFAKTT, 25%]. – 1. vyd. – Nitra (Slovensko) : Univerzita Konštantína Filozofa v Nitre, 2021. – 62 s. [CD-ROM] : text. – [slovenčina]. – [OV 010]. – [ŠO 7605]. – ISBN 978-80-558-1826-9 </t>
  </si>
  <si>
    <t xml:space="preserve">Übungen zu morpho-lexikalischen Aspekten des deutschen Verbs [textový dokument (print)]  [učebnica pre vysoké školy] / Žilová, Ružena [Autor, UKFFFAKGE, 100%] ; Wrede, Oľga [Recenzent] ; Chebenová, Viera [Recenzent]. – 1. vyd. – Nitra (Slovensko) : Univerzita Konštantína Filozofa v Nitre, 2022. – 239 s. [tlačená forma] : text. – [nemčina]. – [OV 020]. – [ŠO 7320]. – ISBN 978-80-558-1904-4 </t>
  </si>
  <si>
    <t xml:space="preserve">Učebnica geografie 8 Slovensko [textový dokument (print)]  [učebnica pre základné školy] : pre 8.ročník ZŠ a pre gymnáziá s osemročným štúdiom / Tremboš, Peter [Autor, 45%] ; Nogová, Mária [Autor, 45%] ; Trembošová, Miroslava [Autor, UKFFPVKGR, 10%]. – 1. vyd. – Bratislava (Slovensko) : Expol pedagogika, 2022. – 96 s. [tlačená forma] : text, ilustr., fotogr., mapy. – [slovenčina]. – [OV 010]. – [ŠO 1217]. – ISBN 978-80-8091-788-3 </t>
  </si>
  <si>
    <t xml:space="preserve">Úvod do teórií spoločenskej zmluvy [textový dokument (print)]  [skriptum] / Turčan, Ciprian [Autor, UKFFFAKAE 06.2022, 100%]. – 1. vyd. – Nitra (Slovensko) : Univerzita Konštantína Filozofa v Nitre, 2022. – 67 s. [tlačená forma] : text. – [slovenčina]. – [OV 020]. – [ŠO 6107]. – ISBN 978-80-558-1854-2 </t>
  </si>
  <si>
    <t xml:space="preserve">Vybrané kapitoly z geometrie [textový dokument (print)]  [učebnica pre vysoké školy] / Šumný, Timotej [Autor, 30%] ; Ďuriš, Viliam [Autor, UKFFPVKMA, 30%] ; Šumná, Mária [Autor, 10%] ; Lengyelfalusy, Tomáš [Autor, 30%] ; Baštinec, Jaromír [Recenzent] ; Tkačik, Štefan [Recenzent]. – 1. vyd. – Dubnica nad Váhom (Slovensko) : Vysoká škola DTI, 2022. – 201 s. [tlačená forma] : text. – [slovenčina]. – [OV 240]. – [ŠO 1113]. – ISBN 978-80-8222-038-7 </t>
  </si>
  <si>
    <t xml:space="preserve">Výtvarná edukácia na 1. stupni základnej školy s dôrazom na výtvarné projekty [textový dokument (print)]  [učebnica pre vysoké školy] / Lehoťáková, Eva [Autor, UKFFSSUVP, 100%] ; Récka, Adriana [Recenzent] ; Borbélyová, Diana [Recenzent]. – 1. vyd. – Nitra (Slovensko) : Univerzita Konštantína Filozofa v Nitre, 2021. – 124 s. [tlačená forma]. – [slovenčina]. – [OV 010]. – [ŠO 7605]. – ISBN 978-80-558-1853-5 </t>
  </si>
  <si>
    <t xml:space="preserve">Základy tlmočenia v jazykovej kombinácii slovenčina - francúzština [textový dokument (print)]  [skriptum] / Ukušová, Jana [Autor, UKFFFAKTR, 70%] ; Hodáková, Soňa [Autor, UKFFFAKTR, 30%] ; Zahorák, Andrej [Recenzent] ; Michelčíková, Lenka [Recenzent]. – 1. vyd. – Nitra (Slovensko) : Univerzita Konštantína Filozofa v Nitre, 2022. – 110 s. [tlačená forma] : text. – [slovenčina]. – [OV 020]. – [ŠO 7320]. – ISBN 978-80-558-1922-8 </t>
  </si>
  <si>
    <t xml:space="preserve">Zbierka inovatívnych metodík z chémie pre stredné školy [elektronický dokument]  [učebný text] / Ganajová, Mária [Autor, UPS14400, 6%] ; Babinčáková, Mária [Autor, UPS14400, 26%] ; Sotáková, Ivana [Autor, UPS14400, 12%] ; Pacovská, Anna [Autor, 5%] ; Antušová, Monika [Autor, 3%] ; Gibová, Veronika [Autor, 3%] ; Kožurková, Mária [Autor, UPS14400, 3%] ; Vavra, Martin [Autor, UPS14400, 2%] ; Skoršepa, Marek [Autor, UMBFP08, 7%] ; Kmeťová, Jarmila [Autor, UMBFP08, 7%] ; Jenisová, Zita [Autor, UKFFPVKCH, 2%] ; Braniša, Jana [Autor, UKFFPVKCH, 2%] ; Szarka, Katarína [Autor, UJSPFKCH, 2%] ; Brestenská, Beáta [Autor, UKOPRDP, 1%] ; Dzurišinová, Zuzana [Autor, 7%] ; Spišiaková, Alena [Autor, 8%] ; Letošníková, Petra [Autor, 3%] ; Šoltysová, Dominika [Autor, 1%] ; Kovaľová, Renáta [Recenzent] ; Trčková, Kateřina [Recenzent]. – 2. dopl. vyd. – Bratislava (Slovensko) : Centrum vedecko-technických informácií SR, 2021. – 941 s. [online] : text. – [slovenčina]. – [OV 010, 120]. – [ŠO 7605, 1420]. – ISBN 978-80-8240-008-6. – sign UPJS SSEP 022691. – SIGN-UKO PR 942/21 </t>
  </si>
  <si>
    <t xml:space="preserve">Zbierka inovatívnych metodík z chémie pre základné školy [elektronický dokument]  [učebný text] [The collection of innovative methodologies in chemistry for primary schools] / Ganajová, Mária [Autor, UPS14400, 14%] ; Sotáková, Ivana [Autor, UPS14400, 13%] ; Babinčáková, Mária [Autor, UPS14400, 22%] ; Pacovská, Anna [Autor, 7%] ; Antušová, Monika [Autor, 2%] ; Gibová, Veronika [Autor, 4%] ; Vavra, Martin [Autor, UPS14400, 1%] ; Skoršepa, Marek [Autor, UMBFP08, 3%] ; Kmeťová, Jarmila [Autor, UMBFP08, 3%] ; Jenisová, Zita [Autor, UKFFPVKCH, 4%] ; Braniša, Jana [Autor, UKFFPVKCH, 4%] ; Brestenská, Beáta [Autor, UKOPRDP, 1%] ; Ľuptáčiková, Ivana [Autor, 7%] ; Müllerová, Veronika [Autor, 7%] ; Vicenová, Helena [Autor, 2%] ; Dzurišinová, Zuzana [Autor, 3%] ; Sečková, Júlia [Autor, 3%] ; Kotuľáková, Katarína [Recenzent] ; Payerová, Iveta [Recenzent]. – 2. dopl. vyd. – Bratislava (Slovensko) : Centrum vedecko-technických informácií SR, 2021. – 737 s. [online] : text. – [slovenčina]. – [OV 010, 120]. – [ŠO 7605, 1420]. – ISBN 978-80-8240-007-9. – sign UPJS SSEP 022692. – SIGN-UKO PR 942/21 </t>
  </si>
  <si>
    <t>P2 - Pedagogický výstup publikačnej činnosti ako časť učebnice alebo skripta</t>
  </si>
  <si>
    <t xml:space="preserve">Riziková a patologická gravidita / Záhumenský, Jozef [Autor, UKOLF2GK, 15.4%, 8,75 AH] ; Dosedla, Erik [Autor, UPS51382, 3.6%, 2,05 AH] ; Zelinková, Zuzana [Autor, 2.2%, 1,25 AH] ; Jackuliak, Peter [Autor, UKOLF5IK, 3.1%, 1,71 AH] ; Avramovová, Miriam [Autor, 1.9%, 1,08 AH] ; Kalužay, Jozef [Autor, UKOLF4IK, 2.5%, 1,42 AH] ; Laššán, Štefan [Autor, 8.5%, 4,81 AH] ; Payer, Juraj [Autor, UKOLF5IK, 1.1%, 0,63 AH] ; Páleníková, Patrícia [Autor, 1.1%, 0,63 AH] ; Kužma, Martin [Autor, UKOLF5IK, 1.1%, 0,63 AH] ; Kollerová, Jana [Autor, 1.1%, 0,63 AH] ; Bednárová, Adriana [Autor, 1.1%, 0,63 AH] ; Doležal, Pavel [Autor, UKOLF2GK, 0.8%, 0,44 AH] ; Bátorová, Angelika [Autor, UKOLFKHT, 6.1%, 3,41 AH] ; Fábryová, Viera [Autor, VŠSVA.Bratislava, 1.4%, 0,79 AH] ; Šimaljaková, Mária [Autor, UKOLFDK, 1.8%, 1,01 AH] ; Timárová, Gabriela [Autor, UKOLF2NK, 1%, 0,59 AH] ; Slezáková, Darina [Autor, UKOLF2NK, 1%, 0,59 AH] ; Krivošík, Marek [Autor, UKOLF2NK, 1%, 0,59 AH] ; Valkovič, Peter [Autor, UKOLF2NK, 1%, 0,59 AH] ; Pečeňák, Ján [Autor, UKOLFPK, 3.2%, 1,79 AH] ; Redecha, Mikuláš [Autor, 1.6%, 0,91 AH] ; Strešková, Zora [Autor, UKOLF2GK, 0.6%, 0,37 AH] ; Streško, Marian [Autor, 0.6%, 0,37 AH] ; Rybár, Ivan [Autor, 1.9%, 1,06 AH] ; Drabiščáková, Paula [Autor, UKOLF2GK, 0.5%, 0,29 AH] ; Vrtík, Luděk [Autor, UKOLF1CHK, 1.5%, 0,87 AH] ; Machová Husarovičová, Valéria [Autor, 0.5%, 0,28 AH] ; Križko, Marián [Autor, 1.7%, 0,95 AH] ; Nižňanská, Zuzana [Autor, UKOLF1GK, 1.4%, 0,78 AH] ; Rusnáková, Jurina [Autor, UKFFSVURS, 0.4%, 0,22 AH] ; Kumanová, Zuzana [Autor, 0.4%, 0,22 AH] ; Binder, Tomáš [Autor, 0.4%, 0,22 AH] ; Vavřinková, Blanka [Autor, 1.8%, 1,02 AH] ; Reismüllerová, Lenka [Autor, 1.4%, 0,82 AH] ; Kunochová, Ivana [Autor, UKOLF2GK, 1.2%, 0,67 AH] ; Pšenková, Petra [Autor, UKOLF2GK, 1.9%, 1,09 AH] ; Korbeľ, Miroslav [Autor, UKOLF1GK, 3.1%, 1,78 AH] ; Turňová, Petra [Autor, 6.3%, 3,58 AH] ; Krlin, Romana [Autor, 1%, 0,57 AH] ; Hederlingová, Júlia [Autor, 0.9%, 0,55 AH] ; Liptáková, Adriána [Autor, UKOLFMIU, 2.2%, 1,23 AH] ; Kónyová, Zuzana [Autor, 2.2%, 1,23 AH] ; Líšková, Anna [Autor, VSSVArektorat, 2.2%, 1,23 AH] ; Sabaka, Peter [Autor, UKOLFKIGM, 0.5%, 0,31 AH] ; Kološová, Andrea [Autor, 1.5%, 0,86 AH] ; Kacerovská Musilová, Ivana [Autor, 2.3%, 1,3 AH]. – text. – [slovenčina]. – [OV 180, 060]. – [ŠO 5141, 7761]. – [kapitola]. – SIGN-UKO LF 2GK/22. – sign UPJS MSEP 034397 In: Pôrodníctvo [textový dokument (print)] / Záhumenský, Jozef [Zostavovateľ, editor] ; Borovský, Miroslav [Recenzent] ; Kacerovský, Marián [Recenzent] ; Procházka, Martin [Recenzent]. – 1. vyd. – Bratislava (Slovensko) : A-medi management, 2022. – ISBN 978-80-89797-72-1. – ISBN (online) 978-80-89797-73-8. – SIGN-UKO LF 2GK/22, s. 384-848 [56,80 AH] [tlačená forma] </t>
  </si>
  <si>
    <t xml:space="preserve">Znevýhodnenie rómskych žien z chudobných komunít / Rusnáková, Jurina [Autor, UKFFSVURS, 60%] ; Kumanová, Zuzana [Autor, 20%] ; Binder, Tomáš [Autor, 20%]. – text. – [slovenčina]. – [OV 180]. – [ŠO 5602, 7761]. – [kapitola] In: Pôrodníctvo [textový dokument (print)] / Záhumenský, Jozef [Zostavovateľ, editor] ; Borovský, Miroslav [Recenzent] ; Kacerovský, Marián [Recenzent] ; Procházka, Martin [Recenzent]. – 1. vyd. – Bratislava (Slovensko) : A-medi management, 2022. – ISBN 978-80-89797-72-1. – ISBN (online) 978-80-89797-73-8. – SIGN-UKO LF 2GK/22, s. 641-646 [1,03 AH] [tlačená forma] </t>
  </si>
  <si>
    <t>U1 - Umelecký výstup publikačnej činnosti ako celok</t>
  </si>
  <si>
    <t xml:space="preserve">Krídla z papiera [textový dokument (print)]  [zbierka poviedok] / Turzáková, Jana [Autor, UKFFSVUAP, 100%]. – 1. vyd. – Levice (Slovensko) : Koloman Kertész Bagala, 2022. – 94 s. [tlačená forma]. – [slovenčina]. – [OV 010]. – [ŠO 7701]. – ISBN 978-80-8997-369-9 </t>
  </si>
  <si>
    <t xml:space="preserve">Lastovička [textový dokument (print)]  [zbierka poézie] / Juričková, Martina [Autor, UKFFFAKAA, 100%]. – 1. vyd. – Nitra (Slovensko) : Publica, 2021. – 181 s. [tlačená forma] : text. – [slovenčina]. – [OV 020]. – [ŠO 7320]. – ISBN 978-80-8947-124-9 </t>
  </si>
  <si>
    <t xml:space="preserve">Spev vtákov [textový dokument (print)]  [beletria] / Klimková, Simona [Prekladateľ, UKFFFAKAA, 100%]. – 1. vyd. – Bratislava (Slovensko) : Tatran, 2022. – 272 s. [tlačená forma]. – [slovenčina]. – [OV 020]. – [ŠO 7320]. – ISBN 9788022213028 </t>
  </si>
  <si>
    <t xml:space="preserve">TJ Vjuga: Gestotexty [textový dokument (print)]  [zbierka poézie] / Fuják, Július [Autor, UKFFFAKKU, 100%]. – 1. vyd. – Bratislava (Slovensko) : Vlna ; Drewo a srd, 2022. – 97 s. [tlačená forma] : text. – [slovenčina]. – [OV 040]. – [ŠO 8110]. – ISBN 978-80-89550-81-4 </t>
  </si>
  <si>
    <t xml:space="preserve">Vražda medzi riadkami [textový dokument (print)]  [knižná publikácia - umelecká] / Hallettová, Janice [Autor] ; Klimková, Simona [Prekladateľ, UKFFFAKAA, 100%]. – 1. vyd. – Bratislava (Slovensko) : Tatran, 2022. – 436 s. [tlačená forma] : text. – [slovenčina]. – [OV 020]. – [ŠO 7320]. – ISBN 978-80-2221-368-4 </t>
  </si>
  <si>
    <t xml:space="preserve">Z devínskeho brala na Duklu [textový dokument (print)]  [beletria] / Krno, Svetozár [Autor, UKFFFAKPO, 100%] ; Izsófová, Beáta [Prekladateľ, UKFFFAKPO, 100%] ; Lysý, Jozef [Recenzent] ; Štefánik, Dušan [Recenzent]. – 1. vyd. – Bratislava (Slovensko) : Karpaty-Infopress, 2021. – 360 s. [tlačená forma] : text, fotogr. – [slovenčina]. – [OV 060]. – [ŠO 6718]. – ISBN 978-80-89985-03-6 </t>
  </si>
  <si>
    <t>U2 - Umelecký výstup publikačnej činnosti ako časť knižnej publikácie alebo zborníka</t>
  </si>
  <si>
    <t xml:space="preserve">Léto na hausbótu / Doležalová, Jana [Autor, UKFFFAULK, 100%]. – [čeština]. – [OV 020]. – [ŠO 7320]. – [príspevok] In: Jedeme na dovolenou [textový dokument (print)] / Dočekal, Boris [Zostavovateľ, editor]. – 1. vyd. – Praha (Česko) : Euromedia group, 2022. – ISBN 978-80-242-8121-6, s. 127-141 [tlačená forma] </t>
  </si>
  <si>
    <t>U3 - Umelecký výstup publikačnej činnosti z časopisu</t>
  </si>
  <si>
    <t xml:space="preserve">I. A Nirvana előtt, II. A Nirvana felé / Radics, Rudolf [Autor, UKFFSSUML, 100%]. – text. – [maďarčina]. – [OV 010]. – [ŠO 7320]. – [článok]. – [recenzované] In: Opus [textový dokument (print)] : szlovákiai magyar írók folyóirata. – Dunajská Streda (Slovensko) : Szlovákiai Magyar Írók Társasága. – ISSN 1338-0265. – Roč. 14, č. 76 (2022), s. 95-95 [tlačená forma] </t>
  </si>
  <si>
    <t xml:space="preserve">Kékes (én) / Radics, Rudolf [Autor, UKFFSSUML, 100%]. – [maďarčina]. – [OV 010]. – [ŠO 7320]. – [článok] In: Irodalmi Szemle [textový dokument (print)] [elektronický dokument] : irodalom, kritika, társadalomtudomány. – Bratislava (Slovensko) : Madách-Posonium. – ISSN 1336-5088. – Roč. 65, č. 3 (2022), s. 35-35 [tlačená forma] [online] </t>
  </si>
  <si>
    <t xml:space="preserve">Útmutató csillag / Mészárosová, Zuzana [Autor, UKFFFAKPO, 100%]. – [maďarčina]. – [OV 010]. – [ŠO 7605]. – [článok]. – [recenzované] In: Magyar 7 [textový dokument (print)] [elektronický dokument] . – Dunajská Streda (Slovensko) : Pro Media Alapítvány. – ISSN 2585-9129. – Roč. 4, č. 13 (2021), s. 2-3 [tlačená forma] [online] </t>
  </si>
  <si>
    <t>V1 - Vedecký výstup publikačnej činnosti ako celok</t>
  </si>
  <si>
    <t xml:space="preserve">20 rokov lesnej pedagogiky na Slovensku [textový dokument (print)]  [zborník - vedecký] : zborník recenzovaných príspevkov k medzinárodnej konferencii, Zvolen 23. - 24. september 2021 / Jaloviarová, Veronika [Zostavovateľ, editor, UKFFPVKGR, 34%] ; Kollárová, Dana [Zostavovateľ, editor, UKFPFAKPE, 33%] ; Sélešová, Dagmar [Zostavovateľ, editor, 33%] ; 20 rokov lesnej pedagogiky na Slovensku [23.09.2021-24.09.2021, Zvolen, Slovensko]. – 1. vyd. – Zvolen (Slovensko) : Národné lesnícke centrum, 2021. – 140 s. [tlačená forma] : text. – [slovenčina]. – [OV 010]. – [ŠO 7605]. – [recenzované]. – ISBN 978-80-8093-322-7 </t>
  </si>
  <si>
    <t xml:space="preserve">Afektívne faktory v osvojovaní si cudzieho jazyka [textový dokument (print)]  [monografia] / Stančeková, Svetlana [Autor, UKFFFAKRO, 100%] ; Janíková, Věra [Recenzent] ; Kolečáni Lenčová, Ivica [Recenzent]. – 1. vyd. – Praha (Česko) : Verbum, 2022. – 96 s. [tlačená forma] : text. – [slovenčina]. – [OV 010]. – [ŠO 7605]. – ISBN 978-80-87800-95-9 </t>
  </si>
  <si>
    <t xml:space="preserve">Art &amp; Event marketing kultúrnych inštitúcií [textový dokument (print)]  [monografia] / Štrbová, Edita [Autor, UKFFFAKMR, 100%] ; Beresecká, Janka [Recenzent] ; Gero, Štefan [Recenzent]. – 1. vyd. – Bratislava (Slovensko) : Európska akadémia manažmentu marketingu a médií, 2022. – 164 s. [tlačená forma] : text. – [slovenčina]. – [OV 060]. – [ŠO 7205]. – ISBN 978-80-973848-5-2 </t>
  </si>
  <si>
    <t xml:space="preserve">Cesty k vede [textový dokument (print)]  [zborník - vedecký] : 11. zväzok = Utak a tudományhoz : 11. kötet / Presinszky, Károly [Zostavovateľ, editor, UKFFSSUML, 50%] ; Krauter, Michal [Zostavovateľ, editor, UKFFSSUSJ, 50%] ; Bauko, Ján [Recenzent] ; Petres Csizmadia, Gabriela [Recenzent] ; Fakultné kolo súťaže [30.03.2022, Nitra, Slovensko]. – 1. vyd. – Nitra (Slovensko) : Univerzita Konštantína Filozofa v Nitre, 2022. – 166 s. [tlačená forma] : text. – [slovenčina]. – [OV 010]. – [ŠO 7605]. – ISBN 978-80-558-1916-7 </t>
  </si>
  <si>
    <t xml:space="preserve">Čítanie v mysli režiséra (Romana Poláka) [textový dokument (print)]  [monografia] / Inštitorisová, Dagmar [Autor, UKFFFAKMR, 100%] ; Žilková, Marta [Recenzent] ; Vajdička, Michal [Recenzent]. – 1. vyd. – Bratislava (Slovensko) : V//art ; Vysoká škola múzických umení v Bratislave, 2022. – 416 s. [tlačená forma] : text. – [slovenčina]. – [OV 020]. – [ŠO 7205]. – ISBN 978-80-974122-0-3 </t>
  </si>
  <si>
    <t xml:space="preserve">Detský mozog [textový dokument (print)]  [monografia] : novorodenec / Krause, Robert [Autor, UKFPFAKAP, 100%] ; Gatial, Viktor [Recenzent] ; Drienovská, Margita [Recenzent]. – 1. vyd. – Bratislava (Slovensko) : Ikar, 2022. – 208 s. [tlačená forma] : text. – [slovenčina]. – [OV 010]. – [ŠO 7605]. – ISBN 978-80-5518-437-1 </t>
  </si>
  <si>
    <t xml:space="preserve">Detský mozog [textový dokument (print)]  [monografia] : batoľa / Krause, Robert [Autor, UKFPFAKAP, 100%] ; Šuvada, Jozef [Recenzent] ; Gatial, Viktor [Recenzent]. – 1. vyd. – Bratislava (Slovensko) : Ikar, 2022. – 240 s. [tlačená forma] : text. – [slovenčina]. – [OV 010]. – [ŠO 7605]. – ISBN 978-80-551-8630-6 </t>
  </si>
  <si>
    <t xml:space="preserve">Didaktická koncepcia mastery learning [textový dokument (print)]  [monografia] / Grofčíková, Soňa [Autor, UKFPFAKPE, 100%] ; Voňková, Hana [Recenzent] ; Petlák, Erich [Recenzent]. – 1. vyd. – Nitra (Slovensko) : Univerzita Konštantína Filozofa v Nitre, 2021. – 80 s. [tlačená forma] : text. – [slovenčina]. – [OV 010]. – [ŠO 7605]. – ISBN 978-80-558-1847-4 </t>
  </si>
  <si>
    <t xml:space="preserve">DIDFYZ 2021 [elektronický dokument]  [zborník - vedecký] : Didactic Transfer of Physics Knowledge through Distance Information / Valovičová, Ľubomíra [Zostavovateľ, editor, UKFFPVKFY, 34%] ; Ondruška, Ján [Zostavovateľ, editor, UKFFPVKFY, 33%] ; Zelenický, Ľubomír [Zostavovateľ, editor, UKFFPVKFY, 33%]. – 1. vyd. – č. 2458. – Melville (USA) : American Institute of Physics . AIP Publishing, 2022. – 470 s. [online] : text, ilustr., graf., tab. – [angličtina]. – [OV 010, 091, 120]. – [ŠO 1160]. – [recenzované]. – ISBN 978-0-7354-4341-9 </t>
  </si>
  <si>
    <t xml:space="preserve">DIVAI 2022 [elektronický dokument]  [zborník - vedecký] : 14th international scientific conference on distance learning in applied informatics / Turčáni, Milan [Zostavovateľ, editor, UKFFPVKIN, 20%] ; Balogh, Zoltán [Zostavovateľ, editor, UKFFPVKIN, 16%] ; Munk, Michal [Zostavovateľ, editor, UKFFPVKIN, 16%] ; Magdin, Martin [Zostavovateľ, editor, UKFFPVKIN, 16%] ; Benko, Ľubomír [Zostavovateľ, editor, UKFFPVKIN, 16%] ; Francisti, Jan [Zostavovateľ, editor, UKFFPVKIN, 16%] ; International scientific conference on distance learning in applied informatics, 14 [02.05.2022-04.05.2022, Štúrovo, Slovensko]. – 1. vyd. – Bratislava (Slovensko) : Wolters Kluwer. Wolters Kluwer SR, 2022. – 458 s. [online]. – [angličtina]. – [OV 010, 160]. – [ŠO 7605, 2508]. – [recenzované]. – ISBN 978-80-7676-410-1. – ISSN 2464-7470. – ISSN (online) 2464-7489 </t>
  </si>
  <si>
    <t xml:space="preserve">Dolnozemské odtiene slovenskej kultúry [textový dokument (print)]  [editovaná kniha] / Čukan, Jaroslav [Autor, UKFFFAKMK, 13%] ; Kurpaš, Michal [Autor, UKFFFAKMK, 30%] ; Michalík, Boris [Autor, UKFFFAKMK, 13%] ; Zima, Roman [Autor, UKFFFAKMK, 30%] ; Žabenský, Marián [Autor, UKFFFAKMK, 14%] ; Letavajová, Silvia [Recenzent] ; Sklabinská, Milina [Recenzent]. – 1. vyd. – Nadlak (Slovensko) : Vydavateľstvo - Editura Ivan Krasko, 2021. – 111 s. [tlačená forma] : text, ilustr., fotogr. – [slovenčina]. – [OV 020]. – [ŠO 8110]. – ISBN 978-973-107-183-1 </t>
  </si>
  <si>
    <t xml:space="preserve">EDUCA 17 [elektronický dokument]  [zborník - vedecký] : vzdelanie - cesta pre všetkých. Zborník z vedeckej konferencie doktorandov s medzinárodnou účasťou, Nitra 5.5.2022 / Bielčiková, Kristína [Zostavovateľ, editor, UKFPFAKPE, 34%] ; Janíček Pavelová, Monika [Zostavovateľ, editor, UKFPFAKPE, 33%] ; Židová, Monika [Zostavovateľ, editor, UKFPFAKPE, 33%] ; Krystoň, Miroslav [Recenzent] ; Petlák, Erich [Recenzent] ; EDUCA 17, 17 [05.05.2022, Nitra, Slovensko]. – 1. vyd. – Nitra (Slovensko) : Univerzita Konštantína Filozofa v Nitre, 2022. – 138 s. [online] : text. – [slovenčina]. – [OV 010]. – [ŠO 7605]. – ISBN 978-80-558-1943-3 </t>
  </si>
  <si>
    <t xml:space="preserve">EDUCO 2022 [textový dokument (print)] [elektronický dokument]  [zborník - vedecký] : didaktické a environmentální aspekty přípravy učitelů přírodovědných, zemědělských a příbuzných oborů v kontextu strategie evropského vzdělávání / Dytrtová, Radmila [Zostavovateľ, editor, 25%] ; Jirsáková, Jitka [Zostavovateľ, editor, 25%] ; Sandanusová, Anna [Zostavovateľ, editor, UKFFPVKZA, 25%] ; Karabacak, Eda [Zostavovateľ, editor, 25%] ; EDUCO 2022, 17 [16.05.2022, Zlín, Česko]. – 1. vyd. – Praha (Česko) : Česká zemědelská univerzita v Praze, 2022. – 155 s. [tlačená forma] : text. – [angličtina]. – [OV 010, 092]. – [ŠO 7605]. – [recenzované]. – ISBN 978-80-213-3194-5 </t>
  </si>
  <si>
    <t xml:space="preserve">Effect of Fly Ash on the Physical Properties of Illite-Based Ceramics [textový dokument (print)] [elektronický dokument]  [monografia] / Húlan, Tomáš [Autor, UKFFPVKFY, 50%] ; Ondruška, Ján [Autor, UKFFPVKFY, 50%] ; Medveď, Igor [Recenzent] ; Suchorab, Zbigniew [Recenzent]. – 1. vyd. – Millersville (USA) : Materials research forum LLC, 2022. – 148 s. [tlačená forma] : text. – [angličtina]. – [OV 091]. – [ŠO 1160]. – ISBN 978-1-64490-206-6. – ISBN (online) 978-1-64490-207-3. – DOI 10.21741/9781644902073 </t>
  </si>
  <si>
    <t xml:space="preserve">Environmental Contaminants and Medicinal Plants Action on Female Reproduction [textový dokument (print)]  [monografia] / Sirotkin, Alexander [Autor, UKFFPVKZA, 50%] ; Kolesárová, Adriana [Autor, 50%]. – 1. vyd. – Amsterdam (Holandsko) : Elsevier, 2022. – 436 s. [tlačená forma] : text. – [angličtina]. – [OV 130]. – [ŠO 1536]. – [recenzované]. – ISBN 978-0-12-824292-6. – SCO </t>
  </si>
  <si>
    <t xml:space="preserve">Erózia pôdy  ako limitujúci faktor využívania  poľnohospodárskej krajiny [textový dokument (print)]  [editovaná kniha] / Petlušová, Viera [Autor, UKFFPVKEE, 30%] ; Petluš, Peter [Autor, UKFFPVKEE, 30%] ; Hreško, Juraj [Autor, UKFFPVKEE, 10%] ; Ševčík, Michal [Autor, UKFFPVKEE, 10%] ; Mederly, Peter [Autor, UKFFPVKEE, 10%] ; Bugár, Gabriel [Autor, UKFFPVKEE, 5%] ; Moravčík, Marek [Autor, UKFFPVKEE, 5%] ; Petlušová, Viera [Zostavovateľ, editor, UKFFPVKEE, 50%] ; Petluš, Peter [Zostavovateľ, editor, UKFFPVKEE, 50%] ; Tobiašová, Erika [Recenzent] ; Petrovič, František [Recenzent]. – 1. vyd. – Nitra (Slovensko) : Univerzita Konštantína Filozofa v Nitre, 2021. – 100 s. [tlačená forma] : text. – [slovenčina]. – [OV 100]. – [ŠO 1610]. – ISBN 978-80-558-1834-4 </t>
  </si>
  <si>
    <t xml:space="preserve">In search of self and the others (the views of adlerian ethics) [textový dokument (print)]  [monografia] / Marková, Dagmar [Autor, UKFFFAKAE, 50%] ; Šebíková, Lívia [Autor, UKFFFAKAE 06.2022, 50%] ; Jůzl, Miloslav [Recenzent] ; Čechová, Daniela [Recenzent]. – 1. vyd. – Praha (Česko) : Univerzita Jana Amose Komenského Praha, 2022. – 172 s. [tlačená forma] : text. – [angličtina]. – [OV 020]. – [ŠO 6107]. – ISBN 978-80-7452-211-6 </t>
  </si>
  <si>
    <t xml:space="preserve">Interdisicplinárne dialógy [textový dokument (print)]  [zborník - vedecký] : reprezentačný zborník Filozofickej fakulty UKF v Nitre / Fuják, Július [Zostavovateľ, editor, UKFFFAKMK, 50%] ; Štúr, Martin [Zostavovateľ, editor, UKFFFAKRO, 50%] ; Hečková, Janka [Recenzent] ; Rédey, Zoltán [Recenzent]. – 2. rozš. vyd. – Nitra (Slovensko) : Univerzita Konštantína Filozofa v Nitre, 2022. – 495 s. [tlačená forma] : text. – [slovenčina]. – [OV 010]. – [ŠO 8110]. – ISBN 978-80-558-1938-9 </t>
  </si>
  <si>
    <t xml:space="preserve">Jazykové a komunikačné problémy na Slovensku a ich manažment [textový dokument (print)] [elektronický dokument]  [zborník - vedecký] / Lanstyák, István [Zostavovateľ, editor, UKOFIMJ, 33.334%] ; Samko, Milan [Zostavovateľ, editor, UKFFSVURS, 33.333%] ; Sebők, Szilárd [Zostavovateľ, editor, UKOFIMJ, 33.333%] ; Cingerová, Nina [Recenzent] ; Sloboda, Marián [Recenzent] ; Vančo, Ildikó [Recenzent]. – 1. vyd. – Bratislava (Slovensko) : Univerzita Komenského v Bratislave, 2022. – 358 s. [19,64 AH] [tlačená forma] [online] : text. – [slovenčina]. – [OV 020]. – [ŠO 7320]. – ISBN 978-80-223-5376-2. – ISBN (online) 978-80-223-5476-9 </t>
  </si>
  <si>
    <t xml:space="preserve">Kapitoly zo slovenskej textológie / Ján Buzássy Pláň › Pláň, hory [textový dokument (print)]  [monografia] / Rácová, Veronika [Autor, UKFFFASJL, 50%] ; Navrátil, Martin [Autor, UKFFFASJL, 50%] ; Andričík, Marián [Recenzent] ; Gavura, Ján [Recenzent]. – 1. vyd. – Nitra (Slovensko) : Univerzita Konštantína Filozofa v Nitre, 2021. – 166 s. [tlačená forma] : text. – [slovenčina]. – [OV 020]. – [ŠO 7115]. – ISBN 978-80-558-1842-9 </t>
  </si>
  <si>
    <t xml:space="preserve">Kognitívne procesy a osobnosť v tlmočení: čo prináša ich výskum študentom? [textový dokument (print)]  [monografia] / Hodáková, Soňa [Autor, UKFFFAKTR, 100%] ; Müglová, Daniela [Recenzent] ; Djovčoš, Martin [Recenzent]. – 1. vyd. – Nitra (Slovensko) : Univerzita Konštantína Filozofa v Nitre, 2022. – 165 s. [tlačená forma] : text. – [slovenčina]. – [OV 020]. – [ŠO 7320]. – ISBN 978-80-558-1921-1 </t>
  </si>
  <si>
    <t xml:space="preserve">Koncepcia rozvoja pôdohospodárskej vedy a výskumu na roky 2021 - 2027 z pohľadu využitia zdrojov zo štrukturálnych fondov a programu Horizon Europe 2020 [textový dokument (print)]  [zborník - vedecký] : zborník príspevkov z vedeckej rozpravy na 58. Valnom zhromaždení členov Slovenskej akadémie pôdohospodárskych vied, konanej dňa 27. apríla 2022 v Kongresovej sále NPPC v Lužiankach = The concept of development of agricultural science and research for the years 2021 - 2027 in terms of the use of resources from the Structural Funds and the Horizon Europe 2020 program / Levický, Michal [Zostavovateľ, editor, UKFFPVUMI, 50%] ; Gozora, Vladimír [Zostavovateľ, editor, 50%] ; Koncepcia rozvoja pôdohospodárskej vedy a výskumu na roky 2021 – 2027 z pohľadu využitia zdrojov zo štrukturálnych fondov a programu Horizon Europe 2020 [27.04.2022, Lužianky, Slovensko]. – 1. vyd. – č. 81. – Lužianky (Slovensko) : Národné poľnohospodárske a potravinárske centrum, 2022. – 107 s. [tlačená forma] : text. – [slovenčina]. – [OV 080]. – [ŠO 6213]. – [recenzované]. – ISBN 978-80-8058-654-6 </t>
  </si>
  <si>
    <t xml:space="preserve">Konvergencie vedeckej činnosti študentov a učiteľov 3 [textový dokument (print)]  [zborník - vedecký] / Verešová, Marcela [Zostavovateľ, editor, UKFPFAKAP, 100%] ; Valihorová, Marta [Recenzent] ; Pavelová, Ľuba [Recenzent]. – 1. vyd. – Nitra (Slovensko) : Univerzita Konštantína Filozofa v Nitre, 2022. – 238 s. [tlačená forma] : text. – [slovenčina]. – [OV 010]. – [ŠO 7605]. – ISBN 978-80-558-1902-0 </t>
  </si>
  <si>
    <t xml:space="preserve">Landscapes and Landforms of Slovakia [textový dokument (print)] [elektronický dokument]  [editovaná kniha] / Lehotský, Milan [Zostavovateľ, editor, 50%] ; Boltižiar, Martin [Zostavovateľ, editor, UKFFPVKGR, 50%]. – 1. vyd. – Cham (Švajčiarsko) : Springer Nature, 2022. – 466 s. [tlačená forma] [online] : text. – (World Geomorphological Landscapes, ISSN 2213-2104, ISSN 2213-2090). – [angličtina]. – [OV 092]. – [ŠO 1217]. – [recenzované]. – ISBN 978-3-030-89292-0. – ISBN (online) 978-3-030-89293-7. – DOI 10.1007/978-3-030-89293-7 </t>
  </si>
  <si>
    <t xml:space="preserve">Le donne dell'est [textový dokument (print)]  [monografia] : Narrativa delle scrittrici migranti dell'Europa centrale e orientale in Italia / Jaščurová, Jana [Autor, UKFFFAKRO, 100%] ; Šavelová, Monika [Recenzent] ; Gritti, Fabiano [Recenzent]. – 1. vyd. – Chisinau (Taliansko) : Edizioni Accademiche Italiane, 2022. – 88 s. [tlačená forma] : text. – [taliančina]. – [OV 020]. – [ŠO 7320]. – ISBN 978-620-0-84086-8 </t>
  </si>
  <si>
    <t xml:space="preserve">Linguistics and Children’s Language Development (4. Lincom Studies in Language Acquisition and Bilingualism) [textový dokument (print)]  [zborník - vedecký] : Festschrift in Honor of Prof. Dr. Juliana Stoyanova / Gerganov, Encho [Zostavovateľ, editor, 34%] ; Kyuchukov, Hristo [Zostavovateľ, editor, 33%] ; Samko, Milan [Zostavovateľ, editor, UKFFSVURS, 33%] ; New, William S. [Recenzent] ; Templer, Wiliam [Recenzent]. – 1. vyd. – Mníchov (Nemecko) : Lincom academic publishers, 2022. – 250 s. [tlačená forma] : text. – [angličtina]. – [OV 020]. – [ŠO 7761]. – ISBN 9783969391006 </t>
  </si>
  <si>
    <t xml:space="preserve">Media - Migration - Politics [textový dokument (print)] [elektronický dokument]  [editovaná kniha] : Discursive Strategies in the Current Czech and Slovak Context / Spálová, Lucia [Autor, UKFFFAKMR, 10%] ; Beneš, Jan [Autor, 10%] ; Cabada, Ladislav [Autor, 10%] ; Just, Petr [Autor, 10%] ; Charvát, Jakub [Autor, 10%] ; Charvát, Martin [Autor, 10%] ; Charvátová, Denisa [Autor, 10%] ; Mikuláš, Peter [Autor, UKFFFAKMR, 10%] ; Niklesová, Eva [Autor, 10%] ; Rosůlek, Přemysl [Autor, 10%] ; Dobek-Ostrowska, Boguslawa [Zostavovateľ, editor] ; Glowacki, Michal [Zostavovateľ, editor]. – 1. vyd. – č. 17. – Berlín (Nemecko) : Peter Lang GmbH - Internationaler Verlag der Wissenschaften, 2022. – 245 s. [tlačená forma] [online] : text. – [angličtina]. – [OV 060]. – [ŠO 7205]. – [recenzované]. – ISBN 978-3-631-86275-9. – ISBN (online) 978-3-631-85877-6. – ISSN 2197-1625. – DOI 10.3726/b19495 </t>
  </si>
  <si>
    <t xml:space="preserve">Meranie profesijných kompetencií učiteľov [textový dokument (print)]  [monografia] / Ballová Mikušková, Eva [Autor, UKFPFAKAP, 100%] ; Lacková, Lucia [Recenzent] ; Müller De Morais, Marianna [Recenzent]. – 1. vyd. – Nitra (Slovensko) : Univerzita Konštantína Filozofa v Nitre, 2022. – 74 s. [tlačená forma] : text. – [slovenčina]. – [OV 010]. – [ŠO 7701]. – ISBN 978-80-558-1940-2. – ISBN (online) 978-80-558-1941-9 </t>
  </si>
  <si>
    <t xml:space="preserve">Methodology and Specific Methods in Social Sciences with an Accent on Marketing Communication [textový dokument (print)]  [monografia] / Fichnová, Katarína [Autor, UKFFFAKMR, 38%, 65,36 AH] ; Púchovská, Oľga [Autor, UKFFFAKMR, 38%, 65,36 AH] ; Vilím, Erik [Autor, UKFFFAULK, 24%, 41,28 AH] ; Ogonowska, Agnieszka [Recenzent] ; Wojciechowski, Łukasz Pawel [Recenzent]. – 1. vyd. – Katowice (Poľsko) : European Institute of Education and Media, 2022. – 172 s. [tlačená forma]. – [angličtina]. – [OV 060]. – [ŠO 7205]. – ISBN 978-83-964060-0-2 </t>
  </si>
  <si>
    <t xml:space="preserve">Microlearning [textový dokument (print)]  [zborník - vedecký] : New Approaches To A More Effective Higher Education / Smyrnova-Trybulska, Eugenia [Zostavovateľ, editor, 25%] ; Kommers, Piet [Zostavovateľ, editor, 25%] ; Drlík, Martin [Zostavovateľ, editor, UKFFPVKIN, 25%] ; Skalka, Ján [Zostavovateľ, editor, UKFFPVKIN, 25%]. – 1. vyd. – č. 6. – cham (Švajčiarsko) : Springer Nature. Springer International Publishing AG, 2022. – 230 s. [tlačená forma] [online]. – [angličtina]. – [OV 010, 160]. – [ŠO 7605, 2508]. – [recenzované]. – ISBN 978-3-031-13358-9. – ISBN (online) 978-3-031-13359-6. – DOI 10.1007/978-3-031-13359-6 </t>
  </si>
  <si>
    <t xml:space="preserve">Mikuláš Bakoš – pluralitný literárny vedec v metodologickej diskusii dneška [textový dokument (print)]  [zborník - vedecký] : vedecké online kolokvium – „okrúhly stôl“ / Teplan, Dušan [Zostavovateľ, editor, UKFFFASJL, 50%] ; Pašteková, Soňa [Zostavovateľ, editor, 50%] ; Martinek, Libor [Recenzent] ; Valcerová, Anna [Recenzent]. – 1. vyd. – Bratislava (Slovensko) : Slovenská akadémia vied. Veda, vydavateľstvo Slovenskej akadémie vied, 2022. – 354 s. [tlačená forma] : text. – [slovenčina]. – [OV 020]. – [ŠO 7320]. – ISBN 978-80-224-1959-8 </t>
  </si>
  <si>
    <t xml:space="preserve">Mládež medzi altruizmom a egoizmom [textový dokument (print)]  [monografia] / Štefaňak, Ondrej [Autor, UKFFFAKSO, 100%] ; Mariański, Janusz [Recenzent] ; Swiatkiewicz, Wojciech  Krzysztof [Recenzent]. – 1. vyd. – Nitra (Slovensko) : Univerzita Konštantína Filozofa v Nitre, 2022. – 126 s. [tlačená forma] : text. – [slovenčina]. – [OV 060]. – [ŠO 6115]. – ISBN 978-80-558-1899-3 </t>
  </si>
  <si>
    <t xml:space="preserve">Mládež nad priepasťou [textový dokument (print)]  [monografia] : Sociálna starostlivosť o (nielen) problémovú mládež na Slovensku v rokoch 1918 - 1945 / Rigová, Viktória [Autor, UKFFFAKHI, 100%] ; Švecová, Adriana [Recenzent] ; Rákosník, Jakub [Recenzent]. – 1. vyd. – Bratislava (Slovensko) : Paradigma Publishing, 2022. – 240 s. [tlačená forma] : text. – [slovenčina]. – [OV 030]. – [ŠO 7115]. – ISBN 978-80-973678-2-4 </t>
  </si>
  <si>
    <t xml:space="preserve">Nursing of the 21st century in the process of changes 2022 [elektronický dokument]  [zborník - vedecký] : book of abstracts / Semanišinová, Mária [Zostavovateľ, editor, UKFFSVKOS, 100%] ; Hajduchová, Hana [Recenzent] ; Spáčilová, Zuzana [Recenzent] ; Zrubcová, Dana [Recenzent] ; Nursing of the 21st century in the process of changes 2022 [08.09.2022-09.09.2022, Nitra, Slovensko]. – 1. vyd. – Nitra (Slovensko) : Univerzita Konštantína Filozofa v Nitre, 2022. – 94 s. [online] : text. – [angličtina]. – [OV 180]. – [ŠO 5602]. – ISBN 978-80-558-1923-5 </t>
  </si>
  <si>
    <t xml:space="preserve">Optima Opus 2021 [textový dokument (print)]  [zborník - vedecký] : zborník vedeckých prác FSVaZ / Rosinský, Rastislav [Zostavovateľ, editor, UKFFSVURS, 100%] ; Líšková, Miroslava [Recenzent] ; Mojtová, Martina [Recenzent]. – 1. vyd. – Nitra (Slovensko) : Univerzita Konštantína Filozofa v Nitre, 2022. – 108 s. [tlačená forma] : text. – [slovenčina]. – [OV 060]. – [ŠO 7761]. – ISBN 978-80-558-1885-6 </t>
  </si>
  <si>
    <t xml:space="preserve">Orthoepy of West Slavonic Languages (Czech, Slovak and Polish) [textový dokument (print)]  [monografia] / Kuldanová, Pavlína [Autor, 34%] ; Petráš, Patrik [Autor, UKFFFASJL, 33%] ; Hebal-Jezierska, Milena [Autor, 33%] ; Veroňková, Jitka [Recenzent] ; Kralčák, Ľubomír [Recenzent]. – 1. vyd. – Ostrava (Česko) : Ostravská univerzita, 2022. – 250 s. [tlačená forma] : text. – [angličtina]. – [OV 020]. – [ŠO 7320]. – ISBN 978-80-7599-331-1. – DOI 10.15452/Ortoepieen.2022 </t>
  </si>
  <si>
    <t xml:space="preserve">Ovčia vlna trochu inak [textový dokument (print)]  [monografia] / Braniša, Jana [Autor, UKFFPVKCH, 47%] ; Porubská, Mária [Autor, UKFFPVKCH, 47%] ; Branišová, Zuzana [Autor ilustrácií, grafiky, TUTPFPVU, 6%] ; Lapčík, Lubomír [Recenzent] ; Mazúr, Milan [Recenzent]. – 1. vyd. – Bratislava (Slovensko) : Slovenská technická univerzita v Bratislave. Fakulta chemickej a potravinárskej technológie. Slovenská chemická knižnica, 2022. – 6,88, 101 s. [tlačená forma] : text. – [slovenčina]. – [OV 120]. – [ŠO 1420]. – ISBN 978-80-8208-077-6. – TUTPFPVU signatúra E091275 </t>
  </si>
  <si>
    <t xml:space="preserve">Pragmatic Linguistics and Sociolinguistics [textový dokument (print)]  [monografia] : Culture vs Speech / Ivenz, Petra [Autor, UKFPFAKLI, 60%] ; Reid, Eva [Autor, UKFPFAKLI, 40%]. – 1. vyd. – Newcastle upon Tyne (Veľká Británia) : Cambridge Scholars Publishing, 2022. – 160 s. [tlačená forma] : text. – [angličtina]. – [OV 020]. – [ŠO 7320]. – [recenzované]. – ISBN 978-1-5275-7590-5 </t>
  </si>
  <si>
    <t xml:space="preserve">Preobrazenja - Le Metamorfosi sulla lirica di Antun Branko Šimić [textový dokument (print)]  [monografia] / Cukrovic, Mirta [Autor, UKFFFAKRO, 100%] ; Lampis, Mirko [Recenzent] ; Kučerková, Magda [Recenzent]. – 1. vyd. – Kišinev (Moldavská republika) : Edizioni Accademiche Italiane, 2022. – 228 s. [tlačená forma] : text. – [taliančina]. – [OV 020]. – [ŠO 7320]. – ISBN 978-620-0-84082-0 </t>
  </si>
  <si>
    <t xml:space="preserve">Príspevok k dejinám gemerského seniorátu v rokoch 1802 - 1918 [textový dokument (print)]  [monografia] / Jakubej, Ján [Autor, UKFFFAKHI, 100%] ; Diatka, Cyril [Recenzent] ; Viršinská, Miriam [Recenzent]. – 1. vyd. – Ružomberok (Slovensko) : Society for human studies, 2022. – 340 s. : text. – [slovenčina]. – [OV 030]. – [ŠO 7115]. – ISBN 978-80-974339-0-1 </t>
  </si>
  <si>
    <t xml:space="preserve">Semiótica del eros [textový dokument (print)]  [editovaná kniha] / Lampis, Mirko [Zostavovateľ, editor, UKFFFAKRO, 50%] ; Di Vico, Paolo [Zostavovateľ, editor, UKFFFAKRO, 50%] ; Chicharro Chamorro, Antonio [Recenzent] ; González de Ávila, Manuel [Recenzent]. – 1. vyd. – Sevilla (Španielsko) : Ediciones Alfar, 2021. – 224 s. [tlačená forma] : text. – [španielčina]. – [OV 020]. – [ŠO 7320]. – ISBN 978-84-7898-931-7 </t>
  </si>
  <si>
    <t xml:space="preserve">Skvalitňovanie prípravy budúcich učiteľov prírodovedných, poľnohospodárskych a príbuzných odborov [elektronický dokument]  [zborník - vedecký] / Sandanusová, Anna [Zostavovateľ, editor, UKFFPVKZA, 50%] ; Dytrtová, Radmila [Zostavovateľ, editor, 50%] ; Morovič, Martin [Recenzent] ; Švecová, Milada [Recenzent] ; Vondráková, Mária [Recenzent] ; EDUCO 2021, 16 [24.06.2021, [s.l.], Virtuálny priestor]. – 1. vyd. – Nitra (Slovensko) : Univerzita Konštantína Filozofa v Nitre, 2021. – 159 s. [online]. – [slovenčina, čeština]. – [OV 010]. – [ŠO 7605]. – ISBN 978-80-558-1865-8 </t>
  </si>
  <si>
    <t xml:space="preserve">Sobre la contingencia [textový dokument (print)]  [monografia] / Lampis, Mirko [Autor, UKFFFAKRO, 100%] ; Linares Alés, Francisco [Recenzent] ; González de Ávila, Manuel [Recenzent]. – 1. vyd. – Valencia (Španielsko) : Tirant lo Blanch, 2022. – 134 s. [tlačená forma] : text. – [španielčina]. – [OV 020]. – [ŠO 6107]. – ISBN 978-84-19226-45-7 </t>
  </si>
  <si>
    <t xml:space="preserve">Stereotypes and Myths. Intertextuality in Central European Imagological Reflections [textový dokument (print)]  [monografia] / Žilka, Tibor [Autor, 34%] ; Benyovszky, Kristian [Autor, UKFFSSUML, 33%] ; Zelenková, Anna [Autor, 33%]. – 1. vyd. – Frankfurt nad Mohanom (Nemecko) : Peter Lang GmbH - Internationaler Verlag der Wissenschaften, 2022. – 166 s. [tlačená forma] : text. – [angličtina]. – [OV 010]. – [ŠO 7320]. – [recenzované]. – ISBN 978-3-631-87448-6 </t>
  </si>
  <si>
    <t xml:space="preserve">Stratégia rozvoja cestovného ruchu v obci Pliešovce [textový dokument (print)]  [monografia] / Žabenský, Marián [Autor, UKFFFAKMK, 55%] ; Válek, Ján [Autor, UKFFFAKMK, 45%] ; Beresecká, Janka [Recenzent] ; Michalík, Boris [Recenzent]. – 1. vyd. – Nitra (Slovensko) : Univerzita Konštantína Filozofa v Nitre, 2022. – 153 s. [tlačená forma] : text, fotogr. – [slovenčina]. – [OV 030]. – [ŠO 8110]. – ISBN 978-80-558-1910-5 </t>
  </si>
  <si>
    <t xml:space="preserve">Supervízia v kognitívno behaviotálnej terapii a poradenstve [textový dokument (print)]  [editovaná kniha] / Jurišová, Erika [Autor, UKFFSVKPV, 25%] ; Praško Pavlov, Ján [Autor, UKFFSVKPV, 25%] ; Popelková, Marta [Autor, UKFFSVKPV, 25%] ; Šlepecký, Miloš [Autor, UKFFSVKPV, 25%] ; Šefarová, Iveta [Recenzent] ; Čornák, Ľubomír [Recenzent]. – 1. vyd. – Nitra (Slovensko) : Univerzita Konštantína Filozofa v Nitre, 2022. – 272 s. [tlačená forma] : text. – [slovenčina]. – [OV 060]. – [ŠO 7701]. – ISBN 978-80-558-1886-3 </t>
  </si>
  <si>
    <t xml:space="preserve">Šport a rekreácia 2022 (Recenzovaný nekonferenčný zborník vedecko-výskumných a odborných prác, zameraný na prezentáciu poznatkov v oblasti športu, telesnej výchovy, diagnostiky, zdravia, rekreácie, cestovného ruchu, regenerácie, manažmentu, atď.) [textový dokument (print)] [elektronický dokument]  [zborník - vedecký] : zborník vedeckých prác / Broďáni, Jaroslav [Zostavovateľ, editor, UKFPFAKTV, 50%] ; Czaková, Monika [Zostavovateľ, editor, UKFPFAKTV, 50%] ; Bartík, Pavol [Recenzent] ; Šimonek, Jaromír [Recenzent] ; Kanásová, Janka [Recenzent] ; Halmová, Nora [Recenzent] ; Broďáni, Jaroslav [Recenzent] ; Horička, Pavol [Recenzent] ; Divinec, Lenka [Recenzent] ; Czaková, Natália [Recenzent] ; Vašková, Monika [Recenzent] ; Kraček, Stanislav [Recenzent]. – 1. vyd. – Roč. 12. – Nitra (Slovensko) : Univerzita Konštantína Filozofa v Nitre. Pedagogická fakulta UKF. Katedra telesnej výchovy a športu, 2022. – 130 s. [tlačená forma] [online] : text, fotogr., graf., tab., obr. – [slovenčina]. – [OV 010, 210]. – [ŠO 7418, 7605]. – ISBN 978-80-558-1905-1 </t>
  </si>
  <si>
    <t xml:space="preserve">The Application of Intervention Programmes and the Development of Reading Comprehension Predictors [textový dokument (print)]  [monografia] / Stranovská, Eva [Autor, UKFFFAKRO, 50%] ; Ficzere, Anikó [Autor, UKFFSSKCR, 50%] ; Hašková, Alena [Recenzent] ; Petlák, Erich [Recenzent]. – 1. vyd. – Hamburg (Nemecko) : Verlag Dr. Kovač, 2022. – 173 s. [tlačená forma] : text. – [angličtina]. – [OV 010]. – [ŠO 7605]. – ISBN 978-3-339-13136-2 </t>
  </si>
  <si>
    <t xml:space="preserve">Tri tváre škodcu v klasickej čarovnej rozprávke [textový dokument (print)]  [monografia] : výskumné materiály / Pažitná, Bernadette [Autor, UKFFFAULK, 100%] ; Korina, Natália [Recenzent] ; Zelenková, Anna [Recenzent]. – 1. vyd. – Nitra (Slovensko) : Univerzita Konštantína Filozofa v Nitre, 2022. – 115 s. [tlačená forma] : text. – [slovenčina]. – [OV 020]. – [ŠO 7320]. – ISBN 978-80-558-1888-7 </t>
  </si>
  <si>
    <t xml:space="preserve">Tvorivosť vo výtvarnej edukácii [elektronický dokument]  [monografia] / Satková, Janka [Autor, UKFPFAKVV, 100%] ; Janková, Györgyi [Recenzent] ; Bugajska-Bigos, Iwona [Recenzent]. – 1. vyd. – Nitra (Slovensko) : Univerzita Konštantína Filozofa v Nitre, 2022. – 84 s. [online] : text, ilustr. – [slovenčina]. – [OV 010]. – [ŠO 7605]. – ISBN 978-80-558-1909-9 </t>
  </si>
  <si>
    <t xml:space="preserve">V plnosti služby [textový dokument (print)]  [monografia] : teologické reflexie nad tajomstvom kňazstva / Judák, Viliam [Autor, UKORKFH, 50%] ; Hlad, Ľubomír [Autor, UKFFFAKNS, 50%] ; Šuráb, Marian [Recenzent] ; Maturkanič, Patrik [Recenzent]. – 1. vyd. – Nitra (Slovensko) : Kňazský seminár sv. Gorazda, 2022. – 281 s. [tlačená forma] : text. – [slovenčina]. – [OV 020]. – [ŠO 6171]. – ISBN 978-80-89481-63-7. – SIGN-UKO RK 16/22 </t>
  </si>
  <si>
    <t xml:space="preserve">Vidiek tradičný, moderný, inšpiratívny [textový dokument (print)]  [monografia] : Dediny roka Liptovská Teplička, Malé Dvorníky, Soblahov, Vlachovo / Ambrózová, Jana [Autor, UKFFFAKEF, 40%] ; Bošelová, Miriama [Autor, UKFFFAKEF, 30%] ; Jágerová, Margita [Autor, UKFFFAKEF, 30%] ; Feglová, Viera [Recenzent] ; Součková, Taťána [Recenzent]. – 1. vyd. – Nitra (Slovensko) : Univerzita Konštantína Filozofa v Nitre, 2021. – 200 s. : text. – [slovenčina]. – [OV 030]. – [ŠO 7115]. – ISBN 978-80-558-1777-4 </t>
  </si>
  <si>
    <t xml:space="preserve">Vizantijskaya filosofija [textový dokument (print)]  [monografia] / Zozuľak, Ján [Autor, UKFFFAKAE, 100%] ; Blandzi, Sewerin [Recenzent] ; Otisk, Marek [Recenzent]. – 1. vyd. – Sankt-Peterburg (Ruská federácia) : Dmitriy Bulanin, 2022. – 240 s. [tlačená forma] : text. – [ruština]. – [OV 020]. – [ŠO 6107]. – ISBN 978-5-86007-984-7 </t>
  </si>
  <si>
    <t xml:space="preserve">Wavelet transform of signals with VBA applications [textový dokument (print)]  [monografia] / Ďuriš, Viliam [Autor, UKFFPVKMA, 34%] ; Semenov, Vladimir Ivanovich [Autor, 33%] ; Chumarov, Sergey Gennadevich [Autor, 33%] ; Kazakov, Sergey [Recenzent] ; Kitaev, Aleksander [Recenzent]. – 1. vyd. – Karlsruhe (Nemecko) : Ste-Con, 2022. – 203 s. [tlačená forma] : text. – [angličtina]. – [OV 240]. – [ŠO 1113]. – ISBN 978-3-945862-44-5 </t>
  </si>
  <si>
    <t xml:space="preserve">Začiatky polarizácie. Politická identita Maďarov na Slovensku v rokoch 1989 - 1990, jej zdroje a typy [textový dokument (print)]  [monografia] / Mészárosová, Zuzana [Autor, UKFFFAKPO, 100%] ; Kurucz, Milan [Recenzent] ; Popély, Árpád [Recenzent]. – 1. vyd. – Bratislava (Slovensko) : Slovenská akadémia vied. Veda, vydavateľstvo Slovenskej akadémie vied, 2022. – 207 s. [tlačená forma]. – [slovenčina]. – [OV 060]. – [ŠO 6718]. – ISBN 978-80-224-1929-1 </t>
  </si>
  <si>
    <t>V2 - Vedecký výstup publikačnej činnosti ako časť editovanej knihy alebo zborníka</t>
  </si>
  <si>
    <t xml:space="preserve">(Na)učí filozofia myslieť? / Tomašková, Silvia [Autor, UKFFFAKFI, 100%] ; Myslieť inak – iné v myslení, 6 [21.10.2020-23.10.2020, Bratislava, Slovensko]. – text. – [slovenčina]. – [OV 020]. – [ŠO 6107]. – [príspevok z podujatia]. – TUTTFKKF signatúra E087282 In: Myslieť inak – iné v myslení [textový dokument (print)] : zborník vedeckých príspevkov / Gáliková Tolnaiová, Sabína [Zostavovateľ, editor] ; Marchevský, Ondrej [Zostavovateľ, editor] ; Kyslan, Peter [Zostavovateľ, editor] ; Andreanský, Eugen [Recenzent] ; Gálik, Slavomír [Recenzent]. – 1. vyd. – Bratislava (Slovensko) : Slovenská akadémia vied. Pracoviská SAV. Slovenské filozofické združenie, 2021. – ISBN 978-80-973092-6-8. – SIGN-PU FF-21 150/21, s. 302-307 [tlačená forma] </t>
  </si>
  <si>
    <t xml:space="preserve">(Na)učí nás filozofia myslieť? / Tomašková, Silvia [Autor, UKFFFAKFI, 100%] ; Myslieť inak – iné v myslení, 6 [21.10.2020-23.10.2020, Bratislava, Slovensko]. – text. – [slovenčina]. – [OV 020]. – [ŠO 6107]. – [abstrakt z podujatia - KP]. – [recenzované] In: Myslieť inak - iné v myslení [textový dokument (print)] : zborník abstraktov / Maco, Róbert [Zostavovateľ, editor]. – 1. vyd. – Bratislava (Slovensko) : Slovenská akadémia vied. Pracoviská SAV. Slovenské filozofické združenie, 2020. – ISBN 978-80-973092-5-1, s. 18-18 [tlačená forma] </t>
  </si>
  <si>
    <t xml:space="preserve">(Ne)stabilita českého biblického překladu. Diachronní bibliometrická analýza / Čech, Radek [Autor, 25%] ; Kosek, Pavel [Autor, 25%] ; Mačutek, Ján [Autor, UKFFPVKMA, 25%] ; Nogolová, Michaela [Autor, 25%]. – text. – [slovenčina]. – [OV 240]. – [ŠO 1113]. – [príspevok] In: Clavibus unitis [elektronický dokument] : Language in West Slavic Bible Versions: Shapes and Shifts / Kroupa, Jiří K. [Zostavovateľ, editor]. – 1. vyd. – Roč. X, č. 2. – Praha (Česko) : Nadace pro dějiny kultury ve střední Evropě, 2021. – ISSN 1803-7747, s. 151-156 </t>
  </si>
  <si>
    <t xml:space="preserve">A Blended Learning Model: Results of Young Learners / Simonova, Ivana [Autor, 34%] ; Bekešová, Jana [Autor, UKFPFAKLI, 33%] ; Kostolányová, Kateřina [Autor, 33%] ; Blended Learning: Engaging Students in the New Normal Era, 15 [19.07.2022-22.07.2022, Hong Kong, Čína]. – text. – [angličtina]. – [OV 010]. – [ŠO 7605]. – [príspevok z podujatia]. – [recenzované]. – DOI 10.1007/978-3-031-08939-8_19 In: Blended Learning: Engaging Students in the New Normal Era [elektronický dokument] [textový dokument (print)] : 15th International Conference, ICBL 2022, Hong Kong, China, July 19–22, 2022 / Chen Li, Richard [Zostavovateľ, editor] ; Cheung, Simon K.S. [Zostavovateľ, editor]. – 1. vyd. – Cham (Švajčiarsko) : Springer Verlag, 2022. – ISBN 978-3-031-08938-1. – ISBN (online) 978-3-031-08939-8, s. 217-228 [tlačená forma] </t>
  </si>
  <si>
    <t xml:space="preserve">A geometriai megoldások új szerepe a gyakorlati példákban / Tóth, Attila [Autor, UKFFSSUVP, 100%] ; A múltból táplálkozó jövő - hagyomány és fejlődés, 25 [04.11.2021, Győr, Maďarsko]. – text. – [maďarčina]. – [OV 010]. – [ŠO 7605]. – [príspevok z podujatia] In: A múltból táplálkozó jövő - hagyomány és fejlődés [textový dokument (print)] : 25. Apáczai-napok Tudományos Konferencia tanulmánykötete, Győr, 4. november 2022 / Makkos, Anikó [Zostavovateľ, editor] ; Kecskés, Petra [Zostavovateľ, editor] ; Petzné Tóth, Szilvia [Recenzent] ; Boldizsár, Boglárka [Recenzent]. – 1. vyd. – Győr (Maďarsko) : Széchenyi István Egyetem Apáczai Csere János Kar, 2022. – ISBN 978-963-7287-32-9, s. 58-66 [tlačená forma] </t>
  </si>
  <si>
    <t xml:space="preserve">A probe inside the poetic form of mysticism of Slovak Romantic / Kaizerová, Petra [Autor, UKFFFASJL, 100%] ; The Figurativeness of the Language of Mystical Experience [29.06.2021-30.06.2021, Madrid, Španielsko]. – text. – [angličtina]. – [OV 020]. – [ŠO 8110]. – [abstrakt z podujatia - KP]. – DOI 10.5817/CZ.MUNI.P210-9997-2021-11 In: The Figurativeness of the Language of Mystical Experience [elektronický dokument] : Particularities and Interpretations. Virtual international conference proceedings / Barnés Vázquez, Antonio [Zostavovateľ, editor] ; Kučerková, Magda [Zostavovateľ, editor] ; Hricková, Mária [Recenzent] ; Ruiz Andrés, Rafael [Recenzent]. – 1. vyd. – Brno (Česko) : Masarykova univerzita, 2021. – ISBN 978-80-210-9997-5, s. 185-199 [online] </t>
  </si>
  <si>
    <t xml:space="preserve">Acquisition of wh-questions in Romani / Kyuchukov, Hristo [Autor, 34%] ; de Villiers, Jill [Autor, 33%] ; Samko, Milan [Autor, UKFFSVURS, 33%]. – text. – [angličtina]. – [OV 020]. – [ŠO 7761]. – [príspevok] In: Linguistics and Children’s Language Development (4. Lincom Studies in Language Acquisition and Bilingualism) [textový dokument (print)] : Festschrift in Honor of Prof. Dr. Juliana Stoyanova / Gerganov, Encho [Zostavovateľ, editor] ; Kyuchukov, Hristo [Zostavovateľ, editor] ; Samko, Milan [Zostavovateľ, editor] ; New, William S. [Recenzent] ; Templer, Wiliam [Recenzent]. – 1. vyd. – Mníchov (Nemecko) : Lincom academic publishers, 2022. – ISBN 9783969391006, s. 120-134 [tlačená forma] </t>
  </si>
  <si>
    <t xml:space="preserve">Adaptácia testu Diagnostika štruktúry matematických schopností na Slovensku / Janíček Pavelová, Monika [Autor, UKFPFAKPE, 100%] ; EDUCA 16, 16 [29.04.2021, Nitra, Slovensko]. – text. – [slovenčina]. – [OV 010]. – [ŠO 7605]. – [príspevok z podujatia] In: EDUCA 16 [textový dokument (print)] : edukácia - kľúč k úspechu. Zborník príspevkov z 16. vedeckej  konferencie doktorandov s medzinárodnou účasťou, Nitra 29. apríl 2021 / Teleková, Radka [Zostavovateľ, editor] ; Koricina, Michal [Zostavovateľ, editor] ; Petlák, Erich [Recenzent] ; Krystoň, Miroslav [Recenzent]. – 1. vyd. – Nitra (Slovensko) : Univerzita Konštantína Filozofa v Nitre, 2021. – ISBN 978-80-558-1811-5, s. 160-168 [tlačená forma] </t>
  </si>
  <si>
    <t xml:space="preserve">Akceptácia zmeny a stratégie zvládania záťaže adolescentov = Acceptance of change and coping strategies of adolescents / Baňasová, Katarína [Autor, UKFFSVUAP, 50%] ; Kozmonová, Daniela [Autor, UKFFSVKPV, 50%] ; PhD existence 2022 : Změna, 12 [31.01.2022-01.02.2022, Olomouc, Česko]. – text. – [slovenčina]. – [OV 060]. – [ŠO 7701]. – [príspevok z podujatia] In: PhD existence 12 [elektronický dokument] : "Změna" : česko-slovenská psychologická konference (nejen) pro doktorandy a o doktorandech  : sborník odborných příspěvků / Aigelová, Eva [Zostavovateľ, editor] ; Viktorová, Lucie [Zostavovateľ, editor] ; Dolejš, Martin [Zostavovateľ, editor] ; Tomšik, Robert [Recenzent] ; Skopal, Ondřej [Recenzent]. – 1. vyd. – Olomouc (Česko) : Univerzita Palackého v Olomouci, 2022. – ISBN 978-80-244-6174-8, s. 24-41 [online] </t>
  </si>
  <si>
    <t xml:space="preserve">Akceptácia zmeny u predstaviteľov rôznych povolaní / Hudáková, Miriama [Autor, UKFFSVUAP, 99%] ; Kuviková, Barbora [Autor, 1%] ; Psychologie práce a organizace 2021, 20 [12.05.2021-14.05.2021, Olomouc, Česko]. – text. – [slovenčina]. – [OV 060]. – [ŠO 7701]. – [abstrakt z podujatia - KP]. – [recenzované] In: Psychologie práce a organizace 2021 [elektronický dokument] : Sborník abstraktů, 13.-14.5.2021 / Seitl, Martin [Zostavovateľ, editor] ; Viktorová, Lucie [Zostavovateľ, editor]. – 1. vyd. – Olomouc (Česko) : Univerzita Palackého v Olomouci, 2021. – ISBN (online) 978-80-244-5908-0, s. 49-50 </t>
  </si>
  <si>
    <t xml:space="preserve">Aktuálne trendy asimilačných procesov v Srieme (na príklade Starej Pazovy a Slankamenských Vinohradov) / Michalík, Boris [Autor, UKFFFAKMK, 50%] ; Čukan, Jaroslav [Autor, UKFFFAKMK, 50%] ; Stará Pazova [29.05.2021, Banská Bystrica, Slovensko]. – text. – [slovenčina]. – [OV 020]. – [ŠO 8110]. – [príspevok z podujatia] In: Stará Pazova v premenách času [textový dokument (print)] : zborník z rovnomenného sympózia z príležitosti minuloročného okrúhleho jubilea mesta dňa 29. mája 2021 / Kmeť, Miroslav [Zostavovateľ, editor] ; Kunec, Patrik [Zostavovateľ, editor] ; Letavajová, Silvia [Recenzent] ; Lenovský, Ladislav [Recenzent]. – 1. vyd. – Banská Bystrica (Slovensko) : Univerzita Mateja Bela v Banskej Bystrici. Vydavateľstvo Univerzity Mateja Bela v Banskej Bystrici - Belianum, 2021. – ISBN 978-80-557-1957-3, s. 84-90 [tlačená forma] </t>
  </si>
  <si>
    <t xml:space="preserve">Alany, szubjektum / Tolcsvai Nagy, Gábor [Autor, UKFFSSUML, 100%]. – text. – [maďarčina]. – [OV 020]. – [ŠO 7320]. – [príspevok]. – DOI 10.24412/2470-1262-2022-3 -38-46 In: Líra, poétika, diskurzus [textový dokument (print)] / Laczkó, Krisztina [Zostavovateľ, editor] ; Szilárd, Tátrai [Zostavovateľ, editor] ; Horváth, Lászlo [Recenzent] ; Szendy, Ilona [Recenzent]. – 1. vyd. – Budapesť (Maďarsko) : ELTE Eötvös József Kollégium, 2022. – ISBN 978-615-5897-39-9, s. 13-41 </t>
  </si>
  <si>
    <t xml:space="preserve">Alternatívne modely hudobného znaku a semiózy / Fuják, Július [Autor, UKFFFAKMK, 100%]. – text. – [slovenčina]. – [OV 020]. – [ŠO 8110]. – [príspevok] In: Interdisicplinárne dialógy [textový dokument (print)] : reprezentačný zborník Filozofickej fakulty UKF v Nitre / Fuják, Július [Zostavovateľ, editor] ; Štúr, Martin [Zostavovateľ, editor] ; Hečková, Janka [Recenzent] ; Rédey, Zoltán [Recenzent]. – 2. rozš. vyd. – Nitra (Slovensko) : Univerzita Konštantína Filozofa v Nitre, 2022. – ISBN 978-80-558-1938-9, s. 193-210 [tlačená forma] </t>
  </si>
  <si>
    <t xml:space="preserve">An eye-tracking study on the effect of keyword highlighting on students’ reading comprehension / Kohútek, Michal [Autor, UKFFPVKIN, 50%] ; Turčáni, Milan [Autor, UKFFPVKIN, 50%] ; Efficiency and Responsibility in Education 2022, 19 [02.06.2022-03.06.2022, Praha, Česko]. – text. – [angličtina]. – [OV 160]. – [ŠO 2508]. – [príspevok z podujatia]. – [recenzované] In: Proceedings of the 19th International Conference Efficiency and Responsibility in Education 2022 [textový dokument (print)] [elektronický dokument] / Fejfar, Jiří [Zostavovateľ, editor] ; Flégl, Martin [Zostavovateľ, editor]. – 1. vyd. – Praha (Česko) : Česká zemědelská univerzita v Praze, 2022. – ISBN 978-80-213-3197-6. – ISSN 2336-744X, s. 59-67 [tlačená forma] [online] </t>
  </si>
  <si>
    <t xml:space="preserve">Analysis of Problem Parts in Educational Tutorials  for Blender / Šteflovičová, Kristína [Autor, UKFFPVKIN, 80%] ; Kapusta, Jozef [Autor, UKFFPVKIN, 20%] ; International scientific conference on distance learning in applied informatics, 14 [02.05.2022-04.05.2022, Štúrovo, Slovensko]. – text. – [angličtina]. – [OV 160]. – [ŠO 2508]. – [príspevok z podujatia]. – [recenzované] In: DIVAI 2022 [elektronický dokument] : 14th international scientific conference on distance learning in applied informatics / Turčáni, Milan [Zostavovateľ, editor] ; Balogh, Zoltán [Zostavovateľ, editor] ; Munk, Michal [Zostavovateľ, editor] ; Magdin, Martin [Zostavovateľ, editor] ; Benko, Ľubomír [Zostavovateľ, editor] ; Francisti, Jan [Zostavovateľ, editor]. – 1. vyd. – Bratislava (Slovensko) : Wolters Kluwer. Wolters Kluwer SR, 2022. – ISBN 978-80-7676-410-1. – ISSN 2464-7470. – ISSN (online) 2464-7489, s. 442-451 [online] </t>
  </si>
  <si>
    <t xml:space="preserve">Analysis of students’ opinions on barriers limiting their university studies / Komora, Juraj [Autor, UKFPFAKPE, 50%] ; Kozárová, Nina [Autor, UKFPFAKPE, 50%] ; EDULEARN22, 14 [04.07.2022-06.07.2022, Palma de Mallorca, Španielsko]. – text. – [angličtina]. – [OV 010]. – [ŠO 7605]. – [príspevok z podujatia]. – [recenzované]. – DOI 10.21125/edulearn.2022.0882 In: EDULEARN22 - 14th International Conference on Education and New Learning Technologies, July 4th-6th, 2022, Palma, Mallorca, Spain [elektronický dokument] / Chova, Luis Goméz [Zostavovateľ, editor] ; Martínez, Augustín López [Zostavovateľ, editor] ; Lees, Joanna [Zostavovateľ, editor]. – 1 vyd. – Palma (Španielsko) : IATED, 2022. – (EDULEARN Proceedings, ISSN 2340-1117). – ISBN 978-84-09-42484-9, s. 3590-3596 [online] [CD-ROM] [USB kľúč] </t>
  </si>
  <si>
    <t xml:space="preserve">Analysis of teachers’ needs related to their professional digital skills : eflection on the pre-Corona state in Slovakia and impact of the first wave of the pandemic on these needs / Hašková, Alena [Autor, UKFPFAKTT, 50%] ; Záhorec, Ján [Autor, UKOPDDPP, 50%]. – text. – [angličtina]. – [OV 010]. – [ŠO 7605]. – [príspevok]. – [recenzované]. – DOI 10.1007/978-981-19-1738-7_22. – SIGN-UKO PD DP/22. – SCO In: Digital literacy for teachers [textový dokument (print)] [elektronický dokument] / Tomczyk, Lukasz [Zostavovateľ, editor] ; Fedeli, Laura [Zostavovateľ, editor]. – 1. vyd. – Bern (Švajčiarsko) : Springer Nature, 2022. – (Lecture Notes in Educational Technology, ISSN 2196-4963, ISSN 2196-4971). – ISBN 978-981-19-1737-0. – ISBN (online) 978-981-19-1738-7, s. 463-493 [tlačená forma] </t>
  </si>
  <si>
    <t xml:space="preserve">Analysis of the application of the curriculum Structuring strategy from the teachers’ point of view In the development of learners’ critical thinking / Kozárová, Nina [Autor, UKFPFAKPE, 50%] ; Petrová, Gabriela [Autor, UKFPFAKPE, 50%] ; Adult Education 2021 - In Diverse Learning Environments, 11 [14.12.2021-15.12.2021, Praha, Česko]. – text. – [angličtina]. – [OV 010]. – [ŠO 7605]. – [príspevok z podujatia] In: Adult Education 2021 - In Diverse Learning Environments [elektronický dokument] [textový dokument (print)] : Proceedings from 11. International scientific Conference, Prague 14. - 15. 12.2021 / Kříž, Jaroslav [Zostavovateľ, editor] ; Svobodová, Zuzana [Zostavovateľ, editor] ; Lukianova, Larisa [Recenzent] ; Marianowska, Anna [Recenzent] ; Matouš, Zdeněk [Recenzent] ; Pirohová, Ivana [Recenzent] ; Šip, Maroš [Recenzent] ; Pavlov, Ivan [Recenzent] ; Vaněček, David [Recenzent]. – 1. vyd. – Praha (Česko) : Česká andragogická společnost, 2022. – ISBN 978-80-908330-0-5. – ISBN (online) 978-80-908330-2-9. – ISSN 2571-3841. – ISSN (online) 2571-385X, s. 315-328 [online] [tlačená forma] </t>
  </si>
  <si>
    <t xml:space="preserve">Analysis of the Popularity Rate of Extracted  Keywords From True and Fake News Related to  Covid-19 / Kelebercová, Lívia [Autor, UKFFPVKIN, 50%] ; Munk, Michal [Autor, UKFFPVKIN, 50%] ; International scientific conference on distance learning in applied informatics, 14 [02.05.2022-04.05.2022, Štúrovo, Slovensko]. – text. – [angličtina]. – [OV 160]. – [ŠO 2508]. – [príspevok z podujatia]. – [recenzované] In: DIVAI 2022 [elektronický dokument] : 14th international scientific conference on distance learning in applied informatics / Turčáni, Milan [Zostavovateľ, editor] ; Balogh, Zoltán [Zostavovateľ, editor] ; Munk, Michal [Zostavovateľ, editor] ; Magdin, Martin [Zostavovateľ, editor] ; Benko, Ľubomír [Zostavovateľ, editor] ; Francisti, Jan [Zostavovateľ, editor]. – 1. vyd. – Bratislava (Slovensko) : Wolters Kluwer. Wolters Kluwer SR, 2022. – ISBN 978-80-7676-410-1. – ISSN 2464-7470. – ISSN (online) 2464-7489, s. 384-392 [online] </t>
  </si>
  <si>
    <t xml:space="preserve">Analytické a vedecké myslenie vo vzťahu k profesijným kompetenciám učiteľov = Analytic and scientific reasoning and their relationship with professional competencies of teachers / Pajtašová, Lenka [Autor, 50%] ; Ballová Mikušková, Eva [Autor, UKFPFAKAP, 50%]. – text. – [slovenčina]. – [OV 010]. – [ŠO 7701]. – [príspevok] In: Konvergencie vedeckej činnosti študentov a učiteľov 3 [textový dokument (print)] / Verešová, Marcela [Zostavovateľ, editor] ; Valihorová, Marta [Recenzent] ; Pavelová, Ľuba [Recenzent]. – 1. vyd. – Nitra (Slovensko) : Univerzita Konštantína Filozofa v Nitre, 2022. – ISBN 978-80-558-1902-0, s. 28-38 [tlačená forma] </t>
  </si>
  <si>
    <t xml:space="preserve">Analýza cisárskych rezov na Gyn. pôr. klinike FN Nitra podľa Robsonovej klasifikácie / Debnár, Tomáš [Autor, UKOLF1GK, 25%] ; Mlynček, Miloš [Autor, UKFFSVKOS, 25%] ; Hanzelová, Veronika [Autor, UKOLF1GK, 25%] ; Kubalová, Mária [Autor, UKOLF1GK, 25%] ; Spoločný kongres SGPS SLS a ČGPS ČLS JEP, 8 [26.05.2022-29.05.2022, Bratislava, Slovensko]. – text. – [slovenčina]. – [OV 180]. – [ŠO 5141]. – [abstrakt z podujatia - KP]. – [recenzované]. – SIGN-UKO LF 1GK/22 In: 8. Spoločný kongres SGPS SLS a ČGPS ČLS JEP [textový dokument (print)] : zborník abstraktov / [bez zostavovateľa] [Zostavovateľ, editor]. – 1. vyd. – Spišská Nová Ves (Slovensko) : Agentúra KAMI, 2022. – ISBN 978-80-973380-1-5, s. 57-58 </t>
  </si>
  <si>
    <t xml:space="preserve">Analýza mediálneho obrazu moslimov a islamu na konci roka 2021 / Letavajová, Silvia [Autor, UKFFFAKMK, 100%]. – text. – [slovenčina]. – [OV 020]. – [ŠO 8110]. – [kapitola] In: Framing [elektronický dokument] : mediálny obraz islamu a moslimov na Slovensku / Hasna, Zuzana [Zostavovateľ, editor] ; Pluliková, Nataša [Zostavovateľ, editor] ; Šomodiová, Katarína [Recenzent] ; Divinský, Boris [Recenzent]. – 1. vyd. – Bratislava (Slovensko) : Islamská nadácia na Slovensku, 2022. – ISBN (online) 978-80-974244-0-4, s. 52-77 [online] </t>
  </si>
  <si>
    <t xml:space="preserve">Analýza motívov k voľbe učiteľského povolania u učiteľov v pregraduálnej príprave na Univerzite Konštantína Filozofa v Nitre / Kolar, Miroslav [Autor, 50%] ; Verešová, Marcela [Autor, UKFPFAKAP, 50%]. – text. – [slovenčina]. – [OV 010]. – [ŠO 7605]. – [príspevok] In: Konvergencie vedeckej činnosti študentov a učiteľov 3 [textový dokument (print)] / Verešová, Marcela [Zostavovateľ, editor] ; Valihorová, Marta [Recenzent] ; Pavelová, Ľuba [Recenzent]. – 1. vyd. – Nitra (Slovensko) : Univerzita Konštantína Filozofa v Nitre, 2022. – ISBN 978-80-558-1902-0, s. 80-91 [tlačená forma] </t>
  </si>
  <si>
    <t xml:space="preserve">Analýza onkogynekologických výkonov v roku 2020 na vybraných slovenských pracoviskách / Kubalová, Mária [Autor, UKOLF1GK, 25%] ; Mlynček, Miloš [Autor, UKFFSVKOS, 25%] ; Debnár, Tomáš [Autor, UKOLF1GK, 25%] ; Hanzelová, Veronika [Autor, UKOLF1GK, 25%] ; Spoločný kongres SGPS SLS a ČGPS ČLS JEP, 8 [26.05.2022-29.05.2022, Bratislava, Slovensko]. – text. – [slovenčina]. – [OV 180]. – [ŠO 5141]. – [abstrakt z podujatia - KP]. – [recenzované]. – SIGN-UKO LF 1GK/22 In: 8. Spoločný kongres SGPS SLS a ČGPS ČLS JEP [textový dokument (print)] : zborník abstraktov / [bez zostavovateľa] [Zostavovateľ, editor]. – 1. vyd. – Spišská Nová Ves (Slovensko) : Agentúra KAMI, 2022. – ISBN 978-80-973380-1-5, s. 28-28 </t>
  </si>
  <si>
    <t xml:space="preserve">Analýza osobnosti športovcov z hľadiska typu temperamentu pri jednotlivých postoch vo futbale / Divinec, Lenka [Autor, UKFPFAKTV, 60%] ; Banda, Miroslav [Autor, 40%]. – text. – [slovenčina]. – [OV 210]. – [ŠO 7418]. – [príspevok] In: Šport a rekreácia 2022 (Recenzovaný nekonferenčný zborník vedecko-výskumných a odborných prác, zameraný na prezentáciu poznatkov v oblasti športu, telesnej výchovy, diagnostiky, zdravia, rekreácie, cestovného ruchu, regenerácie, manažmentu, atď.) [textový dokument (print)] [elektronický dokument] : zborník vedeckých prác / Broďáni, Jaroslav [Zostavovateľ, editor] ; Czaková, Monika [Zostavovateľ, editor] ; Bartík, Pavol [Recenzent] ; Šimonek, Jaromír [Recenzent] ; Kanásová, Janka [Recenzent] ; Halmová, Nora [Recenzent] ; Broďáni, Jaroslav [Recenzent] ; Horička, Pavol [Recenzent] ; Divinec, Lenka [Recenzent] ; Czaková, Natália [Recenzent] ; Vašková, Monika [Recenzent] ; Kraček, Stanislav [Recenzent]. – 1. vyd. – Roč. 12. – Nitra (Slovensko) : Univerzita Konštantína Filozofa v Nitre. Pedagogická fakulta UKF. Katedra telesnej výchovy a športu, 2022. – ISBN 978-80-558-1905-1, s. 94-102 [tlačená forma] [online] </t>
  </si>
  <si>
    <t xml:space="preserve">Analýza úlohy glutatiónu v obrane ovsa (Avena sativa L.) voči kadmiu = Analysis of the role of glutathione in the defence of oats (Avena sativa L.) against cadmium / Kubová, Veronika [Autor, UKFFPVKBG, 100%] ; Študentská vedecká konferencia 2022 [06.04.2022, Nitra, Slovensko]. – text. – [slovenčina]. – [OV 130]. – [ŠO 1536]. – [príspevok z podujatia] In: Študentská vedecká konferencia 2022 [elektronický dokument] : zborník recenzovaných príspevkov / Spišiak, Ján [Zostavovateľ, editor] ; Račáková, Slavka [Zostavovateľ, editor] ; Voštinár, Patrik [Recenzent] ; Vagač, Michal [Recenzent]. – 1. vyd. – Banská Bystrica (Slovensko) : Univerzita Mateja Bela v Banskej Bystrici, 2022. – ISBN 978-80-557-1984-9, s. 23-27 [online] </t>
  </si>
  <si>
    <t xml:space="preserve">Antropologické východiská a hermeneutické pozadie čítania obraznosti Štefana Balázsa / Kapsová, Eva [Autor, UKFFFAULK, 100%]. – text. – [slovenčina]. – [OV 020]. – [ŠO 7320]. – [príspevok] In: Štefan Balázs 2011-2021 [textový dokument (print)] / Garlatyová, Gabriela [Zostavovateľ, editor] ; Pariláková, Eva [Recenzent] ; Bičanová, Katarína [Recenzent]. – 1. vyd. – Rimavská Sobota (Slovensko) : Mestská galéria Rimavská Sobota, 2021. – ISBN 978-80-971240-3-8. – SIGN-TUKE 301289, s. 10-22 [tlačená forma] </t>
  </si>
  <si>
    <t xml:space="preserve">Anxiety reduction in the postpartum period / Slamková, Alica [Autor, UKFFSVKOS, 20%] ; Poledníková, Ľubica [Autor, UKFFSVKOS, 20%] ; Spáčilová, Zuzana [Autor, UKFFSVKOS, 20%] ; Pavelová, Ľuboslava [Autor, UKFFSVKOS, 20%] ; Archalousová, Alexandra [Autor, UKFFSVKOS, 20%] ; Nursing of the 21st century in the process of changes 2022 [08.09.2022-09.09.2022, Nitra, Slovensko]. – text. – [angličtina]. – [OV 180]. – [ŠO 5602]. – [abstrakt z podujatia - KP] In: Nursing of the 21st century in the process of changes 2022 [elektronický dokument] : book of abstracts / Semanišinová, Mária [Zostavovateľ, editor] ; Hajduchová, Hana [Recenzent] ; Spáčilová, Zuzana [Recenzent] ; Zrubcová, Dana [Recenzent]. – 1. vyd. – Nitra (Slovensko) : Univerzita Konštantína Filozofa v Nitre, 2022. – ISBN 978-80-558-1923-5, s. 79-79 [online] </t>
  </si>
  <si>
    <t xml:space="preserve">Aplikácia programu KUMOT v letnom tábore / Balážová, Jana [Autor, UKFPFAKPE, 100%]. – text. – [slovenčina]. – [OV 010]. – [ŠO 7605]. – [príspevok] In: Žiak, pohyb, edukácia [elektronický dokument] : vedecký zborník 2022 / Merica, Marián [Zostavovateľ, editor] ; Belešová, Mária [Zostavovateľ, editor] ; Skrypko, Anatol [Recenzent] ; Görner, Karol [Recenzent]. – 1. vyd. – Bratislava (Slovensko) : Univerzita Komenského v Bratislave, 2022. – ISBN (online) 978-80-223-5471-4. – SIGN-UKO PD PP/22, s. 8-15 [CD-ROM] </t>
  </si>
  <si>
    <t xml:space="preserve">Aplikácia testu diagnostika štruktúry matematických schopností (dismas) u žiakov druhého a tretieho ročníka na Slovensku a v Čechách / Janíček Pavelová, Monika [Autor, UKFPFAKPE, 50%] ; Erhardtová, Gabriela [Autor, UKFPFAKPE, 50%] ; EDUCA 17, 17 [05.05.2022, Nitra, Slovensko]. – text. – [slovenčina]. – [OV 010]. – [ŠO 7605]. – [abstrakt z podujatia - KP] In: EDUCA 17 [elektronický dokument] : vzdelanie - cesta pre všetkých. Zborník z vedeckej konferencie doktorandov s medzinárodnou účasťou, Nitra 5.5.2022 / Bielčiková, Kristína [Zostavovateľ, editor] ; Janíček Pavelová, Monika [Zostavovateľ, editor] ; Židová, Monika [Zostavovateľ, editor] ; Krystoň, Miroslav [Recenzent] ; Petlák, Erich [Recenzent]. – 1. vyd. – Nitra (Slovensko) : Univerzita Konštantína Filozofa v Nitre, 2022. – ISBN 978-80-558-1943-3, s. 57-57 [online] </t>
  </si>
  <si>
    <t xml:space="preserve">Aplikácia vybraných krajinno-ekologických prístupov pri plánovaní greenways v poľnohospodárskej krajine = The Selected Landscape-Ecological Approaches for Greenways Planning in Agricultural Landscape / Melicher, Jakub [Autor, UKFFPVKEE, 100%] ; Študentská vedecká konferencia 2022 [06.04.2022, Nitra, Slovensko]. – text. – [slovenčina]. – [OV 100]. – [ŠO 1610]. – [príspevok z podujatia] In: Študentská vedecká konferencia 2022 [elektronický dokument] : zborník recenzovaných príspevkov / Spišiak, Ján [Zostavovateľ, editor] ; Račáková, Slavka [Zostavovateľ, editor] ; Voštinár, Patrik [Recenzent] ; Vagač, Michal [Recenzent]. – 1. vyd. – Banská Bystrica (Slovensko) : Univerzita Mateja Bela v Banskej Bystrici, 2022. – ISBN 978-80-557-1984-9, s. 64-71 [online] </t>
  </si>
  <si>
    <t xml:space="preserve">Aproximación a la "Vida en Claro" de José Moreno Villa: De “la topografía de la casa paterna” al “soliloquio del mar” / De Miguel Santos, César [Autor, UKFFFAKRO, 100%]. – text. – [španielčina]. – [OV 020]. – [ŠO 7320]. – [príspevok] In: Escrituras, memorias e identidades. Diálogos del presente [textový dokument (print)] / López Andrada, Concepción [Zostavovateľ, editor] ; Ortiz Aguirre, Enrique [Zostavovateľ, editor] ; Violant Holtz, Verónica [Recenzent] ; Ponce Naranjo, Genoveva [Recenzent]. – 1. vyd. – Santiago de Chile (Čile) : Centro de Estudios Latinoamericanos de Educación Inclusiva, 2022. – ISBN 978-956-386-046-7, s. 83-121 [tlačená forma] </t>
  </si>
  <si>
    <t xml:space="preserve">Assessing reading comprehension skills among Hungarian  students in Slovakia / Gergelyová, Viktória [Autor, UKFFSSUML, 100%] ; Folytonosság és megszakítottság a magyar kultúrában, 6 [05.09.2019-06.09.2019, Bécs, Maďarsko]. – text. – [angličtina]. – [OV 010]. – [ŠO 7605]. – [príspevok z podujatia] In: Folytonosság és megszakítottság a magyar kultúrában [elektronický dokument] : A doktoriskolák VI. nemzetközi magyarságtudományi konferenciája Bécs, 2019. szeptember 5-6 / Bene, Sándor [Zostavovateľ, editor] ; Dobos, István [Zostavovateľ, editor]. – 1. vyd. – Budapešť (Maďarsko) : Nemzetközi Magyarságtudományi Társaság, 2022. – ISBN (online) 978-615-5309-10-6, s. 50-60 [CD-ROM] </t>
  </si>
  <si>
    <t xml:space="preserve">Aural Concept of Albrechtic / Vozár, Martin [Autor, UKFFPVKIN, 50%] ; Brezina, Pavol [Autor, UKFPFAKHU, 50%] ; International scientific conference on distance learning in applied informatics, 14 [02.05.2022-04.05.2022, Štúrovo, Slovensko]. – text. – [angličtina]. – [OV 010]. – [ŠO 7605]. – [príspevok z podujatia]. – [recenzované] In: DIVAI 2022 [elektronický dokument] : 14th international scientific conference on distance learning in applied informatics / Turčáni, Milan [Zostavovateľ, editor] ; Balogh, Zoltán [Zostavovateľ, editor] ; Munk, Michal [Zostavovateľ, editor] ; Magdin, Martin [Zostavovateľ, editor] ; Benko, Ľubomír [Zostavovateľ, editor] ; Francisti, Jan [Zostavovateľ, editor]. – 1. vyd. – Bratislava (Slovensko) : Wolters Kluwer. Wolters Kluwer SR, 2022. – ISBN 978-80-7676-410-1. – ISSN 2464-7470. – ISSN (online) 2464-7489, s. 155-161 [online] </t>
  </si>
  <si>
    <t xml:space="preserve">Az olvasási vágy felébresztése – bevezetés egy meseregény világába / Petres Csizmadia, Gabriela [Autor, UKFFSSUML, 100%]. – text. – [maďarčina]. – [OV 010]. – [ŠO 7605]. – [príspevok] In: Gyermek - kultúra - pedagógia [textový dokument (print)] / Bús, Imre [Zostavovateľ, editor] ; Szécsi, Gábor [Recenzent] ; Kocsisné Farkas, Claudia [Recenzent]. – 1. vyd. – Szekszárd (Maďarsko) : A kiadást a Pécsi Tudományegyetem Centenáriumi programsorozata támogatta, 2021. – ISBN 978-963-429-621-8, s. 180-195 [tlačená forma] </t>
  </si>
  <si>
    <t xml:space="preserve">Bases of Intergenerational Training in Tertiary and Further Education / Müller De Morais, Marianna [Autor, UKFPFAKPE, 50%] ; Határ, Ctibor [Autor, UKFPFAKPE, 50%] ; Adult Education 2021 [14.12.2302-14.12.2302, Praha, Česko]. – text. – [angličtina]. – [OV 010]. – [ŠO 7605]. – [príspevok z podujatia] In: Adult Education 2021 - In Diverse Learning Environments [elektronický dokument] [textový dokument (print)] : Proceedings from 11. International scientific Conference, Prague 14. - 15. 12.2021 / Kříž, Jaroslav [Zostavovateľ, editor] ; Svobodová, Zuzana [Zostavovateľ, editor] ; Lukianova, Larisa [Recenzent] ; Marianowska, Anna [Recenzent] ; Matouš, Zdeněk [Recenzent] ; Pirohová, Ivana [Recenzent] ; Šip, Maroš [Recenzent] ; Pavlov, Ivan [Recenzent] ; Vaněček, David [Recenzent]. – 1. vyd. – Praha (Česko) : Česká andragogická společnost, 2022. – ISBN 978-80-908330-0-5. – ISBN (online) 978-80-908330-2-9. – ISSN 2571-3841. – ISSN (online) 2571-385X, s. 343-356 [online] [tlačená forma] </t>
  </si>
  <si>
    <t xml:space="preserve">Bee bread has a potential to improve diabetic complications associated with lipid and bone disorders / Blahová, Jana [Autor, UKFFPVKBG, 25%] ; Omelka, Radoslav [Autor, UKFFPVKBG, 15%] ; Kováčová, Veronika [Autor, UKFFPVKZA, 15%] ; Bábiková, Martina [Autor, UKFFPVKBG, 10%] ; Mondočková, Vladimíra [Autor, UKFFPVKBG, 10%] ; Kalafová, Anna [Autor, SPUFBP30, 5%] ; Capcarová, Marcela [Autor, SPUFBP30, 5%] ; Martiniaková, Monika [Autor, UKFFPVKZA, 15%] ; Animal Physiology 2022, 17 [01.06.2022-03.06.2022, Košice, Slovensko]. – text. – [angličtina]. – [OV 130, 180]. – [ŠO 1536]. – [abstrakt z podujatia - KP]. – [recenzované] In: Animal physiology 2022 [textový dokument (print)] : book of abstracts from international conference / Čikoš, Štefan [Zostavovateľ, editor] ; Pogány Simonová, Monika [Zostavovateľ, editor] ; Batťányi, Dominika [Zostavovateľ, editor] ; Kucková, Katarína [Zostavovateľ, editor]. – 1. vyd. – Bratislava (Slovensko) : Slovenská akadémia vied, 2022. – ISBN 978-80-974246-0-2, s. 16-16 [tlačená forma] </t>
  </si>
  <si>
    <t xml:space="preserve">Best practice examples / Favilli, Filippo [Autor, 16%] ; Považan, Radoslav [Autor, 16%] ; Arany, Ildikó [Autor, 16%] ; Affek, Andrzej [Autor, 16%] ; Lehejček, Jiří [Autor, 16%] ; Mederly, Peter [Autor, UKFFPVKEE, 20%]. – text. – [angličtina]. – [OV 100]. – [ŠO 1610]. – [kapitola] In: The Carpathian Ecosystem Services Toolkit (CEST) [textový dokument (print)] : Interdisciplinary Toolkit for managers and analysts for ecosystem services assessment (2021) / Považan, Radoslav [Zostavovateľ, editor] ; Kadlečík, Ján [Zostavovateľ, editor] ; Kanka, Róbert [Recenzent] ; Špulerová, Jana [Recenzent]. – 1. vyd. – Banská Bystrica (Slovensko) : Štátna ochrana prírody SR, 2022. – ISBN 978-3-903424-04-3, s. 62-75 [1,08 AH] [tlačená forma] </t>
  </si>
  <si>
    <t xml:space="preserve">Blended learning from the view of learner ́s motivation types / Šimonová, Ivana [Autor, 25%] ; Bekešová, Jana [Autor, UKFPFAKLI, 25%] ; Škoda, Jiří [Autor, 25%] ; Faltýnková, Ludmila [Autor, 25%] ; International Technology, Education and Development Conference 2022, 16 [07.03.2022-08.03.2022, Valencia, Španielsko]. – text. – [angličtina]. – [OV 010]. – [ŠO 7605]. – [príspevok z podujatia]. – [recenzované]. – DOI 10.21125/inted.2022.0828 In: INTED2022 Conference Proceedings [elektronický dokument] : 16th International Technology, Education and Development Conference / Chova, Luis Goméz [Zostavovateľ, editor] ; López Martínez, Agustín [Zostavovateľ, editor] ; Candel Torres, Ignacio [Zostavovateľ, editor]. – 1. vyd. – Barcelona (Španielsko) : IATED, 2022. – (INTED Proceedings, ISSN 2340-1079). – ISBN 978-84-09-37758-9. – ISSN 2340-1079, s. 2899-2906 [online] [USB kľúč] </t>
  </si>
  <si>
    <t xml:space="preserve">Blogs in communication of theaters with the audience / Zacharová, Jana [Autor, UKFFFAKMR, 100%] ; Quo vadis massmedia &amp; marketing [07.04.2022, Trnava, Slovensko]. – text. – [slovenčina]. – [OV 020]. – [ŠO 8110]. – [príspevok z podujatia] In: Quo vadis massmedia, quo vadis marketing [elektronický dokument] : zborník z vedeckej konferencie doktorandov a mladých vedeckých pracovníkov Quo vadis masmedia &amp; marketing organizovanej Fakultou masmediálnej komunikácie UCM v Trnave / Magalová, Lucia [Zostavovateľ, editor] ; Macák, Miroslav [Zostavovateľ, editor] ; Kolenčík, Patrik [Zostavovateľ, editor] ; Pravdová, Hana [Recenzent] ; Moravčíková, Erika [Recenzent]. – 1. vyd. – Trnava (Slovensko) : Univerzita sv. Cyrila a Metoda v Trnave. Fakulta masmediálnej komunikácie, 2022. – ISBN (online) 978-80-572-0252-3, s. 193-202 [online] </t>
  </si>
  <si>
    <t xml:space="preserve">Breaking bad news / Mlynček, Miloš [Autor, UKFFSVKOS, 100%] ; Spoločný kongres SGPS SLS a ČGPS ČLS JEP, 8 [26.05.2022-29.05.2022, Bratislava, Slovensko]. – text. – [slovenčina]. – [OV 180]. – [ŠO 5141]. – [abstrakt z podujatia - KP]. – [recenzované]. – SIGN-UKO LF 1GK/22 In: 8. Spoločný kongres SGPS SLS a ČGPS ČLS JEP [textový dokument (print)] : zborník abstraktov / [bez zostavovateľa] [Zostavovateľ, editor]. – 1. vyd. – Spišská Nová Ves (Slovensko) : Agentúra KAMI, 2022. – ISBN 978-80-973380-1-5, s. 38-38 </t>
  </si>
  <si>
    <t xml:space="preserve">Can medicinal and functional food plants prevent reproductive toxicity of environmental contaminants? / Sirotkin, Alexander [Autor, UKFFPVKZA, 100%] ; Animal Physiology 2022, 17 [01.06.2022-03.06.2022, Košice, Slovensko]. – text. – [angličtina]. – [OV 130]. – [ŠO 1536]. – [abstrakt z podujatia - KP]. – [recenzované] In: Animal physiology 2022 [textový dokument (print)] : book of abstracts from international conference / Čikoš, Štefan [Zostavovateľ, editor] ; Pogány Simonová, Monika [Zostavovateľ, editor] ; Batťányi, Dominika [Zostavovateľ, editor] ; Kucková, Katarína [Zostavovateľ, editor]. – 1. vyd. – Bratislava (Slovensko) : Slovenská akadémia vied, 2022. – ISBN 978-80-974246-0-2, s. 31-31 [tlačená forma] </t>
  </si>
  <si>
    <t xml:space="preserve">Capital Expenditures of Local Self-Governments in Crisis / Papcunová, Viera [Autor, UKFFPVUMI, 34%] ; Hudáková, Jarmila [Autor, UKFFPVUMI, 33%] ; Levický, Michal [Autor, VŠEMVSÚEMKMSP, 33%] ; Mezinárodní kolokvium o regionálních vědách, 25 [22.06.2022-24.06.2022, Brno, Česko]. – text. – [angličtina]. – [OV 060]. – [ŠO 6213]. – [príspevok z podujatia]. – [recenzované]. – DOI 10.5817/CZ.MUNI.P280-0068-2022-34 In: 25. Mezinárodní kolokvium o regionálních vědách [elektronický dokument] : sborník příspěvků Brno 22.-24.6.2022 / Klímová, Viktorie [Zostavovateľ, editor] ; Žítek, Vladimír [Zostavovateľ, editor]. – 1. vyd. – Roč. 25. – Brno (Česko) : Masarykova univerzita, 2022. – ISBN 978-80-280-0068-4, s. 281-288 [CD-ROM] </t>
  </si>
  <si>
    <t xml:space="preserve">Case Study Comparing the Accuracy Classification  of Emotion and Analysis of Sentiment Using IBM Natural Language Understanding and Emotnizer  Applications / Magdin, Martin [Autor, UKFFPVKIN, 34%] ; Koprda, Štefan [Autor, UKFFPVKIN, 33%] ; Tuček, Daniel [Autor, UKFFPVKIN, 33%] ; International scientific conference on distance learning in applied informatics, 14 [02.05.2022-04.05.2022, Štúrovo, Slovensko]. – text. – [angličtina]. – [OV 010]. – [ŠO 2508]. – [príspevok z podujatia]. – [recenzované] In: DIVAI 2022 [elektronický dokument] : 14th international scientific conference on distance learning in applied informatics / Turčáni, Milan [Zostavovateľ, editor] ; Balogh, Zoltán [Zostavovateľ, editor] ; Munk, Michal [Zostavovateľ, editor] ; Magdin, Martin [Zostavovateľ, editor] ; Benko, Ľubomír [Zostavovateľ, editor] ; Francisti, Jan [Zostavovateľ, editor]. – 1. vyd. – Bratislava (Slovensko) : Wolters Kluwer. Wolters Kluwer SR, 2022. – ISBN 978-80-7676-410-1. – ISSN 2464-7470. – ISSN (online) 2464-7489, s. 404-413 [online] </t>
  </si>
  <si>
    <t xml:space="preserve">Case study in the structure of teacher education for technical professions / Harangozó, Jozef [Autor, UKFPFAKTT, 25%] ; Tureková, Ivana [Autor, UKFPFAKTT, 25%] ; Valentová, Monika [Autor, UKFPFAKTT, 25%] ; Brečka, Peter [Autor, UKFPFAKTT, 25%] ; International Technology, Education and Development Conference 2022, 16 [07.03.2022-08.03.2022, Valencia, Španielsko]. – text. – [angličtina]. – [OV 010]. – [ŠO 7605]. – [príspevok z podujatia]. – [recenzované]. – DOI 10.21125/inted.2022.0800 In: INTED2022 Conference Proceedings [elektronický dokument] : 16th International Technology, Education and Development Conference / Chova, Luis Goméz [Zostavovateľ, editor] ; López Martínez, Agustín [Zostavovateľ, editor] ; Candel Torres, Ignacio [Zostavovateľ, editor]. – 1. vyd. – Barcelona (Španielsko) : IATED, 2022. – (INTED Proceedings, ISSN 2340-1079). – ISBN 978-84-09-37758-9. – ISSN 2340-1079, s. 2746-2753 [online] [USB kľúč] </t>
  </si>
  <si>
    <t xml:space="preserve">CFU assay of rabbit bone marrow CD45 depleted cells / Vašíček, Jaromír [Autor, SPUFBP31, 20%] ; Svoradová, Andrea [Autor, UKFFPVKZA, 16%] ; Vozaf, Jakub [Autor, SPUFBP31, 16%] ; Baláži, Andrej [Autor, 16%] ; Bauer, Miroslav [Autor, UKFFPVKBG, 16%] ; Chrenek, Peter [Autor, SPUFBP31, 16%] ; Food/Bio/Tech, 15 [05.10.2022-06.10.2022, Nitra, Slovensko]. – [angličtina]. – [OV 120]. – [ŠO 2908]. – [abstrakt z podujatia - KP] In: Food/Bio/Tech [elektronický dokument] : book of abstracts of the 15th international scientific conference organized by the Faculty of Biotechnology and Food Science, Slovak University of Agriculture in Nitra, Slovac Republic, October 5-6, 2022 / Mašková, Zuzana [Zostavovateľ, editor] ; Solgajová, Miriam [Zostavovateľ, editor] ; Drábová, Blažena [Zostavovateľ, editor] ; Hollý, Dominik [Zostavovateľ, editor] ; Kolesárová, Adriana [Zostavovateľ, editor] ; Tančinová, Dana [Recenzent] ; Balážová, Želmíra [Recenzent] ; Roychoudhury, Shubhadeep [Recenzent]. – 1. vyd. – Nitra (Slovensko) : Slovenská poľnohospodárska univerzita v Nitre, 2022. – ISBN 978-80-552-2517-3, s. 76-76 [online] </t>
  </si>
  <si>
    <t xml:space="preserve">Comparison of Novel Approach to Part-Of-Speech  Tagging of Slovak Language / Benko, Ľubomír [Autor, UKFFPVKIN, 50%] ; Benková, Lucia [Autor, UKFFPVKIN, 50%] ; International scientific conference on distance learning in applied informatics, 14 [02.05.2022-04.05.2022, Štúrovo, Slovensko]. – text. – [angličtina]. – [OV 010]. – [ŠO 2508]. – [príspevok z podujatia]. – [recenzované] In: DIVAI 2022 [elektronický dokument] : 14th international scientific conference on distance learning in applied informatics / Turčáni, Milan [Zostavovateľ, editor] ; Balogh, Zoltán [Zostavovateľ, editor] ; Munk, Michal [Zostavovateľ, editor] ; Magdin, Martin [Zostavovateľ, editor] ; Benko, Ľubomír [Zostavovateľ, editor] ; Francisti, Jan [Zostavovateľ, editor]. – 1. vyd. – Bratislava (Slovensko) : Wolters Kluwer. Wolters Kluwer SR, 2022. – ISBN 978-80-7676-410-1. – ISSN 2464-7470. – ISSN (online) 2464-7489, s. 327-333 [online] </t>
  </si>
  <si>
    <t xml:space="preserve">Cornelian cherry extract influences expression of bone-related genes in cultivated osteoblasts / Omelka, Radoslav [Autor, UKFFPVKBG, 16%] ; Mondočková, Vladimíra [Autor, UKFFPVKBG, 12%] ; Kováčová, Veronika [Autor, UKFFPVKZA, 12%] ; Blahová, Jana [Autor, UKFFPVKBG, 12%] ; Bábiková, Martina [Autor, UKFFPVKBG, 12%] ; Budzák, Šimon [Autor, UMBFP08, 12%] ; Capcarová, Marcela [Autor, SPUFBP30, 12%] ; Martiniaková, Monika [Autor, UKFFPVKZA, 12%] ; Animal Physiology 2022, 17 [01.06.2022-03.06.2022, Košice, Slovensko]. – text. – [angličtina]. – [OV 130]. – [ŠO 1536]. – [abstrakt z podujatia - KP]. – [recenzované] In: Animal physiology 2022 [textový dokument (print)] : book of abstracts from international conference / Čikoš, Štefan [Zostavovateľ, editor] ; Pogány Simonová, Monika [Zostavovateľ, editor] ; Batťányi, Dominika [Zostavovateľ, editor] ; Kucková, Katarína [Zostavovateľ, editor]. – 1. vyd. – Bratislava (Slovensko) : Slovenská akadémia vied, 2022. – ISBN 978-80-974246-0-2, s. 83-83 [tlačená forma] </t>
  </si>
  <si>
    <t xml:space="preserve">Cracks in two-dimensional magneto-electro-elastic medium / Nosov, Dmytro [Autor, UKFFPVKFY, 34%] ; Filshtinsky, Leonid [Autor, 33%] ; Mityushev, Vladimir [Autor, 33%]. – text. – [angličtina]. – [OV 091]. – [ŠO 1160]. – [kapitola]. – [recenzované]. – DOI 10.1016/B978-0-32-390543-5.00007-4. – SCO In: Mechanics and Physics of Structured Media [textový dokument (print)] : Asymptotic and Integral Equations Methods of Leonid Filshtinsky / Andrianov, Igor [Zostavovateľ, editor] ; Gluzman, Simon [Zostavovateľ, editor] ; Mityushev, Vladimir [Zostavovateľ, editor]. – 1. vyd. – London (Veľká Británia) : Elsevier. Academic Press, 2022. – ISBN 978-0-323-90543-5, s. 41-61 [tlačená forma] </t>
  </si>
  <si>
    <t xml:space="preserve">Creation of interactive educational trail by secondary education students / Jakab, Imrich [Autor, UKFFPVKEE, 25%] ; Szabová, Lucia [Autor, UKFFPVKEE, 25%] ; Skokanová, Katarína [Autor, 25%] ; Čamejková, Jana [Autor, 25%] ; European Conference on e-Learning, 20 [28.10.2021-29.10.2021, Berlin, Nemecko]. – text. – [angličtina]. – [OV 100]. – [ŠO 1610]. – [príspevok z podujatia]. – WOS CC ; SCO In: ECEL 2021 [elektronický dokument] : 20th European Conference on e-Learning, online conference / [bez zostavovateľa] [Zostavovateľ, editor]. – 1. vyd. – Berlín (Nemecko) : University of Applied Sciences HTW, 2022. – ISBN 9781914587191. – ISSN 2048-8637, s. 227-232 [online] </t>
  </si>
  <si>
    <t xml:space="preserve">Critical hybrid editions / Rácová, Katarína [Autor, UKFFFAKHI, 100%] ; Macedonian Literary Archive [29.06.2021-30.06.2021, Skopje, Macedónsko]. – text. – [angličtina]. – [OV 020]. – [ŠO 7320]. – [príspevok z podujatia] In: Macedonian Literary Archive : From Manuscript To Digital Culture [textový dokument (print)] / Avramovska, Nataša [Zostavovateľ, editor] ; Mojsieva Guševa, Jasmina [Recenzent]. – 1. vyd. – Skopje (Macedónsko) : Saints Cyril and Methodius University of Skopje. Institute of Macedonian Literature, 2022. – ISBN 978-608-4744-32-0, s. 353-362 [tlačená forma] [online] </t>
  </si>
  <si>
    <t xml:space="preserve">Current Metrics for Automatic Evaluation of  Machine Translation / Benková, Lucia [Autor, UKFFPVKIN, 100%] ; International scientific conference on distance learning in applied informatics, 14 [02.05.2022-04.05.2022, Štúrovo, Slovensko]. – text. – [angličtina]. – [OV 010]. – [ŠO 2508]. – [príspevok z podujatia]. – [recenzované] In: DIVAI 2022 [elektronický dokument] : 14th international scientific conference on distance learning in applied informatics / Turčáni, Milan [Zostavovateľ, editor] ; Balogh, Zoltán [Zostavovateľ, editor] ; Munk, Michal [Zostavovateľ, editor] ; Magdin, Martin [Zostavovateľ, editor] ; Benko, Ľubomír [Zostavovateľ, editor] ; Francisti, Jan [Zostavovateľ, editor]. – 1. vyd. – Bratislava (Slovensko) : Wolters Kluwer. Wolters Kluwer SR, 2022. – ISBN 978-80-7676-410-1. – ISSN 2464-7470. – ISSN (online) 2464-7489, s. 334-344 [online] </t>
  </si>
  <si>
    <t xml:space="preserve">Death as radical border (About Jan Čep ́s novel The Border of a Shadow) / Gallik, Ján [Autor, UKFFSSUSJ, 100%] ; The Figurativeness of the Language of Mystical Experience [29.06.2021-30.06.2021, Madrid, Španielsko]. – text. – [angličtina]. – [OV 020]. – [ŠO 7320]. – [príspevok z podujatia]. – DOI 10.5817/CZ.MUNI.P210-9997-2021-4 In: The Figurativeness of the Language of Mystical Experience [elektronický dokument] : Particularities and Interpretations. Virtual international conference proceedings / Barnés Vázquez, Antonio [Zostavovateľ, editor] ; Kučerková, Magda [Zostavovateľ, editor] ; Hricková, Mária [Recenzent] ; Ruiz Andrés, Rafael [Recenzent]. – 1. vyd. – Brno (Česko) : Masarykova univerzita, 2021. – ISBN 978-80-210-9997-5, s. 39-47 [online] </t>
  </si>
  <si>
    <t xml:space="preserve">Definite integral computation using MATLAB computing environment / Ďuriš, Viliam [Autor, UKFFPVKMA, 50%] ; Gonda, Dalibor [Autor, ZUZRIAMOA, 50%] ; International Technology, Education and Development Conference 2022, 16 [07.03.2022-08.03.2022, Valencia, Španielsko]. – text. – [angličtina]. – [OV 010, 240]. – [ŠO 7605, 1113]. – [príspevok z podujatia]. – [recenzované]. – DOI 10.21125/inted.2022.0161 In: INTED2022 Conference Proceedings [elektronický dokument] : 16th International Technology, Education and Development Conference / Chova, Luis Goméz [Zostavovateľ, editor] ; López Martínez, Agustín [Zostavovateľ, editor] ; Candel Torres, Ignacio [Zostavovateľ, editor]. – 1. vyd. – Barcelona (Španielsko) : IATED, 2022. – (INTED Proceedings, ISSN 2340-1079). – ISBN 978-84-09-37758-9. – ISSN 2340-1079, s. 336-343 [online] [USB kľúč] </t>
  </si>
  <si>
    <t xml:space="preserve">Determinanty spolupráce a interakcie medzi učiteľom a rodičmi začínajúcich školákov / Teleková, Radka [Autor, UKFPFAKPE, 100%] ; EDUCA 17, 17 [05.05.2022, Nitra, Slovensko]. – text. – [slovenčina]. – [OV 010]. – [ŠO 7605]. – [abstrakt z podujatia - KP] In: EDUCA 17 [elektronický dokument] : vzdelanie - cesta pre všetkých. Zborník z vedeckej konferencie doktorandov s medzinárodnou účasťou, Nitra 5.5.2022 / Bielčiková, Kristína [Zostavovateľ, editor] ; Janíček Pavelová, Monika [Zostavovateľ, editor] ; Židová, Monika [Zostavovateľ, editor] ; Krystoň, Miroslav [Recenzent] ; Petlák, Erich [Recenzent]. – 1. vyd. – Nitra (Slovensko) : Univerzita Konštantína Filozofa v Nitre, 2022. – ISBN 978-80-558-1943-3, s. 67-67 [online] </t>
  </si>
  <si>
    <t xml:space="preserve">Determination of Poisson’s ratio from flexural vibration of two samples / Al-Shantir, Omar [Autor, UKFFPVKFY, 25%] ; Štubňa, Igor [Autor, UKFFPVKFY, 25%] ; Húlan, Tomáš [Autor, UKFFPVKFY, 25%] ; Trník, Anton [Autor, UKFFPVKFY, 25%]. – text. – [angličtina]. – [OV 091]. – [ŠO 1160]. – [príspevok]. – [recenzované] In: Noise and vibration in practice (Volume 25) [textový dokument (print)] : peer-reviewed scientific proceedings / Žiaran, Stanislav [Zostavovateľ, editor] ; Chlebo, Ondrej [Zostavovateľ, editor]. – 1 vyd. – Bratislava (Slovensko) : Slovenská technická univerzita v Bratislave, 2022. – ISBN 978-80-227-5203-9, s. 5-10 </t>
  </si>
  <si>
    <t xml:space="preserve">Determination of the fundamental mode of flexural vibration of solid materials and its frequency in laboratory work / Štubňa, Igor [Autor, 25%] ; Húlan, Tomáš [Autor, UKFFPVKFY, 25%] ; Ondruška, Ján [Autor, UKFFPVKFY, 25%] ; Trník, Anton [Autor, UKFFPVKFY, 25%] ; DIDFYZ 2021, 22 [13.10.2021-16.10.2021, Terchová, Slovensko]. – text. – [angličtina]. – [OV 091]. – [ŠO 1160]. – [príspevok z podujatia]. – [recenzované]. – DOI 10.1063/5.0078316. – SCO In: DIDFYZ 2021 [elektronický dokument] : Didactic Transfer of Physics Knowledge through Distance Information / Valovičová, Ľubomíra [Zostavovateľ, editor] ; Ondruška, Ján [Zostavovateľ, editor] ; Zelenický, Ľubomír [Zostavovateľ, editor]. – 1. vyd. – č. 2458. – Melville (USA) : American Institute of Physics . AIP Publishing, 2022. – ISBN 978-0-7354-4341-9, s. 1-6 [online] </t>
  </si>
  <si>
    <t xml:space="preserve">Determinovanosť športového výkonu v behu na 800 m z pohľadu druhov špeciálnej vytrvalosti / Broďáni, Jaroslav [Autor, UKFPFAKTV, 95%] ; Vlkovič, Tomáš [Autor, 5%] ; Atletika 2022 [24.11.2022, Bratislava, Slovensko]. – text. – [slovenčina]. – [OV 210]. – [ŠO 7418]. – [abstrakt z podujatia - KP] In: Atletika 2022 [elektronický dokument] : elektronický zborník z medzinárodnej vedeckej konferencie, konanej v Bratislave 24. 11. 2022 / Kampmiller, Tomáš [Zostavovateľ, editor]. – 1. vyd. – Bratislava (Slovensko) : Univerzita Komenského v Bratislave, 2022. – ISBN 978-80-8251-015-0, s. 77-77 [online] </t>
  </si>
  <si>
    <t xml:space="preserve">Deti s vývinovou dyspraxiou na základných školách / Erhardtová, Gabriela [Autor, UKFPFAKPE, 100%] ; EDUCA 16, 16 [29.04.2021, Nitra, Slovensko]. – text. – [slovenčina]. – [OV 010]. – [ŠO 7605]. – [príspevok z podujatia] In: EDUCA 16 [textový dokument (print)] : edukácia - kľúč k úspechu. Zborník príspevkov z 16. vedeckej  konferencie doktorandov s medzinárodnou účasťou, Nitra 29. apríl 2021 / Teleková, Radka [Zostavovateľ, editor] ; Koricina, Michal [Zostavovateľ, editor] ; Petlák, Erich [Recenzent] ; Krystoň, Miroslav [Recenzent]. – 1. vyd. – Nitra (Slovensko) : Univerzita Konštantína Filozofa v Nitre, 2021. – ISBN 978-80-558-1811-5, s. 133-139 [tlačená forma] </t>
  </si>
  <si>
    <t xml:space="preserve">Developing foreign language text comprehension in the process of application of intervention program for reading comprehension in English / Stranovská, Eva [Autor, UKFFFAKGE, 34%] ; Gadušová, Zdenka [Autor, UKFFFAKAA, 34%] ; Szabó, Erzsébet [Autor, UKFFFAKGE, 32%] ; International Technology, Education and Development Conference 2022, 16 [07.03.2022-08.03.2022, Valencia, Španielsko]. – text. – [angličtina]. – [OV 010]. – [ŠO 7605]. – [príspevok z podujatia]. – [recenzované]. – DOI 10.21125/inted.2022.1123 In: INTED2022 Conference Proceedings [elektronický dokument] : 16th International Technology, Education and Development Conference / Chova, Luis Goméz [Zostavovateľ, editor] ; López Martínez, Agustín [Zostavovateľ, editor] ; Candel Torres, Ignacio [Zostavovateľ, editor]. – 1. vyd. – Barcelona (Španielsko) : IATED, 2022. – (INTED Proceedings, ISSN 2340-1079). – ISBN 978-84-09-37758-9. – ISSN 2340-1079, s. 4132-4140 [online] [USB kľúč] </t>
  </si>
  <si>
    <t xml:space="preserve">Development of Adult Education through the concept of Learning Cities = Rozvoj vzdelávania dospelých prostredníctvom konceptu učiacich sa miest / Petrová, Gabriela [Autor, UKFPFAKPE, 50%] ; Koricina, Michal [Autor, UKFPFAKPE, 50%]. – text. – [angličtina]. – [OV 010]. – [ŠO 7605]. – [príspevok] In: Vzdělávání dospělých 2021 – v rozmanitých edukačních prostředích [elektronický dokument] : sborník referátů a pracovních příspěvků z 11. ročníku mezinárodní vědecké konference Vzdělávání dospělých 2021 konané v Praze 14. až 15. prosince 2021 = proceedings and Working Papers of the 11th International Adult Education Conference (IAEC 2021), 14th and 15th December 2021, Prague, Czech Republic / Kříž, Jaroslav [Zostavovateľ, editor] ; Dvořáková, Danuše [Zostavovateľ, editor] ; Lukianova, Larisa [Recenzent] ; Pirohová, Ivana [Recenzent]. – 1. vyd. – Praha (Česko) : Česká andragogická společnost, 2022. – ISBN 978-80-908330-3-6, s. 62-66 [online] </t>
  </si>
  <si>
    <t xml:space="preserve">Development of Reading Literacy in Foreign Language and Attention Deficit and Hyperactivity Disorder Children / Hvozdíková, Silvia [Autor, UKFFFAKAA, 50%] ; Stranovská, Eva [Autor, UKFFFAKGE, 50%] ; International Psychological Applications Conference and Trends 2022 [23.04.2022-25.04.2022, Madeira, Portugalsko]. – text. – [angličtina]. – [OV 060]. – [ŠO 7701]. – [príspevok z podujatia]. – [recenzované] In: Psychological Applications and Trends 2022 [textový dokument (print)] [elektronický dokument] / Pracana, Clara [Zostavovateľ, editor] ; Wang, Michael [Zostavovateľ, editor]. – 1. vyd. – Lisabon (Portugalsko) : InScience Press, 2022. – ISBN 978-989-53614-1-0. – ISSN 2184-2205. – ISSN (online) 2184-3414, s. 179-182 [tlačená forma] [online] </t>
  </si>
  <si>
    <t xml:space="preserve">Development of the critical thinking of students majoring in education by means of educational applications / Radics, Rudolf [Autor, UKFFSSUML, 100%] ; ICERI 2020 : International Conference of Education, Research and Innovation, 13 [09.11.2020-10.11.2020, Sevilla, Španielsko]. – text. – [angličtina]. – [OV 010]. – [ŠO 7605]. – [príspevok z podujatia]. – [recenzované]. – DOI 10.21125/iceri.2020.0309 In: ICERI 2020 [elektronický dokument] : 13th international conference of education, research and innovation : transforming education, transforming lives / Gómez Chova, Luis [Zostavovateľ, editor] ; Martínez, Augustín López [Zostavovateľ, editor] ; Torres, I. Candel [Zostavovateľ, editor]. – 1. vyd. – Valencia (Španielsko) : IATED, 2020. – ISBN 978-84-09-24232-0. – ISSN 2340-1095, s. 1116-1122 [USB kľúč] </t>
  </si>
  <si>
    <t xml:space="preserve">Diagnostika a intervencia u žiakov s vývinovou dyspraxiou / Erhardtová, Gabriela [Autor, UKFPFAKPE, 50%] ; Janíček Pavelová, Monika [Autor, UKFPFAKPE, 50%] ; EDUCA 17, 17 [05.05.2022, Nitra, Slovensko]. – text. – [slovenčina]. – [OV 010]. – [ŠO 7605]. – [príspevok z podujatia] In: EDUCA 17 [elektronický dokument] : vzdelanie - cesta pre všetkých. Zborník z vedeckej konferencie doktorandov s medzinárodnou účasťou, Nitra 5.5.2022 / Bielčiková, Kristína [Zostavovateľ, editor] ; Janíček Pavelová, Monika [Zostavovateľ, editor] ; Židová, Monika [Zostavovateľ, editor] ; Krystoň, Miroslav [Recenzent] ; Petlák, Erich [Recenzent]. – 1. vyd. – Nitra (Slovensko) : Univerzita Konštantína Filozofa v Nitre, 2022. – ISBN 978-80-558-1943-3, s. 40-48 [online] </t>
  </si>
  <si>
    <t xml:space="preserve">Didactic aspects of concept maps in the education by the electronic educational modules / Tomková, Viera [Autor, UKFPFAKTT, 34%] ; Bánesz, Gabriel [Autor, UKFPFAKTT, 33%] ; Lukáčová, Danka [Autor, UKFPFAKTT, 33%] ; International Technology, Education and Development Conference 2022, 16 [07.03.2022-08.03.2022, Valencia, Španielsko]. – text. – [angličtina]. – [OV 010]. – [ŠO 7605]. – [príspevok z podujatia]. – [recenzované] In: INTED2022 Conference Proceedings [elektronický dokument] : 16th International Technology, Education and Development Conference / Chova, Luis Goméz [Zostavovateľ, editor] ; López Martínez, Agustín [Zostavovateľ, editor] ; Candel Torres, Ignacio [Zostavovateľ, editor]. – 1. vyd. – Barcelona (Španielsko) : IATED, 2022. – (INTED Proceedings, ISSN 2340-1079). – ISBN 978-84-09-37758-9. – ISSN 2340-1079, s. 5481 [online] [USB kľúč] </t>
  </si>
  <si>
    <t xml:space="preserve">Didaktické spracovanie tematického celku Zdravie a život človeka v siedmom ročníku 2. stupňa základnej školy / Matejovičová, Barbora [Autor, UKFFPVKZA, 35%] ; Hrmová, Barbora [Autor, 35%] ; Schlarmannová, Janka [Autor, UKFFPVKZA, 30%]. – text. – [slovenčina]. – [OV 130]. – [ŠO 1536]. – [príspevok] In: Skvalitňovanie prípravy budúcich učiteľov prírodovedných, poľnohospodárskych a príbuzných odborov [elektronický dokument] / Sandanusová, Anna [Zostavovateľ, editor] ; Dytrtová, Radmila [Zostavovateľ, editor] ; Morovič, Martin [Recenzent] ; Švecová, Milada [Recenzent] ; Vondráková, Mária [Recenzent]. – 1. vyd. – Nitra (Slovensko) : Univerzita Konštantína Filozofa v Nitre, 2021. – ISBN 978-80-558-1865-8, s. 131-143 [online] </t>
  </si>
  <si>
    <t xml:space="preserve">Didaktické využitie zoologických záhrad / Blunár, Juraj [Autor, 20%] ; Schlarmannová, Janka [Autor, UKFFPVKZA, 80%]. – text. – [slovenčina]. – [OV 130]. – [ŠO 1536]. – [príspevok] In: Skvalitňovanie prípravy budúcich učiteľov prírodovedných, poľnohospodárskych a príbuzných odborov [elektronický dokument] / Sandanusová, Anna [Zostavovateľ, editor] ; Dytrtová, Radmila [Zostavovateľ, editor] ; Morovič, Martin [Recenzent] ; Švecová, Milada [Recenzent] ; Vondráková, Mária [Recenzent]. – 1. vyd. – Nitra (Slovensko) : Univerzita Konštantína Filozofa v Nitre, 2021. – ISBN 978-80-558-1865-8, s. 119-124 [online] </t>
  </si>
  <si>
    <t xml:space="preserve">Die lehre über die inspiration im mittelalter und am Tridentinischen konzil / Hlad, Ľubomír [Autor, UKFFFAKNS, 50%] ; Tyrol, Anton [Autor, Teologický inštitút KU, 50%] ; Martín, José García [Recenzent] ; Ostrowska, Monika [Recenzent] ; Forschungen im Bereich der Theologie, Sozialwissenschaften und sakralen Kunst über die "Terra Scepusiensis - Zips" in der Slowakei [28.12.2021, Wien, Rakúsko]. – [nemčina]. – [OV 020]. – [ŠO 6171]. – [príspevok z podujatia] In: Forschungen im Bereich der Theologie, Sozialwissenschaften und sakralen Kunst über die "Terra Scepusiensis - Zips" in der Slowakei [textový dokument (print)] / Mazur, Slawomir [Zostavovateľ, editor]. – 1. vyd. – Wien (Rakúsko) : International Stiftung Schulung, 2021. – ISBN 978-3-9504895-5-2, s. 67-78 </t>
  </si>
  <si>
    <t xml:space="preserve">Differences in compact bone microstructures between females of European badger,  raccoon dog and raccoon / Babosová, Ramona [Autor, UKFFPVKZA, 50%] ; Zedda, Marco [Autor, 20%] ; Bauerová, Mária [Autor, UKFFPVKBG, 10%] ; Merta, Dorota [Autor, 5%] ; Orłowska, Lidia [Autor, 5%] ; Albrycht, Marzena [Autor, 5%] ; Zyśk, Bartolomej [Autor, 5%] ; Animal Physiology 2022, 17 [01.06.2022-03.06.2022, Košice, Slovensko]. – text. – [angličtina]. – [OV 130]. – [ŠO 1536]. – [abstrakt z podujatia - KP]. – [recenzované] In: Animal physiology 2022 [textový dokument (print)] : book of abstracts from international conference / Čikoš, Štefan [Zostavovateľ, editor] ; Pogány Simonová, Monika [Zostavovateľ, editor] ; Batťányi, Dominika [Zostavovateľ, editor] ; Kucková, Katarína [Zostavovateľ, editor]. – 1. vyd. – Bratislava (Slovensko) : Slovenská akadémia vied, 2022. – ISBN 978-80-974246-0-2, s. 42-42 [tlačená forma] </t>
  </si>
  <si>
    <t xml:space="preserve">Discipline chemical excursion in the education of pre-service chemistry teachers, connection of theory with practice / Feszterová, Melánia [Autor, UKFFPVKCH, 50%] ; Jenisová, Zita [Autor, UKFFPVKCH, 50%] ; EDULEARN21 [05.07.2021-06.07.2021, Barcelona, Španielsko]. – text. – [angličtina]. – [OV 010]. – [ŠO 7605]. – [príspevok z podujatia]. – [recenzované]. – DOI 10.21125/edulearn.2021.0596 In: EDULEARN21 [elektronický dokument] : 13th annual International Conference on Education and New Learning Technologies, Barcelona, 5th - 6th of July, 2021 / Chova, Luis Goméz [Zostavovateľ, editor] ; Martínez, Augustín López [Zostavovateľ, editor] ; Torres, I. [Zostavovateľ, editor]. – 1. vyd. – Roč. 13. – Barcelona (Španielsko) : IATED, 2021. – ISBN 978-84-09-31267-2. – ISSN 2340-1117, s. 2749-2757 [CD-ROM] [USB kľúč] </t>
  </si>
  <si>
    <t xml:space="preserve">Divadelná avantgarda v Rusku a Čechách / Sondorová, Dominika [Autor, UKFPFAKHU, 70%] ; Tischler, Ladislav [Autor, UKFPFAKHU, 30%] ; Horizonty umenia, 8 [10.09.2021-15.09.2021, Banská Bystrica, Slovensko]. – text. – [slovenčina]. – [OV 010]. – [ŠO 7605]. – [príspevok z podujatia] In: Horizonty umenia 8 [textový dokument (print)] : Zborník príspevkov z medzinárodnej vedeckej webovej konferencie 10.9.2021-15.9.2021 / Strenáčiková, Mária [Zostavovateľ, editor] ; Kolodziejski, Maciej [Recenzent] ; Dushnyi, Andrij [Recenzent] ; Janek, Marián [Recenzent]. – 1. vyd. – Roč. 8. – Banská Bystrica (Slovensko) : Akadémia umení. Fakulta múzických umení, 2021. – ISBN 978-80-8206-049-5, s. 149-156 [tlačená forma] </t>
  </si>
  <si>
    <t xml:space="preserve">Diverzifikácia rodiny a jej vplyv na život dieťaťa / Gužiková, Libuša [Autor, UKFPFAKPE, 100%] ; EDUCA 17, 17 [05.05.2022, Nitra, Slovensko]. – text. – [slovenčina]. – [OV 010]. – [ŠO 7605]. – [príspevok z podujatia] In: EDUCA 17 [elektronický dokument] : vzdelanie - cesta pre všetkých. Zborník z vedeckej konferencie doktorandov s medzinárodnou účasťou, Nitra 5.5.2022 / Bielčiková, Kristína [Zostavovateľ, editor] ; Janíček Pavelová, Monika [Zostavovateľ, editor] ; Židová, Monika [Zostavovateľ, editor] ; Krystoň, Miroslav [Recenzent] ; Petlák, Erich [Recenzent]. – 1. vyd. – Nitra (Slovensko) : Univerzita Konštantína Filozofa v Nitre, 2022. – ISBN 978-80-558-1943-3, s. 31-39 [online] </t>
  </si>
  <si>
    <t xml:space="preserve">Does an author leave a syntactic footprint? / Čech, Radek [Autor, 25%] ; Kubát, Miroslav [Autor, 25%] ; Mačutek, Ján [Autor, UKFFPVKMA, 25%] ; Koščová, Michaela [Autor, 25%] ; JADT 2022, 16 [06.07.2022-08.07.2022, Neapol, Taliansko]. – text. – [angličtina]. – [OV 240]. – [ŠO 1113]. – [príspevok z podujatia] In: JADT 2022 [textový dokument (print)] : proceedings of the 16th International Conference on Statistical Analysis of Textual Data, Neapol, 6.-8.07.2022 / Misuraca, Michelangelo [Zostavovateľ, editor] ; Belfiore, Alesandra [Recenzent] ; Gnasso, Agostino [Recenzent]. – 1. vyd. – Neapol (Taliansko) : Vadistat Press, 2022. – ISBN 979-12-80153-30-2, s. 221-228 </t>
  </si>
  <si>
    <t xml:space="preserve">Dopady globálních pandemií na příkladu Kuby, země orientované na cestovní ruch = The effects of global pandemics on the example of Cuba, a tourism-oriented country / Chalupa, Petr [Autor, 34%] ; Veselovský, Ján [Autor, UKFFPVKGR, 33%] ; Krogmann, Alfred [Autor, UKFFPVKGR, 33%] ; Aktuální problémy cestovního ruchu, 16 [02.03.2022-03.03.2022, Jihlava, Česko]. – text. – [slovenčina]. – [OV 092]. – [ŠO 1217]. – [príspevok z podujatia] In: Aktuální problémy cestovního ruchu [elektronický dokument] : krizová řešení pro cestovní ruch. Recenzovaný sborník z mezinárodní konference / Linderová, Ivica [Zostavovateľ, editor]. – 1. vyd. – Jihlava (Česko) : Vysoká škola polytechnická Jihlava, 2022. – ISBN (online) 978-80-88064-57-2, s. 155-163 [online] </t>
  </si>
  <si>
    <t xml:space="preserve">Dopady pandémie COVID-19 na rozširovanie potravinových púští v meste Nitra / Trembošová, Miroslava [Autor, UKFFPVKGR, 90%] ; Jakab, Imrich [Autor, UKFFPVKEE, 10%] ; Medzinárodné geografické kolokvium, 9 [20.10.2021-22.10.2021, Danišovce, Slovensko]. – text. – [slovenčina]. – [OV 092]. – [ŠO 1217]. – [abstrakt z podujatia - KP]. – [recenzované] In: Zborník abstraktov z 9. medzinárodného geografického kolokvia [textový dokument (print)] [elektronický dokument] / Kulla, Marián [Zostavovateľ, editor] ; Novotný, Ladislav [Zostavovateľ, editor] ; Onačillová, Katarína [Zostavovateľ, editor] ; Laubertová, Daniela [Zostavovateľ, editor]. – 1. vyd. – Košice (Slovensko) : Univerzita Pavla Jozefa Šafárika v Košiciach. Prírodovedecká fakulta. Ústav geografie, 2021. – ISBN 978-80-574-0025-7. – sign UPJS SSEP 022414, s. 52-52 [tlačená forma] </t>
  </si>
  <si>
    <t xml:space="preserve">Dostupnosť obcí Trnavského samosprávneho kraja pre pravidelné dochádzanie do krajského mesta (porovnanie výhodnosti hlavných druhov verejnej dopravy na území / Trembošová, Miroslava [Autor, UKFFPVKGR, 90%] ; Kohutiar, Samuel [Autor, 10%] ; Medzinárodné geografické kolokvium, 8 [24.10.2018-26.10.2018, Danišovce, Slovensko]. – text. – [angličtina]. – [OV 092]. – [ŠO 1217]. – [abstrakt z podujatia - KP]. – [recenzované] In: Zborník abstraktov z 8. medzinárodného geografického kolokvia [textový dokument (print)] / Kulla, Marián [Zostavovateľ, editor] ; Novotný, Ladislav [Zostavovateľ, editor] ; Onačillová, Katarína [Zostavovateľ, editor]. – 1. vyd. – Košice (Slovensko) : Univerzita Pavla Jozefa Šafárika v Košiciach, 2018. – ISBN 978-80-8152-646-6. – sign UPJS SSEP 019619, s. 42-42 [tlačená forma] </t>
  </si>
  <si>
    <t xml:space="preserve">Drama pedagogy for public education and higher education / Radics, Rudolf [Autor, UKFFSSUML, 50%] ; Benyovszky, Kristian [Autor, UKFFSSUML, 50%] ; EDULEARN21 [05.07.2021-06.07.2021, Barcelona, Španielsko]. – text. – [angličtina]. – [OV 010]. – [ŠO 7605]. – [príspevok z podujatia]. – [recenzované]. – DOI 10.21125/edulearn.2021.1400 In: EDULEARN21 [elektronický dokument] : 13th annual International Conference on Education and New Learning Technologies, Barcelona, 5th - 6th of July, 2021 / Chova, Luis Goméz [Zostavovateľ, editor] ; Martínez, Augustín López [Zostavovateľ, editor] ; Torres, I. [Zostavovateľ, editor]. – 1. vyd. – Roč. 13. – Barcelona (Španielsko) : IATED, 2021. – ISBN 978-84-09-31267-2. – ISSN 2340-1117, s. 6932-6937 [CD-ROM] [USB kľúč] </t>
  </si>
  <si>
    <t xml:space="preserve">Dramatik Rudolf Sloboda na Slovensku a v Čechách (intersemiotické hľadanie) / Inštitorisová, Dagmar [Autor, UKFFFAKMR, 100%] ; 6. kongres světové literárnévědné bohemistiky, 6 [27.06.2022-01.07.2022, Praha, Česko]. – text. – [slovenčina]. – [OV 020]. – [ŠO 7205]. – [abstrakt z podujatia - KP]. – [recenzované] In: 6. kongres světové literárnévědné bohemistiky [textový dokument (print)] : Na križovatkách. Koncepce, otázky a perspektivy literárněvědné bohemistiky v globálním světe. Praha 27.06. - 01.07.2022 / Šimák, Pavel [Zostavovateľ, editor]. – 1. vyd. – Praha (Česko) : Akademie věd České republiky, 2022. – ISBN 978-80-7658-051-0, s. 20-21 [tlačená forma] </t>
  </si>
  <si>
    <t xml:space="preserve">Dynamika výkonov cestovného ruchu na Slovensku v rokoch 2016 - 2020 = Dynamics of tourism indicators in Slovakia in the years 2016 - 2020 / Krogmann, Alfred [Autor, UKFFPVKGR, 25%] ; Kramáreková, Hilda [Autor, UKFFPVKGR, 25%] ; Nemčíková, Magdaléna [Autor, UKFFPVKGR, 25%] ; Oremusová, Daša [Autor, UKFFPVKGR, 25%] ; Aktuální problémy cestovního ruchu, 16 [02.03.2022-03.03.2022, Jihlava, Česko]. – text. – [slovenčina]. – [OV 092]. – [ŠO 1217]. – [príspevok z podujatia] In: Aktuální problémy cestovního ruchu [elektronický dokument] : krizová řešení pro cestovní ruch. Recenzovaný sborník z mezinárodní konference / Linderová, Ivica [Zostavovateľ, editor]. – 1. vyd. – Jihlava (Česko) : Vysoká škola polytechnická Jihlava, 2022. – ISBN (online) 978-80-88064-57-2, s. 176-185 [online] </t>
  </si>
  <si>
    <t xml:space="preserve">ECG in distance education of nurses and rescuers / Líšková, Miroslava [Autor, UKFFSVKOS, 34%] ; Brázdilová, Dana [Autor, UKFFSVKUM, 33%] ; Archalousová, Alexandra [Autor, UKFFSVKOS, 33%] ; DIDFYZ 2021, 22 [13.10.2021-16.10.2021, Terchová, Slovensko]. – text. – [angličtina]. – [OV 180]. – [ŠO 5602]. – [príspevok z podujatia]. – [recenzované]. – DOI 10.1063/5.0078399. – SCO In: DIDFYZ 2021 [elektronický dokument] : Didactic Transfer of Physics Knowledge through Distance Information / Valovičová, Ľubomíra [Zostavovateľ, editor] ; Ondruška, Ján [Zostavovateľ, editor] ; Zelenický, Ľubomír [Zostavovateľ, editor]. – 1. vyd. – č. 2458. – Melville (USA) : American Institute of Physics . AIP Publishing, 2022. – ISBN 978-0-7354-4341-9, s. 1-9 [online] </t>
  </si>
  <si>
    <t xml:space="preserve">Educate the Administrative Officers - Applicability of Field Research in Education / Schulcz, Patrik [Autor, UKFFSSUML, 100%] ; EDULEARN21 [05.07.2021-06.07.2021, Barcelona, Španielsko]. – text. – [angličtina]. – [OV 020]. – [ŠO 7320]. – [príspevok z podujatia]. – DOI 10.21125/edulearn.2021.0864 In: EDULEARN21 [elektronický dokument] : 13th annual International Conference on Education and New Learning Technologies, Barcelona, 5th - 6th of July, 2021 / Chova, Luis Goméz [Zostavovateľ, editor] ; Martínez, Augustín López [Zostavovateľ, editor] ; Torres, I. [Zostavovateľ, editor]. – 1. vyd. – Roč. 13. – Barcelona (Španielsko) : IATED, 2021. – ISBN 978-84-09-31267-2. – ISSN 2340-1117, s. 4087-4093 [CD-ROM] [USB kľúč] </t>
  </si>
  <si>
    <t xml:space="preserve">Edukácia seniorov so zdravotným znevýhodnením v inštitucionálnej starostlivosti / Kováčová, Andrea [Autor, UKFPFAKPE, 100%] ; EDUCA 17, 17 [05.05.2022, Nitra, Slovensko]. – text. – [slovenčina]. – [OV 010]. – [ŠO 7605]. – [príspevok z podujatia] In: EDUCA 17 [elektronický dokument] : vzdelanie - cesta pre všetkých. Zborník z vedeckej konferencie doktorandov s medzinárodnou účasťou, Nitra 5.5.2022 / Bielčiková, Kristína [Zostavovateľ, editor] ; Janíček Pavelová, Monika [Zostavovateľ, editor] ; Židová, Monika [Zostavovateľ, editor] ; Krystoň, Miroslav [Recenzent] ; Petlák, Erich [Recenzent]. – 1. vyd. – Nitra (Slovensko) : Univerzita Konštantína Filozofa v Nitre, 2022. – ISBN 978-80-558-1943-3, s. 86-91 [online] </t>
  </si>
  <si>
    <t xml:space="preserve">Edukačné aktivity v oblasti zdravia a zdravého životného štýlu na základnej škole / Fatrcová Šramková, Katarína [Autor, SPUFAP33, 34%] ; Turčanová, Erika [Autor, 33%] ; Juríková, Tünde [Autor, UKFFSSUVP, 33%] ; EDUCO 2022, 17 [16.05.2022, Zlín, Česko]. – text. – [slovenčina]. – [OV 010, 190]. – [ŠO 7605, 4190, 1536]. – [príspevok z podujatia]. – [recenzované] In: EDUCO 2022 [textový dokument (print)] [elektronický dokument] : didaktické a environmentální aspekty přípravy učitelů přírodovědných, zemědělských a příbuzných oborů v kontextu strategie evropského vzdělávání / Dytrtová, Radmila [Zostavovateľ, editor] ; Jirsáková, Jitka [Zostavovateľ, editor] ; Sandanusová, Anna [Zostavovateľ, editor] ; Karabacak, Eda [Zostavovateľ, editor]. – 1. vyd. – Praha (Česko) : Česká zemědelská univerzita v Praze, 2022. – ISBN 978-80-213-3194-5, s. 26-37 [tlačená forma] </t>
  </si>
  <si>
    <t xml:space="preserve">Edukačné príležitosti starších dospelých na slovensku a v Európskej únii / Koricina, Michal [Autor, UKFPFAKPE, 100%] ; EDUCA 17, 17 [05.05.2022, Nitra, Slovensko]. – text. – [slovenčina]. – [OV 010]. – [ŠO 7605]. – [príspevok z podujatia] In: EDUCA 17 [elektronický dokument] : vzdelanie - cesta pre všetkých. Zborník z vedeckej konferencie doktorandov s medzinárodnou účasťou, Nitra 5.5.2022 / Bielčiková, Kristína [Zostavovateľ, editor] ; Janíček Pavelová, Monika [Zostavovateľ, editor] ; Židová, Monika [Zostavovateľ, editor] ; Krystoň, Miroslav [Recenzent] ; Petlák, Erich [Recenzent]. – 1. vyd. – Nitra (Slovensko) : Univerzita Konštantína Filozofa v Nitre, 2022. – ISBN 978-80-558-1943-3, s. 81-85 [online] </t>
  </si>
  <si>
    <t xml:space="preserve">Effect of cadmium on the rhizopheric microorganisms of the sunflower / Lengyelová, Libuša [Autor, UKFFPVKBG, 25%] ; Piršelová, Beáta [Autor, UKFFPVKBG, 25%] ; Galuščáková, Ľudmila [Autor, UKFFPVKBG, 20%] ; Kuna, Roman [Autor, UKFFPVKBG, 10%] ; Boleček, Peter [Autor, UKFFPVKBG, 10%] ; Mészáros, Patrik [Autor, UKFFPVKBG, 10%] ; QUAERE 2022, 12 [27.06.2022-29.06.2022, Hradec Králové, Česko]. – text, graf., tab. – [angličtina]. – [OV 130]. – [ŠO 1536]. – [príspevok z podujatia]. – [recenzované] In: QUAERE 2022 [elektronický dokument] : recenzovaný sborník příspěvků interdisciplinární mezinárodní vědecké konference doktorandů a odborných asistentů / [bez zostavovateľa] [Zostavovateľ, editor]. – 1. vyd. – Hradec Králové (Česko) : Magnanimitas akademické sdružení, 2022. – ISBN (online) 978-80-87952-36-8, s. 230-236 [online] </t>
  </si>
  <si>
    <t xml:space="preserve">Effectiveness of Selected Wireless Sensor Protocols  and Their Security / Balogh, Zoltán [Autor, UKFFPVKIN, 34%] ; Francisti, Jan [Autor, UKFFPVKIN, 33%] ; Fodor, Kristián [Autor, UKFFPVKIN, 33%] ; International scientific conference on distance learning in applied informatics, 14 [02.05.2022-04.05.2022, Štúrovo, Slovensko]. – text. – [angličtina]. – [OV 010]. – [ŠO 2508]. – [príspevok z podujatia]. – [recenzované] In: DIVAI 2022 [elektronický dokument] : 14th international scientific conference on distance learning in applied informatics / Turčáni, Milan [Zostavovateľ, editor] ; Balogh, Zoltán [Zostavovateľ, editor] ; Munk, Michal [Zostavovateľ, editor] ; Magdin, Martin [Zostavovateľ, editor] ; Benko, Ľubomír [Zostavovateľ, editor] ; Francisti, Jan [Zostavovateľ, editor]. – 1. vyd. – Bratislava (Slovensko) : Wolters Kluwer. Wolters Kluwer SR, 2022. – ISBN 978-80-7676-410-1. – ISSN 2464-7470. – ISSN (online) 2464-7489, s. 317-326 [online] </t>
  </si>
  <si>
    <t xml:space="preserve">Effectiveness of the training programme for the development of teachers' emotional intelligence / Rapsová, Lucia [Autor, UKFPFAKPE, 60%] ; Zimanová, Radka [Autor, UKFPFAKPE, 40%] ; Mezinárodní Masarykova konference pro doktorandy a mladé vědecké pracovníky 2021, 12 [20.12.2021-22.12.2021, Hradec Králové, Česko]. – text. – [slovenčina]. – [OV 010]. – [ŠO 7605]. – [príspevok z podujatia]. – [recenzované] In: MMK 2021 [elektronický dokument] : Mezinárodní Masarykova konference pro doktorandy a mladé vědecké pracovníky : recenzovaný sborník příspěvků mezinárodní vědecké konference / [bez zostavovateľa] [Zostavovateľ, editor]. – 1. vyd. – Roč. 12. – Hradec Králové (Česko) : Magnanimitas akademické sdružení, 2021. – ISBN 978-80-87952-35-1, s. 417-429 [online] </t>
  </si>
  <si>
    <t xml:space="preserve">Eggshell calcium more effectively ameliorates bone loss in ovariectomized rats than inorganic calcium carbonate / Bábiková, Martina [Autor, UKFFPVKBG, 20%] ; Martiniaková, Monika [Autor, UKFFPVKZA, 15%] ; Kováčová, Veronika [Autor, UKFFPVKZA, 15%] ; Švík, Karol [Autor, 10%] ; Slovák, Lukáš [Autor, 10%] ; Vozár, Juraj [Autor, 5%] ; Šoltésová-Prnová, Marta [Autor, 10%] ; Omelka, Radoslav [Autor, UKFFPVKBG, 15%] ; Animal Physiology 2022, 17 [01.06.2022-03.06.2022, Košice, Slovensko]. – text. – [angličtina]. – [OV 130]. – [ŠO 1536]. – [abstrakt z podujatia - KP]. – [recenzované] In: Animal physiology 2022 [textový dokument (print)] : book of abstracts from international conference / Čikoš, Štefan [Zostavovateľ, editor] ; Pogány Simonová, Monika [Zostavovateľ, editor] ; Batťányi, Dominika [Zostavovateľ, editor] ; Kucková, Katarína [Zostavovateľ, editor]. – 1. vyd. – Bratislava (Slovensko) : Slovenská akadémia vied, 2022. – ISBN 978-80-974246-0-2, s. 41-41 [tlačená forma] </t>
  </si>
  <si>
    <t xml:space="preserve">Egy kortárs ifjúsági projekt margójára: „Tiéd a gyűjtemény!” / Brutovszky, Gabriella [Autor, UKFFSSUML, 100%]. – text. – [maďarčina]. – [OV 010]. – [ŠO 7605]. – [príspevok] In: Gyermek - kultúra - pedagógia [textový dokument (print)] / Bús, Imre [Zostavovateľ, editor] ; Szécsi, Gábor [Recenzent] ; Kocsisné Farkas, Claudia [Recenzent]. – 1. vyd. – Szekszárd (Maďarsko) : A kiadást a Pécsi Tudományegyetem Centenáriumi programsorozata támogatta, 2021. – ISBN 978-963-429-621-8, s. 196-201 [tlačená forma] </t>
  </si>
  <si>
    <t xml:space="preserve">El amor, el erotismo y el cuerpo en la poética de Triperuno de Edoardo Sanguineti / Gritti, Fabiano [Autor, UKFFFAKRO, 100%]. – text. – [španielčina]. – [OV 020]. – [ŠO 7320]. – [kapitola] In: Semiótica del eros [textový dokument (print)] / Lampis, Mirko [Zostavovateľ, editor] ; Di Vico, Paolo [Zostavovateľ, editor] ; Chicharro Chamorro, Antonio [Recenzent] ; González de Ávila, Manuel [Recenzent]. – 1. vyd. – Sevilla (Španielsko) : Ediciones Alfar, 2021. – ISBN 978-84-7898-931-7, s. 161-186 [1,38 AH] [tlačená forma] </t>
  </si>
  <si>
    <t xml:space="preserve">El erotismo en "Jacinta la pelirroja" de José Moreno Villa / De Miguel Santos, César [Autor, UKFFFAKRO, 100%]. – text. – [španielčina]. – [OV 020]. – [ŠO 7320]. – [kapitola] In: Semiótica del eros [textový dokument (print)] / Lampis, Mirko [Zostavovateľ, editor] ; Di Vico, Paolo [Zostavovateľ, editor] ; Chicharro Chamorro, Antonio [Recenzent] ; González de Ávila, Manuel [Recenzent]. – 1. vyd. – Sevilla (Španielsko) : Ediciones Alfar, 2021. – ISBN 978-84-7898-931-7, s. 127-159 [tlačená forma] </t>
  </si>
  <si>
    <t xml:space="preserve">E-Learning and its Verification on the Example of  Teaching Remote Sensing at the Constantine the  Philosopher University in Nitra in Last Decade / Boltižiar, Martin [Autor, UKFFPVKGR, 100%] ; International scientific conference on distance learning in applied informatics, 14 [02.05.2022-04.05.2022, Štúrovo, Slovensko]. – text. – [angličtina]. – [OV 010]. – [ŠO 2508]. – [príspevok z podujatia]. – [recenzované] In: DIVAI 2022 [elektronický dokument] : 14th international scientific conference on distance learning in applied informatics / Turčáni, Milan [Zostavovateľ, editor] ; Balogh, Zoltán [Zostavovateľ, editor] ; Munk, Michal [Zostavovateľ, editor] ; Magdin, Martin [Zostavovateľ, editor] ; Benko, Ľubomír [Zostavovateľ, editor] ; Francisti, Jan [Zostavovateľ, editor]. – 1. vyd. – Bratislava (Slovensko) : Wolters Kluwer. Wolters Kluwer SR, 2022. – ISBN 978-80-7676-410-1. – ISSN 2464-7470. – ISSN (online) 2464-7489, s. 33-44 [online] </t>
  </si>
  <si>
    <t xml:space="preserve">Embodied ideas / Tomašková, Silvia [Autor, UKFFFAKFI, 100%] ; Kognice a umělý život 2022, 20 [30.05.2022-01.06.2022, Třešť, Česko]. – text. – [angličtina]. – [OV 020]. – [ŠO 6107]. – [príspevok z podujatia] In: Kognice a umělý život 20 [elektronický dokument] : recenzovaný sborník / Šejnová, Gabriela [Zostavovateľ, editor] ; Vavrečka, Michal [Zostavovateľ, editor] ; Hvorecký, Juraj [Zostavovateľ, editor]. – 1. vyd. – Praha (Česko) : České vysoké učení technické v Praze, 2022. – ISBN (online) 978-80-01-07007-9, s. 133-137 [online] </t>
  </si>
  <si>
    <t xml:space="preserve">Emócie vo vyučovaní cudzích jazykov / Kamenická, Jana [Autor, UKFPFAKLI, 100%]. – text. – [slovenčina]. – [OV 010]. – [ŠO 7605]. – [príspevok] In: Humanitné a spoločenské vedy v pregraduálnom vzdelávaní 6 [elektronický dokument] : zborník vedeckých prác a vedeckých štúdií = non-conference reviewed collection of papers / Adamcová, Lívia [Zostavovateľ, editor] ; Harajová, Alica [Recenzent] ; Smetanová, Eva [Recenzent]. – 1. vyd. – Bratislava (Slovensko) : Z-F LINGUA, 2022. – ISBN 978-80-8177-092-0. – TUTPFKNJ signatúra E092644, s. 41-55 [CD-ROM] </t>
  </si>
  <si>
    <t xml:space="preserve">Emocionálna inteligencia a vzťahová väzba dospievajúcich v kontexte počtu súrodencov = Emotional intelligence and attachment of adolescents in the context of the number of siblings / Zajková, Anežka [Autor, 50%] ; Gatial, Viktor [Autor, UKFPFAKAP, 50%]. – text. – [slovenčina]. – [OV 010]. – [ŠO 7605]. – [príspevok] In: Konvergencie vedeckej činnosti študentov a učiteľov 3 [textový dokument (print)] / Verešová, Marcela [Zostavovateľ, editor] ; Valihorová, Marta [Recenzent] ; Pavelová, Ľuba [Recenzent]. – 1. vyd. – Nitra (Slovensko) : Univerzita Konštantína Filozofa v Nitre, 2022. – ISBN 978-80-558-1902-0, s. 121-133 [tlačená forma] </t>
  </si>
  <si>
    <t xml:space="preserve">Emotion as a Key to Learning Foreign Languages / Stančeková, Svetlana [Autor, UKFFFAKRO, 50%] ; Chválová, Katarína [Autor, UCMFIFKAAM, 50%] ; International Research Conference on Education, Language, and Literature, 11 [21.11.2021-23.11.2021, Tbilisi, Gruzínsko]. – text. – [angličtina]. – [OV 010, 020]. – [ŠO 7605, 7320]. – [príspevok z podujatia]. – [recenzované] In: IRCEELT 2021 [textový dokument (print)] : 11th International Research Conference on Education, Language, and Literature / Doghonadze, Natela [Zostavovateľ, editor]. – 1. vyd. – Roč. 11. – Tbilisi (Gruzínsko) : International Black Sea University, 2021. – ISSN 2298-0180, s. 368-374 [online] </t>
  </si>
  <si>
    <t xml:space="preserve">Empirical aspects of educational needs of headteachers in comparison with abroad / Pisoňová, Mária [Autor, UKFPFAKPE, 50%] ; Pappová, Mária [Autor, UKFPFAKPE, 50%] ; Adult Education 2021 - In Diverse Learning Environments, 11 [14.12.2021-15.12.2021, Praha, Česko]. – text. – [angličtina]. – [OV 010]. – [ŠO 7605]. – [príspevok z podujatia] In: Adult Education 2021 - In Diverse Learning Environments [elektronický dokument] [textový dokument (print)] : Proceedings from 11. International scientific Conference, Prague 14. - 15. 12.2021 / Kříž, Jaroslav [Zostavovateľ, editor] ; Svobodová, Zuzana [Zostavovateľ, editor] ; Lukianova, Larisa [Recenzent] ; Marianowska, Anna [Recenzent] ; Matouš, Zdeněk [Recenzent] ; Pirohová, Ivana [Recenzent] ; Šip, Maroš [Recenzent] ; Pavlov, Ivan [Recenzent] ; Vaněček, David [Recenzent]. – 1. vyd. – Praha (Česko) : Česká andragogická společnost, 2022. – ISBN 978-80-908330-0-5. – ISBN (online) 978-80-908330-2-9. – ISSN 2571-3841. – ISSN (online) 2571-385X, s. 273-288 [online] [tlačená forma] </t>
  </si>
  <si>
    <t xml:space="preserve">Employers Requirements for Graduates of Vocational Education and Training in Study Branches Transport and Automotive Service and Repair / Hašková, Alena [Autor, UKFPFAKTT, 35%] ; Zatkalík, Dominik [Autor, 35%] ; Zatkalik, Martin [Autor, 30%] ; International Conference on Interactive Collaborative Learning, 24 [22.09.2021-24.09.2021, Dresden, Nemecko]. – text. – [angličtina]. – [OV 010]. – [ŠO 7605]. – [príspevok z podujatia]. – [recenzované]. – DOI 10.1007/978-3-030-93907-6_36. – WOS CC ; SCO In: Mobility for smart cities and regional development - challenges for higher education (2) [textový dokument (print)] [elektronický dokument] : Proceedings of the 24th International Conference on Interactive Collaborative Learning (ICL2021) / Auer, Michael [Zostavovateľ, editor] ; Hortsch, Hanno [Zostavovateľ, editor] ; Michler, Oliver [Zostavovateľ, editor] ; Köhler, Thomas [Zostavovateľ, editor]. – 1. vyd. – Cham (Švajčiarsko) : Springer Nature. Springer, 2022. – (Lecture Notes in Networks and Systems, ISSN 2367-3370, ISSN 2367-3389 ; 390). – ISBN 978-3-030-93906-9. – ISBN (online) 978-3-030-93907-6, s. 331-339 [tlačená forma] [online] </t>
  </si>
  <si>
    <t xml:space="preserve">Essays’ Automatic Evaluation / Nagy, Kitti [Autor, UKFFPVKIN, 100%] ; International scientific conference on distance learning in applied informatics, 14 [02.05.2022-04.05.2022, Štúrovo, Slovensko]. – text. – [angličtina]. – [OV 010]. – [ŠO 2508]. – [príspevok z podujatia]. – [recenzované] In: DIVAI 2022 [elektronický dokument] : 14th international scientific conference on distance learning in applied informatics / Turčáni, Milan [Zostavovateľ, editor] ; Balogh, Zoltán [Zostavovateľ, editor] ; Munk, Michal [Zostavovateľ, editor] ; Magdin, Martin [Zostavovateľ, editor] ; Benko, Ľubomír [Zostavovateľ, editor] ; Francisti, Jan [Zostavovateľ, editor]. – 1. vyd. – Bratislava (Slovensko) : Wolters Kluwer. Wolters Kluwer SR, 2022. – ISBN 978-80-7676-410-1. – ISSN 2464-7470. – ISSN (online) 2464-7489, s. 414-423 [online] </t>
  </si>
  <si>
    <t xml:space="preserve">Evaluation of oocyte quality by Lissamine Green B and its impact on embryo production in vitro / Bartková, Alexandra [Autor, UKFFPVKBG, 72%] ; Němcová, Lucie [Autor, 5%] ; Strejček, František [Autor, UKFFPVKBG, 5%] ; Benc, Michal [Autor, UKFFPVKBG, 5%] ; Morovič, Martin [Autor, UKFFPVKZA, 5%] ; Murín, Matej [Autor, UKFFPVKBG, 1%] ; Procházka, Radek [Autor, 1%] ; Laurinčík, Jozef [Autor, UKFFPVKZA, 6%] ; Animal Physiology 2022, 17 [01.06.2022-03.06.2022, Košice, Slovensko]. – text. – [angličtina]. – [OV 200]. – [ŠO 1536]. – [abstrakt z podujatia - KP]. – [recenzované] In: Animal physiology 2022 [textový dokument (print)] : book of abstracts from international conference / Čikoš, Štefan [Zostavovateľ, editor] ; Pogány Simonová, Monika [Zostavovateľ, editor] ; Batťányi, Dominika [Zostavovateľ, editor] ; Kucková, Katarína [Zostavovateľ, editor]. – 1. vyd. – Bratislava (Slovensko) : Slovenská akadémia vied, 2022. – ISBN 978-80-974246-0-2, s. 15-15 [tlačená forma] </t>
  </si>
  <si>
    <t xml:space="preserve">Example of gamification supporting elimination of shortcomings in pupils’ learning achievements / Záhorec, Ján [Autor, UKOPDDPP, 40%] ; Hašková, Alena [Autor, UKFPFAKTT, 30%] ; Brečka, Peter [Autor, UKFPFAKTT, 30%] ; International Conference on Interactive Collaborative Learning, 24 [22.09.2021-24.09.2021, Dresden, Nemecko]. – text, tab., obr. – [angličtina]. – [OV 010]. – [ŠO 7605]. – [príspevok z podujatia]. – SIGN-UKO PD DP/22. – WOS CC ; SCO In: Mobility for smart cities and regional development - challenges for higher education (2) [textový dokument (print)] [elektronický dokument] : Proceedings of the 24th International Conference on Interactive Collaborative Learning (ICL2021) / Auer, Michael [Zostavovateľ, editor] ; Hortsch, Hanno [Zostavovateľ, editor] ; Michler, Oliver [Zostavovateľ, editor] ; Köhler, Thomas [Zostavovateľ, editor]. – 1. vyd. – Cham (Švajčiarsko) : Springer Nature. Springer, 2022. – (Lecture Notes in Networks and Systems, ISSN 2367-3370, ISSN 2367-3389 ; 390). – ISBN 978-3-030-93906-9. – ISBN (online) 978-3-030-93907-6, s. 361-372 [tlačená forma] [online] </t>
  </si>
  <si>
    <t xml:space="preserve">Executive functions and interaction style of In-service teachers (pilot study) / Ballová Mikušková, Eva [Autor, UKFPFAKAP, 100%] ; International Technology, Education and Development Conference 2022, 16 [07.03.2022-08.03.2022, Valencia, Španielsko]. – [angličtina]. – [OV 010]. – [ŠO 7605]. – [príspevok z podujatia]. – [recenzované]. – TRUNI ohlas * In: INTED2022 Conference Proceedings [elektronický dokument] : 16th International Technology, Education and Development Conference / Chova, Luis Goméz [Zostavovateľ, editor] ; López Martínez, Agustín [Zostavovateľ, editor] ; Candel Torres, Ignacio [Zostavovateľ, editor]. – 1. vyd. – Barcelona (Španielsko) : IATED, 2022. – (INTED Proceedings, ISSN 2340-1079). – ISBN 978-84-09-37758-9. – ISSN 2340-1079, s. 2245-2249 [online] [USB kľúč] </t>
  </si>
  <si>
    <t xml:space="preserve">Exekutívne funkcie dospievajúcich vo veku 10-15 rokov. Vývinové trendy = Executive functions of adolescents aged 10-15. Developmental trends / Čerešník, Michal [Autor, PEUFPSUVP, 50%] ; Čerešníková, Miroslava [Autor, UKFFSVURS, 50%] ; Pozitívna psychológia pre pozitívny život [04.02.2022, Bratislava, Slovensko]. – text, graf., tab. – [slovenčina]. – [OV 060]. – [ŠO 7701]. – [príspevok z podujatia]. – PEVŠ ID-459728 In: Pozitívna psychológia pre pozitívny život [elektronický dokument] / Gajdošová, Eva [Zostavovateľ, editor] ; Valihorová, Marta [Recenzent] ; Dědová, Mária [Recenzent]. – 1. vyd. – Bratislava (Slovensko) : Paneurópska vysoká škola, 2022. – ISBN (online) 978-80-89453-99-3. – PEVŠ ID-459198, s. 69-82 [online] </t>
  </si>
  <si>
    <t xml:space="preserve">Exekutívne funkcie v kontexte profesijných kompetencií budúcich učiteľov / Mesíková, Anna Mária [Autor, 50%] ; Juhásová, Andrea [Autor, UKFPFAKAP, 50%]. – text. – [slovenčina]. – [OV 010]. – [ŠO 7605]. – [príspevok] In: Konvergencie vedeckej činnosti študentov a učiteľov 3 [textový dokument (print)] / Verešová, Marcela [Zostavovateľ, editor] ; Valihorová, Marta [Recenzent] ; Pavelová, Ľuba [Recenzent]. – 1. vyd. – Nitra (Slovensko) : Univerzita Konštantína Filozofa v Nitre, 2022. – ISBN 978-80-558-1902-0, s. 70-79 [tlačená forma] </t>
  </si>
  <si>
    <t xml:space="preserve">Existenciály - slávy miera humanistiky, jej lesku a biedy / Plesník, Ľubomír [Autor, UKFFFAKAE, 100%]. – text. – [slovenčina]. – [OV 020]. – [ŠO 7320]. – [príspevok] In: Poetika festivity [textový dokument (print)] / Zajac, Peter [Zostavovateľ, editor] ; Kazalarska, Zornitza [Recenzent] ; Paštéková, Jelena [Recenzent]. – 1. vyd. – Bratislava (Slovensko) : Slovenská akadémia vied. Veda, vydavateľstvo Slovenskej akadémie vied, 2021. – ISBN 978-80-224-1935-2, s. 112-126 [tlačená forma] </t>
  </si>
  <si>
    <t xml:space="preserve">Exploring Geolocation Data: An Inquiry-based Methodology Used in Lower Secondary Education / Lovászová, Gabriela [Autor, UKFFPVKIN, 50%] ; Michaličková, Viera [Autor, UKFFPVKIN, 50%] ; Computer Supported Education 2022, 14 [22.04.2022-24.04.2022, [S. l.], Virtuálny priestor]. – text. – [angličtina]. – [OV 010]. – [ŠO 7605, 2508]. – [príspevok z podujatia]. – [recenzované]. – DOI 10.5220/0011036300003182. – WOS CC ; SCO In: Proceedings of the 14th International Conference on Computer Supported Education (Volume 2) [textový dokument (print)] / Cukurova, Mutlu [Zostavovateľ, editor] ; Rummel, Nikol [Zostavovateľ, editor] ; Gillet, Denis [Zostavovateľ, editor] ; McLaren, Bruce M. [Zostavovateľ, editor] ; Uhomoibhi, James [Zostavovateľ, editor]. – 1. vyd. – Setúbal (Portugalsko) : SciTePress, 2022. – ISBN (online) 978-989-758-562-3, s. 351-360 [online] </t>
  </si>
  <si>
    <t xml:space="preserve">Extrakcia kľúčových slov pre účel analýzy výsledkov vyhľadávania / Kelebercová, Lívia [Autor, UKFFPVKIN, 100%] ; Študentská vedecká konferencia 2022 [06.04.2022, Nitra, Slovensko]. – text. – [slovenčina]. – [OV 160]. – [ŠO 2508]. – [príspevok z podujatia] In: Študentská vedecká konferencia 2022 [elektronický dokument] : zborník recenzovaných príspevkov / Spišiak, Ján [Zostavovateľ, editor] ; Račáková, Slavka [Zostavovateľ, editor] ; Voštinár, Patrik [Recenzent] ; Vagač, Michal [Recenzent]. – 1. vyd. – Banská Bystrica (Slovensko) : Univerzita Mateja Bela v Banskej Bystrici, 2022. – ISBN 978-80-557-1984-9, s. 236-242 [online] </t>
  </si>
  <si>
    <t xml:space="preserve">Extrémizmus v oficiálnej rétorike európskych inštitúcií / Brhlíková, Radoslava [Autor, UKFFFAKPO, 100%]. – text. – [slovenčina]. – [OV 060]. – [ŠO 6718]. – [príspevok] In: Kríza demokracie a nárast extrémistických nálad v Európe [textový dokument (print)] / Diener, Lenka [Zostavovateľ, editor] ; Jahelka, Tomáš [Zostavovateľ, editor] ; Kudláčová, Blanka [Recenzent] ; Zenderowski, Radosław [Recenzent]. – 1. vyd. – Trnava (Slovensko) : Trnavská univerzita v Trnave. Typi Universitatis Tyrnaviensis, spoločné pracovisko Trnavskej univerzity v Trnave a Vedy, vydavateľstva Slovenskej akadémie vied ; Trnavská univerzita v Trnave. Filozofická fakulta, 2021. – ISBN 978-80-568-0433-9. – TUT ID E089855, s. 139-160 [tlačená forma] </t>
  </si>
  <si>
    <t xml:space="preserve">Fairy tale as a part of development of communication about nature at nursery school / Trníková, Jana [Autor, UKFPFAKLI, 50%] ; Valovičová, Ľubomíra [Autor, UKFFPVKFY, 50%] ; DIDFYZ 2021, 22 [13.10.2021-16.10.2021, Terchová, Slovensko]. – text. – [angličtina]. – [OV 010]. – [ŠO 1160]. – [príspevok z podujatia]. – [recenzované]. – DOI 10.1063/5.0078280. – SCO In: DIDFYZ 2021 [elektronický dokument] : Didactic Transfer of Physics Knowledge through Distance Information / Valovičová, Ľubomíra [Zostavovateľ, editor] ; Ondruška, Ján [Zostavovateľ, editor] ; Zelenický, Ľubomír [Zostavovateľ, editor]. – 1. vyd. – č. 2458. – Melville (USA) : American Institute of Physics . AIP Publishing, 2022. – ISBN 978-0-7354-4341-9, s. 1-9 [online] </t>
  </si>
  <si>
    <t xml:space="preserve">Faktory ovplyvňujúce záujem o vyučovanie športovej gymnastiky / Czaková, Monika [Autor, UKFPFAKTV, 50%] ; Furdanová, Jesika [Autor, 50%]. – text. – [slovenčina]. – [OV 210]. – [ŠO 7605]. – [príspevok] In: Šport a rekreácia 2022 (Recenzovaný nekonferenčný zborník vedecko-výskumných a odborných prác, zameraný na prezentáciu poznatkov v oblasti športu, telesnej výchovy, diagnostiky, zdravia, rekreácie, cestovného ruchu, regenerácie, manažmentu, atď.) [textový dokument (print)] [elektronický dokument] : zborník vedeckých prác / Broďáni, Jaroslav [Zostavovateľ, editor] ; Czaková, Monika [Zostavovateľ, editor] ; Bartík, Pavol [Recenzent] ; Šimonek, Jaromír [Recenzent] ; Kanásová, Janka [Recenzent] ; Halmová, Nora [Recenzent] ; Broďáni, Jaroslav [Recenzent] ; Horička, Pavol [Recenzent] ; Divinec, Lenka [Recenzent] ; Czaková, Natália [Recenzent] ; Vašková, Monika [Recenzent] ; Kraček, Stanislav [Recenzent]. – 1. vyd. – Roč. 12. – Nitra (Slovensko) : Univerzita Konštantína Filozofa v Nitre. Pedagogická fakulta UKF. Katedra telesnej výchovy a športu, 2022. – ISBN 978-80-558-1905-1, s. 85-93 [tlačená forma] [online] </t>
  </si>
  <si>
    <t xml:space="preserve">Family and Media in the 21st Century / Židová, Monika [Autor, UKFPFAKPE, 50%] ; Bielčiková, Kristína [Autor, UKFPFAKPE, 50%] ; QUAERE 2022, 12 [27.06.2022-29.06.2022, Hradec Králové, Česko]. – text. – [angličtina]. – [OV 010]. – [ŠO 7605]. – [príspevok z podujatia]. – [recenzované]. – DOI 10.33543/q2022.12 In: QUAERE 2022 [elektronický dokument] : recenzovaný sborník příspěvků interdisciplinární mezinárodní vědecké konference doktorandů a odborných asistentů / [bez zostavovateľa] [Zostavovateľ, editor]. – 1. vyd. – Hradec Králové (Česko) : Magnanimitas akademické sdružení, 2022. – ISBN (online) 978-80-87952-36-8, s. 349-354 [online] </t>
  </si>
  <si>
    <t xml:space="preserve">Filozofický pohľad na vybrané aspekty religiozity a spirituality na Slovensku / Pružinec, Tomáš [Autor, UKFFFAKFI, 100%]. – text. – [slovenčina]. – [OV 020]. – [ŠO 6107]. – [príspevok] In: Aktuální otázky filozoficko-sociálního výzkumu [textový dokument (print)] / Králik, Roman [Zostavovateľ, editor] ; Maturkanič, Patrik [Zostavovateľ, editor] ; Dolista, Josef [Recenzent] ; Zimny, Jan [Recenzent]. – 1. vyd. – Terezín (Česko) : Vysoká škola aplikované psychologie, 2021. – ISBN 978-80-87871-16-4, s. 20-30 [tlačená forma] </t>
  </si>
  <si>
    <t xml:space="preserve">Fluorescent analysis of Slovak national rabbit breeds sperm / Vozaf, Jakub [Autor, SPUFBP31, 16%] ; Svoradová, Andrea [Autor, UKFFPVKZA, 14%] ; Baláži, Andrej [Autor, 14%] ; Vašíček, Jaromír [Autor, SPUFBP31, 14%] ; Čurlej, Jozef [Autor, SPUFBP32, 14%] ; Kubovičová, Elena [Autor, 14%] ; Chrenek, Peter [Autor, SPUFBP31, 14%] ; Animal Physiology 2022, 17 [01.06.2022-03.06.2022, Košice, Slovensko]. – [angličtina]. – [OV 120]. – [ŠO 2908]. – [abstrakt z podujatia - KP]. – [recenzované] In: Animal physiology 2022 [textový dokument (print)] : book of abstracts from international conference / Čikoš, Štefan [Zostavovateľ, editor] ; Pogány Simonová, Monika [Zostavovateľ, editor] ; Batťányi, Dominika [Zostavovateľ, editor] ; Kucková, Katarína [Zostavovateľ, editor]. – 1. vyd. – Bratislava (Slovensko) : Slovenská akadémia vied, 2022. – ISBN 978-80-974246-0-2, s. 102-102 [tlačená forma] </t>
  </si>
  <si>
    <t xml:space="preserve">Forest pedagogy as one of the approaches to sustainable development in education / Kollárová, Dana [Autor, UKFPFAKPE, 50%] ; Borisová, Simona [Autor, UKFPFAKPE, 50%] ; ICERI2022, 15 [07.11.2022-09.11.2022, Seville, Španielsko]. – text. – [angličtina]. – [OV 010]. – [ŠO 7605]. – [príspevok z podujatia] In: ICERI2022 [elektronický dokument] : 15th annual International Conference of Education, Research and Innovation, 7th - 9th of November, 2022 / Chova, Luis Goméz [Zostavovateľ, editor]. – 1. vyd. – Seville (Španielsko) : IATED, 2022. – ISBN 978-84-09-45476-1, s. 374-380 </t>
  </si>
  <si>
    <t xml:space="preserve">Formovanie straníckeho systému na Slovensku po novembri 1989 / Krno, Svetozár [Autor, UKFFFAKPO, 100%]. – text. – [slovenčina]. – [OV 060]. – [ŠO 6718]. – [príspevok] In: Cesta Slovenska k vzniku samostatného štátu v roku 1993 [textový dokument (print)] / Pekník, Miroslav [Zostavovateľ, editor] ; Goněc, Vladimír [Recenzent] ; Liďák, Ján [Recenzent] ; Zelenák, Peter [Recenzent]. – 1. vyd. – Bratislava (Slovensko) : Slovenská akadémia vied. Veda, vydavateľstvo Slovenskej akadémie vied, 2021. – (Monografie a štúdie ; zv. 33). – ISBN 978-80-224-1920-8, s. 170-192 [tlačená forma] </t>
  </si>
  <si>
    <t xml:space="preserve">Freedom and Upbringing in the context of global changes / Jarmoch, Edward Zygmunt [Autor, Teologický inštitút KU, 50%] ; Lesková, Andrea [Autor, UKFFFAKAE 06.2022, 50%] ; Forschungen im Bereich der Theologie, Sozialwissenschaften und sakralen Kunst über die "Terra Scepusiensis - Zips" in der Slowakei [28.12.2021, Wien, Rakúsko]. – text. – [angličtina]. – [OV 020]. – [ŠO 6107]. – [príspevok z podujatia] In: Forschungen im Bereich der Theologie, Sozialwissenschaften und sakralen Kunst über die "Terra Scepusiensis - Zips" in der Slowakei [textový dokument (print)] / Mazur, Slawomir [Zostavovateľ, editor] ; Martín, José García [Recenzent] ; Ostrowska, Monika [Recenzent]. – 1. vyd. – Wien (Rakúsko) : International Stiftung Schulung, 2021. – ISBN 978-3-9504895-5-2, s. 161-170 </t>
  </si>
  <si>
    <t xml:space="preserve">Gamification as a means to increase teaching efficiency / Brečka, Peter [Autor, UKFPFAKTT, 25%] ; Šebo, Miroslav [Autor, UKFPFAKTT, 25%] ; Hašková, Alena [Autor, UKFPFAKTT, 25%] ; Záhorec, Ján [Autor, UKOPDDPP, 25%] ; EDULEARN22, 14 [04.07.2022-06.07.2022, Palma de Mallorca, Španielsko]. – text. – [angličtina]. – [OV 010]. – [ŠO 7605]. – [príspevok z podujatia]. – [recenzované]. – DOI 10.21125/edulearn.2022.0506. – SIGN-UKO PD DP/22 In: EDULEARN22 - 14th International Conference on Education and New Learning Technologies, July 4th-6th, 2022, Palma, Mallorca, Spain [elektronický dokument] / Chova, Luis Goméz [Zostavovateľ, editor] ; Martínez, Augustín López [Zostavovateľ, editor] ; Lees, Joanna [Zostavovateľ, editor]. – 1 vyd. – Palma (Španielsko) : IATED, 2022. – (EDULEARN Proceedings, ISSN 2340-1117). – ISBN 978-84-09-42484-9, s. 1920-1925 [online] [CD-ROM] [USB kľúč] </t>
  </si>
  <si>
    <t xml:space="preserve">Gemologická analýza nekovových artefaktov s okrasnou funkciou = Gemmological analysis of non-metal artefacts with the decorative function / Štubňa, Ján [Autor, UKFFPVKGR, 90%] ; Illášová, Ľudmila [Autor, UKFFPVGMU, 10%]. – text. – [slovenčina]. – [OV 030]. – [ŠO 7115]. – [príspevok] In: Pohrebisko z obdobia avarského kaganátu vo Veľkom Mederi [textový dokument (print)] / Zábojník, Jozef [Autor] ; Varsik, Vladimír [Autor] ; Galuška, Luděk [Recenzent] ; Borzová, Zuzana [Recenzent]. – 1. vyd. – Nitra (Slovensko) : Slovenská akadémia vied, 2021. – (Archaeologica Slovaca Monographiae : Fontes ; Tomus XXXII). – ISBN 978-80-8196-049-9. – TUT ID E091601, s. 193-206 [CD-ROM] </t>
  </si>
  <si>
    <t xml:space="preserve">Genesis and Development of the Volcanic Landscape in the Slovenské stredohorie Mts. : Part II Landscapes and Landforms. Chapter 8 / Šimon, Ladislav [Autor, 50%] ; Lacika, Ján [Autor, UKFFPVKGR, 50%]. – text. – [angličtina]. – [OV 092]. – [ŠO 1217]. – [kapitola]. – [recenzované]. – SCO In: Landscapes and Landforms of Slovakia [textový dokument (print)] [elektronický dokument] / Lehotský, Milan [Zostavovateľ, editor] ; Boltižiar, Martin [Zostavovateľ, editor]. – 1. vyd. – Cham (Švajčiarsko) : Springer Nature, 2022. – (World Geomorphological Landscapes, ISSN 2213-2104, ISSN 2213-2090). – ISBN 978-3-030-89292-0. – ISBN (online) 978-3-030-89293-7, s. 137-162 [tlačená forma] [online] </t>
  </si>
  <si>
    <t xml:space="preserve">Geoheritage, Historical and Cultural Landscape and Its Protection in Slovakia : Part III Geoheritage and Landscape Protection. Chapter 21 / Štrba, Ľubomír [Autor, 101401, 20%] ; Lacika, Ján [Autor, UKFFPVKGR, 20%] ; Huba, Mikuláš [Autor, 20%] ; Liščák, Pavel [Autor, 20%] ; Molokáč, Mário [Autor, 101401, 20%]. – text. – [angličtina]. – [OV 092, 110]. – [ŠO 1217, 2118]. – [kapitola]. – [recenzované]. – DOI 10.1007/978-3-030-89293-7_21. – SIGN-TUKE 303179. – SCO In: Landscapes and Landforms of Slovakia [textový dokument (print)] [elektronický dokument] / Lehotský, Milan [Zostavovateľ, editor] ; Boltižiar, Martin [Zostavovateľ, editor]. – 1. vyd. – Cham (Švajčiarsko) : Springer Nature, 2022. – (World Geomorphological Landscapes, ISSN 2213-2104, ISSN 2213-2090). – ISBN 978-3-030-89292-0. – ISBN (online) 978-3-030-89293-7, s. 415-437 [tlačená forma] [online] </t>
  </si>
  <si>
    <t xml:space="preserve">Graphic function as a carrier of information about changes in nature and society / Zelenický, Ľubomír [Autor, UKFFPVKFY, 34%] ; Horváthová, Daniela [Autor, 33%] ; Rakovská, Mária [Autor, 33%] ; DIDFYZ 2021, 22 [13.10.2021-16.10.2021, Terchová, Slovensko]. – text. – [angličtina]. – [OV 010]. – [ŠO 7605]. – [príspevok z podujatia]. – [recenzované]. – DOI 10.1063/5.007870S. – SCO In: DIDFYZ 2021 [elektronický dokument] : Didactic Transfer of Physics Knowledge through Distance Information / Valovičová, Ľubomíra [Zostavovateľ, editor] ; Ondruška, Ján [Zostavovateľ, editor] ; Zelenický, Ľubomír [Zostavovateľ, editor]. – 1. vyd. – č. 2458. – Melville (USA) : American Institute of Physics . AIP Publishing, 2022. – ISBN 978-0-7354-4341-9, s. 1-8 [online] </t>
  </si>
  <si>
    <t xml:space="preserve">Guidance for Introductory Programming Courses Creation Using Microlearning and Automated Assessment / Skalka, Ján [Autor, UKFFPVKIN, 20%] ; Benko, Ľubomír [Autor, UKFFPVKIN, 20%] ; Drlík, Martin [Autor, UKFFPVKIN, 20%] ; Munk, Michal [Autor, UKFFPVKIN, 20%] ; Švec, Peter [Autor, UKFFPVKIN, 20%]. – text. – [angličtina]. – [OV 160]. – [ŠO 2508]. – [príspevok]. – [recenzované]. – DOI 10.1007/978-3-031-13359-6_3 In: Microlearning [textový dokument (print)] : New Approaches To A More Effective Higher Education / Smyrnova-Trybulska, Eugenia [Zostavovateľ, editor] ; Kommers, Piet [Zostavovateľ, editor] ; Drlík, Martin [Zostavovateľ, editor] ; Skalka, Ján [Zostavovateľ, editor]. – 1. vyd. – č. 6. – cham (Švajčiarsko) : Springer Nature. Springer International Publishing AG, 2022. – ISBN 978-3-031-13358-9. – ISBN (online) 978-3-031-13359-6, s. 43-56 [tlačená forma] [online] </t>
  </si>
  <si>
    <t xml:space="preserve">Hacia una semiótica del eros. El aspecto terminológico. Enciclopedias y diccionarios especializados = Towards a semiotics of Eros. The terminological aspect. Specialized encyclopedias and dictionaries / Lampis, Mirko [Autor, UKFFFAKRO, 100%]. – text. – [španielčina]. – [OV 020]. – [ŠO 7320]. – [príspevok]. – DOI 10.5944/signa.vol31.2022.29416. – WOS CC In: Signa [textový dokument (print)] [elektronický dokument] / [bez zostavovateľa] [Zostavovateľ, editor]. – 1. vyd. – Roč. 31. – Madrid (Španielsko) : Universidad Nacional de Educación a Distancia, 2022. – ISSN 1133-3634. – ISSN (online) 2254-9307, s. 479-501 [tlačená forma] [online] </t>
  </si>
  <si>
    <t xml:space="preserve">Három szlovákiai magyar meseregény / Bárcziová, Žofia [Autor, UKFFSSUML, 100%]. – text. – [maďarčina]. – [OV 010]. – [ŠO 7605]. – [príspevok] In: Gyermek - kultúra - pedagógia [textový dokument (print)] / Bús, Imre [Zostavovateľ, editor] ; Szécsi, Gábor [Recenzent] ; Kocsisné Farkas, Claudia [Recenzent]. – 1. vyd. – Szekszárd (Maďarsko) : A kiadást a Pécsi Tudományegyetem Centenáriumi programsorozata támogatta, 2021. – ISBN 978-963-429-621-8, s. 168-179 [tlačená forma] </t>
  </si>
  <si>
    <t xml:space="preserve">Health and physical education relationship between actual physical activity and functional fitness in elderly female / Krčmárová, Bohumila [Autor, UKFPFAKTV, 34%] ; Révay, Andrej [Autor, 33%] ; Krčmár, Matúš [Autor, UKFPFAKTV, 33%] ; 2nd International Conference of Sport, Health and Physical Education, 2 [03.11.2021-04.11.2021, Ústí nad Labem, Česko]. – text. – [angličtina]. – [OV 210]. – [ŠO 7605]. – [abstrakt z podujatia - KP] In: 2nd International Conference of Sport, Health and Physical Education [textový dokument (print)] [elektronický dokument] : Book of Abstract, Ústí nad Labem, November 3-4, 2021 / Heidler, Josef [Zostavovateľ, editor] ; Balkó, Štefan [Recenzent] ; Škopek, Martin [Recenzent]. – 1. vyd. – Ústí nad Labem (Česko) : Univerzita Jana Evangelisty Purkyně v Ústí nad Labem, 2021. – ISBN 978-80-7561-320-2, s. 70-70 [tlačená forma] </t>
  </si>
  <si>
    <t xml:space="preserve">Historical scientific and professional research of profrssors in the Spišska Kapitula / Ó Riain-Raedel, Dagmar [Autor, 50%] ; Kondrla, Peter [Autor, UKFFFAKNS, 50%]. – text. – [angličtina]. – [OV 020]. – [ŠO 6107]. – [príspevok] In: Forschungen im Bereich der Theologie, Sozialwissenschaften und sakralen Kunst über die "Terra Scepusiensis - Zips" in der Slowakei [textový dokument (print)] / Mazur, Slawomir [Zostavovateľ, editor] ; Martín, José García [Recenzent] ; Ostrowska, Monika [Recenzent]. – 1. vyd. – Wien (Rakúsko) : International Stiftung Schulung, 2021. – ISBN 978-3-9504895-5-2, s. 79-97 </t>
  </si>
  <si>
    <t xml:space="preserve">Hodnotenie tolerancie vybraných hybridov slnečnice ročnej na ióny kadmia / Piršelová, Beáta [Autor, UKFFPVKBG, 30%] ; Lengyelová, Libuša [Autor, UKFFPVKBG, 16%] ; Galuščáková, Ľudmila [Autor, UKFFPVKBG, 16%] ; Boleček, Peter [Autor, UKFFPVKBG, 16%] ; Mészáros, Patrik [Autor, UKFFPVKBG, 6%] ; Kuna, Roman [Autor, UKFFPVKBG, 16%] ; Vliv abiotických a biotických stresorů na vlastnosti rostlin, 20 [07.09.2022-08.09.2022, Zvolen, Slovensko]. – text. – [slovenčina]. – [OV 130]. – [ŠO 1536]. – [príspevok z podujatia] In: Vliv abiotických a biotických stresoru na vlastnosti rostlin 2022 [textový dokument (print)] : sborník recenzovaných vědeckých prací / Hnilička, František [Zostavovateľ, editor] ; Novák, Jan [Recenzent] ; Šlégrová, Jana [Recenzent]. – 1. vyd. – Praha (Česko) : Česká zemědelská univerzita v Praze, 2022. – ISBN 978-80-89408-36-8, s. 123-127 </t>
  </si>
  <si>
    <t xml:space="preserve">Horst Structure and Planation Surfaces—Little Carpathians Mts. : Part II Landscapes and Landforms. Chapter 7 / Lacika, Ján [Autor, UKFFPVKGR, 34%] ; Urbánek, Ján [Autor, 33%] ; Lehotský, Milan [Autor, 33%]. – text. – [angličtina]. – [OV 092]. – [ŠO 1217]. – [kapitola]. – [recenzované]. – SCO In: Landscapes and Landforms of Slovakia [textový dokument (print)] [elektronický dokument] / Lehotský, Milan [Zostavovateľ, editor] ; Boltižiar, Martin [Zostavovateľ, editor]. – 1. vyd. – Cham (Švajčiarsko) : Springer Nature, 2022. – (World Geomorphological Landscapes, ISSN 2213-2104, ISSN 2213-2090). – ISBN 978-3-030-89292-0. – ISBN (online) 978-3-030-89293-7, s. 117-136 [tlačená forma] [online] </t>
  </si>
  <si>
    <t xml:space="preserve">How to diagnose and address psychological problems in cardiac patients / Líšková, Miroslava [Autor, UKFFSVKOS, 50%] ; Mesárošová, Jozefína [Autor, UKFFSVKOS, 50%] ; Nursing of the 21st century in the process of changes 2022 [08.09.2022-09.09.2022, Nitra, Slovensko]. – text. – [angličtina]. – [OV 180]. – [ŠO 5602]. – [abstrakt z podujatia - KP] In: Nursing of the 21st century in the process of changes 2022 [elektronický dokument] : book of abstracts / Semanišinová, Mária [Zostavovateľ, editor] ; Hajduchová, Hana [Recenzent] ; Spáčilová, Zuzana [Recenzent] ; Zrubcová, Dana [Recenzent]. – 1. vyd. – Nitra (Slovensko) : Univerzita Konštantína Filozofa v Nitre, 2022. – ISBN 978-80-558-1923-5, s. 59-59 [online] </t>
  </si>
  <si>
    <t xml:space="preserve">Hudobné vzdelávanie v Štátnom učiteľskom ústave v Modre v rokoch 1870-1918 / Tavalyová, Erika [Autor, UKFPFAKHU, 100%]. – text. – [slovenčina]. – [OV 010]. – [ŠO 7605]. – [príspevok] In: Ars et  educatio VIII. [elektronický dokument] : CD-zborník vedeckých príspevkov / Procházková, Martina [Zostavovateľ, editor] ; Strenáčiková, Mária [Recenzent] ; Hudáková, Jana [Recenzent]. – 1. vyd. – Ružomberok (Slovensko) : Katolícka univerzita v Ružomberku. VERBUM - vydavateľstvo KU, 2022. – ISBN 978-80-561-0972-4, s. 68-73 [CD-ROM] </t>
  </si>
  <si>
    <t xml:space="preserve">Hugo a jeho veľký objav Štefánika / Boszorád, Martin [Autor, UKFFFAKAE, 100%] ; Stopy začiatkov, 20 [21.10.2021-24.10.2021, Krpáčovo, Slovensko]. – text. – [slovenčina]. – [OV 020]. – [ŠO 6107]. – [príspevok z podujatia] In: Stopy začiatkov [textový dokument (print)] / Kaňuch, Martin [Zostavovateľ, editor] ; Paštéková, Jelena [Recenzent] ; Filová, Eva [Recenzent]. – 1. vyd. – Bratislava (Slovensko) : Asociácia slovenských filmových klubov, 2022. – ISBN 978-80-970420-8-0, s. 90-97 [tlačená forma] </t>
  </si>
  <si>
    <t xml:space="preserve">Challenges and Pitfalls of Efforts to Design Tertiary Study Programs for School Leaders / Pisoňová, Mária [Autor, UKFPFAKPE, 50%] ; Hašková, Alena [Autor, UKFPFAKTT, 50%]. – text. – [angličtina]. – [OV 010]. – [ŠO 7605]. – [príspevok] In: Progress in Education [textový dokument (print)] [elektronický dokument] / Nata, Roberta V. [Zostavovateľ, editor]. – 1. vyd. – New York (USA) : NOVA Science Publishers, 2022. – ISBN 978-1-68507-484-5. – ISSN 1535-4806, s. 171-212 [online] [tlačená forma] </t>
  </si>
  <si>
    <t xml:space="preserve">Characterization of Brick Clays Suitable for Advanced Ceramic Building Elements / Kočí, Václav [Autor, 25%] ; Keppert, Martin [Autor, 25%] ; Trník, Anton [Autor, UKFFPVKFY, 25%] ; Černý, Robert [Autor, 25%] ; International Conference on Numerical Analysis and Applied Mathematics 2020 [17.09.2020-23.09.2020, Rodos, Grécko]. – text. – [angličtina]. – [OV 091]. – [ŠO 1160]. – [príspevok z podujatia]. – DOI 10.1063/5.0081385. – SCO In: Proceedings of the International Conference of Numerical Analysis and Applied Mathematics 2020 [elektronický dokument] / Simos, Theodore [Zostavovateľ, editor] ; Tsitouras, Charalambos [Zostavovateľ, editor]. – 1. vyd. – Melville (USA) : American Institute of Physics . AIP Publishing, 2022. – (AIP Conference Proceedings, ISSN 0094-243X, ISSN 1551-7616 ; Volume 2425). – ISBN 978-0-7354-4182-8, art. n.: 150002, s. 1-4 [tlačená forma] [online] </t>
  </si>
  <si>
    <t xml:space="preserve">Cholerová epidémia v roku 1831 a jej priebeh v banskoštiavnickom regióne / Hegyi, Elena [Autor, UKFFFAKHI, 100%] ; Svet v kríze. Od staroveku po súčasnosť [11.11.2021, Prešov, Slovensko]. – text. – [slovenčina]. – [OV 030]. – [ŠO 7115]. – [príspevok z podujatia]. – [recenzované] In: Svet v kríze. Od staroveku po súčasnosť [elektronický dokument] : recenzovaný zborník z medzinárodného doktorandského sympózia z oblasti spoločenských a humanitných vied / Kardis, Mária [Zostavovateľ, editor] ; Liptáková, Dominika [Zostavovateľ, editor]. – 1. vyd. – Prešov (Slovensko) : Prešovská univerzita v Prešove. Gréckokatolícka teologická fakulta, 2022. – ISBN (online) 978-80-555-2911-0. – SIGN-PU GTF-22 30/22, s. 100-109 [tlačená forma] [CD-ROM] </t>
  </si>
  <si>
    <t xml:space="preserve">Chrobáky (Coleoptera) vybraných lokalít inundačného územia rieky Dunaj / Langraf, Vladimír [Autor, UKFFPVKZA, 60%] ; David, Stanislav [Autor, UKFFPVKEE, 5%] ; Petrovičová, Kornélia [Autor, 30%] ; Schlarmannová, Janka [Autor, UKFFPVKZA, 5%]. – text. – [slovenčina]. – [OV 130]. – [ŠO 1536]. – [príspevok]. – [recenzované] In: Iuxta Danubium (19) [textový dokument (print)] / Csütörtöky, Jozef [Zostavovateľ, editor]. – 1. vyd. – Komárno (Slovensko) : Podunajské múzeum v Komárne, 2021. – ISBN 978-80-971781-5-4, s. 90-107 [tlačená forma] </t>
  </si>
  <si>
    <t xml:space="preserve">Identification of Gemstones in Watch by Raman Spectroscopy / Štubňa, Ján [Autor, UKFFPVKGR, 20%] ; Ušaková, Viktória [Autor, 20%] ; Bačík, Peter [Autor, UKOPRGMPLG , 20%] ; Fridrichová, Jana [Autor, UKOPRGMPLG , 20%] ; Petrikovičová, Lucia [Autor, UKFFPVKGR, 20%] ; European Symposium on Analytical Spectrometry [04.09.2022-09.09.2022, Brno, Česko]. – text. – [angličtina]. – [OV 092]. – [ŠO 1217]. – [abstrakt z podujatia - KP]. – SIGN-UKO PR 146/22 In: European Symposium on Analytical Spectrometry and Czech-Slovak Spectroscopic Conference [textový dokument (print)] [elektronický dokument] : Book of abstracts / [bez zostavovateľa] [Zostavovateľ, editor] ; Holá, Markéta [Recenzent] ; Táborský, Petr [Recenzent]. – 1. vyd. – Brno (Česko) : Spektroskopická společnost Jana Marka Marci, 2022. – ISBN 978-80-88195-41-2, s. 44-44 </t>
  </si>
  <si>
    <t xml:space="preserve">Identification of student mistakes as a fundamental information in the creation of mastery learning modules / Ďuriš, Viliam [Autor, UKFFPVKMA, 25%] ; Gonda, Dalibor [Autor, ZUZRIAMOA, 25%] ; Pavlovičová, Gabriela [Autor, UKFFPVKMA, 25%] ; Tirpáková, Anna [Autor, UKFFPVKMA, 25%] ; EDULEARN22, 14 [04.07.2022-06.07.2022, Palma de Mallorca, Španielsko]. – text. – [angličtina]. – [OV 010, 240]. – [ŠO 7605, 1113]. – [príspevok z podujatia]. – [recenzované]. – DOI 10.21125/edulearn.2022.1977 In: EDULEARN22 - 14th International Conference on Education and New Learning Technologies, July 4th-6th, 2022, Palma, Mallorca, Spain [elektronický dokument] / Chova, Luis Goméz [Zostavovateľ, editor] ; Martínez, Augustín López [Zostavovateľ, editor] ; Lees, Joanna [Zostavovateľ, editor]. – 1 vyd. – Palma (Španielsko) : IATED, 2022. – (EDULEARN Proceedings, ISSN 2340-1117). – ISBN 978-84-09-42484-9, s. 8324-8331 [online] [CD-ROM] [USB kľúč] </t>
  </si>
  <si>
    <t xml:space="preserve">Identifikácia limitujúcich činiteľov reakčnej agility v basketbale / Horička, Pavol [Autor, UKFPFAKTV, 34%] ; Paška, Ľubomír [Autor, UKFPFAKTV, 33%] ; Gábriš, Pavol [Autor, 33%]. – text. – [slovenčina]. – [OV 210]. – [ŠO 7418]. – [príspevok] In: Šport a rekreácia 2022 (Recenzovaný nekonferenčný zborník vedecko-výskumných a odborných prác, zameraný na prezentáciu poznatkov v oblasti športu, telesnej výchovy, diagnostiky, zdravia, rekreácie, cestovného ruchu, regenerácie, manažmentu, atď.) [textový dokument (print)] [elektronický dokument] : zborník vedeckých prác / Broďáni, Jaroslav [Zostavovateľ, editor] ; Czaková, Monika [Zostavovateľ, editor] ; Bartík, Pavol [Recenzent] ; Šimonek, Jaromír [Recenzent] ; Kanásová, Janka [Recenzent] ; Halmová, Nora [Recenzent] ; Broďáni, Jaroslav [Recenzent] ; Horička, Pavol [Recenzent] ; Divinec, Lenka [Recenzent] ; Czaková, Natália [Recenzent] ; Vašková, Monika [Recenzent] ; Kraček, Stanislav [Recenzent]. – 1. vyd. – Roč. 12. – Nitra (Slovensko) : Univerzita Konštantína Filozofa v Nitre. Pedagogická fakulta UKF. Katedra telesnej výchovy a športu, 2022. – ISBN 978-80-558-1905-1, s. 50-57 [tlačená forma] [online] </t>
  </si>
  <si>
    <t xml:space="preserve">Identifikácie stredovekej sakrálnej architektúry v severnej časti okresu Levice / Martinák, Matúš [Autor, UKFFFAKMU, 100%] ; Človek a jeho životný priestor, 52 [20.09.2021-22.09.2021, Nitra, Slovensko]. – text. – [slovenčina]. – [OV 030]. – [ŠO 7115]. – [abstrakt z podujatia - KP]. – [recenzované] In: Kniha abstraktov 52. medzinárodnej konferencie archeológie stredoveku,20. – 22. 9. 2021 [elektronický dokument] : "človek a jeho životný priestor" / Beljak Pažinová, Noémi [Zostavovateľ, editor] ; Borzová, Zuzana [Zostavovateľ, editor]. – 1. vyd. – Nitra (Slovensko) : Univerzita Konštantína Filozofa v Nitre, 2021. – ISBN (online) 978-80-558-1744-6, s. 50-50 [online] </t>
  </si>
  <si>
    <t xml:space="preserve">Implementation of an experimental method in the investigation of hygrothermal properties of porous materials in the education of graduate students [Implementácia experimentálnej metódy pri skúmaní hygrotermálnych vlastností poréznych materiálov pri výučbe absolventov] / Trník, Anton [Autor, 25%] ; Mánik, Marek [Autor, UKFFPVKFY, 25%] ; Kuruc, Michal [Autor, 25%] ; Medveď, Igor [Autor, 25%] ; DIDFYZ 2021, 22 [13.10.2021-16.10.2021, Terchová, Slovensko]. – text. – [angličtina]. – [OV 091]. – [ŠO 1160]. – [príspevok z podujatia]. – [recenzované]. – DOI 10.1063/5.0078255. – SCO In: DIDFYZ 2021 [elektronický dokument] : Didactic Transfer of Physics Knowledge through Distance Information / Valovičová, Ľubomíra [Zostavovateľ, editor] ; Ondruška, Ján [Zostavovateľ, editor] ; Zelenický, Ľubomír [Zostavovateľ, editor]. – 1. vyd. – č. 2458. – Melville (USA) : American Institute of Physics . AIP Publishing, 2022. – ISBN 978-0-7354-4341-9, Art. no. 030024, s. 1-5 [online] </t>
  </si>
  <si>
    <t xml:space="preserve">Implementation of dual education in the conditions of Slovak education / Depešová, Jana [Autor, UKFPFAKTT, 50%] ; Janíček, Patrik [Autor, UKFPFAKTT, 50%] ; International Technology, Education and Development Conference 2022, 16 [07.03.2022-08.03.2022, Valencia, Španielsko]. – text. – [angličtina]. – [OV 010]. – [ŠO 7605]. – [príspevok z podujatia]. – [recenzované] In: INTED2022 Conference Proceedings [elektronický dokument] : 16th International Technology, Education and Development Conference / Chova, Luis Goméz [Zostavovateľ, editor] ; López Martínez, Agustín [Zostavovateľ, editor] ; Candel Torres, Ignacio [Zostavovateľ, editor]. – 1. vyd. – Barcelona (Španielsko) : IATED, 2022. – (INTED Proceedings, ISSN 2340-1079). – ISBN 978-84-09-37758-9. – ISSN 2340-1079, s. 1820-1827 [online] [USB kľúč] </t>
  </si>
  <si>
    <t xml:space="preserve">Improving Text Production Skills with the Help of Classroom Newspaper / Petres Csizmadia, Gabriela [Autor, UKFFSSUML, 100%] ; International Technology, Education and Development Conference 2021, 15 [08.03.2021-09.03.2021, Valencia, Španielsko]. – text. – [angličtina]. – [OV 010]. – [ŠO 7605]. – [príspevok z podujatia]. – [recenzované] In: INTED2021 [textový dokument (print)] [elektronický dokument] : 15th International Technology, Education and Development Conference : conference proceedings / Chova, Luis Goméz [Zostavovateľ, editor] ; López Martínez, Agustín [Zostavovateľ, editor] ; Candel Torres, Ignacio [Zostavovateľ, editor]. – 1. vyd. – Valencia (Španielsko) : IATED, 2021. – (INTED Proceedings, ISSN 2340-1079). – ISBN 978-84-09-27666-0. – ISSN 2340-1079, s. 2306-2313 [online] </t>
  </si>
  <si>
    <t xml:space="preserve">In vitro study of chicken osteoclasts-like cells / Jančov, Mikuláš [Autor, 20%] ; Bábiková, Martina [Autor, UKFFPVKBG, 20%] ; Blahová, Jana [Autor, UKFFPVKBG, 20%] ; Steinerová, Michala [Autor, 20%] ; Pavlík, Aleš [Autor, 20%] ; Animal Physiology 2022, 17 [01.06.2022-03.06.2022, Košice, Slovensko]. – text. – [angličtina]. – [OV 130]. – [ŠO 1536]. – [abstrakt z podujatia - KP]. – [recenzované] In: Animal physiology 2022 [textový dokument (print)] : book of abstracts from international conference / Čikoš, Štefan [Zostavovateľ, editor] ; Pogány Simonová, Monika [Zostavovateľ, editor] ; Batťányi, Dominika [Zostavovateľ, editor] ; Kucková, Katarína [Zostavovateľ, editor]. – 1. vyd. – Bratislava (Slovensko) : Slovenská akadémia vied, 2022. – ISBN 978-80-974246-0-2, s. 21-21 [tlačená forma] </t>
  </si>
  <si>
    <t xml:space="preserve">Inovatívna forma výučby bioanalytických metód prostredníctvom univerzitného e-learningového portálu LMS Moodle / Nagyová, Miroslava [Autor, UKFFPVKZA, 40%] ; Morovič, Martin [Autor, UKFFPVKZA, 20%] ; Hlisníková, Henrieta [Autor, UKFFPVKZA, 40%] ; EDUCO 2022, 17 [16.05.2022, Zlín, Česko]. – text. – [slovenčina]. – [OV 010]. – [ŠO 7605]. – [príspevok z podujatia]. – [recenzované] In: EDUCO 2022 [textový dokument (print)] [elektronický dokument] : didaktické a environmentální aspekty přípravy učitelů přírodovědných, zemědělských a příbuzných oborů v kontextu strategie evropského vzdělávání / Dytrtová, Radmila [Zostavovateľ, editor] ; Jirsáková, Jitka [Zostavovateľ, editor] ; Sandanusová, Anna [Zostavovateľ, editor] ; Karabacak, Eda [Zostavovateľ, editor]. – 1. vyd. – Praha (Česko) : Česká zemědelská univerzita v Praze, 2022. – ISBN 978-80-213-3194-5, s. 106-110 [tlačená forma] </t>
  </si>
  <si>
    <t xml:space="preserve">Inovatívne materiály na výučby imunity vo vzťahu k ochoreniam v materskej škole a na prvom stupni základných škôl / Juríková, Tünde [Autor, UKFFSSUVP, 20%] ; Fatrcová Šramková, Katarína [Autor, SPUFAP33, 20%] ; Balla, Štefan [Autor, UKFFSSUVP, 20%] ; Szekeres, Ladislav [Autor, UKFFSSUVP, 20%] ; Lehoťáková, Eva [Autor, UKFFSSUVP, 20%] ; EDUCO 2022, 17 [16.05.2022, Zlín, Česko]. – text. – [slovenčina]. – [OV 010, 190]. – [ŠO 7605, 4190]. – [príspevok z podujatia]. – [recenzované] In: EDUCO 2022 [textový dokument (print)] [elektronický dokument] : didaktické a environmentální aspekty přípravy učitelů přírodovědných, zemědělských a příbuzných oborů v kontextu strategie evropského vzdělávání / Dytrtová, Radmila [Zostavovateľ, editor] ; Jirsáková, Jitka [Zostavovateľ, editor] ; Sandanusová, Anna [Zostavovateľ, editor] ; Karabacak, Eda [Zostavovateľ, editor]. – 1. vyd. – Praha (Česko) : Česká zemědelská univerzita v Praze, 2022. – ISBN 978-80-213-3194-5, s. 77-85 [tlačená forma] </t>
  </si>
  <si>
    <t xml:space="preserve">Instagram use and optimal functioning of university students / Šeboková, Gabriela [Autor, UKFFSVKPV, 50%] ; Uhláriková, Jana [Autor, UKFFSVKPV, 50%] ; EDULEARN21 [05.07.2021-06.07.2021, Barcelona, Španielsko]. – text. – [angličtina]. – [OV 060]. – [ŠO 7701]. – [príspevok z podujatia]. – [recenzované]. – DOI 10.21125/edulearn.2021.2443 In: EDULEARN21 [elektronický dokument] : 13th annual International Conference on Education and New Learning Technologies, Barcelona, 5th - 6th of July, 2021 / Chova, Luis Goméz [Zostavovateľ, editor] ; Martínez, Augustín López [Zostavovateľ, editor] ; Torres, I. [Zostavovateľ, editor]. – 1. vyd. – Roč. 13. – Barcelona (Španielsko) : IATED, 2021. – ISBN 978-84-09-31267-2. – ISSN 2340-1117, s. 11680-11685 [CD-ROM] [USB kľúč] </t>
  </si>
  <si>
    <t xml:space="preserve">Intentional development of cognitive functions of preschool-aged children / Babulicová, Zuzana [Autor, UKFPFAKPE, 100%] ; EDULEARN22, 14 [04.07.2022-06.07.2022, Palma de Mallorca, Španielsko]. – text. – [angličtina]. – [OV 010]. – [ŠO 7605]. – [príspevok z podujatia]. – [recenzované]. – DOI 10.21125/edulearn.2022.1301 In: EDULEARN22 - 14th International Conference on Education and New Learning Technologies, July 4th-6th, 2022, Palma, Mallorca, Spain [elektronický dokument] / Chova, Luis Goméz [Zostavovateľ, editor] ; Martínez, Augustín López [Zostavovateľ, editor] ; Lees, Joanna [Zostavovateľ, editor]. – 1 vyd. – Palma (Španielsko) : IATED, 2022. – (EDULEARN Proceedings, ISSN 2340-1117). – ISBN 978-84-09-42484-9, s. 5515-5520 [online] [CD-ROM] [USB kľúč] </t>
  </si>
  <si>
    <t xml:space="preserve">Interakčné štýly a kognitívna reflexia učiteľov v predgraduálnej príprave a v praxi = Teacher interaction styles and cognitive reflection in pre-graduate training and practice / Daňová, Barbora [Autor, 50%] ; Ballová Mikušková, Eva [Autor, UKFPFAKAP, 50%]. – text. – [slovenčina]. – [OV 010]. – [ŠO 7701]. – [príspevok] In: Konvergencie vedeckej činnosti študentov a učiteľov 3 [textový dokument (print)] / Verešová, Marcela [Zostavovateľ, editor] ; Valihorová, Marta [Recenzent] ; Pavelová, Ľuba [Recenzent]. – 1. vyd. – Nitra (Slovensko) : Univerzita Konštantína Filozofa v Nitre, 2022. – ISBN 978-80-558-1902-0, s. 60-69 [tlačená forma] </t>
  </si>
  <si>
    <t xml:space="preserve">Internet Addiction Prevention in Media Education / Rác, Ivan [Autor, UKFFSVURS, 100%] ; EDULEARN22, 14 [04.07.2022-06.07.2022, Palma de Mallorca, Španielsko]. – text. – [angličtina]. – [OV 060]. – [ŠO 7761]. – [príspevok z podujatia]. – [recenzované] In: EDULEARN22 - 14th International Conference on Education and New Learning Technologies, July 4th-6th, 2022, Palma, Mallorca, Spain [elektronický dokument] / Chova, Luis Goméz [Zostavovateľ, editor] ; Martínez, Augustín López [Zostavovateľ, editor] ; Lees, Joanna [Zostavovateľ, editor]. – 1 vyd. – Palma (Španielsko) : IATED, 2022. – (EDULEARN Proceedings, ISSN 2340-1117). – ISBN 978-84-09-42484-9, s. 1507-1513 [online] [CD-ROM] [USB kľúč] </t>
  </si>
  <si>
    <t xml:space="preserve">Internet as a Tool of Digital Communication / Hornyák Gregáňová, Radomíra [Autor, SPUFEM34, 50%] ; Papcunová, Viera [Autor, UKFFPVUMI, 50%] ; International Scientific Days 2022 [11.05.2022-13.05.2022, Nitra, Slovensko]. – text. – [angličtina]. – [OV 080]. – [ŠO 6213]. – [príspevok z podujatia]. – DOI 10.15414/isd2022.s5-2.04 In: International Scientific Days 2022 "Efficient, Sustainable and Resilient Agriculture and Food Systems – the Interface of Science, Politics and Practice" [elektronický dokument] : 17th International Scientific Days 2022 which will take place at the Faculty of Economics and Management, The Slovak University of Agriculture in Nitra, the Slovak Republic, on 11-13 May, 2022 / Horská, Elena [Zostavovateľ, editor] ; Kapsdorferová, Zuzana [Zostavovateľ, editor] ; Hallová, Marcela [Zostavovateľ, editor] ; Alcnauer, Július [Recenzent] ; Andrejovská, Alena [Recenzent] ; Babčanová, Dagmar [Recenzent]. – 1. vyd. – Nitra (Slovensko) : Slovenská poľnohospodárska univerzita v Nitre, 2022. – ISBN 978-80-552-2507-4, s. 593-601 [online] </t>
  </si>
  <si>
    <t xml:space="preserve">Intersexuálne rozdiely v úspešnosti v štúdiu = Intersexual differences in study success / Süttö, Lucia [Autor, UKFPFAKAP, 100%] ; PhD existence 2022 : Změna, 12 [31.01.2022-01.02.2022, Olomouc, Česko]. – text. – [slovenčina]. – [OV 010]. – [ŠO 7605]. – [príspevok z podujatia] In: PhD existence 12 [elektronický dokument] : "Změna" : česko-slovenská psychologická konference (nejen) pro doktorandy a o doktorandech  : sborník odborných příspěvků / Aigelová, Eva [Zostavovateľ, editor] ; Viktorová, Lucie [Zostavovateľ, editor] ; Dolejš, Martin [Zostavovateľ, editor] ; Tomšik, Robert [Recenzent] ; Skopal, Ondřej [Recenzent]. – 1. vyd. – Olomouc (Česko) : Univerzita Palackého v Olomouci, 2022. – ISBN 978-80-244-6174-8, s. 141-152 [online] </t>
  </si>
  <si>
    <t xml:space="preserve">Intervention program for reading comprehension in foreign languages / Stranovská, Eva [Autor, UKFFFAKGE, 34%] ; Gadušová, Zdenka [Autor, UKFFFAKAA, 34%] ; Horníčková, Mária [Autor, UKFFFAKRO, 32%] ; International Technology, Education and Development Conference 2022, 16 [07.03.2022-08.03.2022, Valencia, Španielsko]. – text. – [angličtina]. – [OV 010]. – [ŠO 7605]. – [príspevok z podujatia]. – [recenzované]. – DOI 10.21125/inted.2022.1117 In: INTED2022 Conference Proceedings [elektronický dokument] : 16th International Technology, Education and Development Conference / Chova, Luis Goméz [Zostavovateľ, editor] ; López Martínez, Agustín [Zostavovateľ, editor] ; Candel Torres, Ignacio [Zostavovateľ, editor]. – 1. vyd. – Barcelona (Španielsko) : IATED, 2022. – (INTED Proceedings, ISSN 2340-1079). – ISBN 978-84-09-37758-9. – ISSN 2340-1079, s. 4098-4105 [online] [USB kľúč] </t>
  </si>
  <si>
    <t xml:space="preserve">Is the level of digital skills of pupils and teachers in Slovakia increasing? / Záhorec, Ján [Autor, UKOPDDPP, 34%] ; Hašková, Alena [Autor, UKFPFAKTT, 33%] ; Poliaková, Adriana [Autor, UKOPDPED, 33%] ; Efficiency and Responsibility in Education 2022, 19 [02.06.2022-03.06.2022, Praha, Česko]. – text, tab. – [angličtina]. – [OV 010]. – [ŠO 7605]. – [príspevok z podujatia]. – [recenzované]. – SIGN-UKO PD DP/22 In: Proceedings of the 19th International Conference Efficiency and Responsibility in Education 2022 [textový dokument (print)] [elektronický dokument] / Fejfar, Jiří [Zostavovateľ, editor] ; Flégl, Martin [Zostavovateľ, editor]. – 1. vyd. – Praha (Česko) : Česká zemědelská univerzita v Praze, 2022. – ISBN 978-80-213-3197-6. – ISSN 2336-744X, s. 173-179 [tlačená forma] [online] </t>
  </si>
  <si>
    <t xml:space="preserve">Jednobunkovce - námety na vyučovanie na základnej škole / Schlarmannová, Janka [Autor, UKFFPVKZA, 80%] ; Langraf, Vladimír [Autor, UKFFPVKEE, 10%] ; Petrovičová, Kornélia [Autor, SPUFAP31, 10%] ; EDUCO 2021, 16 [24.06.2021, [s.l.], Virtuálny priestor]. – text. – [slovenčina]. – [OV 190, 130]. – [ŠO 4190, 1536]. – [príspevok] In: Skvalitňovanie prípravy budúcich učiteľov prírodovedných, poľnohospodárskych a príbuzných odborov [elektronický dokument] / Sandanusová, Anna [Zostavovateľ, editor] ; Dytrtová, Radmila [Zostavovateľ, editor] ; Morovič, Martin [Recenzent] ; Švecová, Milada [Recenzent] ; Vondráková, Mária [Recenzent]. – 1. vyd. – Nitra (Slovensko) : Univerzita Konštantína Filozofa v Nitre, 2021. – ISBN 978-80-558-1865-8, s. 125-130 [online] </t>
  </si>
  <si>
    <t xml:space="preserve">Judaism and its traces in Nitra urban space as a specific manifestation of regional culture / Tkáč-Zabáková, Lenka [Autor, UKFFSSUSJ, 100%] ; Mezinárodní Masarykova konference pro doktorandy a mladé vědecké pracovníky 2021, 12 [20.12.2021-22.12.2021, Hradec Králové, Česko]. – text. – [slovenčina]. – [OV 020]. – [ŠO 7320]. – [príspevok z podujatia]. – [recenzované] In: MMK 2021 [elektronický dokument] : Mezinárodní Masarykova konference pro doktorandy a mladé vědecké pracovníky : recenzovaný sborník příspěvků mezinárodní vědecké konference / [bez zostavovateľa] [Zostavovateľ, editor]. – 1. vyd. – Roč. 12. – Hradec Králové (Česko) : Magnanimitas akademické sdružení, 2021. – ISBN 978-80-87952-35-1, s. 881-887 [online] </t>
  </si>
  <si>
    <t xml:space="preserve">K možnostiam výkladu geometricky abstraktného tvaru. Estetika Štefana Balázsa postavená na logike a poriadku / Kapsová, Eva [Autor, UKFFFAKAE, 100%]. – text. – [slovenčina]. – [OV 020]. – [ŠO 8110]. – [príspevok] In: Studia humanitatis - ars hermeneutica [textový dokument (print)] : metodologie a theurgie hermeneutické interpretace 9 / Mikulášek, Miroslav [Zostavovateľ, editor] ; Dohnal, Josef [Recenzent] ; Raclavská, Jana [Recenzent]. – 1. vyd. – Ostrava (Česko) : Ostravská univerzita, 2022. – ISBN 978-80-7599-333-5, s. 85-107 [tlačená forma] </t>
  </si>
  <si>
    <t xml:space="preserve">K nálezom keramiky otomansko-füzesabonyského kultúrneho komplexu z Kamenína = On the Findings of the Otomani-Füzesabony cultural complex from Kamenín / Šteiner, Pavol [Autor, UKFFFAKMU, 50%] ; Godiš, Jakub [Autor, UKFFFAKAR, 50%]. – text. – [slovenčina]. – [OV 030]. – [ŠO 7115]. – [príspevok]. – DOI 10.55015/PUUG4585. – SCO In: Zborník Slovenského národného múzea [textový dokument (print)] : archeológia 31 / Hanuš, Martin [Zostavovateľ, editor]. – 1. vyd. – Bratislava (Slovensko) : Slovenské národné múzeum, 2021. – ISBN 978-80-8060-515-5. – ISSN 1336-6637, s. 45-71 [tlačená forma] </t>
  </si>
  <si>
    <t xml:space="preserve">K prameňom modernej literárnej vedy na Slovensku : (vzájomná korešpondencia Mikuláša Bakoša a Andreja Mráza) / Teplan, Dušan [Autor, UKFFFASJL, 100%] ; Mikuláš Bakoš – pluralitný literárny vedec v metodologickej diskusii dneška [09.11.2021, Bratislava, Slovensko]. – text. – [slovenčina]. – [OV 020]. – [ŠO 7320]. – [príspevok z podujatia] In: Mikuláš Bakoš – pluralitný literárny vedec v metodologickej diskusii dneška [textový dokument (print)] : vedecké online kolokvium – „okrúhly stôl“ / Teplan, Dušan [Zostavovateľ, editor] ; Pašteková, Soňa [Zostavovateľ, editor] ; Martinek, Libor [Recenzent] ; Valcerová, Anna [Recenzent]. – 1. vyd. – Bratislava (Slovensko) : Slovenská akadémia vied. Veda, vydavateľstvo Slovenskej akadémie vied, 2022. – ISBN 978-80-224-1959-8, s. 135-208 [tlačená forma] </t>
  </si>
  <si>
    <t xml:space="preserve">K príprave študentov z Dolnej zeme na vysokoškolského štúdium na KMKT v Nitre / Čukan, Jaroslav [Autor, UKFFFAKMK, 45%] ; Michalík, Boris [Autor, UKFFFAKMK, 45%] ; Štrbová, Monika [Autor, UKFFFAKSO, 10%] ; Úloha slovenských stredných škôl v živote dolnozemských Slovákov [10.09.2021-11.09.2021, Nadlak, Rumunsko]. – text. – [slovenčina]. – [OV 020]. – [ŠO 8110]. – [príspevok z podujatia] In: Úloha slovenských stredných škôl v živote dolnozemských Slovákov [textový dokument (print)] : zborník prijatých prác na rovnomennú medzinárodnú konferenciu v Nadlaku 10. - 11. septembra 2021 / Babiak, Michal [Zostavovateľ, editor] ; Hlásnik, Pavel [Zostavovateľ, editor] ; Šomráková, Ľudmila [Zostavovateľ, editor] ; Unc, Bianca [Zostavovateľ, editor] ; Lenovský, Ladislav [Recenzent] ; Hlásnik, Pavel [Recenzent] ; Unc, Bianca [Recenzent]. – 1. vyd. – Nadlak (Rumunsko) : Vydavateľstvo - Editura Ivan Krasko, 2021. – ISBN 978-973-107-187-9, s. 51-59 [tlačená forma] </t>
  </si>
  <si>
    <t xml:space="preserve">K problematike doplnkových a neroľníckych zamestnaní v obci Veňarec / Kontriková Šusteková, Ivana [Autor, UKFFFAKEF, 100%] ; Výskum Slovákov v Maďarsku v interdisciplinárnom kontexte [13.02.2020-14.02.2020, Békešská Čaba, Maďarsko]. – text. – [slovenčina]. – [OV 030]. – [ŠO 7115]. – [príspevok z podujatia] In: Výskum Slovákov v Maďarsku v interdisciplinárnom kontexte [textový dokument (print)] : Na počesť Anny Divičanovej a k 30. výročiu VÚSM / Demmel, József [Zostavovateľ, editor] ; Szudová, Krisztína Eszter [Zostavovateľ, editor] ; Tušková, Tünde [Zostavovateľ, editor] ; Dudok, Miroslav [Recenzent] ; Kiss Szemán, Róbert [Recenzent]. – 1. vyd. – Békešská Čaba (Maďarsko) : Magyarországi Szlovákok Kutatóintézete, 2021. – ISBN 978-615-5330-25-4. – ISSN 2631-1275, s. 215-230 [tlačená forma] </t>
  </si>
  <si>
    <t xml:space="preserve">Kepler’s laws of planetary motion in the context of relationships between Physics, Mathematics and Geography / Vallo, Dušan [Autor, UKFFPVKMA, 34%] ; Valovičová, Ľubomíra [Autor, UKFFPVKFY, 33%] ; Kramáreková, Hilda [Autor, UKFFPVKGR, 33%] ; DIDFYZ 2021, 22 [13.10.2021-16.10.2021, Terchová, Slovensko]. – text. – [angličtina]. – [OV 010]. – [ŠO 7605]. – [príspevok z podujatia]. – [recenzované]. – DOI 10.1063/5.0078954. – SCO In: DIDFYZ 2021 [elektronický dokument] : Didactic Transfer of Physics Knowledge through Distance Information / Valovičová, Ľubomíra [Zostavovateľ, editor] ; Ondruška, Ján [Zostavovateľ, editor] ; Zelenický, Ľubomír [Zostavovateľ, editor]. – 1. vyd. – č. 2458. – Melville (USA) : American Institute of Physics . AIP Publishing, 2022. – ISBN 978-0-7354-4341-9, s. 1-7 [online] </t>
  </si>
  <si>
    <t xml:space="preserve">Kľúč na určovanie bĺch drobných cicavcov / Košša, Jakub [Autor, UKFFPVKEE, 50%] ; Baláž, Ivan [Autor, UKFFPVKEE, 50%] ; Zoológia 2022 [17.11.2022-19.11.2022, Smolenice, Slovensko]. – text. – [slovenčina]. – [OV 100]. – [ŠO 1217]. – [abstrakt z podujatia - KP] In: Zborník abstraktov z vedeckého kongresu "Zoológia 2022" [textový dokument (print)] [elektronický dokument] / Fenďa, Peter [Zostavovateľ, editor]. – 1. vyd. – Zvolen (Slovensko) : Technická univerzita vo Zvolene, 2022. – ISBN 978-80-228-3339-4, s. 39-39 [tlačená forma] </t>
  </si>
  <si>
    <t xml:space="preserve">Kodály Zoltán nyomában a Felvidéken / Józsa, Mónika [Autor, UKFFSSUVP, 100%] ; I. Kárpát-medencei Komolyzenei Fesztivál [25.09.2021, Budapešť, Maďarsko]. – text. – [maďarčina]. – [OV 010]. – [ŠO 7605]. – [príspevok z podujatia] In: I. Kárpát-medencei Komolyzenei Fesztivál - Zenetudományi Konferencia 2021 [textový dokument (print)] / [bez zostavovateľa] [Zostavovateľ, editor] ; Solymosi Tari, Emőke [Recenzent] ; Gombos, László [Recenzent]. – 1. vyd. – Budapešť (Maďarsko) : archeon, 2021. – ISBN 978-615-01-4290-6, s. 39-55 [tlačená forma] </t>
  </si>
  <si>
    <t xml:space="preserve">Kompetenčné modely učiteľa v medzinárodnom meradle = Teacher competence models on an international scale / Süttö, Lucia [Autor, UKFPFAKAP, 50%] ; Szíjjártóová, Katarína [Autor, UKFPFAKPE, 10%] ; Rapsová, Lucia [Autor, UKFPFAKPE, 40%] ; PhD existence 2022 : Změna, 12 [31.01.2022-01.02.2022, Olomouc, Česko]. – text. – [slovenčina]. – [OV 060]. – [ŠO 7701]. – [príspevok z podujatia] In: PhD existence 12 [elektronický dokument] : "Změna" : česko-slovenská psychologická konference (nejen) pro doktorandy a o doktorandech  : sborník odborných příspěvků / Aigelová, Eva [Zostavovateľ, editor] ; Viktorová, Lucie [Zostavovateľ, editor] ; Dolejš, Martin [Zostavovateľ, editor] ; Tomšik, Robert [Recenzent] ; Skopal, Ondřej [Recenzent]. – 1. vyd. – Olomouc (Česko) : Univerzita Palackého v Olomouci, 2022. – ISBN 978-80-244-6174-8, s. 153-159 [online] </t>
  </si>
  <si>
    <t xml:space="preserve">Komunikácia s umením ako príležitosť a prostriedok rozvoja osobnosti detí / Kručayová, Alena [Autor, UKFPFAKHU, 100%]. – text. – [slovenčina]. – [OV 010]. – [ŠO 7605]. – [príspevok] In: Pedagogická a umelecká interpretácia hudobného diela [elektronický dokument] : vedecký zborník Katedry hudby IHVU Prešovskej univerzity v Prešove / Hudáková, Jana [Zostavovateľ, editor] ; Kočišová, Renáta [Zostavovateľ, editor] ; Pazúrik, Milan [Recenzent] ; Šimčík, Daniel [Recenzent]. – 1. vyd. – Prešov (Slovensko) : Prešovská univerzita v Prešove, 2022. – ISBN 978-80-555-2993-6, s. 8-18 [online] </t>
  </si>
  <si>
    <t xml:space="preserve">Koncepcia kresťanskej sexuálnej morálky v kontexte realizácie sexuálnej výchovy na Slovensku / Kocina, Petr [Autor, UKFFFAKAE, 50%] ; Marková, Dagmar [Autor, UKFFFAKAE, 50%] ; Celostátní kongres k sexuální výchově v České republice, 30 [20.10.2022-21.10.2022, Pardubice, Česko]. – text. – [slovenčina]. – [OV 020]. – [ŠO 6107]. – [príspevok z podujatia] In: 30. celostátní kongres k sexuální výchově v České republice [textový dokument (print)] / Mitlöhner, Miroslav [Zostavovateľ, editor] ; Prouzová, Zuzana [Zostavovateľ, editor] ; Sovová, Olga [Recenzent] ; Kubík, Jiří [Recenzent]. – 1. vyd. – Praha (Česko) : Společnost pro plánování rodiny a sexuální výchovu, 2022. – ISBN 978-80-907936-2-0, s. 55-60 </t>
  </si>
  <si>
    <t xml:space="preserve">Konkrete Poesie im Online-Unterricht. Ein Best Practice-Beispiel aus dem hochschulischen DaF-Unterricht / Vergeiner, Elisabeth [Autor, UKFFFAKGE, 100%] ; Razvitie sociaľno-ustojčivoj innovacionnoj sredy nepreryvnogo pedagogičeskogo obrazovanija, 9 [18.11.2021-19.11.2021, Abakan, Ruská federácia]. – text. – [nemčina]. – [OV 010]. – [ŠO 7605]. – [príspevok z podujatia]. – [recenzované] In: Razvitie sociaľno-ustojčivoj innovacionnoj sredy nepreryvnogo pedagogičeskogo obrazovanija [textový dokument (print)] / Turginekova, Lilija Chaljalaevna [Zostavovateľ, editor] ; Efimova, Oľga Vladimirovna [Zostavovateľ, editor]. – 1. vyd. – Abakan (Ruská federácia) : Khakasskiy Gosudarstvennyy Universitet Im. N.f. Katanova, 2021. – ISBN 978-5-7810-2223-6, s. 161-163 [online] </t>
  </si>
  <si>
    <t xml:space="preserve">Labor Market Expectations within the University Walls: Opportunities of Practice-Oriented Education / Schulcz, Patrik [Autor, UKFFSSUML, 100%] ; International Technology, Education and Development Conference 2021, 15 [08.03.2021-09.03.2021, Valencia, Španielsko]. – text. – [angličtina]. – [OV 020]. – [ŠO 7320]. – [príspevok z podujatia]. – DOI 10.21125/inted.2021.0560 In: INTED2021 [textový dokument (print)] [elektronický dokument] : 15th International Technology, Education and Development Conference : conference proceedings / Chova, Luis Goméz [Zostavovateľ, editor] ; López Martínez, Agustín [Zostavovateľ, editor] ; Candel Torres, Ignacio [Zostavovateľ, editor]. – 1. vyd. – Valencia (Španielsko) : IATED, 2021. – (INTED Proceedings, ISSN 2340-1079). – ISBN 978-84-09-27666-0. – ISSN 2340-1079, s. 2630-2636 [online] </t>
  </si>
  <si>
    <t xml:space="preserve">Labor market expectations within the university walls: opporutunities of practice-oriented education / Schulcz, Patrik [Autor, UKFFSSUML, 100%] ; International Technology, Education and Development Conference 2021, 15 [08.03.2021-09.03.2021, Valencia, Španielsko]. – text. – [angličtina]. – [OV 010]. – [ŠO 7605]. – [príspevok z podujatia]. – [recenzované]. – DOI 10.21125/inted.2021.0560 In: INTED2021 [textový dokument (print)] [elektronický dokument] : 15th International Technology, Education and Development Conference : conference proceedings / Chova, Luis Goméz [Zostavovateľ, editor] ; López Martínez, Agustín [Zostavovateľ, editor] ; Candel Torres, Ignacio [Zostavovateľ, editor]. – 1. vyd. – Valencia (Španielsko) : IATED, 2021. – (INTED Proceedings, ISSN 2340-1079). – ISBN 978-84-09-27666-0. – ISSN 2340-1079, s. 2630-2636 [online] </t>
  </si>
  <si>
    <t xml:space="preserve">Learning to Playing-2-gether: Building Positive Relationships With Children Through Play / Vancraeyveldt, Caroline [Autor, 22%] ; Araújo, Sara [Autor, 17%] ; Boland, Annerieke [Autor, 17%] ; Grofčíková, Soňa [Autor, UKFPFAKPE, 17%] ; Klimentová, Anna [Autor, UKFPFAKPE, 17%] ; Oenema-Mostert, Ineke [Autor, 5%] ; Sanches-Ferreira, Manuela [Autor, 5%]. – text. – [angličtina]. – [OV 010]. – [ŠO 7605]. – [príspevok] In: Teacher Education and Play Pedagogy (Towards an Ethical Praxis in Early Childhood) [textový dokument (print)] : International Perspectives / Loizou, Eleni [Zostavovateľ, editor] ; Trawick Smith, Jeffrey [Zostavovateľ, editor]. – 1. vyd. – Abingdon (Veľká Británia) : Taylor &amp; Francis Group. Routledge, 2022. – ISBN 978-1-003-14966-8, s. 109-123 [tlačená forma] </t>
  </si>
  <si>
    <t xml:space="preserve">Lepšie raz vidieť ako stokrát počuť (aj vo fyziológii rastlín) / Babosová, Ramona [Autor, UKFFPVKZA, 25%] ; Boleček, Peter [Autor, UKFFPVKBG, 25%] ; Kuna, Roman [Autor, UKFFPVKBG, 25%] ; Sandanusová, Anna [Autor, UKFFPVKZA, 25%] ; EDUCO 2022, 17 [16.05.2022, Zlín, Česko]. – text. – [slovenčina]. – [OV 130]. – [ŠO 1536]. – [príspevok z podujatia] In: EDUCO 2022 [textový dokument (print)] [elektronický dokument] : didaktické a environmentální aspekty přípravy učitelů přírodovědných, zemědělských a příbuzných oborů v kontextu strategie evropského vzdělávání / Dytrtová, Radmila [Zostavovateľ, editor] ; Jirsáková, Jitka [Zostavovateľ, editor] ; Sandanusová, Anna [Zostavovateľ, editor] ; Karabacak, Eda [Zostavovateľ, editor]. – 1. vyd. – Praha (Česko) : Česká zemědelská univerzita v Praze, 2022. – ISBN 978-80-213-3194-5, s. 1-7 [tlačená forma] </t>
  </si>
  <si>
    <t xml:space="preserve">Lesná pedagogika a výchova k trvalo udržateľnému rozvoju v predprimárnom a primárnom vzdelávaní / Kollárová, Dana [Autor, UKFPFAKPE, 100%] ; 20 rokov lesnej pedagogiky na Slovensku [23.09.2021-24.09.2021, Zvolen, Slovensko]. – text. – [slovenčina]. – [OV 010]. – [ŠO 7605]. – [príspevok z podujatia]. – [recenzované] In: 20 rokov lesnej pedagogiky na Slovensku [textový dokument (print)] : zborník recenzovaných príspevkov k medzinárodnej konferencii, Zvolen 23. - 24. september 2021 / Jaloviarová, Veronika [Zostavovateľ, editor] ; Kollárová, Dana [Zostavovateľ, editor] ; Sélešová, Dagmar [Zostavovateľ, editor]. – 1. vyd. – Zvolen (Slovensko) : Národné lesnícke centrum, 2021. – ISBN 978-80-8093-322-7, s. 73-81 [tlačená forma] </t>
  </si>
  <si>
    <t xml:space="preserve">Lesná pedagogika v pregraduálnej príprave učiteľov pre predprimárne vzdelávanie / Kollárová, Dana [Autor, UKFPFAKPE, 50%] ; Nagyová, Alexandra [Autor, UKFPFAKPE, 50%]. – text. – [slovenčina]. – [OV 010]. – [ŠO 7605]. – [príspevok] In: Pedagogica Actualis XIII [textový dokument (print)] : vybrané aspekty vzdelávania v kontexte otvorenej vedy / Šeben Zaťková, Tímea [Zostavovateľ, editor] ; Michvocíková, Veronika [Zostavovateľ, editor] ; Rubacha, Krzysztof Mariusz [Recenzent] ; Slávik, Milan [Recenzent]. – 1. vyd. – Trnava (Slovensko) : Univerzita sv. Cyrila a Metoda v Trnave, 2022. – ISBN 978-80-572-0243-1, s. 174-182 [tlačená forma] </t>
  </si>
  <si>
    <t xml:space="preserve">Limits of information and communication technologies in distance English language teaching and learning at language school / Bekešová, Jana [Autor, UKFPFAKLI, 50%] ; Romanová, Iveta [Autor, UKFFFAKAA, 50%] ; Média a vzdělávání 2021, 15 [20.11.2021, Praha, Česko]. – [slovenčina]. – [OV 010]. – [ŠO 7605]. – [príspevok z podujatia]. – SIGN-UKO PD PE/21 In: Média a vzdělávání 2021 [elektronický dokument] / Chromý, Ján [Zostavovateľ, editor] ; Krpálek, Pavel [Zostavovateľ, editor] ; Balakovská, Radka [Recenzent] ; Dobrovodská, Dana [Recenzent]. – 1. vyd. – Praha (Česko) : Extrasystem Praha, 2021. – (Didaktika, pedagogika ; 47). – ISBN 978-80-87570-56-2, s. 11-13 [online] </t>
  </si>
  <si>
    <t xml:space="preserve">Linguistic competence test design for English language learners / Hvozdíková, Silvia [Autor, UKFFFAKAA, 50%] ; Horníčková, Mária [Autor, UKFFFAKRO, 50%] ; International Technology, Education and Development Conference 2022, 16 [07.03.2022-08.03.2022, Valencia, Španielsko]. – text. – [angličtina]. – [OV 010]. – [ŠO 7605]. – [príspevok z podujatia]. – [recenzované] In: INTED2022 Conference Proceedings [elektronický dokument] : 16th International Technology, Education and Development Conference / Chova, Luis Goméz [Zostavovateľ, editor] ; López Martínez, Agustín [Zostavovateľ, editor] ; Candel Torres, Ignacio [Zostavovateľ, editor]. – 1. vyd. – Barcelona (Španielsko) : IATED, 2022. – (INTED Proceedings, ISSN 2340-1079). – ISBN 978-84-09-37758-9. – ISSN 2340-1079, s. 9464-9469 [online] [USB kľúč] </t>
  </si>
  <si>
    <t xml:space="preserve">Ľudová etymológia v nárečovej lexike / Glaap, Natália [Autor, UKFFFASJL, 100%] ; Slavica Iuvenum, 23 [29.03.2022-30.03.2022, Ostrava, Česko]. – text. – [slovenčina]. – [OV 020]. – [ŠO 7320]. – [príspevok z podujatia] In: Slavica Iuvenum 23 [elektronický dokument] [textový dokument (print)] / Mizerová, Simona [Zostavovateľ, editor] ; Plesník, Lukáš [Zostavovateľ, editor] ; Tkaczewski, Dariusz [Recenzent] ; Vorel, Jan [Recenzent]. – 1. vyd. – Ostrava (Česko) : Ostravská univerzita, 2022. – ISBN 978-80-7599-316-8. – ISBN (online) 978-80-7599-317-5, s. 81-94 [online] [tlačená forma] </t>
  </si>
  <si>
    <t xml:space="preserve">Medusa, Perseus and Pegasus in the Realm of (Crooked) Mirrors / Boszorád, Martin [Autor, UKFFFAULK, 40%] ; Brezňan, Peter [Autor, UKFFFAULK, 60%]. – text. – [angličtina]. – [OV 020]. – [ŠO 6107]. – [príspevok]. – [recenzované] In: Aesthetic Literacy [textový dokument (print)] : A Book for Everyone Volume 1 / Vinogradovs, Valery [Zostavovateľ, editor]. – 1. vyd. – Melbourne (Austrália) : Mont Publishing House, 2022. – ISBN 978-06-4542-300-6, s. 225-229 [tlačená forma] </t>
  </si>
  <si>
    <t xml:space="preserve">Mentors ́activities / Pavelová, Ľuboslava [Autor, UKFFSVKOS, 50%] ; Krištofová, Erika [Autor, UKFFSVKOS, 50%] ; Nursing of the 21st century in the process of changes 2022 [08.09.2022-09.09.2022, Nitra, Slovensko]. – text. – [angličtina]. – [OV 180]. – [ŠO 5602]. – [abstrakt z podujatia - KP] In: Nursing of the 21st century in the process of changes 2022 [elektronický dokument] : book of abstracts / Semanišinová, Mária [Zostavovateľ, editor] ; Hajduchová, Hana [Recenzent] ; Spáčilová, Zuzana [Recenzent] ; Zrubcová, Dana [Recenzent]. – 1. vyd. – Nitra (Slovensko) : Univerzita Konštantína Filozofa v Nitre, 2022. – ISBN 978-80-558-1923-5, s. 51-51 [online] </t>
  </si>
  <si>
    <t xml:space="preserve">Metamorfózy statusu rozprávkového protagonistu / Čechová, Mariana [Autor, UKFFFAULK, 50%] ; Plesník, Ľubomír [Autor, UKFFFAULK, 50%]. – text. – [slovenčina]. – [OV 020]. – [ŠO 7320]. – [príspevok] In: Słowiańskie światy wyobraźni [textový dokument (print)] : metamorfozy / Dyras, Magdalena [Zostavovateľ, editor] ; Fidowicz, Alicja [Zostavovateľ, editor] ; Gruda, Marlena [Zostavovateľ, editor] ; Darasz, Zdzislaw [Recenzent] ; Malczak, Leszek [Recenzent]. – 1. vyd. – Krakow (Poľsko) : Uniwersytet Jagielloński. Wydawnictwo Uniwersytetu Jagiellońskiego, 2021. – ISBN 978-83-233-5042-2, s. 237-252 [tlačená forma] </t>
  </si>
  <si>
    <t xml:space="preserve">Methodological Anylysis of a Monster Calls written by Patrick Ness and Siobhan Dowd with the Help of Collaborative and Cooperative Techniques / Tárkányi, Ádám [Autor, UKFFSSUML, 100%] ; International Technology, Education and Development Conference 2022, 16 [07.03.2022-08.03.2022, Valencia, Španielsko]. – text. – [angličtina]. – [OV 020]. – [ŠO 7320]. – [príspevok z podujatia]. – [recenzované]. – DOI 10.21125/inted.2022.1768 In: INTED2022 Conference Proceedings [elektronický dokument] : 16th International Technology, Education and Development Conference / Chova, Luis Goméz [Zostavovateľ, editor] ; López Martínez, Agustín [Zostavovateľ, editor] ; Candel Torres, Ignacio [Zostavovateľ, editor]. – 1. vyd. – Barcelona (Španielsko) : IATED, 2022. – (INTED Proceedings, ISSN 2340-1079). – ISBN 978-84-09-37758-9. – ISSN 2340-1079, s. 6986-6991 [online] [USB kľúč] </t>
  </si>
  <si>
    <t xml:space="preserve">Methodological Processing of Gastronomic Short Stories Using Miro.com Platform / Radics, Rudolf [Autor, UKFFSSUML, 100%] ; ICERI 2021, 14 [08.11.2021-09.11.2021, Seville, Španielsko]. – text. – [angličtina]. – [OV 010]. – [ŠO 7605]. – [príspevok z podujatia]. – DOI 10.21125/iceri.2021.2010 In: ICERI2021 [elektronický dokument] : 14th annual International Conference of Education, Research and Innovation / Gómez, Chova L. [Zostavovateľ, editor] ; López Martínez, Agustín [Zostavovateľ, editor] ; Candel Torres, Ignacio [Zostavovateľ, editor]. – 1. vyd. – Valencia (Španielsko) : IATED, 2021. – ISBN 978-84-09-34549-6. – ISSN 2340-1095, s. 8713-8717 [online] [USB kľúč] </t>
  </si>
  <si>
    <t xml:space="preserve">Metodologické východiská : [Framing: Mediálny obraz islamu a moslimov na Slovensku] / Hasna, Zuzana [Autor, 34%] ; Letavajová, Silvia [Autor, UKFFFAKMK, 33%] ; Pluliková, Nataša [Autor, 33%]. – text. – [slovenčina]. – [OV 020]. – [ŠO 8110]. – [príspevok] In: Framing [elektronický dokument] : mediálny obraz islamu a moslimov na Slovensku / Hasna, Zuzana [Zostavovateľ, editor] ; Pluliková, Nataša [Zostavovateľ, editor] ; Šomodiová, Katarína [Recenzent] ; Divinský, Boris [Recenzent]. – 1. vyd. – Bratislava (Slovensko) : Islamská nadácia na Slovensku, 2022. – ISBN (online) 978-80-974244-0-4, s. 4-9 [online] </t>
  </si>
  <si>
    <t xml:space="preserve">Metódy a stratégie rozvijajúce kritické myslenie na hodinách biológie = Methods and strategies for developing critical thinking in biology lessons / Sandanusová, Anna [Autor, UKFFPVKZA, 34%] ; Patrovičová, Martina [Autor, 33%] ; Babosová, Ramona [Autor, UKFFPVKZA, 33%]. – text. – [slovenčina]. – [OV 010]. – [ŠO 7605]. – [príspevok] In: Skvalitňovanie prípravy budúcich učiteľov prírodovedných, poľnohospodárskych a príbuzných odborov [elektronický dokument] / Sandanusová, Anna [Zostavovateľ, editor] ; Dytrtová, Radmila [Zostavovateľ, editor] ; Morovič, Martin [Recenzent] ; Švecová, Milada [Recenzent] ; Vondráková, Mária [Recenzent]. – 1. vyd. – Nitra (Slovensko) : Univerzita Konštantína Filozofa v Nitre, 2021. – ISBN 978-80-558-1865-8, s. 152-158 [online] </t>
  </si>
  <si>
    <t xml:space="preserve">Mežkuľturnaja didaktika kak važnejšeje napravlenije sovremennogo obrazovanija = [Intercultural Didactics as Most Important Trend in Modern Education] / Kuprina, T.V. [Autor, 40%] ; Brickaja, A. [Autor, 20%] ; Petríková, Anna [Autor, 20%] ; Gallo, Ján [Autor, UKFFFAKRU, 20%]. – text. – [ruština]. – [OV 020]. – [ŠO 6107]. – [príspevok] In: Učebnik kak modeľ mira i obščestva: kollektivnaja monografija [textový dokument (print)] / Arťjemova, T.V. [Zostavovateľ, editor] ; Mikešina, M.I. [Zostavovateľ, editor] ; Bukina, T.V. [Recenzent] ; Pukšanskij, B.J. [Recenzent]. – 1. vyd. – Sankt-Peterburg (Ruská federácia) : Sankt-Peterburskij centr istorii idej "Politechnika Servis", 2021. – ISBN 978-5-00182-018-5, s. 285-290 [tlačená forma] </t>
  </si>
  <si>
    <t xml:space="preserve">Microlearning and Automated Assessment – A Framework Implementation of Dissimilar Elements to Achieve Better Educational Outcomes / Skalka, Ján [Autor, UKFFPVKIN, 100%]. – text. – [angličtina]. – [OV 160]. – [ŠO 2508]. – [príspevok]. – [recenzované]. – DOI 10.1007/978-3-031-13359-6_1 In: Microlearning [textový dokument (print)] : New Approaches To A More Effective Higher Education / Smyrnova-Trybulska, Eugenia [Zostavovateľ, editor] ; Kommers, Piet [Zostavovateľ, editor] ; Drlík, Martin [Zostavovateľ, editor] ; Skalka, Ján [Zostavovateľ, editor]. – 1. vyd. – č. 6. – cham (Švajčiarsko) : Springer Nature. Springer International Publishing AG, 2022. – ISBN 978-3-031-13358-9. – ISBN (online) 978-3-031-13359-6, s. 1-26 [tlačená forma] [online] </t>
  </si>
  <si>
    <t xml:space="preserve">Micro-learning in Improving Professional Competences of Programmers : Pilot Studies / Stolińska, Anna [Autor, 25%] ; Baran, Wojciech [Autor, 25%] ; Kapusta, Jozef [Autor, UKFFPVKIN, 25%] ; Wójcik, Katarzyna [Autor, 25%]. – text. – [angličtina]. – [OV 160]. – [ŠO 2508]. – [príspevok]. – [recenzované]. – DOI 10.1007/978-3-031-13359-6_5 In: Microlearning [textový dokument (print)] : New Approaches To A More Effective Higher Education / Smyrnova-Trybulska, Eugenia [Zostavovateľ, editor] ; Kommers, Piet [Zostavovateľ, editor] ; Drlík, Martin [Zostavovateľ, editor] ; Skalka, Ján [Zostavovateľ, editor]. – 1. vyd. – č. 6. – cham (Švajčiarsko) : Springer Nature. Springer International Publishing AG, 2022. – ISBN 978-3-031-13358-9. – ISBN (online) 978-3-031-13359-6, s. 79-89 [tlačená forma] [online] </t>
  </si>
  <si>
    <t xml:space="preserve">Monitoring vonkajšieho a vnútorného zaťaženia v tréningovom procese počas prípravnej hry so stredným počtom hráčov v ženskom futbale / Domčeková, Andrea [Autor, UKFPFAKTV, 50%] ; Šimonek, Jaromír [Autor, UKFPFAKTV, 10%] ; Krčmár, Matúš [Autor, UKFPFAKTV, 20%] ; Bakaľár, Igor [Autor, UKFPFAKTV, 20%]. – text. – [slovenčina]. – [OV 210]. – [ŠO 7418]. – [príspevok] In: Šport a rekreácia 2022 (Recenzovaný nekonferenčný zborník vedecko-výskumných a odborných prác, zameraný na prezentáciu poznatkov v oblasti športu, telesnej výchovy, diagnostiky, zdravia, rekreácie, cestovného ruchu, regenerácie, manažmentu, atď.) [textový dokument (print)] [elektronický dokument] : zborník vedeckých prác / Broďáni, Jaroslav [Zostavovateľ, editor] ; Czaková, Monika [Zostavovateľ, editor] ; Bartík, Pavol [Recenzent] ; Šimonek, Jaromír [Recenzent] ; Kanásová, Janka [Recenzent] ; Halmová, Nora [Recenzent] ; Broďáni, Jaroslav [Recenzent] ; Horička, Pavol [Recenzent] ; Divinec, Lenka [Recenzent] ; Czaková, Natália [Recenzent] ; Vašková, Monika [Recenzent] ; Kraček, Stanislav [Recenzent]. – 1. vyd. – Roč. 12. – Nitra (Slovensko) : Univerzita Konštantína Filozofa v Nitre. Pedagogická fakulta UKF. Katedra telesnej výchovy a športu, 2022. – ISBN 978-80-558-1905-1, s. 21-26 [tlačená forma] [online] </t>
  </si>
  <si>
    <t xml:space="preserve">Mothers ́knowledge on breastfeeding / Spáčilová, Zuzana [Autor, UKFFSVKOS, 90%] ; Tináková, Simona [Autor, 10%] ; Nursing of the 21st century in the process of changes 2022 [08.09.2022-09.09.2022, Nitra, Slovensko]. – text. – [angličtina]. – [OV 180]. – [ŠO 5602]. – [abstrakt z podujatia - KP] In: Nursing of the 21st century in the process of changes 2022 [elektronický dokument] : book of abstracts / Semanišinová, Mária [Zostavovateľ, editor] ; Hajduchová, Hana [Recenzent] ; Spáčilová, Zuzana [Recenzent] ; Zrubcová, Dana [Recenzent]. – 1. vyd. – Nitra (Slovensko) : Univerzita Konštantína Filozofa v Nitre, 2022. – ISBN 978-80-558-1923-5, s. 83-83 [online] </t>
  </si>
  <si>
    <t xml:space="preserve">Motiv nezaslúženého trestu/premeny v slovenskej l'udovej rozpravke Hadogašpar / Danišová, Nikola [Autor, UKFFFAKAE, 100%]. – text. – [slovenčina]. – [OV 020]. – [ŠO 8110]. – [príspevok] In: Słowiańskie światy wyobraźni [textový dokument (print)] : metamorfozy / Dyras, Magdalena [Zostavovateľ, editor] ; Fidowicz, Alicja [Zostavovateľ, editor] ; Gruda, Marlena [Zostavovateľ, editor] ; Darasz, Zdzislaw [Recenzent] ; Malczak, Leszek [Recenzent]. – 1. vyd. – Krakow (Poľsko) : Uniwersytet Jagielloński. Wydawnictwo Uniwersytetu Jagiellońskiego, 2021. – ISBN 978-83-233-5042-2, s. 135-150 [tlačená forma] </t>
  </si>
  <si>
    <t xml:space="preserve">Motivačné prediktory didaktických kompetencií učiteľov v pregraduálnej príprave / Bujdošová, Bibiána [Autor, 50%] ; Verešová, Marcela [Autor, UKFPFAKAP, 50%]. – text. – [slovenčina]. – [OV 010]. – [ŠO 7605]. – [príspevok] In: Konvergencie vedeckej činnosti študentov a učiteľov 3 [textový dokument (print)] / Verešová, Marcela [Zostavovateľ, editor] ; Valihorová, Marta [Recenzent] ; Pavelová, Ľuba [Recenzent]. – 1. vyd. – Nitra (Slovensko) : Univerzita Konštantína Filozofa v Nitre, 2022. – ISBN 978-80-558-1902-0, s. 92-106 [tlačená forma] </t>
  </si>
  <si>
    <t xml:space="preserve">Možnosti edukácie a stimulácie dieťaťa s oneskoreným psychomotorickým vývinom / Balážová, Jana [Autor, UKFPFAKPE, 70%] ; Filka, Gabriela [Autor, 30%]. – text. – [slovenčina]. – [OV 010]. – [ŠO 7605]. – [príspevok] In: Žiak, pohyb, edukácia [elektronický dokument] : vedecký zborník 2022 / Merica, Marián [Zostavovateľ, editor] ; Belešová, Mária [Zostavovateľ, editor] ; Skrypko, Anatol [Recenzent] ; Görner, Karol [Recenzent]. – 1. vyd. – Bratislava (Slovensko) : Univerzita Komenského v Bratislave, 2022. – ISBN (online) 978-80-223-5471-4. – SIGN-UKO PD PP/22, s. 16-25 [CD-ROM] </t>
  </si>
  <si>
    <t xml:space="preserve">Najstaršie dejiny územia Hriňovej / Beljak Pažinová, Noémi [Autor, UKFFFAKAR, 90%] ; Beljak, Ján [Autor, 10%] ; Tomeček, Oto [Recenzent] ; Turóci, Martin [Recenzent]. – text. – [slovenčina]. – [OV 030]. – [ŠO 7115]. – [príspevok] In: Hriňová. Monografia obce [textový dokument (print)] / Golian, Ján [Zostavovateľ, editor]. – 1. vyd. – Hriňová (Slovensko) : MÚ Hriňová, 2022. – ISBN 978-80-570-4115-3, s. 38-44 [tlačená forma] </t>
  </si>
  <si>
    <t xml:space="preserve">Návrh miestneho územného systému ekologickej stability pre katastrálne územie obce Zvolenská Slatina = Proposal of the Local Territorial System of Ecological Stability for the cadastral territory of the Zvolenska Slatina municipality / Halas, Bohdana [Autor, UKFFPVKEE, 50%] ; Spodniaková, Lucia [Autor, UKFFPVKEE, 50%] ; Študentská vedecká konferencia 2022 [06.04.2022, Nitra, Slovensko]. – text. – [slovenčina]. – [OV 100]. – [ŠO 1610]. – [príspevok z podujatia] In: Študentská vedecká konferencia 2022 [elektronický dokument] : zborník recenzovaných príspevkov / Spišiak, Ján [Zostavovateľ, editor] ; Račáková, Slavka [Zostavovateľ, editor] ; Voštinár, Patrik [Recenzent] ; Vagač, Michal [Recenzent]. – 1. vyd. – Banská Bystrica (Slovensko) : Univerzita Mateja Bela v Banskej Bystrici, 2022. – ISBN 978-80-557-1984-9, s. 57-63 [online] </t>
  </si>
  <si>
    <t xml:space="preserve">Názory verejnosti na profesiou sociálneho pracovníka / Rendeková, Lucia [Autor, 50%] ; Gažiková, Elena [Autor, UKFFSVKSP, 50%]. – text. – [slovenčina]. – [OV 060]. – [ŠO 7761]. – [príspevok] In: Optima Opus 2021 [textový dokument (print)] : zborník vedeckých prác FSVaZ / Rosinský, Rastislav [Zostavovateľ, editor] ; Líšková, Miroslava [Recenzent] ; Mojtová, Martina [Recenzent]. – 1. vyd. – Nitra (Slovensko) : Univerzita Konštantína Filozofa v Nitre, 2022. – ISBN 978-80-558-1885-6, s. 78-107 [tlačená forma] </t>
  </si>
  <si>
    <t xml:space="preserve">Názory zamestnancov na aplikáciu legislatívnych zmien v centrách pre deti a rodiny vykonávajúcich resocializačný program / Torovská, Martina [Autor, 50%] ; Gažiková, Elena [Autor, UKFFSVKSP, 50%]. – text. – [slovenčina]. – [OV 060]. – [ŠO 7761]. – [príspevok] In: Optima Opus 2021 [textový dokument (print)] : zborník vedeckých prác FSVaZ / Rosinský, Rastislav [Zostavovateľ, editor] ; Líšková, Miroslava [Recenzent] ; Mojtová, Martina [Recenzent]. – 1. vyd. – Nitra (Slovensko) : Univerzita Konštantína Filozofa v Nitre, 2022. – ISBN 978-80-558-1885-6, s. 78-107 [tlačená forma] </t>
  </si>
  <si>
    <t xml:space="preserve">Neurophysiology parameters of perceived credibility and attractiveness in teaching students / Krause, Robert [Autor, UKFPFAKAP, 100%] ; Rome International Academic Conference, 9 [19.09.2022, Rím, Taliansko]. – text. – [angličtina]. – [OV 010]. – [ŠO 7605]. – [abstrakt z podujatia - KP]. – [recenzované] In: Rome International Academic Conference [textový dokument (print)] : Education and Social Sciences Business and Economics / Rucheva Tasev, Hristina [Zostavovateľ, editor]. – 1. vyd. – Skopje (Macedónsko) : International Academic Institute, 2022. – ISBN 978-608-4881-33-9, s. 13-13 [tlačená forma] </t>
  </si>
  <si>
    <t xml:space="preserve">New chalenges for nurs education / Solgajová, Andrea [Autor, UKFFSVKOS, 24%] ; Zrubcová, Dana [Autor, UKFFSVKOS, 23%] ; Pavelová, Ľuboslava [Autor, UKFFSVKOS, 23%] ; Elonen, Imane [Autor, 5%] ; Saaranen [Autor, 5%] ; Kean, Susanne [Autor, 5%] ; Pilar Fuster Linares de, Maria [Autor, 5%] ; Camilleri, Michelle [Autor, 5%] ; Salminen, Leena [Autor, 5%] ; Nursing of the 21st century in the process of changes 2022 [08.09.2022-09.09.2022, Nitra, Slovensko]. – text. – [angličtina]. – [OV 180]. – [ŠO 5602]. – [abstrakt z podujatia - KP] In: Nursing of the 21st century in the process of changes 2022 [elektronický dokument] : book of abstracts / Semanišinová, Mária [Zostavovateľ, editor] ; Hajduchová, Hana [Recenzent] ; Spáčilová, Zuzana [Recenzent] ; Zrubcová, Dana [Recenzent]. – 1. vyd. – Nitra (Slovensko) : Univerzita Konštantína Filozofa v Nitre, 2022. – ISBN 978-80-558-1923-5, s. 81-81 [online] </t>
  </si>
  <si>
    <t xml:space="preserve">Nursing care during the Covid-19 pandemic / Pavelová, Ľuboslava [Autor, UKFFSVKOS, 34%] ; Krištofová, Erika [Autor, UKFFSVKOS, 33%] ; Mesárošová, Jozefína [Autor, UKFFSVKOS, 33%] ; Nursing of the 21st century in the process of changes 2022 [08.09.2022-09.09.2022, Nitra, Slovensko]. – text. – [angličtina]. – [OV 180]. – [ŠO 5602]. – [abstrakt z podujatia - KP] In: Nursing of the 21st century in the process of changes 2022 [elektronický dokument] : book of abstracts / Semanišinová, Mária [Zostavovateľ, editor] ; Hajduchová, Hana [Recenzent] ; Spáčilová, Zuzana [Recenzent] ; Zrubcová, Dana [Recenzent]. – 1. vyd. – Nitra (Slovensko) : Univerzita Konštantína Filozofa v Nitre, 2022. – ISBN 978-80-558-1923-5, s. 69-69 [online] </t>
  </si>
  <si>
    <t xml:space="preserve">Nursing diagnosis in internal medicine nursing / Vörösová, Gabriela [Autor, UKFFSVKOS, 34%] ; Solgajová, Andrea [Autor, UKFFSVKOS, 33%] ; Zrubcová, Dana [Autor, UKFFSVKOS, 33%] ; Nursing of the 21st century in the process of changes 2022 [08.09.2022-09.09.2022, Nitra, Slovensko]. – text. – [angličtina]. – [OV 180]. – [ŠO 5602]. – [abstrakt z podujatia - KP] In: Nursing of the 21st century in the process of changes 2022 [elektronický dokument] : book of abstracts / Semanišinová, Mária [Zostavovateľ, editor] ; Hajduchová, Hana [Recenzent] ; Spáčilová, Zuzana [Recenzent] ; Zrubcová, Dana [Recenzent]. – 1. vyd. – Nitra (Slovensko) : Univerzita Konštantína Filozofa v Nitre, 2022. – ISBN 978-80-558-1923-5, s. 89-89 [online] </t>
  </si>
  <si>
    <t xml:space="preserve">Nursing in Slovakia / Zrubcová, Dana [Autor, UKFFSVKOS, 50%] ; Solgajová, Andrea [Autor, UKFFSVKOS, 50%]. – text. – [angličtina]. – [OV 180]. – [ŠO 5602]. – [príspevok] In: Medical Professions in International Perspective [textový dokument (print)] : nurse / Nagórska, Malgorzata [Zostavovateľ, editor] ; Hirdi, Henriett Eva [Recenzent] ; Dimunová, Lucia [Recenzent]. – 1. vyd. – Rzeszów (Poľsko) : Uniwersytet Rzeszowski. Wydawnictwo Uniwersytetu Rzeszowskiego, 2022. – ISBN 978-83-7996-998-2, s. 169-190 [tlačená forma] </t>
  </si>
  <si>
    <t xml:space="preserve">Od lásky k spokojnosti: Súvisia hodnotové atribúty lásky so spokojnosťou v partnerskom vzťahu? / Marková, Dagmar [Autor, UKFFFAKAE, 50%] ; Kocina, Petr [Autor, UKFFFAKAE, 50%] ; Celostátní kongres k sexuální výchově v České republice, 30 [20.10.2022-21.10.2022, Pardubice, Česko]. – text. – [slovenčina]. – [OV 020]. – [ŠO 6107]. – [príspevok z podujatia] In: 30. celostátní kongres k sexuální výchově v České republice [textový dokument (print)] / Mitlöhner, Miroslav [Zostavovateľ, editor] ; Prouzová, Zuzana [Zostavovateľ, editor] ; Sovová, Olga [Recenzent] ; Kubík, Jiří [Recenzent]. – 1. vyd. – Praha (Česko) : Společnost pro plánování rodiny a sexuální výchovu, 2022. – ISBN 978-80-907936-2-0, s. 79-86 </t>
  </si>
  <si>
    <t xml:space="preserve">Odborný záujem o problematiku mediálnych obrazov islamu a moslimov / Letavajová, Silvia [Autor, UKFFFAKMK, 100%]. – text. – [slovenčina]. – [OV 020]. – [ŠO 8110]. – [príspevok] In: Framing [elektronický dokument] : mediálny obraz islamu a moslimov na Slovensku / Hasna, Zuzana [Zostavovateľ, editor] ; Pluliková, Nataša [Zostavovateľ, editor] ; Šomodiová, Katarína [Recenzent] ; Divinský, Boris [Recenzent]. – 1. vyd. – Bratislava (Slovensko) : Islamská nadácia na Slovensku, 2022. – ISBN (online) 978-80-974244-0-4, s. 10-13 [online] </t>
  </si>
  <si>
    <t xml:space="preserve">Odhad bioekonomickej hodnoty opeľovania včiel bioekonomickým prístupom v podmienkach Slovenskej a Českej republiky = Estimation of the economic value of bee pollination using the bioeconomic approach in the conditions of Slovak and Czech Republic / Levický, Michal [Autor, UKFFPVUMI, 70%] ; Papcunová, Viera [Autor, UKFFPVUMI, 30%]. – text. – [slovenčina]. – [OV 080]. – [ŠO 6213]. – [príspevok] In: Potenciál ekosystémových služieb prírodného kapitálu ako nástroj hodnotenia sociálno-ekonomického potenciálu území [elektronický dokument] : zborník vedeckých prác / Kološta, Stanislav [Zostavovateľ, editor] ; Makovníková, Jarmila [Zostavovateľ, editor] ; Hužvár, Miroslav [Recenzent] ; Kráľ, Pavol [Recenzent] ; Spišiaková, Mária [Recenzent] ; Lacová, Žaneta [Recenzent] ; Flaška, Filip [Recenzent] ; Makovníková, Jarmila [Recenzent] ; Kološta, Stanislav [Recenzent]. – 1. vyd. – Banská Bystrica (Slovensko) : Univerzita Mateja Bela v Banskej Bystrici. Vydavateľstvo Univerzity Mateja Bela v Banskej Bystrici - Belianum, 2022. – ISBN 978-80-557-1991-7, s. 16-22 [online] </t>
  </si>
  <si>
    <t xml:space="preserve">Online learning experiences amid the pandemic as predictors of school belonging among university students / Šeboková, Gabriela [Autor, UKFFSVKPV, 50%] ; Uhláriková, Jana [Autor, UKFFSVKPV, 50%] ; EDULEARN21 [05.07.2021-06.07.2021, Barcelona, Španielsko]. – text. – [angličtina]. – [OV 060]. – [ŠO 7701]. – [príspevok z podujatia]. – [recenzované] In: EDULEARN21 [elektronický dokument] : 13th annual International Conference on Education and New Learning Technologies, Barcelona, 5th - 6th of July, 2021 / Chova, Luis Goméz [Zostavovateľ, editor] ; Martínez, Augustín López [Zostavovateľ, editor] ; Torres, I. [Zostavovateľ, editor]. – 1. vyd. – Roč. 13. – Barcelona (Španielsko) : IATED, 2021. – ISBN 978-84-09-31267-2. – ISSN 2340-1117, s. 2492-2496 [CD-ROM] [USB kľúč] </t>
  </si>
  <si>
    <t xml:space="preserve">Operačné sály ako výučbové prostredie študentov ošetrovateľstva = Operating theater as a learning enviroment for nursing students / Zito, Peter [Autor, 50%] ; Pavelová, Ľuboslava [Autor, UKFFSVKOS, 50%]. – text. – [slovenčina]. – [OV 180]. – [ŠO 5602]. – [abstrakt - KP] In: "Intervencie multidisciplinárneho tímu v kontexe pomáhajúcich profesií" [elektronický dokument] : Recenzovaný zborník abstraktov / Briššáková, Janka [Zostavovateľ, editor] ; Pechová, Katarína [Zostavovateľ, editor] ; Nagy Gažová, Zuzana [Zostavovateľ, editor] ; Vavro, Michal [Zostavovateľ, editor] ; Libová, Ľubica [Recenzent] ; Dubovcová, Martina [Recenzent]. – 1. vyd. – Nové Zámky (Slovensko) : Vysoká škola zdravotníctva a sociálnej práce sv. Alžbety v Bratislave, 2022. – ISBN 978-80-8132-263-1, s. 23-24 </t>
  </si>
  <si>
    <t xml:space="preserve">Operná a operetná tvorba na území Slovenska (v období od baroka po romantizmus) / Hubinská, Zuzana [Autor, UKFPFAKHU, 50%] ; Lacková, Ivana [Autor, UKFPFAKHU, 50%] ; QUAERE 2022, 12 [27.06.2022-29.06.2022, Hradec Králové, Česko]. – text. – [slovenčina]. – [OV 010]. – [ŠO 7605]. – [príspevok z podujatia] In: QUAERE 2022 [elektronický dokument] : recenzovaný sborník příspěvků interdisciplinární mezinárodní vědecké konference doktorandů a odborných asistentů / [bez zostavovateľa] [Zostavovateľ, editor]. – 1. vyd. – Hradec Králové (Česko) : Magnanimitas akademické sdružení, 2022. – ISBN (online) 978-80-87952-36-8, s. 661-669 [online] </t>
  </si>
  <si>
    <t xml:space="preserve">Osobnostné prediktory didaktických kompetencií učiteľov v pregraduálnej príprave / Bujdošová, Bibiána [Autor, 50%] ; Verešová, Marcela [Autor, UKFPFAKAP, 50%]. – text. – [slovenčina]. – [OV 010]. – [ŠO 7605]. – [príspevok] In: Konvergencie vedeckej činnosti študentov a učiteľov 3 [textový dokument (print)] / Verešová, Marcela [Zostavovateľ, editor] ; Valihorová, Marta [Recenzent] ; Pavelová, Ľuba [Recenzent]. – 1. vyd. – Nitra (Slovensko) : Univerzita Konštantína Filozofa v Nitre, 2022. – ISBN 978-80-558-1902-0, s. 107-119 [tlačená forma] </t>
  </si>
  <si>
    <t xml:space="preserve">Overenie preventívneho programu Malý Lexíček u detí predškolského veku na Slovensku / Janíček Pavelová, Monika [Autor, UKFPFAKPE, 100%]. – [slovenčina]. – [OV 010]. – [ŠO 7605]. – [príspevok] In: Formovanie učiaceho sa spoločenstva v inkluzívnej škole [elektronický dokument] : zborník vedeckých štúdií / Janoško, Pavol [Zostavovateľ, editor] ; Majzlanová, Katarína [Recenzent] ; Zubal, Pavol [Recenzent] ; Kušnírová, Veronika [Recenzent]. – 1. vyd. – Bratislava (Slovensko) : Univerzita Komenského v Bratislave, 2021. – ISBN 978-80-223-5336-6. – SIGN-UKO PD LP/21, s. 109-122 [CD-ROM] </t>
  </si>
  <si>
    <t xml:space="preserve">Pandemic food purchasing: an example on silver generation in the Slovak Republic / Trembošová, Miroslava [Autor, UKFFPVKGR, 80%] ; Dubcová, Alena [Autor, UKFFPVKGR, 5%] ; Nagyová, Ľudmila [Autor, SPUFEM31, 10%] ; Horská, Elena [Autor, SPUFEM31, 5%] ; International Scientific Days 2022 [11.05.2022-13.05.2022, Nitra, Slovensko]. – [angličtina]. – [OV 080, 092]. – [ŠO 6213]. – [príspevok z podujatia]. – DOI 10.15414/isd2022.s3.15 In: International Scientific Days 2022 "Efficient, Sustainable and Resilient Agriculture and Food Systems – the Interface of Science, Politics and Practice" [elektronický dokument] : 17th International Scientific Days 2022 which will take place at the Faculty of Economics and Management, The Slovak University of Agriculture in Nitra, the Slovak Republic, on 11-13 May, 2022 / Horská, Elena [Zostavovateľ, editor] ; Kapsdorferová, Zuzana [Zostavovateľ, editor] ; Hallová, Marcela [Zostavovateľ, editor] ; Alcnauer, Július [Recenzent] ; Andrejovská, Alena [Recenzent] ; Babčanová, Dagmar [Recenzent]. – 1. vyd. – Nitra (Slovensko) : Slovenská poľnohospodárska univerzita v Nitre, 2022. – ISBN 978-80-552-2507-4, s. 351-361 [online] </t>
  </si>
  <si>
    <t xml:space="preserve">Pandemické nakupovanie : príklad slovenskej a srbskej striebornej generácie / Trembošová, Miroslava [Autor, UKFFPVKGR, 90%] ; Šramka, Martin [Autor, 10%] ; Mezinárodní kolokvium o regionálních vědách, 25 [22.06.2022-24.06.2022, Brno, Česko]. – text. – [slovenčina]. – [OV 092]. – [ŠO 1217]. – [príspevok z podujatia]. – DOI 10.5817/CZ.MUNI.P280-0068-2022-32 In: 25. Mezinárodní kolokvium o regionálních vědách [textový dokument (print)] [elektronický dokument] : sborník příspěvků Brno 22.-24.6.2022 / Klímová, Viktorie [Zostavovateľ, editor] ; Žítek, Vladimír [Zostavovateľ, editor]. – 1. vyd. – Brno (Česko) : Masarykova univerzita, 2022. – ISBN 978-80-280-0068-4, s. 294-308 </t>
  </si>
  <si>
    <t xml:space="preserve">Patočkov negatívny platonizmus ako príklad inšpirácie k ceste ľudskej zodpovednosti / Svobodová, Zuzana [Autor, 50%] ; Blaščíková, Andrea [Autor, UKFFFAUKD, 50%]. – text. – [slovenčina]. – [OV 020]. – [ŠO 7320]. – [príspevok] In: Filozofické cesty z neistoty – podoby zodpovednosti [textový dokument (print)] : zborník vedeckých príspevkov z výročnej medzinárodnej konferencie SFZ pri SAV / Švihura, Lukáš Arthur [Zostavovateľ, editor] ; Plašienková, Zlatica [Recenzent] ; Javorská, Andrea [Recenzent]. – 1. vyd. – Bratislava (Slovensko) : Slovenská akadémia vied. Pracoviská SAV. Slovenské filozofické združenie, 2022. – ISBN 978-80-973092-9-9. – SIGN-PU FF-22 140/22, s. 116-125 [tlačená forma] </t>
  </si>
  <si>
    <t xml:space="preserve">Perceived stress of high school students during distance learning as a result of the Covid-19 pandemic / Popelková, Marta [Autor, UKFFSVKPV, 25%] ; Jurišová, Erika [Autor, UKFFSVKPV, 25%] ; Ptáčniková, Lucia [Autor, UKFFSVKPV, 25%] ; Rácz, Róbert [Autor, 25%] ; EDULEARN22, 14 [04.07.2022-06.07.2022, Palma de Mallorca, Španielsko]. – text. – [angličtina]. – [OV 060, 010]. – [ŠO 7701, 7605]. – [príspevok z podujatia]. – [recenzované]. – DOI 10.21125/edulearn.2022.0765 In: EDULEARN22 - 14th International Conference on Education and New Learning Technologies, July 4th-6th, 2022, Palma, Mallorca, Spain [elektronický dokument] / Chova, Luis Goméz [Zostavovateľ, editor] ; Martínez, Augustín López [Zostavovateľ, editor] ; Lees, Joanna [Zostavovateľ, editor]. – 1 vyd. – Palma (Španielsko) : IATED, 2022. – (EDULEARN Proceedings, ISSN 2340-1117). – ISBN 978-84-09-42484-9, s. 3072-3078 [online] [CD-ROM] [USB kľúč] </t>
  </si>
  <si>
    <t xml:space="preserve">Personal well-being of students during Covid-19 pandemic / Bánesz, Gabriel [Autor, UKFPFAKTT, 50%] ; Lukáčová, Danka [Autor, UKFPFAKTT, 50%] ; International Technology, Education and Development Conference 2022, 16 [07.03.2022-08.03.2022, Valencia, Španielsko]. – text. – [angličtina]. – [OV 010]. – [ŠO 7605]. – [príspevok z podujatia]. – [recenzované] In: INTED2022 Conference Proceedings [elektronický dokument] : 16th International Technology, Education and Development Conference / Chova, Luis Goméz [Zostavovateľ, editor] ; López Martínez, Agustín [Zostavovateľ, editor] ; Candel Torres, Ignacio [Zostavovateľ, editor]. – 1. vyd. – Barcelona (Španielsko) : IATED, 2022. – (INTED Proceedings, ISSN 2340-1079). – ISBN 978-84-09-37758-9. – ISSN 2340-1079, s. 5003-5009 [online] [USB kľúč] </t>
  </si>
  <si>
    <t xml:space="preserve">Personality Development by Implementing the Philosophy for Children Programme / Borisová, Simona [Autor, UKFPFAKPE, 50%] ; Pintes, Gábor [Autor, UKFPFAKPE, 50%] ; EDULEARN22, 14 [04.07.2022-06.07.2022, Palma de Mallorca, Španielsko]. – text. – [angličtina]. – [OV 010]. – [ŠO 7605]. – [príspevok z podujatia]. – DOI 10.21125/edulearn.2022.1611 In: EDULEARN22 - 14th International Conference on Education and New Learning Technologies, July 4th-6th, 2022, Palma, Mallorca, Spain [elektronický dokument] / Chova, Luis Goméz [Zostavovateľ, editor] ; Martínez, Augustín López [Zostavovateľ, editor] ; Lees, Joanna [Zostavovateľ, editor]. – 1 vyd. – Palma (Španielsko) : IATED, 2022. – (EDULEARN Proceedings, ISSN 2340-1117). – ISBN 978-84-09-42484-9, s. 6846-6851 [online] [CD-ROM] [USB kľúč] </t>
  </si>
  <si>
    <t xml:space="preserve">Perspektívy vývoja religiozity na Slovensku na základe sociologického výskumu z roku 2020 / Štefaňak, Ondrej [Autor, UKFFFAKSO, 100%]. – text. – [slovenčina]. – [OV 060]. – [ŠO 6115]. – [príspevok] In: Aktuální otázky filozoficko-sociálního výzkumu [textový dokument (print)] / Králik, Roman [Zostavovateľ, editor] ; Maturkanič, Patrik [Zostavovateľ, editor] ; Dolista, Josef [Recenzent] ; Zimny, Jan [Recenzent]. – 1. vyd. – Terezín (Česko) : Vysoká škola aplikované psychologie, 2021. – ISBN 978-80-87871-16-4, s. 43-64 [tlačená forma] </t>
  </si>
  <si>
    <t xml:space="preserve">Possibilities and Challenges of Monitoring and Evaluating Digital Education in Electronic Environments from a Pedagogical and Technological Perspective / Molnár, György [Autor, 18%] ; Orosz, Beáta [Autor, 18%] ; Balogh, Zoltán [Autor, UKFFPVKIN, 18%] ; Fodor, Kristián [Autor, UKFFPVKIN, 18%] ; Francisti, Jan [Autor, UKFFPVKIN, 18%] ; Cserkó, József [Autor, 5%] ; Balázs, Brigitta [Autor, 5%] ; IEEE 20th Jubilee World Symposium on Applied Machine Intelligence and Informatics, 20 [02.03.2022-05.03.2022, Poprad, Slovensko]. – text. – [angličtina]. – [OV 160]. – [ŠO 2508]. – [príspevok z podujatia]. – [recenzované]. – DOI 10.1109/SAMI54271.2022.9780733. – SCO In: SAMI 2022 [elektronický dokument] [textový dokument (print)] : IEEE 20th Jubilee World Symposium on Applied Machine Intelligence and Informatics / [bez zostavovateľa] [Zostavovateľ, editor]. – 1. vyd. – Piscataway (USA) : Institute of Electrical and Electronics Engineers, 2022. – ISBN 978-1-6654-9704-6, s. 69-72 [tlačená forma] [online] </t>
  </si>
  <si>
    <t xml:space="preserve">Possibilities of Automation of Data Collection from  Facial Recognition Software / Fodor, Kristián [Autor, UKFFPVKIN, 50%] ; Balogh, Zoltán [Autor, UKFFPVKIN, 50%] ; International scientific conference on distance learning in applied informatics, 14 [02.05.2022-04.05.2022, Štúrovo, Slovensko]. – text. – [angličtina]. – [OV 010]. – [ŠO 2508]. – [príspevok z podujatia]. – [recenzované] In: DIVAI 2022 [elektronický dokument] : 14th international scientific conference on distance learning in applied informatics / Turčáni, Milan [Zostavovateľ, editor] ; Balogh, Zoltán [Zostavovateľ, editor] ; Munk, Michal [Zostavovateľ, editor] ; Magdin, Martin [Zostavovateľ, editor] ; Benko, Ľubomír [Zostavovateľ, editor] ; Francisti, Jan [Zostavovateľ, editor]. – 1. vyd. – Bratislava (Slovensko) : Wolters Kluwer. Wolters Kluwer SR, 2022. – ISBN 978-80-7676-410-1. – ISSN 2464-7470. – ISSN (online) 2464-7489, s. 54-63 [online] </t>
  </si>
  <si>
    <t xml:space="preserve">Possibilities of Identifying Children with Delayed Psychomotor Development / Balážová, Jana [Autor, UKFPFAKPE, 70%] ; Filka, Gabriela [Autor, 30%]. – text. – [angličtina]. – [OV 010]. – [ŠO 7605]. – [príspevok]. – DOI 10.46793/NOIP.327B In: Nauka i obrazovanije [elektronický dokument] : izazovi i perspektive / Marinković, Snežana [Zostavovateľ, editor] ; Stamatovič, Jelena [Zostavovateľ, editor] ; Stošić, Aleksandra [Recenzent] ; Jeremić, Biljana [Recenzent]. – 1. vyd. – Kragujevac (Srbsko) : Univerziteta u Kragujevcu, 2022. – ISBN 978-86-6191-074-6, s. 327-342 [CD-ROM] </t>
  </si>
  <si>
    <t xml:space="preserve">Post-socialist urban change and its spatial patterns - the case of Nitra / Ira, Vladimír [Autor, 50%] ; Boltižiar, Martin [Autor, UKFFPVKGR, 50%]. – text. – [angličtina]. – [OV 092]. – [ŠO 1217]. – [príspevok]. – [recenzované] In: Growth and Change in Post-socialist Cities of Central Europe [textový dokument (print)] [elektronický dokument] / Cudny, Waldemar [Zostavovateľ, editor] ; Kunc, Josef [Zostavovateľ, editor]. – 1. vyd. – Londýn (Veľká Británia) : Taylor &amp; Francis Group. Routledge, 2021. – (Routledge contemporary perspectives on urban growth, innovation and change). – ISBN 978-0-367484-47-7. – ISBN (online) 978-1-003-03979-2, s. 15-29 [tlačená forma] [online] </t>
  </si>
  <si>
    <t xml:space="preserve">Postupnosť procesu predspracovania zdrojového súboru dát pomocou architektúry určenej na spracovanie veľkých dát / Popovych, Valerii Volodymyrovych [Autor, UKFFPVKIN, 100%] ; Študentská vedecká konferencia 2022 [06.04.2022, Nitra, Slovensko]. – text. – [slovenčina]. – [OV 160]. – [ŠO 2508]. – [príspevok z podujatia] In: Študentská vedecká konferencia 2022 [elektronický dokument] : zborník recenzovaných príspevkov / Spišiak, Ján [Zostavovateľ, editor] ; Račáková, Slavka [Zostavovateľ, editor] ; Voštinár, Patrik [Recenzent] ; Vagač, Michal [Recenzent]. – 1. vyd. – Banská Bystrica (Slovensko) : Univerzita Mateja Bela v Banskej Bystrici, 2022. – ISBN 978-80-557-1984-9, s. 243-250 [online] </t>
  </si>
  <si>
    <t xml:space="preserve">Prediktory porúch učenia žiakov a ich podpora v zóne najbližšieho vývinu = Predictors of pupils' learning disorders and their support in the zone of proximal development / Bruchatá, Barbora [Autor, 50%] ; Gatial, Viktor [Autor, UKFPFAKAP, 50%]. – text. – [slovenčina]. – [OV 010]. – [ŠO 7605]. – [príspevok] In: Konvergencie vedeckej činnosti študentov a učiteľov 3 [textový dokument (print)] / Verešová, Marcela [Zostavovateľ, editor] ; Valihorová, Marta [Recenzent] ; Pavelová, Ľuba [Recenzent]. – 1. vyd. – Nitra (Slovensko) : Univerzita Konštantína Filozofa v Nitre, 2022. – ISBN 978-80-558-1902-0, s. 172-183 [tlačená forma] </t>
  </si>
  <si>
    <t xml:space="preserve">Premeny Operného štúdia VŠMU / Madunická, Klára [Autor, UKFFFAULK, 100%] ; Divadlo v meniacom sa svete a premeny divadla, 18 [26.11.2021-27.11.2021, Banská Bystrica, Slovensko]. – text. – [slovenčina]. – [OV 020]. – [ŠO 8110]. – [príspevok z podujatia] In: Divadlo v meniacom sa svete a premeny divadla [textový dokument (print)] : zborník vedeckých príspevkov z medzinárodnej Banskobystrickej teatrologickej konferencie 26.-27.11.2021 / Knopová, Elena [Zostavovateľ, editor] ; Zamišková, Barbora [Recenzent] ; Majera, Ľjuboslav [Recenzent]. – 1. vyd. – Banská Bystrica (Slovensko) : Akadémia umení. Fakulta dramatických umení, 2021. – ISBN 978-80-8206-052-5, s. 379-399 [tlačená forma] </t>
  </si>
  <si>
    <t xml:space="preserve">Presahy Medzinárodného festivalu Divadelná Nitra do vzdelávania a systému vzdelávania / Ballay, Miroslav [Autor, UKFFFAKKU, 100%]. – text. – [slovenčina]. – [OV 020]. – [ŠO 8110]. – [príspevok]. – [recenzované] In: Presahy Divadelnej Nitry 1992 - 2021 [textový dokument (print)] / Vanayová, Martina [Zostavovateľ, editor] ; Maliti Štorková, Romana [Zostavovateľ, editor] ; Kárová, Darina [Zostavovateľ, editor]. – 1. vyd. – Nitra (Slovensko) : Asociácia Divadelná Nitra, 2022. – ISBN 978-80-973691-5-6, s. 48-54 [tlačená forma] </t>
  </si>
  <si>
    <t xml:space="preserve">Prínosy a riziká programov v rámci prevencie vývinových porúch učenia v materskej škole = Benefits and risks of programs in  the framework of prevention of developmental disorders in kindergarten / Balážová, Jana [Autor, UKFPFAKPE, 60%] ; Domanická, Michaela [Autor, 40%]. – text. – [slovenčina]. – [OV 010]. – [ŠO 7605]. – [príspevok] In: Štúdie z predškolskej pedagogiky 2022 [elektronický dokument] : nekonferenčný vedecký recenzovaný zborník / Miňová, Monika [Zostavovateľ, editor] ; Slováček, Matej [Zostavovateľ, editor] ; Boiarska-Khomenko, Anna [Recenzent] ; Fojtíková Roubalová, Marcela [Recenzent] ; Matulčíková, Mária [Recenzent] ; Portik, Milan [Recenzent] ; Šarníková, Gabriela [Recenzent]. – 1. vyd. – Prešov (Slovensko) : Slovenský výbor Svetovej organizácie pre predškolskú výchovu, 2022. – ISBN 978-80-974139-1-0, s. 11-27 [online] </t>
  </si>
  <si>
    <t xml:space="preserve">Príprava na vyučovanie a využívanie didaktických pomôcok na hodinách biológie pred a počas pandémie Covid-19 / Babosová, Ramona [Autor, UKFFPVKZA, 20%] ; Bartková, Alexandra [Autor, UKFFPVKBG, 20%] ; Langraf, Vladimír [Autor, UKFFPVKEE, 20%] ; Poláčiková, Zuzana [Autor, UKFFPVKZA, 20%] ; Sandanusová, Anna [Autor, UKFFPVKZA, 20%]. – text. – [slovenčina]. – [OV 010]. – [ŠO 7605]. – [príspevok] In: Skvalitňovanie prípravy budúcich učiteľov prírodovedných, poľnohospodárskych a príbuzných odborov [elektronický dokument] / Sandanusová, Anna [Zostavovateľ, editor] ; Dytrtová, Radmila [Zostavovateľ, editor] ; Morovič, Martin [Recenzent] ; Švecová, Milada [Recenzent] ; Vondráková, Mária [Recenzent]. – 1. vyd. – Nitra (Slovensko) : Univerzita Konštantína Filozofa v Nitre, 2021. – ISBN 978-80-558-1865-8, s. 144-151 [online] </t>
  </si>
  <si>
    <t xml:space="preserve">Príprava textových materiálov pre online kurzy španielskej literatúry na Katedre romanistiky Filozofickej fakulty Univerzity Konštantína Filozofa v Nitre : teória a prax / De Miguel Santos, César [Autor, UKFFFAKRO, 100%] ; EDUCA 17, 17 [05.05.2022, Nitra, Slovensko]. – text. – [slovenčina]. – [OV 010]. – [ŠO 7605]. – [príspevok z podujatia] In: EDUCA 17 [elektronický dokument] : vzdelanie - cesta pre všetkých. Zborník z vedeckej konferencie doktorandov s medzinárodnou účasťou, Nitra 5.5.2022 / Bielčiková, Kristína [Zostavovateľ, editor] ; Janíček Pavelová, Monika [Zostavovateľ, editor] ; Židová, Monika [Zostavovateľ, editor] ; Krystoň, Miroslav [Recenzent] ; Petlák, Erich [Recenzent]. – 1. vyd. – Nitra (Slovensko) : Univerzita Konštantína Filozofa v Nitre, 2022. – ISBN 978-80-558-1943-3, s. 110-116 [online] </t>
  </si>
  <si>
    <t xml:space="preserve">Príprava učiteľov techniky v oblasti BOZP / Tureková, Ivana [Autor, UKFPFAKTT, 25%] ; Marková, Iveta [Autor, ZUZFBIPŽI, 25%] ; Brečka, Peter [Autor, UKFPFAKTT, 25%] ; Harangozó, Jozef [Autor, UKFPFAKTT, 25%] ; Aktuálne otázky bezpečnosti práce, 35 [09.11.2022-11.11.2022, Štrbské Pleso, Slovensko]. – text. – [slovenčina]. – [OV 010]. – [ŠO 7605]. – [abstrakt z podujatia - KP] In: Bezpečnost a ochrana zdraví při práci 2022 [elektronický dokument] : recenzovaný sborník abstraktů XXII. ročníku mezinárodní konference : 27. - 28. duben 2022 / Bernatík, Aleš [Zostavovateľ, editor]. – 1 vyd. – Ostrava (Česko) : Sdružení požárního a bezpečnostního inženýrství, 2022. – ISSN 978-80-7385-255-9, s. 43-43 [online] </t>
  </si>
  <si>
    <t xml:space="preserve">Príroda v rodine-rodina v prírode / Kurincová, Viera [Autor, UKFPFAKPE, 100%] ; 20 rokov lesnej pedagogiky na Slovensku [23.09.2021-24.09.2021, Zvolen, Slovensko]. – text. – [slovenčina]. – [OV 010]. – [ŠO 7605]. – [príspevok z podujatia] In: 20 rokov lesnej pedagogiky na Slovensku [textový dokument (print)] : zborník recenzovaných príspevkov k medzinárodnej konferencii, Zvolen 23. - 24. september 2021 / Jaloviarová, Veronika [Zostavovateľ, editor] ; Kollárová, Dana [Zostavovateľ, editor] ; Sélešová, Dagmar [Zostavovateľ, editor]. – 1. vyd. – Zvolen (Slovensko) : Národné lesnícke centrum, 2021. – ISBN 978-80-8093-322-7, s. 65-72 [tlačená forma] </t>
  </si>
  <si>
    <t xml:space="preserve">Prírodné a umelecké prostriedky pri utváraní vzťahu dieťaťa k lesnému prostrediu / Kollárová, Dana [Autor, UKFPFAKPE, 100%]. – text. – [slovenčina]. – [OV 010]. – [ŠO 7605]. – [príspevok] In: Expresivita vo výchove [elektronický dokument] / Valachová, Daniela [Zostavovateľ, editor] ; Kováčová, Barbora [Zostavovateľ, editor] ; Uhel, Jaroslav [Recenzent] ; Hudecová, Anna [Recenzent]. – 1. vyd. – č. 4. – Bratislava (Slovensko) : Univerzita Komenského v Bratislave, 2021. – ISBN (online) 978-80-223-5265-9. – SIGN-UKO PD VV/21, s. 192-212 [online] </t>
  </si>
  <si>
    <t xml:space="preserve">Prison libraries in Slovakia  as a specific educational environment / Temiaková, Dominika [Autor, UKFPFAKPE, 100%] ; Adult Education 2021 - In Diverse Learning Environments, 11 [14.12.2021-15.12.2021, Praha, Česko]. – text. – [angličtina]. – [OV 010]. – [ŠO 7605]. – [príspevok z podujatia] In: Adult Education 2021 - In Diverse Learning Environments [elektronický dokument] [textový dokument (print)] : Proceedings from 11. International scientific Conference, Prague 14. - 15. 12.2021 / Kříž, Jaroslav [Zostavovateľ, editor] ; Svobodová, Zuzana [Zostavovateľ, editor] ; Lukianova, Larisa [Recenzent] ; Marianowska, Anna [Recenzent] ; Matouš, Zdeněk [Recenzent] ; Pirohová, Ivana [Recenzent] ; Šip, Maroš [Recenzent] ; Pavlov, Ivan [Recenzent] ; Vaněček, David [Recenzent]. – 1. vyd. – Praha (Česko) : Česká andragogická společnost, 2022. – ISBN 978-80-908330-0-5. – ISBN (online) 978-80-908330-2-9. – ISSN 2571-3841. – ISSN (online) 2571-385X, s. 247-260 [online] [tlačená forma] </t>
  </si>
  <si>
    <t xml:space="preserve">Príspevok Martina Slivku k vizuálnej dokumentácii a výskumu fašiangov na Slovensku / Beňušková, Zuzana [Autor, UKFFFAKMK, 100%] ; Martin Slivka - muž, ktorý sadil stromy [10.12.2020, Bratislava, Slovensko]. – text. – [slovenčina]. – [OV 030]. – [ŠO 7115]. – [príspevok z podujatia] In: Martin Slivka - muž, ktorý sadil stromy [textový dokument (print)] / Macek, Václav [Zostavovateľ, editor] ; Mojžiš, Juraj [Recenzent] ; Filová, Eva [Recenzent]. – 1. vyd. – Bratislava (Slovensko) : Stredoeurópsky dom fotografie ; Slovenský filmový ústav, 2021. – ISBN 978-80-85739-88-6, s. 134-146 [tlačená forma] </t>
  </si>
  <si>
    <t xml:space="preserve">Prístupy extrakcie textu z PDF dokumentov = Approaches of text extraction from PDF documents / Forgáč, František [Autor, UKFFPVKIN, 50%] ; Munková, Daša [Autor, UKFFFAKTR, 50%] ; Študentská vedecká konferencia 2022 [06.04.2022, Nitra, Slovensko]. – text. – [slovenčina]. – [OV 160]. – [ŠO 2508]. – [príspevok z podujatia] In: Študentská vedecká konferencia 2022 [elektronický dokument] : zborník recenzovaných príspevkov / Spišiak, Ján [Zostavovateľ, editor] ; Račáková, Slavka [Zostavovateľ, editor] ; Voštinár, Patrik [Recenzent] ; Vagač, Michal [Recenzent]. – 1. vyd. – Banská Bystrica (Slovensko) : Univerzita Mateja Bela v Banskej Bystrici, 2022. – ISBN 978-80-557-1984-9, s. 230-235 [online] </t>
  </si>
  <si>
    <t xml:space="preserve">Problémové správanie detí predškolského veku a možnosti pedagogického riešenia = Behaviour of preschool children and possibilities of pedagogical solution / Gogová, Klaudia [Autor, 50%] ; Juhásová, Andrea [Autor, UKFPFAKAP, 50%]. – text. – [slovenčina]. – [OV 010]. – [ŠO 7605]. – [príspevok] In: Konvergencie vedeckej činnosti študentov a učiteľov 3 [textový dokument (print)] / Verešová, Marcela [Zostavovateľ, editor] ; Valihorová, Marta [Recenzent] ; Pavelová, Ľuba [Recenzent]. – 1. vyd. – Nitra (Slovensko) : Univerzita Konštantína Filozofa v Nitre, 2022. – ISBN 978-80-558-1902-0, s. 206-221 [tlačená forma] </t>
  </si>
  <si>
    <t xml:space="preserve">Problémy rómčiny v kontexte jazykových ideológií Rómov = Roma ideological issues in the Romani language / Samko, Milan [Autor, UKFFSVURS, 100%]. – text. – [slovenčina]. – [OV 020]. – [ŠO 7320]. – [príspevok] In: Jazykové a komunikačné problémy na Slovensku a ich manažment [textový dokument (print)] [elektronický dokument] / Lanstyák, István [Zostavovateľ, editor] ; Samko, Milan [Zostavovateľ, editor] ; Sebők, Szilárd [Zostavovateľ, editor] ; Cingerová, Nina [Recenzent] ; Sloboda, Marián [Recenzent] ; Vančo, Ildikó [Recenzent]. – 1. vyd. – Bratislava (Slovensko) : Univerzita Komenského v Bratislave, 2022. – ISBN 978-80-223-5376-2. – ISBN (online) 978-80-223-5476-9, s. 148-167 [tlačená forma] [online] </t>
  </si>
  <si>
    <t xml:space="preserve">Procedures based on physical principles in distance education / Líšková, Miroslava [Autor, UKFFSVKOS, 34%] ; Mesárošová, Jozefína [Autor, UKFFSVKOS, 33%] ; Archalousová, Alexandra [Autor, UKFFSVKOS, 33%] ; DIDFYZ 2021, 22 [13.10.2021-16.10.2021, Terchová, Slovensko]. – text. – [angličtina]. – [OV 180]. – [ŠO 5602]. – [príspevok z podujatia]. – [recenzované]. – DOI 10.1063/5.0078398. – SCO In: DIDFYZ 2021 [elektronický dokument] : Didactic Transfer of Physics Knowledge through Distance Information / Valovičová, Ľubomíra [Zostavovateľ, editor] ; Ondruška, Ján [Zostavovateľ, editor] ; Zelenický, Ľubomír [Zostavovateľ, editor]. – 1. vyd. – č. 2458. – Melville (USA) : American Institute of Physics . AIP Publishing, 2022. – ISBN 978-0-7354-4341-9, s. 1-8 [online] </t>
  </si>
  <si>
    <t xml:space="preserve">Professional practice in English language and culture study program: perspectives and challenges of an intercultural mediator / Židová, Diana [Autor, UKFPFAKLI, 100%] ; International Technology, Education and Development Conference 2022, 16 [07.03.2022-08.03.2022, Valencia, Španielsko]. – text. – [angličtina]. – [OV 010]. – [ŠO 7605]. – [príspevok z podujatia]. – [recenzované] In: INTED2022 Conference Proceedings [elektronický dokument] : 16th International Technology, Education and Development Conference / Chova, Luis Goméz [Zostavovateľ, editor] ; López Martínez, Agustín [Zostavovateľ, editor] ; Candel Torres, Ignacio [Zostavovateľ, editor]. – 1. vyd. – Barcelona (Španielsko) : IATED, 2022. – (INTED Proceedings, ISSN 2340-1079). – ISBN 978-84-09-37758-9. – ISSN 2340-1079, s. 920-927 [online] [USB kľúč] </t>
  </si>
  <si>
    <t xml:space="preserve">Program Filozofia pre deti v pregraduálnej príprave učiteľov / Borisová, Simona [Autor, UKFPFAKPE, 50%] ; Pintes, Gábor [Autor, UKFPFAKPE, 50%]. – text. – [slovenčina]. – [OV 010]. – [ŠO 7605]. – [príspevok] In: Pedagogica Actualis XIII [textový dokument (print)] : vybrané aspekty vzdelávania v kontexte otvorenej vedy / Šeben Zaťková, Tímea [Zostavovateľ, editor] ; Michvocíková, Veronika [Zostavovateľ, editor] ; Rubacha, Krzysztof Mariusz [Recenzent] ; Slávik, Milan [Recenzent]. – 1. vyd. – Trnava (Slovensko) : Univerzita sv. Cyrila a Metoda v Trnave, 2022. – ISBN 978-80-572-0243-1, s. 55-67 [tlačená forma] </t>
  </si>
  <si>
    <t xml:space="preserve">Programmable Hardware BBC Micro:Bit as a Tool for Developing Teacher Competencies / Cápay, Martin [Autor, UKFFPVKIN, 20%] ; Kvaššayová, Nika [Autor, UKFFPVKIN, 20%] ; Bellayová, Magdaléna [Autor, 20%] ; Mansell, Marek [Autor, 20%] ; Petrík, Štefan [Autor, 20%] ; EDUCON 2022 [28.03.2022-31.03.2022, Tunis, Tunisko]. – text. – [angličtina]. – [OV 010]. – [ŠO 2508]. – [príspevok]. – [recenzované]. – DOI 10.1109/EDUCON52537.2022.9766487. – WOS CC ; SCO In: EDUCON2022 [elektronický dokument] : Digital Transformation for Sustainable Engineering Education. IEEE Global Engineering Education Conference, Tunis, 28-31 March 2022 / Castro, Manuel [Zostavovateľ, editor]. – 1. vyd. – Piscataway (USA) : Institute of Electrical and Electronics Engineers, 2022. – ISBN 978-1-6654-4434-7, s. 1496-1501 [online] </t>
  </si>
  <si>
    <t xml:space="preserve">Prosodic and lexical entrainment in adults with and without schizophrenia / Kruyt, Joanna [Autor, 80%] ; Beňuš, Štefan [Autor, UKFFFAKAA, 5%] ; Faget, Catherine [Autor, 5%] ; Lançon, Christophe [Autor, 5%] ; Champagne-Lavau, Maud [Autor, 5%] ; Speech Prosody 2022, 11 [23.05.2022-26.05.2022, Lisabon, Portugalsko]. – text. – [angličtina]. – [OV 160]. – [ŠO 2508]. – [príspevok z podujatia]. – [recenzované]. – DOI 10.21437/SpeechProsody.2022-26 In: Speech Prosody 2022 [elektronický dokument] : Proceedings from 11th International Conference, Lisbon, 23-26 May 2022 / Fróta, Sónia [Zostavovateľ, editor] ; Vigário, Marina [Zostavovateľ, editor]. – 1. vyd. – Baixas (Francúzsko) : International Speech Communication Association, 2022, s. 125-129 [online] </t>
  </si>
  <si>
    <t xml:space="preserve">Prosodic imitation of audiovisual and audioonly prompts in L2 English / Beňuš, Štefan [Autor, UKFFFAKAA, 100%] ; Speech Prosody 2022, 11 [23.05.2022-26.05.2022, Lisabon, Portugalsko]. – text. – [angličtina]. – [OV 160]. – [ŠO 2508]. – [príspevok z podujatia]. – [recenzované] In: Speech Prosody 2022 [elektronický dokument] : Proceedings from 11th International Conference, Lisbon, 23-26 May 2022 / Fróta, Sónia [Zostavovateľ, editor] ; Vigário, Marina [Zostavovateľ, editor]. – 1. vyd. – Baixas (Francúzsko) : International Speech Communication Association, 2022, s. 787-791 [online] </t>
  </si>
  <si>
    <t xml:space="preserve">Psychomotor development screening as a tool for early identification of predictors of neurodevelopmental disorders and its importance in promoting academic success of children / Popelková, Marta [Autor, UKFFSVKPV, 34%] ; Jurišová, Erika [Autor, UKFFSVKPV, 33%] ; Ptáčniková, Lucia [Autor, UKFFSVKPV, 33%] ; EDULEARN22, 14 [04.07.2022-06.07.2022, Palma de Mallorca, Španielsko]. – text. – [angličtina]. – [OV 060]. – [ŠO 7701]. – [príspevok z podujatia]. – [recenzované]. – DOI 10.21125/edulearn.2022.0762 In: EDULEARN22 - 14th International Conference on Education and New Learning Technologies, July 4th-6th, 2022, Palma, Mallorca, Spain [elektronický dokument] / Chova, Luis Goméz [Zostavovateľ, editor] ; Martínez, Augustín López [Zostavovateľ, editor] ; Lees, Joanna [Zostavovateľ, editor]. – 1 vyd. – Palma (Španielsko) : IATED, 2022. – (EDULEARN Proceedings, ISSN 2340-1117). – ISBN 978-84-09-42484-9, s. 3053-3060 [online] [CD-ROM] [USB kľúč] </t>
  </si>
  <si>
    <t xml:space="preserve">Quantitative analysis of syllable properties in Croatian, Serbian, Russian, and Ukrainian / Rujević, Biljana [Autor, 17%] ; Kaplar, Marija [Autor, 17%] ; Kaplar, Sebastijan [Autor, 17%] ; Stanković, Ranka [Autor, 17%] ; Obradović, Ivan [Autor, 16%] ; Mačutek, Ján [Autor, UKFFPVKMA, 16%]. – text. – [angličtina]. – [OV 240]. – [ŠO 1113]. – [príspevok]. – [recenzované]. – DOI 10.1075/cilt.356.04ruj. – SCO In: Current Issues in Linguistic Theory [textový dokument (print)] / Pawlowski, Adam [Zostavovateľ, editor] ; Mačutek, Ján [Zostavovateľ, editor] ; Embleton, Sheila [Zostavovateľ, editor] ; Mikros, George [Zostavovateľ, editor]. – 1. vyd. – č. 356. – Amsterdam (Holandsko) : John Benjamins Publishing Company, 2021. – ISBN 9789027258380. – ISSN 03040763, s. 55-67 [tlačená forma] </t>
  </si>
  <si>
    <t xml:space="preserve">Reading Comprehenshion at Secondary Vocational Schools = Čítanie s porozumením na stredných odborných školách / Havettová, Romana [Autor, UKFFFAKRO, 50%] ; Stranovská, Eva [Autor, UKFFFAKRO, 50%] ; Odborný cudzí jazyk: teória a prax [18.12.2020, Nitra, Slovensko]. – text. – [angličtina]. – [OV 010]. – [ŠO 7605]. – [príspevok z podujatia] In: Odborný cudzí jazyk: teória a prax [textový dokument (print)] : zborník z medzinárodnej vedeckej konferencie / Zelenická, Elena [Zostavovateľ, editor] ; Timárová, Daniela [Recenzent] ; Kulíková, Terézia [Recenzent]. – 1. vyd. – Nitra (Slovensko) : Univerzita Konštantína Filozofa v Nitre. Filozofická fakulta, 2020. – ISBN 978-80-558-1608-1, s. 55-67 [tlačená forma] </t>
  </si>
  <si>
    <t xml:space="preserve">Real-Time Interaction Tools in Virtual Classroom Systems / Bakonyi, Viktória [Autor, 34%] ; Illés, Zoltán [Autor, 33%] ; Szabó, Tibor [Autor, UKFFSSUVP, 33%] ; International Conference on Recent Innovations in Computing, 4 [08.06.2021-09.06.2021, Jammu, India]. – text. – [angličtina]. – [OV 010, 160]. – [ŠO 7605, 2508]. – [príspevok z podujatia]. – DOI 10.1007/978-981-16-8892-8_47. – SCO In: Recent Innovations in Computing (2. Volume 2) [textový dokument (print)] [elektronický dokument] : Proceedings of ICRIC 2021 / Kumar Singh, Pradeep [Zostavovateľ, editor] ; Singh, Yashwant [Zostavovateľ, editor] ; Kolekar, Maheshkumar H. [Zostavovateľ, editor]. – 1. vyd. – Singapure (Singapur) : Springer Nature, 2022. – (Lecture Notes in Electrical Engineering, ISSN 1876-1100, ISSN 1876-1119 ; 855). – ISBN 978-981-16-8891-1, s. 625-636 [tlačená forma] [online] </t>
  </si>
  <si>
    <t xml:space="preserve">Reedukácia dyskalkúlie u žiakov prvého stupňa základných škôl / Kraljiková, Michaela [Autor, UKFPFAKPE, 100%] ; EDUCA 16, 16 [29.04.2021, Nitra, Slovensko]. – text. – [slovenčina]. – [OV 010]. – [ŠO 7605]. – [príspevok z podujatia] In: EDUCA 16 [textový dokument (print)] : edukácia - kľúč k úspechu. Zborník príspevkov z 16. vedeckej  konferencie doktorandov s medzinárodnou účasťou, Nitra 29. apríl 2021 / Teleková, Radka [Zostavovateľ, editor] ; Koricina, Michal [Zostavovateľ, editor] ; Petlák, Erich [Recenzent] ; Krystoň, Miroslav [Recenzent]. – 1. vyd. – Nitra (Slovensko) : Univerzita Konštantína Filozofa v Nitre, 2021. – ISBN 978-80-558-1811-5, s. 148-154 [tlačená forma] </t>
  </si>
  <si>
    <t xml:space="preserve">Reedukačný proces vývinovej dyskalkúlie na primárnom stupni vzdelávania (prípadová štúdia) / Kraljiková, Michaela [Autor, UKFPFAKPE, 100%] ; EDUCA 17, 17 [05.05.2022, Nitra, Slovensko]. – text. – [slovenčina]. – [OV 010]. – [ŠO 7605]. – [príspevok z podujatia] In: EDUCA 17 [elektronický dokument] : vzdelanie - cesta pre všetkých. Zborník z vedeckej konferencie doktorandov s medzinárodnou účasťou, Nitra 5.5.2022 / Bielčiková, Kristína [Zostavovateľ, editor] ; Janíček Pavelová, Monika [Zostavovateľ, editor] ; Židová, Monika [Zostavovateľ, editor] ; Krystoň, Miroslav [Recenzent] ; Petlák, Erich [Recenzent]. – 1. vyd. – Nitra (Slovensko) : Univerzita Konštantína Filozofa v Nitre, 2022. – ISBN 978-80-558-1943-3, s. 49-56 [online] </t>
  </si>
  <si>
    <t xml:space="preserve">Registrované partnerstvo v kontextoch univerzálneho systému ochrany ľudských práv / Kocina, Petr [Autor, UKFFFAKAE 06.2022, 50%] ; Marková, Dagmar [Autor, UKFFFAKAE 06.2022, 50%] ; 29. celostátní kongres k sexuální výchově v České republice, 29 [14.10.2021-15.10.2021, Hradec Králové, Česko]. – text. – [slovenčina]. – [OV 020]. – [ŠO 6107]. – [príspevok z podujatia] In: 29. celostátní kongres k sexuální výchově v České republice [elektronický dokument] : sborník referátů 2021 / Mitlöhner, Miroslav [Zostavovateľ, editor] ; Prouzová, Zuzana [Zostavovateľ, editor] ; Sovová, Olga [Recenzent] ; Kubík, Jiří [Recenzent]. – 1. vyd. – Hradec Králové (Česko) : Univerzita Hradec Králové, 2021. – ISBN 978-80-907936-1-3, s. 56-60 [online] </t>
  </si>
  <si>
    <t xml:space="preserve">Required Skills and Competencies on the Administrative Labor Market / Schulcz, Patrik [Autor, UKFFSSUML, 100%] ; International Technology, Education and Development Conference 2021, 15 [08.03.2021-09.03.2021, Valencia, Španielsko]. – text. – [angličtina]. – [OV 020]. – [ŠO 7320]. – [príspevok z podujatia]. – DOI 10.21125/inted.2021.0559 In: INTED2021 [textový dokument (print)] [elektronický dokument] : 15th International Technology, Education and Development Conference : conference proceedings / Chova, Luis Goméz [Zostavovateľ, editor] ; López Martínez, Agustín [Zostavovateľ, editor] ; Candel Torres, Ignacio [Zostavovateľ, editor]. – 1. vyd. – Valencia (Španielsko) : IATED, 2021. – (INTED Proceedings, ISSN 2340-1079). – ISBN 978-84-09-27666-0. – ISSN 2340-1079, s. 2622-2629 [online] </t>
  </si>
  <si>
    <t xml:space="preserve">Research and education of proper names translation at the Hungarian Institute in Nitra / Bauko, Ján [Autor, UKFFSSUML, 100%] ; International Technology, Education and Development Conference 2022, 16 [07.03.2022-08.03.2022, Valencia, Španielsko]. – text. – [angličtina]. – [OV 010]. – [ŠO 7605]. – [príspevok z podujatia]. – [recenzované] In: INTED2022 Conference Proceedings [elektronický dokument] : 16th International Technology, Education and Development Conference / Chova, Luis Goméz [Zostavovateľ, editor] ; López Martínez, Agustín [Zostavovateľ, editor] ; Candel Torres, Ignacio [Zostavovateľ, editor]. – 1. vyd. – Barcelona (Španielsko) : IATED, 2022. – (INTED Proceedings, ISSN 2340-1079). – ISBN 978-84-09-37758-9. – ISSN 2340-1079, s. 8651-8660 [online] [USB kľúč] </t>
  </si>
  <si>
    <t xml:space="preserve">Risk factors for Age-related frailty-vulnerability / Poledníková, Ľubica [Autor, UKFFSVKOS, 45%] ; Slamková, Alica [Autor, UKFFSVKOS, 45%] ; Macaková, Nikoleta [Autor, 10%] ; Nursing of the 21st century in the process of changes 2022 [08.09.2022-09.09.2022, Nitra, Slovensko]. – text. – [angličtina]. – [OV 180]. – [ŠO 5602]. – [abstrakt z podujatia - KP] In: Nursing of the 21st century in the process of changes 2022 [elektronický dokument] : book of abstracts / Semanišinová, Mária [Zostavovateľ, editor] ; Hajduchová, Hana [Recenzent] ; Spáčilová, Zuzana [Recenzent] ; Zrubcová, Dana [Recenzent]. – 1. vyd. – Nitra (Slovensko) : Univerzita Konštantína Filozofa v Nitre, 2022. – ISBN 978-80-558-1923-5, s. 70-70 [online] </t>
  </si>
  <si>
    <t xml:space="preserve">Rizikové správanie a impulzivita dospievajúcich vo veku 10 až 15 rokov - vekové a genderové špecifiká = Risk behavior and impulsivity of adolescents aged 10 to 15. Age and gender specifics / Čerešník, Michal [Autor, PEUFPSUVP, 50%] ; Čerešníková, Miroslava [Autor, UKFFSVURS, 50%] ; PhD existence 2022 : Změna, 12 [31.01.2022-01.02.2022, Olomouc, Česko]. – text, graf., tab. – [slovenčina]. – [OV 060]. – [ŠO 7701]. – [príspevok z podujatia]. – PEVŠ ID-493097 In: PhD existence 12 [elektronický dokument] : "Změna" : česko-slovenská psychologická konference (nejen) pro doktorandy a o doktorandech  : sborník odborných příspěvků / Aigelová, Eva [Zostavovateľ, editor] ; Viktorová, Lucie [Zostavovateľ, editor] ; Dolejš, Martin [Zostavovateľ, editor] ; Tomšik, Robert [Recenzent] ; Skopal, Ondřej [Recenzent]. – 1. vyd. – Olomouc (Česko) : Univerzita Palackého v Olomouci, 2022. – ISBN 978-80-244-6174-8, s. 320-338 [online] </t>
  </si>
  <si>
    <t xml:space="preserve">Rodzina i przyjaciele wśród wartości życiowych Słowaków / Štefaňak, Ondrej [Autor, UKFFFAKFI, 100%]. – text. – [poľština]. – [OV 060]. – [ŠO 6718]. – [príspevok]. – [recenzované] In: Zeszyty Naukowe Wyższej Szkoły Nauk Społecznych z siedzibą w Lublinie [textový dokument (print)] / [bez zostavovateľa] [Zostavovateľ, editor]. – 1. vyd. – Roč. 11, č. 1. – Lublin (Poľsko) : Pedagogium - Wyższa Szkoła Nauk Społecznych, 2022. – ISSN 2450-0550, s. 47-58 [tlačená forma] </t>
  </si>
  <si>
    <t xml:space="preserve">Role of extracellular vesicles from follicular fluid in mitochondrial distribution of porcine  oocytes / Murín, Matej [Autor, 33%] ; Gad, Ahmed [Autor, 32%] ; Bartková, Alexandra [Autor, UKFFPVKBG, 32%] ; Kinterová, Veronika [Autor, 1%] ; Laurinčík, Jozef [Autor, UKFFPVKZA, 1%] ; Procházka, Radek [Autor, 1%] ; Animal Physiology 2022, 17 [01.06.2022-03.06.2022, Košice, Slovensko]. – text. – [angličtina]. – [OV 200]. – [ŠO 1536]. – [abstrakt z podujatia - KP]. – [recenzované] In: Animal physiology 2022 [textový dokument (print)] : book of abstracts from international conference / Čikoš, Štefan [Zostavovateľ, editor] ; Pogány Simonová, Monika [Zostavovateľ, editor] ; Batťányi, Dominika [Zostavovateľ, editor] ; Kucková, Katarína [Zostavovateľ, editor]. – 1. vyd. – Bratislava (Slovensko) : Slovenská akadémia vied, 2022. – ISBN 978-80-974246-0-2, s. 82-82 [tlačená forma] </t>
  </si>
  <si>
    <t xml:space="preserve">Rozvoj komunikačných schopností detí s odloženou školskou dochádzkou v materskej škole / Bujdáková, Romana [Autor, 50%] ; Borisová, Simona [Autor, UKFPFAKPE, 50%] ; EDUCA 17, 17 [05.05.2022, Nitra, Slovensko]. – text. – [slovenčina]. – [OV 010]. – [ŠO 7605]. – [príspevok z podujatia] In: EDUCA 17 [elektronický dokument] : vzdelanie - cesta pre všetkých. Zborník z vedeckej konferencie doktorandov s medzinárodnou účasťou, Nitra 5.5.2022 / Bielčiková, Kristína [Zostavovateľ, editor] ; Janíček Pavelová, Monika [Zostavovateľ, editor] ; Židová, Monika [Zostavovateľ, editor] ; Krystoň, Miroslav [Recenzent] ; Petlák, Erich [Recenzent]. – 1. vyd. – Nitra (Slovensko) : Univerzita Konštantína Filozofa v Nitre, 2022. – ISBN 978-80-558-1943-3, s. 117-124 [online] </t>
  </si>
  <si>
    <t xml:space="preserve">Rozvoj obcí v Nitrianskej diecéze v kontexte religiózneho turizmu = Development of municipalities in the Nitra Diocese in the context / Oremusová, Daša [Autor, UKFFPVKGR, 20%] ; Nemčíková, Magdaléna [Autor, UKFFPVKGR, 20%] ; Petrikovičová, Lucia [Autor, UKFFPVKGR, 20%] ; Kramáreková, Hilda [Autor, UKFFPVKGR, 20%] ; Krogmann, Alfred [Autor, UKFFPVKGR, 20%] ; 25. Mezinárodní kolokvium o regionálních vědách [22.06.2022-24.06.2022, Brno, Česko]. – text. – [slovenčina]. – [OV 092]. – [ŠO 1217]. – [príspevok z podujatia]. – DOI 10.5817/CZ.MUNI.P280-0068-2022-48 In: 25. Mezinárodní kolokvium o regionálních vědách [elektronický dokument] : sborník příspěvků Brno 22.-24.6.2022 / Klímová, Viktorie [Zostavovateľ, editor] ; Žítek, Vladimír [Zostavovateľ, editor]. – 1. vyd. – Roč. 25. – Brno (Česko) : Masarykova univerzita, 2022. – ISBN 978-80-280-0068-4, s. 391-399 [CD-ROM] </t>
  </si>
  <si>
    <t xml:space="preserve">Rozvoj plaveckej vytrvalosti pomocou vybranej aeróbnej činnosti v zimnom prípravnom období / Jakubík, Ján [Autor, UKFPFAKTV, 100%]. – text. – [slovenčina]. – [OV 210]. – [ŠO 7418]. – [príspevok] In: Šport a rekreácia 2022 (Recenzovaný nekonferenčný zborník vedecko-výskumných a odborných prác, zameraný na prezentáciu poznatkov v oblasti športu, telesnej výchovy, diagnostiky, zdravia, rekreácie, cestovného ruchu, regenerácie, manažmentu, atď.) [textový dokument (print)] [elektronický dokument] : zborník vedeckých prác / Broďáni, Jaroslav [Zostavovateľ, editor] ; Czaková, Monika [Zostavovateľ, editor] ; Bartík, Pavol [Recenzent] ; Šimonek, Jaromír [Recenzent] ; Kanásová, Janka [Recenzent] ; Halmová, Nora [Recenzent] ; Broďáni, Jaroslav [Recenzent] ; Horička, Pavol [Recenzent] ; Divinec, Lenka [Recenzent] ; Czaková, Natália [Recenzent] ; Vašková, Monika [Recenzent] ; Kraček, Stanislav [Recenzent]. – 1. vyd. – Roč. 12. – Nitra (Slovensko) : Univerzita Konštantína Filozofa v Nitre. Pedagogická fakulta UKF. Katedra telesnej výchovy a športu, 2022. – ISBN 978-80-558-1905-1, s. 4-12 [tlačená forma] [online] </t>
  </si>
  <si>
    <t xml:space="preserve">Russkaja klassičeskaja literatura s točki zrenija addiktologičeskogo issledovanija / Lekeš, Patrik [Autor, UKFFFASJL, 100%] ; Slavica Iuvenum, 23 [29.03.2022-30.03.2022, Ostrava, Česko]. – text. – [ruština]. – [OV 020]. – [ŠO 7320]. – [príspevok z podujatia]. – DOI 10.15452/SlavicaIuvenum.XXIII.31 In: Slavica Iuvenum 23 [elektronický dokument] [textový dokument (print)] / Mizerová, Simona [Zostavovateľ, editor] ; Plesník, Lukáš [Zostavovateľ, editor] ; Tkaczewski, Dariusz [Recenzent] ; Vorel, Jan [Recenzent]. – 1. vyd. – Ostrava (Česko) : Ostravská univerzita, 2022. – ISBN 978-80-7599-316-8. – ISBN (online) 978-80-7599-317-5, s. 307-318 [online] [tlačená forma] </t>
  </si>
  <si>
    <t xml:space="preserve">Scientific reasoning and cognitive reflection of pre-service teachers / Ballová Mikušková, Eva [Autor, UKFPFAKAP, 100%] ; International Technology, Education and Development Conference 2022, 16 [07.03.2022-08.03.2022, Valencia, Španielsko]. – text. – [angličtina]. – [OV 010]. – [ŠO 7605]. – [príspevok z podujatia]. – [recenzované] In: INTED2022 Conference Proceedings [elektronický dokument] : 16th International Technology, Education and Development Conference / Chova, Luis Goméz [Zostavovateľ, editor] ; López Martínez, Agustín [Zostavovateľ, editor] ; Candel Torres, Ignacio [Zostavovateľ, editor]. – 1. vyd. – Barcelona (Španielsko) : IATED, 2022. – (INTED Proceedings, ISSN 2340-1079). – ISBN 978-84-09-37758-9. – ISSN 2340-1079, s. 2228-2233 [online] [USB kľúč] </t>
  </si>
  <si>
    <t xml:space="preserve">Sebahodnotenie didaktických kompetencií učiteľov v pregraduálnej príprave na Univerzite Konštantína Filozofa v Nitre / Guttová, Alexandra [Autor, 50%] ; Verešová, Marcela [Autor, UKFPFAKAP, 50%]. – text. – [slovenčina]. – [OV 010]. – [ŠO 7605]. – [príspevok] In: Konvergencie vedeckej činnosti študentov a učiteľov 3 [textový dokument (print)] / Verešová, Marcela [Zostavovateľ, editor] ; Valihorová, Marta [Recenzent] ; Pavelová, Ľuba [Recenzent]. – 1. vyd. – Nitra (Slovensko) : Univerzita Konštantína Filozofa v Nitre, 2022. – ISBN 978-80-558-1902-0, s. 10-27 [tlačená forma] </t>
  </si>
  <si>
    <t xml:space="preserve">Sharing economy in terms of accommodation and catering services (case study) = Zdieľaná ekonomika z pohľadu ubytovacích a stravovacích služieb (prípadová štúdia) / Tej, Juraj [Autor, PUPFMKM, 34%] ; Vavrek, Roman [Autor, 33%] ; Papcunová, Viera [Autor, UKFFPVUMI, 33%] ; Mezinárodní kolokvium o regionálních vědách, 25 [22.06.2022-24.06.2022, Brno, Česko]. – text. – [angličtina]. – [OV 060, 080]. – [ŠO 6213]. – [príspevok z podujatia]. – [recenzované]. – DOI 10.5817/CZ.MUNI.P280-0068-2022-40. – SIGN-PU FM-22 140/22 In: 25. Mezinárodní kolokvium o regionálních vědách [elektronický dokument] : sborník příspěvků Brno 22.-24.6.2022 / Klímová, Viktorie [Zostavovateľ, editor] ; Žítek, Vladimír [Zostavovateľ, editor]. – 1. vyd. – Roč. 25. – Brno (Česko) : Masarykova univerzita, 2022. – ISBN 978-80-280-0068-4, s. 329-335 [CD-ROM] </t>
  </si>
  <si>
    <t xml:space="preserve">Sobre seis interpretantes del eros / Lampis, Mirko [Autor, UKFFFAKRO, 100%]. – text. – [španielčina]. – [OV 020]. – [ŠO 7320]. – [kapitola] In: Semiótica del eros [textový dokument (print)] / Lampis, Mirko [Zostavovateľ, editor] ; Di Vico, Paolo [Zostavovateľ, editor] ; Chicharro Chamorro, Antonio [Recenzent] ; González de Ávila, Manuel [Recenzent]. – 1. vyd. – Sevilla (Španielsko) : Ediciones Alfar, 2021. – ISBN 978-84-7898-931-7, s. 17-54 [tlačená forma] </t>
  </si>
  <si>
    <t xml:space="preserve">Social Media: An Unorthodox Way of Modern Education / Schulcz, Patrik [Autor, UKFFSSUML, 90%] ; Hadacs, Bálint [Autor, 10%] ; EDULEARN21 [05.07.2021-06.07.2021, Barcelona, Španielsko]. – text. – [angličtina]. – [OV 020]. – [ŠO 7320]. – [príspevok z podujatia]. – DOI 10.21125/edulearn.2021.1114 In: EDULEARN21 [elektronický dokument] : 13th annual International Conference on Education and New Learning Technologies, Barcelona, 5th - 6th of July, 2021 / Chova, Luis Goméz [Zostavovateľ, editor] ; Martínez, Augustín López [Zostavovateľ, editor] ; Torres, I. [Zostavovateľ, editor]. – 1. vyd. – Roč. 13. – Barcelona (Španielsko) : IATED, 2021. – ISBN 978-84-09-31267-2. – ISSN 2340-1117, s. 5468-5474 [CD-ROM] [USB kľúč] </t>
  </si>
  <si>
    <t xml:space="preserve">Social skills and Inclusion / Žovinec, Erik [Autor, UKFPFAKPE, 80%] ; Lörinczová, Eva [Autor, UKFPFAKPE, 20%]. – text. – [angličtina]. – [OV 010]. – [ŠO 7605]. – [kapitola] In: Quality of life in cross-modal perspectives of inclusive education [textový dokument (print)] / Vidanová, Marína [Prekladateľ] ; Králová, Eva [Prekladateľ] ; Gajdošíková Zeleiová, Jaroslava [Zostavovateľ, editor] ; Požár, Ladislav [Recenzent] ; Vitásková, Kateřina [Recenzent]. – 1. vyd. – Berlín (Nemecko) : Peter Lang, 2022. – (Spectrum Slovakia Series, ISSN 2195-1845 ; Volume 38). – ISBN 978-3-631-77439-7. – ISBN 978-80-224-1721-1. – ISBN (online) 978-3-631-78306-1. – ISBN (online) 978-3-631-78307-8. – ISBN (online) 978-3-631-78308-5. – TUTPFKPS signatúra E092144, s. 37-50 [1,17 AH] [tlačená forma] </t>
  </si>
  <si>
    <t xml:space="preserve">Socializácia detí s mentálnym postihnutím = Socialization of children with mental disabilities / Košková, Jana [Autor, 50%] ; Krause, Robert [Autor, UKFPFAKAP, 50%]. – text. – [slovenčina]. – [OV 010]. – [ŠO 7605]. – [príspevok] In: Konvergencie vedeckej činnosti študentov a učiteľov 3 [textový dokument (print)] / Verešová, Marcela [Zostavovateľ, editor] ; Valihorová, Marta [Recenzent] ; Pavelová, Ľuba [Recenzent]. – 1. vyd. – Nitra (Slovensko) : Univerzita Konštantína Filozofa v Nitre, 2022. – ISBN 978-80-558-1902-0, s. 196-205 [tlačená forma] </t>
  </si>
  <si>
    <t xml:space="preserve">Sociálne médiá a ich rola v prostredí žurnalistiky / Kučerová, Lucia [Autor, UKFFFAKMR, 100%] ; Sociální dilema 2021: Nové přístupy k managementu znalostí a ochraně na internetu [05.11.2021, Brno, Česko]. – text. – [slovenčina]. – [OV 020]. – [ŠO 7205]. – [príspevok z podujatia]. – [recenzované] In: Sociální dilema 2021. Nové přístupy k managementu znalostí a ochraně na internetu [textový dokument (print)] : recenzovaný sborník příspěvků interdisciplinární mezinárodní vědecké konference konané dne 5. 11. 2021 v Brně / Horecký, Jan [Zostavovateľ, editor] ; Sochorova, Lenka [Zostavovateľ, editor]. – 1. vyd. – Brno (Česko) : Právní institut, 2021. – ISBN 978-80-908357-0-2, s. 217-224 [tlačená forma] </t>
  </si>
  <si>
    <t xml:space="preserve">Sociální pracovník jako člen multidisciplinárního týmu v podmínkách školního zařízení = Social worker as a member of the multidisciplinary team in the conditions of the school facility / Pavelková, Jaroslava [Autor, 50%] ; Sandanusová, Anna [Autor, UKFFPVKZA, 50%]. – text. – [slovenčina]. – [OV 010]. – [ŠO 7605]. – [príspevok] In: Skvalitňovanie prípravy budúcich učiteľov prírodovedných, poľnohospodárskych a príbuzných odborov [elektronický dokument] / Sandanusová, Anna [Zostavovateľ, editor] ; Dytrtová, Radmila [Zostavovateľ, editor] ; Morovič, Martin [Recenzent] ; Švecová, Milada [Recenzent] ; Vondráková, Mária [Recenzent]. – 1. vyd. – Nitra (Slovensko) : Univerzita Konštantína Filozofa v Nitre, 2021. – ISBN 978-80-558-1865-8, s. 112-118 [online] </t>
  </si>
  <si>
    <t xml:space="preserve">Sociálno-ekonomické zmeny súčasnej rodiny a ich vplyv na deti = Social-economic changes of the current family and their impact on children / Gužiková, Libuša [Autor, UKFPFAKPE, 100%] ; QUAERE 2022, 12 [27.06.2022-29.06.2022, Hradec Králové, Česko]. – text, graf., tab. – [slovenčina]. – [OV 010]. – [ŠO 7605]. – [príspevok z podujatia]. – [recenzované]. – DOI 10.33543/q2022.12 In: QUAERE 2022 [elektronický dokument] : recenzovaný sborník příspěvků interdisciplinární mezinárodní vědecké konference doktorandů a odborných asistentů / [bez zostavovateľa] [Zostavovateľ, editor]. – 1. vyd. – Hradec Králové (Česko) : Magnanimitas akademické sdružení, 2022. – ISBN (online) 978-80-87952-36-8, s. 339-348 [online] </t>
  </si>
  <si>
    <t xml:space="preserve">Speedy English Grammar : Potential and Limits / Romanová, Iveta [Autor, UKFFFAKAA, 50%] ; Bekešová, Jana [Autor, UKFPFAKLI, 50%]. – text. – [angličtina]. – [OV 010]. – [ŠO 7605]. – [príspevok] In: Voices of Creativity and Reason in English Language Teaching [textový dokument (print)] / Haase, Christoph [Zostavovateľ, editor]. – 1. vyd. – Cambridge (Veľká Británia) : Cambridge Scholars Publishing, 2021. – ISBN 978-1-5275-7519-6, s. 155-166 [tlačená forma] </t>
  </si>
  <si>
    <t xml:space="preserve">Spider fauna (Araneae) in the Latorica Protected Landscape Area and in surrounding places (South-eastern Slovakia) [Fauna pavúkov (Araneae) CHKO Latorica a okolia (juho-východné Slovensko)] / Gajdoš, Peter [Autor, 40%] ; Černecký, Ján [Autor, UKFFPVKEE, 20%] ; Rusňák, Tomáš [Autor, 10%] ; Mock, Andrej [Autor, UPS14100, 10%] ; Dobránsky, Mário [Autor, 10%] ; Purgat, Pavol [Autor, UKFFPVKEE, 10%]. – [angličtina]. – [OV 130, 100]. – [ŠO 1536, 1610]. – [príspevok]. – sign UPJS SSEP 023147 In: Invertebrates of the Latorica Protected Landscape Area / Panigaj, Ľubomír [Zostavovateľ, editor] ; Tajovský, Karel [Zostavovateľ, editor] ; Mock, Andrej [Zostavovateľ, editor] ; Astaloš, Boris [Recenzent] ; Čačaný, Juraj [Recenzent] ; Čuchta, Peter [Recenzent]. – 1. vyd. – Banská Bystrica (Slovensko) : Štátna ochrana prírody SR, 2021. – ISBN 978-80-8184-096-8. – sign UPJS SSEP 023144, s. 90-141 [tlačená forma] </t>
  </si>
  <si>
    <t xml:space="preserve">S-PMV11: špecifické správanie dieťaťa a obavy rodiča o jeho vývin = S-PMV11: specific behavior and parental concerns about child development / Ptáčniková, Lucia [Autor, UKFFSVKPV, 25%] ; Filipčíková, Laura [Autor, UKFFSVKPV, 25%] ; Jurišová, Erika [Autor, UKFFSVKPV, 25%] ; Popelková, Marta [Autor, UKFFSVKPV, 25%] ; PhD existence 2022 : Změna, 12 [31.01.2022-01.02.2022, Olomouc, Česko]. – text. – [slovenčina]. – [OV 060]. – [ŠO 7701]. – [príspevok z podujatia] In: PhD existence 12 [elektronický dokument] : "Změna" : česko-slovenská psychologická konference (nejen) pro doktorandy a o doktorandech  : sborník odborných příspěvků / Aigelová, Eva [Zostavovateľ, editor] ; Viktorová, Lucie [Zostavovateľ, editor] ; Dolejš, Martin [Zostavovateľ, editor] ; Tomšik, Robert [Recenzent] ; Skopal, Ondřej [Recenzent]. – 1. vyd. – Olomouc (Česko) : Univerzita Palackého v Olomouci, 2022. – ISBN 978-80-244-6174-8, s. 357-368 [online] </t>
  </si>
  <si>
    <t xml:space="preserve">Sprawiedliwość wśród wartości podstawowych młodzieży słowackiej - elementy teorii i empirii / Štefaňak, Ondrej [Autor, UKFFFAKFI, 100%]. – text. – [poľština]. – [OV 060]. – [ŠO 6718]. – [príspevok] In: Bezpieczeństwo człowieka a sprawiedliwość [textový dokument (print)] / Jarmoch, Edward Zygmunt [Zostavovateľ, editor] ; Trzpil, Izabela Aldona [Zostavovateľ, editor] ; Bylina, Sławomir [Zostavovateľ, editor] ; Majda, Peter [Recenzent] ; Gizicki, Wojciech [Recenzent]. – 1. vyd. – Drohiczyn (Poľsko) : Drohiczyńskie Towarzystwo Naukowe, 2022. – ISBN 978-83-66597-39-6, s. 145-154 </t>
  </si>
  <si>
    <t xml:space="preserve">Stereotypes and stigmas in Andrea Coddington's prose / Hrbáček, Magdaléna [Autor, UKFFSSUSJ, 100%]. – text. – [angličtina]. – [OV 020]. – [ŠO 7320]. – [príspevok]. – [recenzované] In: Acta Cultura et Paedagogicae [textový dokument (print)] / Szécsi, Gábor [Zostavovateľ, editor]. – 1. vyd. – Roč. 1, č. 1. – Pécs (Maďarsko) : Pécsi Tudományegyetem, 2021. – ISSN 2786-1996, s. 16-28 [tlačená forma] </t>
  </si>
  <si>
    <t xml:space="preserve">Stomatálna charakteristika listov kukurice  siatej (Zea mays L.) V podmienkach pôsobenia nízkych  dávok arzénu / Piršelová, Beáta [Autor, UKFFPVKBG, 36%] ; Lengyelová, Libuša [Autor, UKFFPVKBG, 30%] ; Galuščáková, Ľudmila [Autor, UKFFPVKBG, 30%] ; Hegrová, Jitka [Autor, 2%] ; Jandová, Vilma [Autor, 2%] ; Vliv abiotických a biotických stresorů na vlastnosti rostlin, 20 [07.09.2022-08.09.2022, Zvolen, Slovensko]. – text. – [slovenčina]. – [OV 130]. – [ŠO 1536]. – [príspevok z podujatia] In: Vliv abiotických a biotických stresoru na vlastnosti rostlin 2022 [textový dokument (print)] : sborník recenzovaných vědeckých prací / Hnilička, František [Zostavovateľ, editor] ; Novák, Jan [Recenzent] ; Šlégrová, Jana [Recenzent]. – 1. vyd. – Praha (Česko) : Česká zemědelská univerzita v Praze, 2022. – ISBN 978-80-89408-36-8, s. 142-146 </t>
  </si>
  <si>
    <t xml:space="preserve">Strategické zámery výučby techniky na základných školách / Hašková, Alena [Autor, UKFPFAKTT, 60%] ; Lukáčová, Danka [Autor, UKFPFAKTT, 40%] ; Technické vzdelávanie nových generácií [15.10.2021, Ružomberok, Slovensko]. – text. – [slovenčina]. – [OV 010]. – [ŠO 7605]. – [abstrakt z podujatia - KP] In: Inovácie v technickom vzdelávaní nových generácií [textový dokument (print)] : zborník abstraktov z medzinárodnej vedecko - odbornej konferencie / Huľová, Zlatica [Zostavovateľ, editor] ; Tokoš, Peter [Zostavovateľ, editor] ; Rochovská, Ivana [Recenzent] ; Karbowniczek, Jolanta [Recenzent]. – 1. vyd. – ružomberok (Slovensko) : Katolícka univerzita v Ružomberku. VERBUM - vydavateľstvo KU, 2021. – ISBN 978-80-561-0914-4, s. 12-14 [tlačená forma] </t>
  </si>
  <si>
    <t xml:space="preserve">Stress detection using non-semantic speech representation / Kejriwal, Jay [Autor, 50%] ; Beňuš, Štefan [Autor, UKFFFAKAA, 25%] ; Trnka, Marian [Autor, 25%] ; Radioelektronika 2022 [21.04.2022-22.04.2022, Košice, Slovensko]. – text. – [angličtina]. – [OV 160]. – [ŠO 2508]. – [príspevok z podujatia]. – [recenzované]. – DOI 10.1109/RADIOELEKTRONIKA54537.2022.9764916. – WOS CC ; SCO In: Radioelektronika 2022 [textový dokument (print)] : 32nd International Conference / [bez zostavovateľa] [Zostavovateľ, editor]. – 1. vyd. – Košice (Slovensko) : Institute of Electrical and Electronics Engineers, 2022. – ISBN 978-1-7281-8687-0. – ISBN (online) 978-1-7281-8686-3, s. 133-137 [online] </t>
  </si>
  <si>
    <t xml:space="preserve">Studying as administrative worker: advantages and shortages according to graduate students / Schulcz, Patrik [Autor, UKFFSSUML, 100%] ; ICERI 2020 : International Conference of Education, Research and Innovation, 13 [09.11.2020-10.11.2020, Sevilla, Španielsko]. – text. – [angličtina]. – [OV 010]. – [ŠO 7605]. – [príspevok z podujatia]. – [recenzované]. – DOI 10.21125/iceri.2020.0582 In: ICERI 2020 [elektronický dokument] : 13th international conference of education, research and innovation : transforming education, transforming lives / Gómez Chova, Luis [Zostavovateľ, editor] ; Martínez, Augustín López [Zostavovateľ, editor] ; Torres, I. Candel [Zostavovateľ, editor]. – 1. vyd. – Valencia (Španielsko) : IATED, 2020. – ISBN 978-84-09-24232-0. – ISSN 2340-1095, s. 2450-2458 [USB kľúč] </t>
  </si>
  <si>
    <t xml:space="preserve">Subkultúry súvisiace so športom - so zameraním na slovenské futbalové prostredie / Straka, Jeremiáš [Autor, UKFFFAKMK, 100%] ; In Pluribus Unitas : Jednota v mnohosti, 9 [07.12.2020-08.12.2020, Prešov, Slovensko]. – text. – [slovenčina]. – [OV 060]. – [ŠO 7205]. – [príspevok z podujatia] In: In Pluribus Unitas 9 [textový dokument (print)] : jednota v mnohosti = unity in diversity / Kardis, Mária [Zostavovateľ, editor] ; Tlučková, Dominika [Zostavovateľ, editor] ; Bak, Tadeusz [Recenzent] ; Borza, Peter [Recenzent]. – 1. vyd. – Prešov (Slovensko) : Prešovská univerzita v Prešove. Gréckokatolícka teologická fakulta, 2021. – ISBN 978-80-555-2702-4. – SIGN-PU GTF-21 50/21, s. 311-319 [tlačená forma] </t>
  </si>
  <si>
    <t xml:space="preserve">Súčasné slovenské paradivadelné kontexty / Hrbek, Milan [Autor, UKFFFAULK, 100%] ; Stimuly a vízie európskeho divadla 21. storočia, 17 [27.11.2020-28.11.2020, Banská Bystrica, Slovensko]. – text. – [slovenčina]. – [OV 040]. – [ŠO 8110]. – [príspevok z podujatia] In: Stimuly a vízie európskeho divadla 21. storočia [textový dokument (print)] : Zborník vedeckých príspevkov z medzinárodnej Banskobystrickej teatrologickej konferencie / Knopová, Elena [Zostavovateľ, editor] ; Majera, Ľjuboslav [Recenzent] ; Vedral, Jan [Recenzent]. – 1. vyd. – Banská Bystrica (Slovensko) : Akadémia umení. Fakulta dramatických umení, 2020. – ISBN 978-80-8206-039-6, s. 115-126 [tlačená forma] </t>
  </si>
  <si>
    <t xml:space="preserve">Sustainable Development as a Part of the Philosophy for Children Course in Undergraduate Teachers Training / Borisová, Simona [Autor, UKFPFAKPE, 50%] ; Pintes, Gábor [Autor, UKFPFAKPE, 50%] ; Adult Education 2021 - In Diverse Learning Environments, 11 [14.12.2021-15.12.2021, Praha, Česko]. – text. – [angličtina]. – [OV 010]. – [ŠO 7605]. – [príspevok z podujatia] In: Adult Education 2021 - In Diverse Learning Environments [elektronický dokument] [textový dokument (print)] : Proceedings from 11. International scientific Conference, Prague 14. - 15. 12.2021 / Kříž, Jaroslav [Zostavovateľ, editor] ; Svobodová, Zuzana [Zostavovateľ, editor] ; Lukianova, Larisa [Recenzent] ; Marianowska, Anna [Recenzent] ; Matouš, Zdeněk [Recenzent] ; Pirohová, Ivana [Recenzent] ; Šip, Maroš [Recenzent] ; Pavlov, Ivan [Recenzent] ; Vaněček, David [Recenzent]. – 1. vyd. – Praha (Česko) : Česká andragogická společnost, 2022. – ISBN 978-80-908330-0-5. – ISBN (online) 978-80-908330-2-9. – ISSN 2571-3841. – ISSN (online) 2571-385X, s. 99-107 [online] [tlačená forma] </t>
  </si>
  <si>
    <t xml:space="preserve">Športový cestovný ruch v obci Mošovce / Straka, Jeremiáš [Autor, UKFFFAKMK, 100%] ; Dni študentov manažmentu a ekonómie 2020 [16.04.2020-17.04.2020, Bratislava, Slovensko]. – text. – [slovenčina]. – [OV 030]. – [ŠO 7115]. – [príspevok z podujatia]. – [recenzované] In: Dni študentov manažmentu a ekonómie 2020 [elektronický dokument] : recenzovaný zborník príspevkov z medzinárodnej vedeckej konferencie / Kottulová, Janka [Zostavovateľ, editor] ; Mitková, Ľudmila [Zostavovateľ, editor] ; Rentková, Katarína [Zostavovateľ, editor]. – 1 vyd. – Bratislava (Slovensko) : Univerzita Komenského v Bratislave, 2020. – ISBN 978-80-223-4993-2, s. 122-129 [online] </t>
  </si>
  <si>
    <t xml:space="preserve">Štruktúra vinárskych subjektov v Nitrianskom kraji = Structure of Wine Entities in the Nitra Region / Némethová, Jana [Autor, UKFFPVKGR, 50%] ; Krajči, Filip [Autor, 50%] ; Mezinárodní kolokvium o regionálních vědách, 25 [22.06.2022-24.06.2022, Brno, Česko]. – text. – [slovenčina]. – [OV 092]. – [ŠO 1217]. – [príspevok z podujatia]. – [recenzované]. – DOI 10.5817/CZ.MUNI.P280-0068-2022-51 In: 25. Mezinárodní kolokvium o regionálních vědách [elektronický dokument] : sborník příspěvků Brno 22.-24.6.2022 / Klímová, Viktorie [Zostavovateľ, editor] ; Žítek, Vladimír [Zostavovateľ, editor]. – 1. vyd. – Roč. 25. – Brno (Česko) : Masarykova univerzita, 2022. – ISBN 978-80-280-0068-4, s. 417-425 [CD-ROM] </t>
  </si>
  <si>
    <t xml:space="preserve">Štýly výchovy ako prediktor používania médií deťmi / Bielčiková, Kristína [Autor, UKFPFAKPE, 50%] ; Židová, Monika [Autor, UKFPFAKPE, 50%] ; EDUCA 17, 17 [05.05.2022, Nitra, Slovensko]. – text. – [slovenčina]. – [OV 010]. – [ŠO 7605]. – [príspevok z podujatia] In: EDUCA 17 [elektronický dokument] : vzdelanie - cesta pre všetkých. Zborník z vedeckej konferencie doktorandov s medzinárodnou účasťou, Nitra 5.5.2022 / Bielčiková, Kristína [Zostavovateľ, editor] ; Janíček Pavelová, Monika [Zostavovateľ, editor] ; Židová, Monika [Zostavovateľ, editor] ; Krystoň, Miroslav [Recenzent] ; Petlák, Erich [Recenzent]. – 1. vyd. – Nitra (Slovensko) : Univerzita Konštantína Filozofa v Nitre, 2022. – ISBN 978-80-558-1943-3, s. 23-30 [online] </t>
  </si>
  <si>
    <t xml:space="preserve">Teacher competence in relation to the overconfidence effect / Krause, Robert [Autor, UKFPFAKAP, 100%] ; IAI Academic Conference [21.06.2022, Viedeň, Rakúsko]. – text. – [angličtina]. – [OV 010]. – [ŠO 7605]. – [príspevok z podujatia]. – [recenzované] In: IAI Academic Conference Proceedings [textový dokument (print)] [elektronický dokument] : Vienna Academic Conference, 21 June 2022 / Rucheva Tasev, Hristina [Zostavovateľ, editor]. – 1. vyd. – Skopje (Macedónsko) : Saints Cyril and Methodius University of Skopje, 2022. – ISSN 2671-3179, s. 45-47 [tlačená forma] </t>
  </si>
  <si>
    <t xml:space="preserve">Teacher Education in Slovakia: Recent Joys and Challenges for the Future / Gadušová, Zdenka [Autor, UKFFFAKAA, 50%] ; Dačová, Daniela [Autor, 50%]. – text. – [angličtina]. – [OV 010]. – [ŠO 7605]. – [príspevok]. – DOI 10.1007/978-3-031-09515-3_5 In: The Palgrave Handbook of Teacher Education in Central and Eastern Europe [textový dokument (print)] / Kowalczuk-Walędziak, Marta [Zostavovateľ, editor] ; Valeeva, Roza [Zostavovateľ, editor] ; Sablić, Marija [Zostavovateľ, editor] ; Menter, Ian [Zostavovateľ, editor] ; McKay, Aileen [Recenzent]. – 1. vyd. – Cham (Švajčiarsko) : Palgrave Publishers, 2022. – ISBN 978-3-031-09514-6, s. 109-133 [tlačená forma] </t>
  </si>
  <si>
    <t xml:space="preserve">Teaching history in Hungarian minority schools in Slovakia / Angyal, Ladislav [Autor, UKFFSSUML, 100%] ; International Technology, Education and Development Conference 2022, 16 [07.03.2022-08.03.2022, Valencia, Španielsko]. – text. – [angličtina]. – [OV 010]. – [ŠO 7605]. – [príspevok z podujatia]. – [recenzované] In: INTED2022 Conference Proceedings [elektronický dokument] : 16th International Technology, Education and Development Conference / Chova, Luis Goméz [Zostavovateľ, editor] ; López Martínez, Agustín [Zostavovateľ, editor] ; Candel Torres, Ignacio [Zostavovateľ, editor]. – 1. vyd. – Barcelona (Španielsko) : IATED, 2022. – (INTED Proceedings, ISSN 2340-1079). – ISBN 978-84-09-37758-9. – ISSN 2340-1079, s. 1911-1919 [online] [USB kľúč] </t>
  </si>
  <si>
    <t xml:space="preserve">Teaching orthography in Hungarian minority primary schools in Slovakia / Angyal, Ladislav [Autor, UKFFSSUML, 100%] ; International Technology, Education and Development Conference 2022, 16 [07.03.2022-08.03.2022, Valencia, Španielsko]. – text. – [angličtina]. – [OV 010]. – [ŠO 7605]. – [príspevok z podujatia]. – [recenzované] In: INTED2022 Conference Proceedings [elektronický dokument] : 16th International Technology, Education and Development Conference / Chova, Luis Goméz [Zostavovateľ, editor] ; López Martínez, Agustín [Zostavovateľ, editor] ; Candel Torres, Ignacio [Zostavovateľ, editor]. – 1. vyd. – Barcelona (Španielsko) : IATED, 2022. – (INTED Proceedings, ISSN 2340-1079). – ISBN 978-84-09-37758-9. – ISSN 2340-1079, s. 1920-1926 [online] [USB kľúč] </t>
  </si>
  <si>
    <t xml:space="preserve">Technical education in Slovakia during the Covid-19 pandemic / Krajinčák, Erik [Autor, UKFPFAKTT, 50%] ; Depešová, Jana [Autor, UKFPFAKTT, 50%] ; International Technology, Education and Development Conference 2022, 16 [07.03.2022-08.03.2022, Valencia, Španielsko]. – text. – [angličtina]. – [OV 010]. – [ŠO 7605]. – [príspevok z podujatia]. – [recenzované] In: INTED2022 Conference Proceedings [elektronický dokument] : 16th International Technology, Education and Development Conference / Chova, Luis Goméz [Zostavovateľ, editor] ; López Martínez, Agustín [Zostavovateľ, editor] ; Candel Torres, Ignacio [Zostavovateľ, editor]. – 1. vyd. – Barcelona (Španielsko) : IATED, 2022. – (INTED Proceedings, ISSN 2340-1079). – ISBN 978-84-09-37758-9. – ISSN 2340-1079, s. 703-707 [online] [USB kľúč] </t>
  </si>
  <si>
    <t xml:space="preserve">Teplotná rozťažnosť anortitovej keramiky na báze illitu Teplotná rozťažnosť anortitovej keramiky na báze illitu s prímesou uhličitanu vápenatého (CaCO3) = Thermal expansion of illite-based anorthite ceramics with calcium carbonate (CaCO3) addition / Kovács, Tibor [Autor, UKFFPVKFY, 100%] ; Študentská vedecká konferencia 2022 [06.04.2022, Nitra, Slovensko]. – text. – [slovenčina]. – [OV 091]. – [ŠO 1160]. – [príspevok z podujatia] In: Študentská vedecká konferencia 2022 [elektronický dokument] : zborník recenzovaných príspevkov / Spišiak, Ján [Zostavovateľ, editor] ; Račáková, Slavka [Zostavovateľ, editor] ; Voštinár, Patrik [Recenzent] ; Vagač, Michal [Recenzent]. – 1. vyd. – Banská Bystrica (Slovensko) : Univerzita Mateja Bela v Banskej Bystrici, 2022. – ISBN 978-80-557-1984-9, s. 267-273 [online] </t>
  </si>
  <si>
    <t xml:space="preserve">Terminologická kompetencia a možnosti jej sprostredkovania vo vysokoškolskej príprave budúcich prekladateliek a prekladateľov / Wrede, Oľga [Autor, UKFFFAKRO, 100%]. – text. – [slovenčina]. – [OV 020]. – [ŠO 6107]. – [príspevok] In: Aplikované jazyky v univerzitnom kontexte 9 [elektronický dokument] : recenzovaný zborník vedeckých prác / Vyhnáliková, Zuzana [Zostavovateľ, editor] ; Štefková, Jaroslava [Zostavovateľ, editor] ; Ľupták, Marek [Zostavovateľ, editor] ; Danihelová, Zuzana [Zostavovateľ, editor] ; Gašová, Zuzana [Recenzent] ; Kováčiková, Zuzana [Recenzent]. – 1. vyd. – Zvolen (Slovensko) : Technická univerzita vo Zvolene, 2022. – ISBN 978-80-228-3334-9, s. 291-300 [CD-ROM] </t>
  </si>
  <si>
    <t xml:space="preserve">Text Extraction from PDF Documents from Student  Theses / Forgáč, František [Autor, UKFFPVKIN, 80%] ; Munková, Daša [Autor, UKFFFAKTR, 20%] ; International scientific conference on distance learning in applied informatics, 14 [02.05.2022-04.05.2022, Štúrovo, Slovensko]. – text. – [angličtina]. – [OV 160]. – [ŠO 2508]. – [príspevok z podujatia]. – [recenzované] In: DIVAI 2022 [elektronický dokument] : 14th international scientific conference on distance learning in applied informatics / Turčáni, Milan [Zostavovateľ, editor] ; Balogh, Zoltán [Zostavovateľ, editor] ; Munk, Michal [Zostavovateľ, editor] ; Magdin, Martin [Zostavovateľ, editor] ; Benko, Ľubomír [Zostavovateľ, editor] ; Francisti, Jan [Zostavovateľ, editor]. – 1. vyd. – Bratislava (Slovensko) : Wolters Kluwer. Wolters Kluwer SR, 2022. – ISBN 978-80-7676-410-1. – ISSN 2464-7470. – ISSN (online) 2464-7489, s. 365-372 [online] </t>
  </si>
  <si>
    <t xml:space="preserve">Textologické iniciatívy Mikuláša Bakoša z dnešnej perspektívy / Navrátil, Martin [Autor, 50%] ; Rácová, Veronika [Autor, UKFFFASJL, 50%] ; Mikuláš Bakoš – pluralitný literárny vedec v metodologickej diskusii dneška [09.11.2021, Bratislava, Slovensko]. – text. – [slovenčina]. – [OV 020]. – [ŠO 7320]. – [príspevok z podujatia] In: Mikuláš Bakoš – pluralitný literárny vedec v metodologickej diskusii dneška [textový dokument (print)] : vedecké online kolokvium – „okrúhly stôl“ / Teplan, Dušan [Zostavovateľ, editor] ; Pašteková, Soňa [Zostavovateľ, editor] ; Martinek, Libor [Recenzent] ; Valcerová, Anna [Recenzent]. – 1. vyd. – Bratislava (Slovensko) : Slovenská akadémia vied. Veda, vydavateľstvo Slovenskej akadémie vied, 2022. – ISBN 978-80-224-1959-8, s. 248-274 [tlačená forma] </t>
  </si>
  <si>
    <t xml:space="preserve">The Allen Ginsberg  ́Case ́ and Translation (in) History: How Czechoslovakia Elected and Then Expelled the King of May / Tyšš, Igor [Autor, UKFFFAKTR, 100%]. – text. – [angličtina]. – [OV 020]. – [ŠO 7320]. – [príspevok]. – [recenzované]. – DOI 10.1007/978-3-030-79664-8_11 In: Translation Under Communism [textový dokument (print)] [elektronický dokument] / Rundle, Christopher [Zostavovateľ, editor] ; Lange, Anne [Zostavovateľ, editor] ; Monticelli, Daniele [Zostavovateľ, editor]. – 1. vyd. – Cham (Švajčiarsko) : Springer Nature. Palgrave Macmillan, 2022. – ISBN 978-3-030-79663-1. – ISBN (online) 978-3-030-79664-8, s. 315-349 [tlačená forma] [online] </t>
  </si>
  <si>
    <t xml:space="preserve">The application of digital skills and multimedia technologies in education at the University of Constantine the Philosopher in Nitra during the coronavirus pandemic / Šebo, Miroslav [Autor, UKFPFAKTT, 34%] ; Brečka, Peter [Autor, UKFPFAKTT, 33%] ; Tureková, Ivana [Autor, UKFPFAKTT, 33%] ; EDULEARN22, 14 [04.07.2022-06.07.2022, Palma de Mallorca, Španielsko]. – [angličtina]. – [OV 010]. – [ŠO 7605]. – [príspevok z podujatia]. – DOI 10.21125/edulearn.2022.0934 In: EDULEARN22 - 14th International Conference on Education and New Learning Technologies, July 4th-6th, 2022, Palma, Mallorca, Spain [elektronický dokument] / Chova, Luis Goméz [Zostavovateľ, editor] ; Martínez, Augustín López [Zostavovateľ, editor] ; Lees, Joanna [Zostavovateľ, editor]. – 1 vyd. – Palma (Španielsko) : IATED, 2022. – (EDULEARN Proceedings, ISSN 2340-1117). – ISBN 978-84-09-42484-9, s. 3827-3833 [online] [CD-ROM] [USB kľúč] </t>
  </si>
  <si>
    <t xml:space="preserve">The Application of Selected Parts of Chemistry and Physics in the Students-Pre-Service Teacher Education / Feszterová, Melánia [Autor, UKFFPVKCH, 100%] ; DIDFYZ 2021, 22 [13.10.2021-16.10.2021, Terchová, Slovensko]. – text. – [angličtina]. – [OV 010]. – [ŠO 7605]. – [príspevok z podujatia]. – DOI 10.1063/5.0078393. – SCO In: DIDFYZ 2021 [elektronický dokument] : Didactic Transfer of Physics Knowledge through Distance Information / Valovičová, Ľubomíra [Zostavovateľ, editor] ; Ondruška, Ján [Zostavovateľ, editor] ; Zelenický, Ľubomír [Zostavovateľ, editor]. – 1. vyd. – č. 2458. – Melville (USA) : American Institute of Physics . AIP Publishing, 2022. – ISBN 978-0-7354-4341-9, s. 1-10 [online] </t>
  </si>
  <si>
    <t xml:space="preserve">The Architecture of Visual Design in Modern Web Applications / Sabol, Dávid [Autor, UKFFPVKIN, 50%] ; Skalka, Ján [Autor, UKFFPVKIN, 50%]. – text. – [angličtina]. – [OV 160]. – [ŠO 2508]. – [príspevok]. – [recenzované]. – DOI 10.1007/978-3-031-13359-6_11 In: Microlearning [textový dokument (print)] : New Approaches To A More Effective Higher Education / Smyrnova-Trybulska, Eugenia [Zostavovateľ, editor] ; Kommers, Piet [Zostavovateľ, editor] ; Drlík, Martin [Zostavovateľ, editor] ; Skalka, Ján [Zostavovateľ, editor]. – 1. vyd. – č. 6. – cham (Švajčiarsko) : Springer Nature. Springer International Publishing AG, 2022. – ISBN 978-3-031-13358-9. – ISBN (online) 978-3-031-13359-6, s. 171-194 [tlačená forma] [online] </t>
  </si>
  <si>
    <t xml:space="preserve">The competency for family assessment in pre‐service teacher education / Turzák, Tomáš [Autor, UKFPFAKPE, 50%] ; Kurincová, Viera [Autor, UKFPFAKPE, 50%] ; EDULEARN22, 14 [04.07.2022-06.07.2022, Palma de Mallorca, Španielsko]. – text. – [angličtina]. – [OV 010]. – [ŠO 7605]. – [príspevok z podujatia]. – [recenzované]. – DOI 10.21125/edulearn.2022.2343 In: EDULEARN22 - 14th International Conference on Education and New Learning Technologies, July 4th-6th, 2022, Palma, Mallorca, Spain [elektronický dokument] / Chova, Luis Goméz [Zostavovateľ, editor] ; Martínez, Augustín López [Zostavovateľ, editor] ; Lees, Joanna [Zostavovateľ, editor]. – 1 vyd. – Palma (Španielsko) : IATED, 2022. – (EDULEARN Proceedings, ISSN 2340-1117). – ISBN 978-84-09-42484-9, s. 9716-9723 [online] [CD-ROM] [USB kľúč] </t>
  </si>
  <si>
    <t xml:space="preserve">The Contemporary Issues of Teaching Children's Poetry / Petres Csizmadia, Gabriela [Autor, UKFFSSUML, 100%] ; International Technology, Education and Development Conference 2021, 15 [08.03.2021-09.03.2021, Valencia, Španielsko]. – text. – [angličtina]. – [OV 010]. – [ŠO 7605]. – [príspevok z podujatia] In: INTED2021 [textový dokument (print)] [elektronický dokument] : 15th International Technology, Education and Development Conference : conference proceedings / Chova, Luis Goméz [Zostavovateľ, editor] ; López Martínez, Agustín [Zostavovateľ, editor] ; Candel Torres, Ignacio [Zostavovateľ, editor]. – 1. vyd. – Valencia (Španielsko) : IATED, 2021. – (INTED Proceedings, ISSN 2340-1079). – ISBN 978-84-09-27666-0. – ISSN 2340-1079, s. 2314-2319 [online] </t>
  </si>
  <si>
    <t xml:space="preserve">The ecosystem services assessment procedure / Mederly, Peter [Autor, UKFFPVKEE, 100%]. – text. – [angličtina]. – [OV 100]. – [ŠO 1610]. – [kapitola] In: The Carpathian Ecosystem Services Toolkit (CEST) [textový dokument (print)] : Interdisciplinary Toolkit for managers and analysts for ecosystem services assessment (2021) / Považan, Radoslav [Zostavovateľ, editor] ; Kadlečík, Ján [Zostavovateľ, editor] ; Kanka, Róbert [Recenzent] ; Špulerová, Jana [Recenzent]. – 1. vyd. – Banská Bystrica (Slovensko) : Štátna ochrana prírody SR, 2022. – ISBN 978-3-903424-04-3, s. 27-46 [1,28 AH] [tlačená forma] </t>
  </si>
  <si>
    <t xml:space="preserve">The education of children from the marginalized Roma environment during the Covid-19 pandemic in Slovakia / Šatara, Erik [Autor, UKFFSVURS, 50%] ; Havírová, Zuzana [Autor, UKFFSVURS, 50%] ; International Technology, Education and Development Conference 2022, 16 [07.03.2022-08.03.2022, Valencia, Španielsko]. – text. – [angličtina]. – [OV 010]. – [ŠO 7605]. – [príspevok z podujatia]. – [recenzované] In: INTED2022 Conference Proceedings [elektronický dokument] : 16th International Technology, Education and Development Conference / Chova, Luis Goméz [Zostavovateľ, editor] ; López Martínez, Agustín [Zostavovateľ, editor] ; Candel Torres, Ignacio [Zostavovateľ, editor]. – 1. vyd. – Barcelona (Španielsko) : IATED, 2022. – (INTED Proceedings, ISSN 2340-1079). – ISBN 978-84-09-37758-9. – ISSN 2340-1079, s. 947-952 [online] [USB kľúč] </t>
  </si>
  <si>
    <t xml:space="preserve">The effect of cemtirestat treatment on bone microstructure in streptozotocin-induced diabetic rats / Kováčová, Veronika [Autor, UKFFPVKZA, 15%] ; Omelka, Radoslav [Autor, UKFFPVKBG, 15%] ; Mondočková, Vladimíra [Autor, UKFFPVKBG, 15%] ; Zemanová, Nina [Autor, 15%] ; Blahová, Jana [Autor, UKFFPVKBG, 15%] ; Švík, Karol [Autor, 5%] ; Šoltésová-Prnová, Marta [Autor, 5%] ; Martiniaková, Monika [Autor, UKFFPVKZA, 15%] ; Animal Physiology 2022, 17 [01.06.2022-03.06.2022, Košice, Slovensko]. – text. – [angličtina]. – [OV 130]. – [ŠO 1536]. – [abstrakt z podujatia - KP]. – [recenzované] In: Animal physiology 2022 [textový dokument (print)] : book of abstracts from international conference / Čikoš, Štefan [Zostavovateľ, editor] ; Pogány Simonová, Monika [Zostavovateľ, editor] ; Batťányi, Dominika [Zostavovateľ, editor] ; Kucková, Katarína [Zostavovateľ, editor]. – 1. vyd. – Bratislava (Slovensko) : Slovenská akadémia vied, 2022. – ISBN 978-80-974246-0-2, s. 72-72 [tlačená forma] </t>
  </si>
  <si>
    <t xml:space="preserve">The employer brand of a socially responsible company as a tool for influencing employees / Kubjatková, Anna [Korešpondenčný autor, ZUZPEDKEK, 50%] ; Križanová, Anna [Autor, UKFFFAKSO, 50%] ; Liberec Economic Forum 2021, 15 [13.09.2021-14.09.2021, Liberec, Česko]. – [angličtina]. – [OV 080]. – [ŠO 6213]. – [príspevok z podujatia]. – [recenzované] In: Liberec economic forum 2021 [textový dokument (print)] [elektronický dokument] : Proceedings of the 15th international conference / Antlová, Klára [Zostavovateľ, editor] ; Semerádová, Tereza [Zostavovateľ, editor]. – 1. vyd. – Liberec (Česko) : Technická univerzita v Liberci, 2021. – ISBN 978-80-7494-578-6, s. 387-395 [tlačená forma] [online] </t>
  </si>
  <si>
    <t xml:space="preserve">The genre of parody in literature in public and higher education / Tárkányi, Ádám [Autor, UKFFSSUML, 100%] ; EDULEARN22, 14 [04.07.2022-06.07.2022, Palma de Mallorca, Španielsko]. – [angličtina]. – [OV 010]. – [ŠO 7605]. – [príspevok z podujatia]. – DOI 10.21125/edulearn.2022.1453 In: EDULEARN22 - 14th International Conference on Education and New Learning Technologies, July 4th-6th, 2022, Palma, Mallorca, Spain [elektronický dokument] / Chova, Luis Goméz [Zostavovateľ, editor] ; Martínez, Augustín López [Zostavovateľ, editor] ; Lees, Joanna [Zostavovateľ, editor]. – 1 vyd. – Palma (Španielsko) : IATED, 2022. – (EDULEARN Proceedings, ISSN 2340-1117). – ISBN 978-84-09-42484-9, s. 6171-6176 [online] [CD-ROM] [USB kľúč] </t>
  </si>
  <si>
    <t xml:space="preserve">The impact of activating teaching methods on students' results at the time of coronavirus disease / Tureková, Ivana [Autor, UKFPFAKTT, 25%] ; Harangozó, Jozef [Autor, UKFPFAKTT, 25%] ; Brečka, Peter [Autor, UKFPFAKTT, 25%] ; Valentová, Monika [Autor, UKFPFAKTT, 25%] ; International Technology, Education and Development Conference 2022, 16 [07.03.2022-08.03.2022, Valencia, Španielsko]. – text. – [angličtina]. – [OV 010]. – [ŠO 7605]. – [príspevok z podujatia]. – [recenzované] In: INTED2022 Conference Proceedings [elektronický dokument] : 16th International Technology, Education and Development Conference / Chova, Luis Goméz [Zostavovateľ, editor] ; López Martínez, Agustín [Zostavovateľ, editor] ; Candel Torres, Ignacio [Zostavovateľ, editor]. – 1. vyd. – Barcelona (Španielsko) : IATED, 2022. – (INTED Proceedings, ISSN 2340-1079). – ISBN 978-84-09-37758-9. – ISSN 2340-1079, s. 2731-2737 [online] [USB kľúč] </t>
  </si>
  <si>
    <t xml:space="preserve">The Impact of Distance Learning During the Covid19 Pandemic on the Statistical and Data Literacy / Reichel, Jaroslav [Autor, UKFFPVKIN, 100%] ; International scientific conference on distance learning in applied informatics, 14 [02.05.2022-04.05.2022, Štúrovo, Slovensko]. – text. – [angličtina]. – [OV 010]. – [ŠO 2508]. – [príspevok z podujatia]. – [recenzované] In: DIVAI 2022 [elektronický dokument] : 14th international scientific conference on distance learning in applied informatics / Turčáni, Milan [Zostavovateľ, editor] ; Balogh, Zoltán [Zostavovateľ, editor] ; Munk, Michal [Zostavovateľ, editor] ; Magdin, Martin [Zostavovateľ, editor] ; Benko, Ľubomír [Zostavovateľ, editor] ; Francisti, Jan [Zostavovateľ, editor]. – 1. vyd. – Bratislava (Slovensko) : Wolters Kluwer. Wolters Kluwer SR, 2022. – ISBN 978-80-7676-410-1. – ISSN 2464-7470. – ISSN (online) 2464-7489, s. 432-441 [online] </t>
  </si>
  <si>
    <t xml:space="preserve">The impact of globalization in connection with the development of e-commerce / Nahalková Tesárová, Eva [Korešpondenčný autor, ZUZPEDKEK, 60%] ; Križanová, Anna [Autor, UKFFFAKSO, 40%] ; Globalization and its socio-economic consequences, 21 [13.10.2021-14.10.2021, Žilina, Slovensko]. – [angličtina]. – [OV 080]. – [ŠO 6213]. – [príspevok z podujatia]. – [recenzované]. – DOI 10.1051/shsconf/202112906007 In: The 21st International Scientific Conference Globalization and its Socio-Economic Consequences 2021 [elektronický dokument] / Klieštik, Tomáš [Zostavovateľ, editor]. – 1. vyd. – Les Ulis (Francúzsko) : Édition Diffusion Presse Sciences, 2021. – (SHS Web of Conferences, ISSN 2261-2424 ; 129), s. [1-8] [online] </t>
  </si>
  <si>
    <t xml:space="preserve">The Importance of Eye-Tracking for Evaluating the  Reading Comprehension of Multimedia Text in  Computer Education / Kohútek, Michal [Autor, UKFFPVKIN, 50%] ; Turčáni, Milan [Autor, UKFFPVKIN, 50%] ; International scientific conference on distance learning in applied informatics, 14 [02.05.2022-04.05.2022, Štúrovo, Slovensko]. – text. – [angličtina]. – [OV 010]. – [ŠO 2508]. – [príspevok z podujatia]. – [recenzované] In: DIVAI 2022 [elektronický dokument] : 14th international scientific conference on distance learning in applied informatics / Turčáni, Milan [Zostavovateľ, editor] ; Balogh, Zoltán [Zostavovateľ, editor] ; Munk, Michal [Zostavovateľ, editor] ; Magdin, Martin [Zostavovateľ, editor] ; Benko, Ľubomír [Zostavovateľ, editor] ; Francisti, Jan [Zostavovateľ, editor]. – 1. vyd. – Bratislava (Slovensko) : Wolters Kluwer. Wolters Kluwer SR, 2022. – ISBN 978-80-7676-410-1. – ISSN 2464-7470. – ISSN (online) 2464-7489, s. 218-228 [online] </t>
  </si>
  <si>
    <t xml:space="preserve">The importance of historic ferry sites for the tourism along the middle section of the Labe river (Czech republic) / Havlíček, Marek [Autor, 34%] ; Dostál, Ivo [Autor, UKFFPVKEE, 33%] ; Svoboda, Josef [Autor, 33%] ; Public recreation and landscape protection - with environment hand in hand..., 13 [09.05.2022-10.05.2022, Křtiny, Česko]. – text. – [angličtina]. – [OV 100]. – [ŠO 1610]. – [príspevok z podujatia]. – [recenzované]. – DOI 10.11118/978-80-7509-831-3-0371 In: Public recreation and landscape protection - with environment hand in hand... [textový dokument (print)] [elektronický dokument] : proceedings of the 13th Conference, 9 - 10 May 2022 Křtiny / Fialová, Jitka [Zostavovateľ, editor]. – 1. vyd. – Brno (Česko) : Mendelova univerzita v Brně, 2022. – ISBN 978-80-7509-830-6. – ISBN (online) 978-80-7509-831-3. – ISSN 2336-6311. – ISSN (online) 2336-632X, s. 371-375 [tlačená forma] [online] </t>
  </si>
  <si>
    <t xml:space="preserve">The Issues Related to Preprocessing Educational  Datasets for Improving Student’s Performance / Pecuchová, Janka [Autor, UKFFPVKIN, 100%] ; International scientific conference on distance learning in applied informatics, 14 [02.05.2022-04.05.2022, Štúrovo, Slovensko]. – text. – [angličtina]. – [OV 010]. – [ŠO 2508]. – [príspevok z podujatia]. – [recenzované] In: DIVAI 2022 [elektronický dokument] : 14th international scientific conference on distance learning in applied informatics / Turčáni, Milan [Zostavovateľ, editor] ; Balogh, Zoltán [Zostavovateľ, editor] ; Munk, Michal [Zostavovateľ, editor] ; Magdin, Martin [Zostavovateľ, editor] ; Benko, Ľubomír [Zostavovateľ, editor] ; Francisti, Jan [Zostavovateľ, editor]. – 1. vyd. – Bratislava (Slovensko) : Wolters Kluwer. Wolters Kluwer SR, 2022. – ISBN 978-80-7676-410-1. – ISSN 2464-7470. – ISSN (online) 2464-7489, s. 424-431 [online] </t>
  </si>
  <si>
    <t xml:space="preserve">The Menzerath-Altmann Law in Czech Poems by K. J. Erben / Čech, Radek [Autor, 50%] ; Mačutek, Ján [Autor, UKFFPVKMA, 50%]. – text. – [angličtina]. – [OV 240]. – [ŠO 1113]. – [príspevok]. – [recenzované] In: Tackling the Toolkit [textový dokument (print)] : Plotting Poetry through Computational Literary Studies / Plecháč, Petr [Zostavovateľ, editor] ; Kolár, Robert [Zostavovateľ, editor]. – 1. vyd. – Praha (Česko) : Akademie věd České republiky, 2021. – ISBN 978-80-7658-032-9. – ISBN (online) 978-80-7658-033-6, s. 5-14 [tlačená forma] </t>
  </si>
  <si>
    <t xml:space="preserve">The Menzerath-Altmann law in syntactic structures revisited: Combining linearity of language with dependency syntax / Mačutek, Ján [Autor, UKFFPVKMA, 34%] ; Čech, Radek [Autor, 33%] ; Courtin, Marine [Autor, 33%] ; Quasy 2021, 2 [21.03.2022-25.03.2022, Sofia, Bulharsko]. – text. – [angličtina]. – [OV 240]. – [ŠO 1113]. – [príspevok z podujatia]. – SCO In: Quasy 2021 [textový dokument (print)] : Second Workshop on Quantitative Syntax / [bez zostavovateľa] [Zostavovateľ, editor] ; Alzetta, Chiara [Recenzent] ; Bhargava, Aditya [Recenzent]. – 1. vyd. – Sofia (Bulharsko) : Association for Computational Linguistics, 2021. – ISBN 978-1-955917-15-5, s. 65-73 [CD-ROM] </t>
  </si>
  <si>
    <t xml:space="preserve">The needs of patients in the perioperative period / Zito, Peter [Autor, 50%] ; Pavelová, Ľuboslava [Autor, UKFFSVKOS, 50%] ; Nursing of the 21st century in the process of changes 2022 [08.09.2022-09.09.2022, Nitra, Slovensko]. – text. – [angličtina]. – [OV 180]. – [ŠO 5602]. – [abstrakt z podujatia - KP] In: Nursing of the 21st century in the process of changes 2022 [elektronický dokument] : book of abstracts / Semanišinová, Mária [Zostavovateľ, editor] ; Hajduchová, Hana [Recenzent] ; Spáčilová, Zuzana [Recenzent] ; Zrubcová, Dana [Recenzent]. – 1. vyd. – Nitra (Slovensko) : Univerzita Konštantína Filozofa v Nitre, 2022. – ISBN 978-80-558-1923-5, s. 90-90 [online] </t>
  </si>
  <si>
    <t xml:space="preserve">The Personal Development of Teachers and Pupils Within the Context of Health and Safety in Education / Serafín, Čestmír [Autor, 50%] ; Depešová, Jana [Autor, UKFPFAKTT, 50%] ; International Conference on Inteligent Human Systems Integration, 5 [22.02.2022-24.02.2022, Rím, Taliansko]. – text. – [angličtina]. – [OV 010]. – [ŠO 7605]. – [príspevok z podujatia]. – [recenzované] In: Intelligent Human Systems Integration (IHSI 2022) [elektronický dokument] : Integrating People and Intelligent Systems / Ahram, Tareq [Zostavovateľ, editor] ; Karwowski, Waldemar [Zostavovateľ, editor] ; Di Bucchianico, Pepetto [Zostavovateľ, editor] ; Taiar, Redha [Zostavovateľ, editor] ; Casarotto, Luca [Zostavovateľ, editor] ; Costa, Pietro [Zostavovateľ, editor]. – 1. vyd. – Roč. 22, č. 22. – New York (USA) : AHFE International, 2022. – ISBN (online) 978-1-7923-8988-7. – ISSN 2771-0718, s. 1-10 [online] </t>
  </si>
  <si>
    <t xml:space="preserve">The positions of major Slovak political movements on the concept of Czechoslovakism during the interwar period / Arpáš, Róbert [Autor, UKFFFAKHI, 50%] ; Hanula, Matej [Autor, 50%]. – text. – [angličtina]. – [OV 030]. – [ŠO 7115]. – [príspevok]. – [recenzované]. – DOI 10.4324/9781003205234-7. – WOS CC In: Czechoslovakism [textový dokument (print)] [elektronický dokument] / Hudek, Adam [Zostavovateľ, editor] ; Kopeček, Michal [Zostavovateľ, editor] ; Mervart, Jan [Zostavovateľ, editor]. – 1. vyd. – New York (USA) : Taylor &amp; Francis Group, 2022. – ISBN 978-1-032-07072-8. – ISBN (online) 978-1-0032-0523-4, s. 209-230 [tlačená forma] [online] </t>
  </si>
  <si>
    <t xml:space="preserve">The relationship between critical thinking and moral reasoning in the context of the ‘philosophy for children’ programme / Borisová, Simona [Autor, UKFPFAKPE, 50%] ; Pintes, Gábor [Autor, UKFPFAKPE, 50%] ; EDULEARN22, 14 [04.07.2022-06.07.2022, Palma de Mallorca, Španielsko]. – text. – [angličtina]. – [OV 010]. – [ŠO 7605]. – [príspevok z podujatia] In: EDULEARN22 - 14th International Conference on Education and New Learning Technologies, July 4th-6th, 2022, Palma, Mallorca, Spain [elektronický dokument] / Chova, Luis Goméz [Zostavovateľ, editor] ; Martínez, Augustín López [Zostavovateľ, editor] ; Lees, Joanna [Zostavovateľ, editor]. – 1 vyd. – Palma (Španielsko) : IATED, 2022. – (EDULEARN Proceedings, ISSN 2340-1117). – ISBN 978-84-09-42484-9, s. 6939-6943 [online] [CD-ROM] [USB kľúč] </t>
  </si>
  <si>
    <t xml:space="preserve">The relationship between gut microbiome and bone-related diseases / Zemanová, Nina [Autor, UKFFPVKBG, 16%] ; Martiniaková, Monika [Autor, UKFFPVKZA, 14%] ; Mondočková, Vladimíra [Autor, UKFFPVKBG, 14%] ; Kováčová, Veronika [Autor, UKFFPVKZA, 14%] ; Blahová, Jana [Autor, UKFFPVKBG, 14%] ; Bábiková, Martina [Autor, UKFFPVKBG, 14%] ; Omelka, Radoslav [Autor, UKFFPVKBG, 14%] ; Animal Physiology 2022, 17 [01.06.2022-03.06.2022, Košice, Slovensko]. – text. – [angličtina]. – [OV 130]. – [ŠO 1536]. – [abstrakt z podujatia - KP]. – [recenzované] In: Animal physiology 2022 [textový dokument (print)] : book of abstracts from international conference / Čikoš, Štefan [Zostavovateľ, editor] ; Pogány Simonová, Monika [Zostavovateľ, editor] ; Batťányi, Dominika [Zostavovateľ, editor] ; Kucková, Katarína [Zostavovateľ, editor]. – 1. vyd. – Bratislava (Slovensko) : Slovenská akadémia vied, 2022. – ISBN 978-80-974246-0-2, s. 104-104 [tlačená forma] </t>
  </si>
  <si>
    <t xml:space="preserve">The Role and Use of Learningapps in the Teaching of Contemporary Hungarian Literature / Radics, Rudolf [Autor, UKFFSSUML, 100%] ; International Technology, Education and Development Conference 2021, 15 [08.03.2021-09.03.2021, Valencia, Španielsko]. – text. – [angličtina]. – [OV 010]. – [ŠO 7605]. – [príspevok z podujatia]. – DOI 10.21125/inted.2021.0349 In: INTED2021 [textový dokument (print)] [elektronický dokument] : 15th International Technology, Education and Development Conference : conference proceedings / Chova, Luis Goméz [Zostavovateľ, editor] ; López Martínez, Agustín [Zostavovateľ, editor] ; Candel Torres, Ignacio [Zostavovateľ, editor]. – 1. vyd. – Valencia (Španielsko) : IATED, 2021. – (INTED Proceedings, ISSN 2340-1079). – ISBN 978-84-09-27666-0. – ISSN 2340-1079, s. 1513-1518 [online] </t>
  </si>
  <si>
    <t xml:space="preserve">The role of ciR-01114 in the control of porcine ovarian cell functions / Fabová, Zuzana [Autor, UKFFPVKZA, 40%] ; Loncová, Barbora [Autor, UKFFPVKZA, 30%] ; Sirotkin, Alexander [Autor, UKFFPVKZA, 30%] ; Animal Physiology 2022, 17 [01.06.2022-03.06.2022, Košice, Slovensko]. – text. – [angličtina]. – [OV 130]. – [ŠO 1536]. – [abstrakt z podujatia - KP]. – [recenzované] In: Animal physiology 2022 [textový dokument (print)] : book of abstracts from international conference / Čikoš, Štefan [Zostavovateľ, editor] ; Pogány Simonová, Monika [Zostavovateľ, editor] ; Batťányi, Dominika [Zostavovateľ, editor] ; Kucková, Katarína [Zostavovateľ, editor]. – 1. vyd. – Bratislava (Slovensko) : Slovenská akadémia vied, 2022. – ISBN 978-80-974246-0-2, s. 58-58 [tlačená forma] </t>
  </si>
  <si>
    <t xml:space="preserve">The role of extensive reading in Eglish language classroom / Židová, Diana [Autor, UKFPFAKLI, 100%] ; International Technology, Education and Development Conference 2022, 16 [07.03.2022-08.03.2022, Valencia, Španielsko]. – text. – [angličtina]. – [OV 010]. – [ŠO 7605]. – [príspevok z podujatia]. – [recenzované] In: INTED2022 Conference Proceedings [elektronický dokument] : 16th International Technology, Education and Development Conference / Chova, Luis Goméz [Zostavovateľ, editor] ; López Martínez, Agustín [Zostavovateľ, editor] ; Candel Torres, Ignacio [Zostavovateľ, editor]. – 1. vyd. – Barcelona (Španielsko) : IATED, 2022. – (INTED Proceedings, ISSN 2340-1079). – ISBN 978-84-09-37758-9. – ISSN 2340-1079, s. 1254-1264 [online] [USB kľúč] </t>
  </si>
  <si>
    <t xml:space="preserve">The silencing of YAP by small interfering RNA inhibits ovarian cell functions / Loncová, Barbora [Autor, UKFFPVKZA, 40%] ; Fabová, Zuzana [Autor, UKFFPVKZA, 30%] ; Sirotkin, Alexander [Autor, UKFFPVKZA, 30%] ; Animal Physiology 2022, 17 [01.06.2022-03.06.2022, Košice, Slovensko]. – text. – [angličtina]. – [OV 092]. – [ŠO 1536]. – [abstrakt z podujatia - KP]. – [recenzované] In: Animal physiology 2022 [textový dokument (print)] : book of abstracts from international conference / Čikoš, Štefan [Zostavovateľ, editor] ; Pogány Simonová, Monika [Zostavovateľ, editor] ; Batťányi, Dominika [Zostavovateľ, editor] ; Kucková, Katarína [Zostavovateľ, editor]. – 1. vyd. – Bratislava (Slovensko) : Slovenská akadémia vied, 2022. – ISBN 978-80-974246-0-2, s. 77-77 [tlačená forma] </t>
  </si>
  <si>
    <t xml:space="preserve">The social aspect of integration of a pupil with ADHD at the primary level of education / Poláčková, Vladimíra [Autor, UKFPFAKPE, 50%] ; Gužíková, Libuša [Autor, 50%] ; International Technology, Education and Development Conference 2022, 16 [07.03.2022-08.03.2022, Valencia, Španielsko]. – text. – [angličtina]. – [OV 010]. – [ŠO 7605]. – [príspevok z podujatia]. – [recenzované] In: INTED2022 Conference Proceedings [elektronický dokument] : 16th International Technology, Education and Development Conference / Chova, Luis Goméz [Zostavovateľ, editor] ; López Martínez, Agustín [Zostavovateľ, editor] ; Candel Torres, Ignacio [Zostavovateľ, editor]. – 1. vyd. – Barcelona (Španielsko) : IATED, 2022. – (INTED Proceedings, ISSN 2340-1079). – ISBN 978-84-09-37758-9. – ISSN 2340-1079, s. 424-432 [online] [USB kľúč] </t>
  </si>
  <si>
    <t xml:space="preserve">The STEAM approach in industrial education 4.0 / Krajinčák, Erik [Autor, UKFPFAKTT, 34%] ; Šebo, Miroslav [Autor, UKFPFAKTT, 33%] ; Depešová, Jana [Autor, UKFPFAKTT, 33%] ; International Technology, Education and Development Conference 2022, 16 [07.03.2022-08.03.2022, Valencia, Španielsko]. – text. – [angličtina]. – [OV 010]. – [ŠO 7605]. – [príspevok z podujatia]. – [recenzované] In: INTED2022 Conference Proceedings [elektronický dokument] : 16th International Technology, Education and Development Conference / Chova, Luis Goméz [Zostavovateľ, editor] ; López Martínez, Agustín [Zostavovateľ, editor] ; Candel Torres, Ignacio [Zostavovateľ, editor]. – 1. vyd. – Barcelona (Španielsko) : IATED, 2022. – (INTED Proceedings, ISSN 2340-1079). – ISBN 978-84-09-37758-9. – ISSN 2340-1079, s. 666-675 [online] [USB kľúč] </t>
  </si>
  <si>
    <t xml:space="preserve">The Transmedial Relations of Print Literature and Electronic Literature / György, Erik [Autor, UKFFFAKAA, 100%] ; 8th SWS International Scientific Conference on Arts And Humanities, 8 [25.10.2021-26.10.2021, Florencia, Taliansko]. – text. – [angličtina]. – [OV 020]. – [ŠO 7320]. – [príspevok z podujatia]. – [recenzované]. – DOI 10.35603/sws.iscah.f2021/s10.21 In: ISCAH 2021 [elektronický dokument] / [bez zostavovateľa] [Zostavovateľ, editor]. – 1. vyd. – Viedeň (Rakúsko) : SGEM World Science, 2021. – ISBN 978-3-903438-02-6. – ISSN 2682-9940, s. 205-212 [online] </t>
  </si>
  <si>
    <t xml:space="preserve">Themes of nature in children ́s philosophical literary stories as one of the possibilities of forming a relationship with nature / Borisová, Simona [Autor, UKFPFAKPE, 50%] ; Pintes, Gábor [Autor, UKFPFAKPE, 50%] ; ICERI2022, 15 [07.11.2022-09.11.2022, Seville, Španielsko]. – text. – [angličtina]. – [OV 010]. – [ŠO 7605]. – [príspevok z podujatia] In: ICERI2022 [elektronický dokument] : 15th annual International Conference of Education, Research and Innovation, 7th - 9th of November, 2022 / Chova, Luis Goméz [Zostavovateľ, editor]. – 1. vyd. – Seville (Španielsko) : IATED, 2022. – ISBN 978-84-09-45476-1, s. 541-546 </t>
  </si>
  <si>
    <t xml:space="preserve">Tools and Technologies in Remote Training of Future Interpreters / Martinkovič, Matej [Autor, UKFFFAKTR, 100%] ; International Technology, Education and Development Conference 2022, 16 [07.03.2022-08.03.2022, Valencia, Španielsko]. – text. – [angličtina]. – [OV 020]. – [ŠO 7605, 7320]. – [príspevok z podujatia]. – [recenzované] In: INTED2022 Conference Proceedings [elektronický dokument] : 16th International Technology, Education and Development Conference / Chova, Luis Goméz [Zostavovateľ, editor] ; López Martínez, Agustín [Zostavovateľ, editor] ; Candel Torres, Ignacio [Zostavovateľ, editor]. – 1. vyd. – Barcelona (Španielsko) : IATED, 2022. – (INTED Proceedings, ISSN 2340-1079). – ISBN 978-84-09-37758-9. – ISSN 2340-1079, s. 9148-9154 [online] [USB kľúč] </t>
  </si>
  <si>
    <t xml:space="preserve">Tradičná kultúra v cestovnom ruchu (prípadová štúdia oblasti Myjavskej pahorkatiny) / Mičicová, Katarína [Autor, UKFFFAKMK, 100%]. – text. – [slovenčina]. – [OV 020]. – [ŠO 6213]. – [príspevok] In: Kultúrny transfer v zjednotenej Európe [textový dokument (print)] / Pecníková, Jana [Zostavovateľ, editor] ; Bohušová, Zuzana [Zostavovateľ, editor] ; Banaś, Monika [Recenzent] ; Chalupa, Jiří [Recenzent]. – 1. vyd. – Talin (Estónsko) : Teadmus OÜ, 2022. – ISBN 978-9916-9704-9-2, s. 231-244 [tlačená forma] </t>
  </si>
  <si>
    <t xml:space="preserve">Tvorba podporných vzdelávacích materiálov z biológie / Sandanusová, Anna [Autor, UKFFPVKZA, 50%] ; Babosová, Ramona [Autor, UKFFPVKZA, 50%] ; EDUCO 2022, 17 [16.05.2022, Zlín, Česko]. – text. – [slovenčina]. – [OV 010]. – [ŠO 1536]. – [príspevok z podujatia]. – [recenzované] In: EDUCO 2022 [textový dokument (print)] [elektronický dokument] : didaktické a environmentální aspekty přípravy učitelů přírodovědných, zemědělských a příbuzných oborů v kontextu strategie evropského vzdělávání / Dytrtová, Radmila [Zostavovateľ, editor] ; Jirsáková, Jitka [Zostavovateľ, editor] ; Sandanusová, Anna [Zostavovateľ, editor] ; Karabacak, Eda [Zostavovateľ, editor]. – 1. vyd. – Praha (Česko) : Česká zemědelská univerzita v Praze, 2022. – ISBN 978-80-213-3194-5, s. 110-120 [tlačená forma] </t>
  </si>
  <si>
    <t xml:space="preserve">Tvorba učebných pomôcok zameraných na rozvoj hudobnosti a ich uplatnenie v praxi / Sondorová, Dominika [Autor, UKFPFAKHU, 70%] ; Veseľková, Martina [Autor, 30%] ; QUAERE 2022, 12 [27.06.2022-29.06.2022, Hradec Králové, Česko]. – text. – [slovenčina]. – [OV 010]. – [ŠO 7605]. – [príspevok z podujatia]. – [recenzované] In: QUAERE 2022 [elektronický dokument] : recenzovaný sborník příspěvků interdisciplinární mezinárodní vědecké konference doktorandů a odborných asistentů / [bez zostavovateľa] [Zostavovateľ, editor]. – 1. vyd. – Hradec Králové (Česko) : Magnanimitas akademické sdružení, 2022. – ISBN (online) 978-80-87952-36-8, s. 558-567 [online] </t>
  </si>
  <si>
    <t xml:space="preserve">Two generations' views on behaviour in a virtual environment / Zelená, Hana [Autor, UKFPFAKPE, 50%] ; Babulicová, Zuzana [Autor, UKFPFAKPE, 50%] ; EDULEARN22, 14 [04.07.2022-06.07.2022, Palma de Mallorca, Španielsko]. – text. – [angličtina]. – [OV 010]. – [ŠO 7605]. – [príspevok z podujatia]. – [recenzované]. – DOI 10.21125/edulearn.2022.1290 In: EDULEARN22 - 14th International Conference on Education and New Learning Technologies, July 4th-6th, 2022, Palma, Mallorca, Spain [elektronický dokument] / Chova, Luis Goméz [Zostavovateľ, editor] ; Martínez, Augustín López [Zostavovateľ, editor] ; Lees, Joanna [Zostavovateľ, editor]. – 1 vyd. – Palma (Španielsko) : IATED, 2022. – (EDULEARN Proceedings, ISSN 2340-1117). – ISBN 978-84-09-42484-9, s. 5458-5464 [online] [CD-ROM] [USB kľúč] </t>
  </si>
  <si>
    <t xml:space="preserve">Two-dimensional equations of magneto-electro-elasticity / Mityushev, Vladimir [Autor, 34%] ; Nosov, Dmytro [Autor, UKFFPVKFY, 33%] ; Wojnar, Ryszard [Autor, 33%]. – text. – [angličtina]. – [OV 091]. – [ŠO 1160]. – [kapitola]. – [recenzované]. – DOI 10.1016/B978-0-32-390543-5.00008-6. – SCO In: Mechanics and Physics of Structured Media [textový dokument (print)] : Asymptotic and Integral Equations Methods of Leonid Filshtinsky / Andrianov, Igor [Zostavovateľ, editor] ; Gluzman, Simon [Zostavovateľ, editor] ; Mityushev, Vladimir [Zostavovateľ, editor]. – 1. vyd. – London (Veľká Británia) : Elsevier. Academic Press, 2022. – ISBN 978-0-323-90543-5, s. 63-98 [tlačená forma] </t>
  </si>
  <si>
    <t xml:space="preserve">Učebné úlohy vo vyučovaní zoológie na základnej škole / Schlarmannová, Janka [Autor, UKFFPVKZA, 90%] ; Langraf, Vladimír [Autor, UKFFPVKEE, 5%] ; Petrovičová, Kornélia [Autor, SPUFAP31, 5%] ; EDUCO 2022, 17 [16.05.2022, Zlín, Česko]. – text. – [slovenčina]. – [OV 190, 130]. – [ŠO 4190, 1536]. – [príspevok z podujatia]. – [recenzované] In: EDUCO 2022 [textový dokument (print)] [elektronický dokument] : didaktické a environmentální aspekty přípravy učitelů přírodovědných, zemědělských a příbuzných oborů v kontextu strategie evropského vzdělávání / Dytrtová, Radmila [Zostavovateľ, editor] ; Jirsáková, Jitka [Zostavovateľ, editor] ; Sandanusová, Anna [Zostavovateľ, editor] ; Karabacak, Eda [Zostavovateľ, editor]. – 1. vyd. – Praha (Česko) : Česká zemědelská univerzita v Praze, 2022. – ISBN 978-80-213-3194-5, s. 121-127 [tlačená forma] </t>
  </si>
  <si>
    <t xml:space="preserve">Účinok zmeny klímy a vlastností povodia na morfodynamické procesy a následné zloženie vody plies Vysokých Tatier = The effect of climate change and catchment characteristics on morphodynamic processes and the subsequent water composition of the High Tatras lakes / Hrivnáková, Kristína [Autor, UKFFPVKEE, 100%] ; Študentská vedecká konferencia 2022 [06.04.2022, Nitra, Slovensko]. – text. – [slovenčina]. – [OV 100]. – [ŠO 1610]. – [príspevok z podujatia] In: Študentská vedecká konferencia 2022 [elektronický dokument] : zborník recenzovaných príspevkov / Spišiak, Ján [Zostavovateľ, editor] ; Račáková, Slavka [Zostavovateľ, editor] ; Voštinár, Patrik [Recenzent] ; Vagač, Michal [Recenzent]. – 1. vyd. – Banská Bystrica (Slovensko) : Univerzita Mateja Bela v Banskej Bystrici, 2022. – ISBN 978-80-557-1984-9, s. 35-42 [online] </t>
  </si>
  <si>
    <t xml:space="preserve">Učiteľ v kontexte bilingválneho vzdelávania detí predškolského veku = Behaviour of preschool children and possibilities of pedagogical solution / Bačová, Miroslava [Autor, 50%] ; Süttö, Lucia [Autor, UKFPFAKAP, 50%]. – text. – [slovenčina]. – [OV 010]. – [ŠO 7605]. – [príspevok] In: Konvergencie vedeckej činnosti študentov a učiteľov 3 [textový dokument (print)] / Verešová, Marcela [Zostavovateľ, editor] ; Valihorová, Marta [Recenzent] ; Pavelová, Ľuba [Recenzent]. – 1. vyd. – Nitra (Slovensko) : Univerzita Konštantína Filozofa v Nitre, 2022. – ISBN 978-80-558-1902-0, s. 222-233 [tlačená forma] </t>
  </si>
  <si>
    <t xml:space="preserve">Umelecký profil Marthy Graham / Hubinská, Zuzana [Autor, UKFPFAKHU, 100%] ; Horizonty umenia, 8 [10.09.2021-15.09.2021, Banská Bystrica, Slovensko]. – text. – [slovenčina]. – [OV 010]. – [ŠO 7605]. – [príspevok z podujatia] In: Horizonty umenia 8 [textový dokument (print)] : Zborník príspevkov z medzinárodnej vedeckej webovej konferencie 10.9.2021-15.9.2021 / Strenáčiková, Mária [Zostavovateľ, editor] ; Kolodziejski, Maciej [Recenzent] ; Dushnyi, Andrij [Recenzent] ; Janek, Marián [Recenzent]. – 1. vyd. – Roč. 8. – Banská Bystrica (Slovensko) : Akadémia umení. Fakulta múzických umení, 2021. – ISBN 978-80-8206-049-5, s. 55-62 [tlačená forma] </t>
  </si>
  <si>
    <t xml:space="preserve">Understanding (of) the V4 / Tkáč-Zabáková, Lenka [Autor, UKFFSSUSJ, 50%] ; Vargová, Zuzana [Autor, UKFFSSUSJ, 50%]. – text. – [angličtina]. – [OV 020]. – [ŠO 7320]. – [príspevok] In: 30 Years of the Visegrad Group. Volume 2: Basic Project Ideas and International Reality (2. Basic proces ideas and international reality) [textový dokument (print)] / Kancik-Koltun, Ewelina [Zostavovateľ, editor] ; Mazur, Marta [Zostavovateľ, editor] ; Wojnicki, Jacek [Recenzent]. – 1. vyd. – Lublin (Poľsko) : Uniwersytet Marii Curie-Skłodowskiej. Wydawnictwo Uniwersytetu Marii Curie-Skłodowskiej, 2022. – ISBN 978-83-227-9622-1, s. 87-101 </t>
  </si>
  <si>
    <t xml:space="preserve">Unique Glacial Landscape on the Roof of the Carpathians—Tatras Mts. : Part II Landscapes and Landforms. Chapter 5 / Boltižiar, Martin [Autor, UKFFPVKGR, 100%]. – text. – [angličtina]. – [OV 092]. – [ŠO 1217]. – [kapitola]. – [recenzované]. – sign UPJS SSEP 022877. – SCO In: Landscapes and Landforms of Slovakia [textový dokument (print)] [elektronický dokument] / Lehotský, Milan [Zostavovateľ, editor] ; Boltižiar, Martin [Zostavovateľ, editor]. – 1. vyd. – Cham (Švajčiarsko) : Springer Nature, 2022. – (World Geomorphological Landscapes, ISSN 2213-2104, ISSN 2213-2090). – ISBN 978-3-030-89292-0. – ISBN (online) 978-3-030-89293-7, s. 63-99 [tlačená forma] [online] </t>
  </si>
  <si>
    <t xml:space="preserve">Unusual find of skeletal remains of a newborn from the Late Bronze Age settlement at Pustý hrad (Deserted castle) in Zvolen (Central Slovakia) / Beljak, Ján [Autor, 40%] ; Putško, Mária [Autor, UKOLJ252, 35%] ; Beljak Pažinová, Noémi [Autor, UKFFFAKAR, 25%]. – text, fotogr. – [angličtina]. – [OV 030]. – [ŠO 7115]. – [príspevok] In: Epoka brązu i wczesna epoka żelaza w Karpatach [textový dokument (print)] / Gancarski, Jan [Zostavovateľ, editor] ; Blajer, Wojciech [Recenzent]. – 1. vyd. – Krosno (Poľsko) : Muzeum Podkarpackie, 2021. – ISBN 978-83-955256-8-1, s. 297-314 [tlačená forma] </t>
  </si>
  <si>
    <t xml:space="preserve">Uplatňovanie dekompozičných princípov v súčasnom scénickom umení na Slovensku / Hrbek, Milan [Autor, UKFFFAULK, 100%] ; Témy na okraji záujmu? [23.03.2021, Bratislava, Slovensko]. – text. – [slovenčina]. – [OV 040]. – [ŠO 8110]. – [príspevok z podujatia] In: Témy na okraji záujmu? [textový dokument (print)] : zborník vedeckých príspevkov z teatrologického sympózia, ktoré sa konalo online (23. marca 2021) / Mišovic, Karol [Zostavovateľ, editor] ; Bakoš, Oliver [Recenzent] ; Juráni, Miloslav [Recenzent]. – 1. vyd. – Bratislava (Slovensko) : Slovenská akadémia vied. Pracoviská SAV. Ústav divadelnej a filmovej vedy, 2021. – ISBN 978-80-224-1908-6, s. 44-54 [tlačená forma] </t>
  </si>
  <si>
    <t xml:space="preserve">Urgentná peripartálna hysterektómia / Mlynček, Miloš [Autor, UKFFSVKOS, 100%] ; Spoločný kongres SGPS SLS a ČGPS ČLS JEP, 8 [26.05.2022-29.05.2022, Bratislava, Slovensko]. – text. – [slovenčina]. – [OV 180]. – [ŠO 5141]. – [abstrakt z podujatia - KP]. – [recenzované]. – SIGN-UKO LF 1GK/22 In: 8. Spoločný kongres SGPS SLS a ČGPS ČLS JEP [textový dokument (print)] : zborník abstraktov / [bez zostavovateľa] [Zostavovateľ, editor]. – 1. vyd. – Spišská Nová Ves (Slovensko) : Agentúra KAMI, 2022. – ISBN 978-80-973380-1-5, s. 29-29 </t>
  </si>
  <si>
    <t xml:space="preserve">Úroveň motorických ukazovateľov u detí 1. ročníka ZŠ v Nitrianskom kraji / Halmová, Nora [Autor, UKFPFAKTV, 50%] ; Kanásová, Janka [Autor, UKFPFAKTV, 50%]. – text. – [slovenčina]. – [OV 210]. – [ŠO 7418]. – [príspevok] In: Šport a rekreácia 2022 (Recenzovaný nekonferenčný zborník vedecko-výskumných a odborných prác, zameraný na prezentáciu poznatkov v oblasti športu, telesnej výchovy, diagnostiky, zdravia, rekreácie, cestovného ruchu, regenerácie, manažmentu, atď.) [textový dokument (print)] [elektronický dokument] : zborník vedeckých prác / Broďáni, Jaroslav [Zostavovateľ, editor] ; Czaková, Monika [Zostavovateľ, editor] ; Bartík, Pavol [Recenzent] ; Šimonek, Jaromír [Recenzent] ; Kanásová, Janka [Recenzent] ; Halmová, Nora [Recenzent] ; Broďáni, Jaroslav [Recenzent] ; Horička, Pavol [Recenzent] ; Divinec, Lenka [Recenzent] ; Czaková, Natália [Recenzent] ; Vašková, Monika [Recenzent] ; Kraček, Stanislav [Recenzent]. – 1. vyd. – Roč. 12. – Nitra (Slovensko) : Univerzita Konštantína Filozofa v Nitre. Pedagogická fakulta UKF. Katedra telesnej výchovy a športu, 2022. – ISBN 978-80-558-1905-1, s. 13-20 [tlačená forma] [online] </t>
  </si>
  <si>
    <t xml:space="preserve">Use of concept maps in the teaching process of chemistry in the gymnasium / Jenisová, Zita [Autor, UKFFPVKCH, 25%] ; Feszterová, Melánia [Autor, UKFFPVKCH, 25%] ; Tokárová, Barbora [Autor, UKFFPVKCH, 15%] ; Páleníková, Kitti [Autor, UKFFPVKMA, 25%] ; Vyskočilová, Tatiana [Autor, 10%] ; EDULEARN21 [05.07.2021-06.07.2021, Barcelona, Španielsko]. – text. – [angličtina]. – [OV 010]. – [ŠO 7605]. – [príspevok z podujatia]. – DOI 10.21125/edulearn.2021.1343 In: EDULEARN21 [elektronický dokument] : 13th annual International Conference on Education and New Learning Technologies, Barcelona, 5th - 6th of July, 2021 / Chova, Luis Goméz [Zostavovateľ, editor] ; Martínez, Augustín López [Zostavovateľ, editor] ; Torres, I. [Zostavovateľ, editor]. – 1. vyd. – Roč. 13. – Barcelona (Španielsko) : IATED, 2021. – ISBN 978-84-09-31267-2. – ISSN 2340-1117, s. 6639-6647 [CD-ROM] [USB kľúč] </t>
  </si>
  <si>
    <t xml:space="preserve">Use of Cooperative Leaerning Techniques and Tools in Public Educaton and Higher Education / Radics, Rudolf [Autor, UKFFSSUML, 100%] ; International Technology, Education and Development Conference 2022, 16 [07.03.2022-08.03.2022, Valencia, Španielsko]. – text. – [angličtina]. – [OV 010]. – [ŠO 7605]. – [príspevok z podujatia]. – [recenzované]. – DOI 10.21125/inted.2022.2334 In: INTED2022 Conference Proceedings [elektronický dokument] : 16th International Technology, Education and Development Conference / Chova, Luis Goméz [Zostavovateľ, editor] ; López Martínez, Agustín [Zostavovateľ, editor] ; Candel Torres, Ignacio [Zostavovateľ, editor]. – 1. vyd. – Barcelona (Španielsko) : IATED, 2022. – (INTED Proceedings, ISSN 2340-1079). – ISBN 978-84-09-37758-9. – ISSN 2340-1079, s. 8941-8946 [online] [USB kľúč] </t>
  </si>
  <si>
    <t xml:space="preserve">Using the LARA Little Prince to compare human and TTS audio quality / Akhlaghi, Elham [Autor, 5.565%] ; Auðunardóttir, Ingibjörg Iða [Autor, 5.555%] ; Bączkowska, Anna [Autor, 5.555%] ; Bédi, Branislav [Autor, 5.555%] ; Beedar, Hakeem [Autor, 5.555%] ; Berthelsen, Harald [Autor, 5.555%] ; Chua, Cathy [Autor, 5.555%] ; Cucchiarini, Catia [Autor, 5.555%] ; Habibi, Hanieh [Autor, 5.555%] ; Horváthová, Ivana [Autor, UKFFFAKAA, 5.555%] ; Ikeda, Junta [Autor, 5.555%] ; Maizonniaux, Christèle [Autor, 5.555%] ; Chiaráin, Neasa Ní [Autor, 5.555%] ; Raheb, Chadi [Autor, 5.555%] ; Rayner, Manny [Autor, 5.555%] ; Sloan, John [Autor, 5.555%] ; Tsourakis, Nikos [Autor, 5.555%] ; Yao, Chunlin [Autor, 5.555%] ; Language Resources and Evaluation 2022, 13 [20.06.2022-25.06.2022, Marseille, Francúzsko]. – [angličtina]. – [OV 010]. – [ŠO 7605]. – [príspevok z podujatia] In: Language Resources and Evaluation Conference [textový dokument (print)] : Proceedings of the 13th Conference / Calzolari, Nicoletta [Zostavovateľ, editor] ; Béchet, Frédéric [Zostavovateľ, editor]. – 1. vyd. – Paris (Francúzsko) : European Language Resources Association, 2022. – ISBN 979-10-95546-72-6, s. 2967-2975 [tlačená forma] </t>
  </si>
  <si>
    <t xml:space="preserve">Úskalia a tromfy divadelnej adaptácie reportážneho románu / Ballay, Miroslav [Autor, UKFFFAKKU, 100%] ; Divadlo v meniacom sa svete a premeny divadla, 18 [26.11.2021-27.11.2021, Banská Bystrica, Slovensko]. – text. – [slovenčina]. – [OV 060]. – [ŠO 8110]. – [príspevok z podujatia] In: Divadlo v meniacom sa svete a premeny divadla [textový dokument (print)] : zborník vedeckých príspevkov z medzinárodnej Banskobystrickej teatrologickej konferencie 26.-27.11.2021 / Knopová, Elena [Zostavovateľ, editor] ; Zamišková, Barbora [Recenzent] ; Majera, Ľjuboslav [Recenzent]. – 1. vyd. – Banská Bystrica (Slovensko) : Akadémia umení. Fakulta dramatických umení, 2021. – ISBN 978-80-8206-052-5, s. 278-288 [tlačená forma] </t>
  </si>
  <si>
    <t xml:space="preserve">Úzkosť z matematiky ako prediktor vývinovej dyskalkúlie = Maths anxiety as a predictor of developmental dyscalculia / Janíček Pavelová, Monika [Autor, UKFPFAKPE, 25%] ; Erhardtová, Gabriela [Autor, UKFPFAKPE, 25%] ; Kraljiková, Michaela [Autor, UKFPFAKPE, 25%] ; Žovinec, Erik [Autor, UKFPFAKPE, 25%] ; QUAERE 2022, 12 [27.06.2022-29.06.2022, Hradec Králové, Česko]. – text, graf., tab. – [slovenčina]. – [OV 010]. – [ŠO 7605]. – [príspevok z podujatia]. – [recenzované] In: QUAERE 2022 [elektronický dokument] : recenzovaný sborník příspěvků interdisciplinární mezinárodní vědecké konference doktorandů a odborných asistentů / [bez zostavovateľa] [Zostavovateľ, editor]. – 1. vyd. – Hradec Králové (Česko) : Magnanimitas akademické sdružení, 2022. – ISBN (online) 978-80-87952-36-8, s. 488-495 [online] </t>
  </si>
  <si>
    <t xml:space="preserve">Validation of diagnostic characteristics and interventions for nursing diagnosis Anxiety / Solgajová, Andrea [Autor, UKFFSVKOS, 30%] ; Zrubcová, Dana [Autor, UKFFSVKOS, 30%] ; Borotová, Noémi [Autor, 10%] ; Vörösová, Gabriela [Autor, UKFFSVKOS, 30%] ; Nursing of the 21st century in the process of changes 2022 [08.09.2022-09.09.2022, Nitra, Slovensko]. – text. – [angličtina]. – [OV 180]. – [ŠO 5602]. – [abstrakt z podujatia - KP] In: Nursing of the 21st century in the process of changes 2022 [elektronický dokument] : book of abstracts / Semanišinová, Mária [Zostavovateľ, editor] ; Hajduchová, Hana [Recenzent] ; Spáčilová, Zuzana [Recenzent] ; Zrubcová, Dana [Recenzent]. – 1. vyd. – Nitra (Slovensko) : Univerzita Konštantína Filozofa v Nitre, 2022. – ISBN 978-80-558-1923-5, s. 81-81 [online] </t>
  </si>
  <si>
    <t xml:space="preserve">Validation of NIC interventions for diagnosis Risk for infection / Archalousová, Alexandra [Autor, UKFFSVKOS, 100%] ; Nursing of the 21st century in the process of changes 2022 [08.09.2022-09.09.2022, Nitra, Slovensko]. – text. – [angličtina]. – [OV 180]. – [ŠO 5602]. – [abstrakt z podujatia - KP] In: Nursing of the 21st century in the process of changes 2022 [elektronický dokument] : book of abstracts / Semanišinová, Mária [Zostavovateľ, editor] ; Hajduchová, Hana [Recenzent] ; Spáčilová, Zuzana [Recenzent] ; Zrubcová, Dana [Recenzent]. – 1. vyd. – Nitra (Slovensko) : Univerzita Konštantína Filozofa v Nitre, 2022. – ISBN 978-80-558-1923-5, s. 11-11 [online] </t>
  </si>
  <si>
    <t xml:space="preserve">Validation of nursing interventions for nursing diagnosis Insomnia / Zrubcová, Dana [Autor, UKFFSVKOS, 34%] ; Solgajová, Andrea [Autor, UKFFSVKOS, 33%] ; Vörösová, Gabriela [Autor, UKFFSVKOS, 33%] ; Nursing of the 21st century in the process of changes 2022 [08.09.2022-09.09.2022, Nitra, Slovensko]. – text. – [angličtina]. – [OV 180]. – [ŠO 5602]. – [abstrakt z podujatia - KP] In: Nursing of the 21st century in the process of changes 2022 [elektronický dokument] : book of abstracts / Semanišinová, Mária [Zostavovateľ, editor] ; Hajduchová, Hana [Recenzent] ; Spáčilová, Zuzana [Recenzent] ; Zrubcová, Dana [Recenzent]. – 1. vyd. – Nitra (Slovensko) : Univerzita Konštantína Filozofa v Nitre, 2022. – ISBN 978-80-558-1923-5, s. 92-92 [online] </t>
  </si>
  <si>
    <t xml:space="preserve">Validation of the Reading Comprehension Intervention Program for the English Language / Horníčková, Mária [Autor, UKFFFAKRO, 25%] ; Szabó, Erzsébet [Autor, UKFFFAKGE, 25%] ; Havettová, Romana [Autor, UKFFFAKRO, 25%] ; Adlerová, Linda [Autor, 25%] ; EDULEARN22, 14 [04.07.2022-06.07.2022, Palma de Mallorca, Španielsko]. – text. – [angličtina]. – [OV 010]. – [ŠO 7605]. – [príspevok z podujatia]. – DOI 10.21125/edulearn.2022.1376 In: EDULEARN22 - 14th International Conference on Education and New Learning Technologies, July 4th-6th, 2022, Palma, Mallorca, Spain [elektronický dokument] / Chova, Luis Goméz [Zostavovateľ, editor] ; Martínez, Augustín López [Zostavovateľ, editor] ; Lees, Joanna [Zostavovateľ, editor]. – 1 vyd. – Palma (Španielsko) : IATED, 2022. – (EDULEARN Proceedings, ISSN 2340-1117). – ISBN 978-84-09-42484-9, s. 5870-5878 [online] [CD-ROM] [USB kľúč] </t>
  </si>
  <si>
    <t xml:space="preserve">Video experiments in initial primary teacher education / Valovičová, Ľubomíra [Autor, UKFFPVKFY, 34%] ; Ondruška, Ján [Autor, UKFFPVKFY, 33%] ; Medová, Janka [Autor, UKFFPVKMA, 33%] ; DIDFYZ 2021, 22 [13.10.2021-16.10.2021, Terchová, Slovensko]. – text. – [angličtina]. – [OV 091]. – [ŠO 1160]. – [príspevok z podujatia]. – [recenzované]. – DOI 10.1063/5.0078396. – SCO In: DIDFYZ 2021 [elektronický dokument] : Didactic Transfer of Physics Knowledge through Distance Information / Valovičová, Ľubomíra [Zostavovateľ, editor] ; Ondruška, Ján [Zostavovateľ, editor] ; Zelenický, Ľubomír [Zostavovateľ, editor]. – 1. vyd. – č. 2458. – Melville (USA) : American Institute of Physics . AIP Publishing, 2022. – ISBN 978-0-7354-4341-9, s. 1-7 [online] </t>
  </si>
  <si>
    <t xml:space="preserve">Virtual Programming Lab for Moodle : Automatic Program Assessment in a First-year University Course / Pino del, Juan Carlos Rodríguez [Autor, 25%] ; Hernández-Figueroa, Zenón José [Autor, 25%] ; Domínguez, José Daniel González [Autor, 25%] ; Skalka, Ján [Autor, UKFFPVKIN, 25%]. – text. – [angličtina]. – [OV 160]. – [ŠO 2508]. – [príspevok]. – [recenzované]. – DOI 10.1007/978-3-031-13359-6_12 In: Microlearning [textový dokument (print)] : New Approaches To A More Effective Higher Education / Smyrnova-Trybulska, Eugenia [Zostavovateľ, editor] ; Kommers, Piet [Zostavovateľ, editor] ; Drlík, Martin [Zostavovateľ, editor] ; Skalka, Ján [Zostavovateľ, editor]. – 1. vyd. – č. 6. – cham (Švajčiarsko) : Springer Nature. Springer International Publishing AG, 2022. – ISBN 978-3-031-13358-9. – ISBN (online) 978-3-031-13359-6, s. 195-206 [tlačená forma] [online] </t>
  </si>
  <si>
    <t xml:space="preserve">Visualization of Physiological Response in the Context of Emotion Recognition / Fodor, Kristián [Autor, UKFFPVKIN, 34%] ; Balogh, Zoltán [Autor, UKFFPVKIN, 33%] ; Francisti, Jan [Autor, UKFFPVKIN, 33%] ; Marreiros, G. [Recenzent] ; Martins, B. [Recenzent] ; Portuguese Conference on Artificial Intelligence, 21 [31.08.2022-02.09.2022, Lisabon, Portugalsko]. – text. – [angličtina]. – [OV 160]. – [ŠO 2508]. – [príspevok z podujatia]. – DOI 10.1007/978-3-031-16474-3_32. – WOS CC ; SCO In: Lecture Notes in Computer Science (including subseries Lecture Notes in Artificial Intelligence and Lecture Notes in Bioinformatics) (13566) [textový dokument (print)] / [bez zostavovateľa] [Zostavovateľ, editor]. – 1. vyd. – Berlín (Nemecko) : Springer Nature, 2022. – ISBN 978-30-3116-473-6. – ISSN 0302-9743, s. 387-398 [tlačená forma] [online] </t>
  </si>
  <si>
    <t xml:space="preserve">Vnímanie celebrity odporúčateľov súčasným spotrebiteľom = Perception of Celebrity Endorser by Current Consumer / Dobiašová, Veronika [Autor, UKFFFAKMR, 100%] ; Quo vadis 2021 : Masmédia a marketing 20. rokov 21. storočia - nová éra, nové výzvy [08.04.2021, Trnava, Slovensko]. – text. – [slovenčina]. – [OV 020]. – [ŠO 7205]. – [príspevok z podujatia] In: Quo vadis marketing [elektronický dokument] : zborník z vedeckej konferencie doktorandov a mladých vedeckých pracovníkov Quo vadis massmedia &amp; marketing organizovanou Fakultou masmediálnej komunikácie UCM v Trnave / Jurišová, Vladimíra [Zostavovateľ, editor] ; Franić, Dáša [Zostavovateľ, editor] ; Urmínová, Marianna [Zostavovateľ, editor] ; Madleňák, Adam [Recenzent] ; Martovič, Matej [Recenzent]. – 1. vyd. – Trnava (Slovensko) : Univerzita sv. Cyrila a Metoda v Trnave. Fakulta masmediálnej komunikácie, 2021. – ISBN (online) 978-80-572-0196-0, s. 250-261 [online] </t>
  </si>
  <si>
    <t xml:space="preserve">Von der Rezonanz zur Existenz : Der Baum in Musik / Fuják, Július [Autor, UKFFFAKMK, 100%]. – text. – [nemčina]. – [OV 020]. – [ŠO 8202]. – [príspevok] In: Grow. Der Baum in der Kunst [textový dokument (print)] / Rollig, Stella [Zostavovateľ, editor] ; Haľák, Miroslav [Zostavovateľ, editor] ; Gerát, Ivan [Recenzent]. – 1. vyd. – Kolín (Nemecko) : Buchhandlung Walther König, 2022. – ISBN 978-3-903327-31-3, s. 108-117 [0,6 AH] </t>
  </si>
  <si>
    <t xml:space="preserve">Vplyv expanzie ryšavky tmavopásej na spoločenstvá drobných cicavcov = Impact of the striped field mouse range expansion on native small mammal / Jánošíková, Radoslava [Autor, UKFFPVKEE, 20%] ; Tulis, Filip [Autor, UKFFPVKEE, 16%] ; Ševčík, Michal [Autor, UKFFPVKEE, 16%] ; Baláž, Ivan [Autor, UKFFPVKEE, 16%] ; Šimunová, Lucia [Autor, 16%] ; Ambros, Michal [Autor, UKFFPVKEE, 16%] ; Študentská vedecká konferencia 2022 [06.04.2022, Nitra, Slovensko]. – text. – [slovenčina]. – [OV 100]. – [ŠO 1610]. – [príspevok z podujatia] In: Študentská vedecká konferencia 2022 [elektronický dokument] : zborník recenzovaných príspevkov / Spišiak, Ján [Zostavovateľ, editor] ; Račáková, Slavka [Zostavovateľ, editor] ; Voštinár, Patrik [Recenzent] ; Vagač, Michal [Recenzent]. – 1. vyd. – Banská Bystrica (Slovensko) : Univerzita Mateja Bela v Banskej Bystrici, 2022. – ISBN 978-80-557-1984-9, s. 28-34 [online] </t>
  </si>
  <si>
    <t xml:space="preserve">Vplyv fyzickej aktivity na exekutívne funkcie u žiakov v adolescencii = Influence of physical activity on executive function in adolescent students / Jančovičová, Romana [Autor, 50%] ; Krause, Robert [Autor, UKFPFAKAP, 50%]. – text. – [slovenčina]. – [OV 010]. – [ŠO 7605]. – [príspevok] In: Konvergencie vedeckej činnosti študentov a učiteľov 3 [textový dokument (print)] / Verešová, Marcela [Zostavovateľ, editor] ; Valihorová, Marta [Recenzent] ; Pavelová, Ľuba [Recenzent]. – 1. vyd. – Nitra (Slovensko) : Univerzita Konštantína Filozofa v Nitre, 2022. – ISBN 978-80-558-1902-0, s. 134-143 [tlačená forma] </t>
  </si>
  <si>
    <t xml:space="preserve">Vplyv osvetlenia na edukačné prostredie triedy / Tureková, Ivana [Autor, UKFPFAKTT, 34%] ; Harangozó, Jozef [Autor, UKFPFAKTT, 33%] ; Marková, Iveta [Autor, ZUZFBIPŽI, 33%] ; Bezpečnost a ochrana zdraví při práci 2022, 22 [27.04.2022-28.04.2022, Ostravice, Česko]. – [slovenčina]. – [OV 010]. – [ŠO 7605]. – [abstrakt z podujatia - KP]. – [recenzované] In: Bezpečnost a ochrana zdraví při práci 2022 [elektronický dokument] : recenzovaný sborník abstraktů XXII. ročníku mezinárodní konference : 27. - 28. duben 2022 / Bernatík, Aleš [Zostavovateľ, editor]. – 1 vyd. – Ostrava (Česko) : Sdružení požárního a bezpečnostního inženýrství, 2022. – ISSN 978-80-7385-255-9, s. 45-48 [online] </t>
  </si>
  <si>
    <t xml:space="preserve">Vplyv rýchlostno-silového zaťaženia na zmeny karate agility u slovenských reprezentantov v karate / Czaková, Monika [Autor, UKFPFAKTV, 34%] ; Dvořáčková, Natália [Autor, UKFPFAKTV, 33%] ; Broďáni, Jaroslav [Autor, UKFPFAKTV, 33%]. – text. – [slovenčina]. – [OV 210]. – [ŠO 7418]. – [príspevok] In: Šport a rekreácia 2022 (Recenzovaný nekonferenčný zborník vedecko-výskumných a odborných prác, zameraný na prezentáciu poznatkov v oblasti športu, telesnej výchovy, diagnostiky, zdravia, rekreácie, cestovného ruchu, regenerácie, manažmentu, atď.) [textový dokument (print)] [elektronický dokument] : zborník vedeckých prác / Broďáni, Jaroslav [Zostavovateľ, editor] ; Czaková, Monika [Zostavovateľ, editor] ; Bartík, Pavol [Recenzent] ; Šimonek, Jaromír [Recenzent] ; Kanásová, Janka [Recenzent] ; Halmová, Nora [Recenzent] ; Broďáni, Jaroslav [Recenzent] ; Horička, Pavol [Recenzent] ; Divinec, Lenka [Recenzent] ; Czaková, Natália [Recenzent] ; Vašková, Monika [Recenzent] ; Kraček, Stanislav [Recenzent]. – 1. vyd. – Roč. 12. – Nitra (Slovensko) : Univerzita Konštantína Filozofa v Nitre. Pedagogická fakulta UKF. Katedra telesnej výchovy a športu, 2022. – ISBN 978-80-558-1905-1, s. 114-123 [tlačená forma] [online] </t>
  </si>
  <si>
    <t xml:space="preserve">Vplyv sociálnych sietí na osamelosť adolescentov = The influence of social networking sites on loneliness of adolescents / Škundová, Andrea [Autor, 50%] ; Rapsová, Lucia [Autor, UKFPFAKPE, 50%]. – text. – [slovenčina]. – [OV 010]. – [ŠO 7605]. – [príspevok] In: Konvergencie vedeckej činnosti študentov a učiteľov 3 [textový dokument (print)] / Verešová, Marcela [Zostavovateľ, editor] ; Valihorová, Marta [Recenzent] ; Pavelová, Ľuba [Recenzent]. – 1. vyd. – Nitra (Slovensko) : Univerzita Konštantína Filozofa v Nitre, 2022. – ISBN 978-80-558-1902-0, s. 153-171 [tlačená forma] </t>
  </si>
  <si>
    <t xml:space="preserve">Vplyv tréningu podmieňovania na prežívanú úzkosť adolescentov = Influence of conditioning training on experienced anxiety of adolescents / Kubičár, Samuel [Autor, 50%] ; Krause, Robert [Autor, UKFPFAKAP, 50%]. – text. – [slovenčina]. – [OV 010]. – [ŠO 7605]. – [príspevok] In: Konvergencie vedeckej činnosti študentov a učiteľov 3 [textový dokument (print)] / Verešová, Marcela [Zostavovateľ, editor] ; Valihorová, Marta [Recenzent] ; Pavelová, Ľuba [Recenzent]. – 1. vyd. – Nitra (Slovensko) : Univerzita Konštantína Filozofa v Nitre, 2022. – ISBN 978-80-558-1902-0, s. 144-152 [tlačená forma] </t>
  </si>
  <si>
    <t xml:space="preserve">Východiská riešenia problematiky profesijného rozvoja pedagogických zamestnancov s akcentom na učiteľov slovenského jazyka a literatúry / Onušková, Mária [Autor, UKFPFAKPE, 100%] ; Juvenilia Paedagogica 2022, 12 [11.02.2022, Trnava, Slovensko]. – text. – [slovenčina]. – [OV 010]. – [ŠO 7605]. – [príspevok z podujatia]. – [recenzované] In: Juvenilia Paedagogica 2022 [elektronický dokument] : aktuálne teoretické a výskumné otázky pedagogiky v konceptoch dizertačných prác doktorandov  : z konferencie s medzinárodnou účasťou konanej dňa 11.02.2022 pod záštitou dekanky Pedagogickej fakulty : zborník príspevkov / Rajský, Andrej [Zostavovateľ, editor]. – 1. vyd. – Trnava (Slovensko) : Trnavská univerzita v Trnave. Pedagogická fakulta. Katedra pedagogických štúdií, 2022. – ISBN 978-80-568-0503-9. – TUTPFKPS signatúra E092575, s. 149-153 [CD-ROM] </t>
  </si>
  <si>
    <t xml:space="preserve">Výchova k zdraviu a zdravému životnému štýlu na Ústave pre vzdelávanie pedagógov FSŠ UKF v Nitre / Juríková, Tünde [Autor, UKFFSSUVP, 20%] ; Fatrcová Šramková, Katarína [Autor, SPUFAP33, 20%] ; Balla, Štefan [Autor, UKFFSSUVP, 20%] ; Szekeres, Ladislav [Autor, UKFFSSUVP, 20%] ; Lehoťáková, Eva [Autor, UKFFSSUVP, 20%] ; EDUCO 2022, 17 [16.05.2022, Zlín, Česko]. – text. – [slovenčina]. – [OV 010, 190]. – [ŠO 7605, 4190, 1536]. – [príspevok z podujatia]. – [recenzované] In: EDUCO 2022 [textový dokument (print)] [elektronický dokument] : didaktické a environmentální aspekty přípravy učitelů přírodovědných, zemědělských a příbuzných oborů v kontextu strategie evropského vzdělávání / Dytrtová, Radmila [Zostavovateľ, editor] ; Jirsáková, Jitka [Zostavovateľ, editor] ; Sandanusová, Anna [Zostavovateľ, editor] ; Karabacak, Eda [Zostavovateľ, editor]. – 1. vyd. – Praha (Česko) : Česká zemědelská univerzita v Praze, 2022. – ISBN 978-80-213-3194-5, s. 69-76 [tlačená forma] </t>
  </si>
  <si>
    <t xml:space="preserve">Výchova v čase neistoty : inšpirácie z Tomáša Akvinského / Blaščíková, Andrea [Autor, UKFFFAUKD, 100%]. – text. – [slovenčina]. – [OV 010]. – [ŠO 7605]. – [príspevok] In: Nejistota ve filosofické, speciálněpedagogické a psychologické reflexi [textový dokument (print)] : inkluzivní škola / Pelcová, Naděžda [Zostavovateľ, editor] ; Květoňová, Lea [Zostavovateľ, editor] ; Vítková, Marie [Recenzent] ; Prokešová, Miriam [Recenzent]. – 1. vyd. – Praha (Česko) : Univerzita Karlova v Praze, 2022. – ISBN 978-80-7603-332-0, s. 67-75 [tlačená forma] </t>
  </si>
  <si>
    <t xml:space="preserve">Výskum krajiny v okolí Nitrianskeho Pravna s akcentom na stredoveké baníctvo / Žabenský, Marián [Autor, UKFFFAKMK, 100%] ; História, súčasnosť a budúcnosť baníctva a geológie, 32 [29.09.2022-30.09.2022, Demänovská dolina, Slovensko]. – text. – [slovenčina]. – [OV 030]. – [ŠO 8110]. – [príspevok z podujatia]. – [recenzované] In: História, súčasnosť a budúcnosť baníctva a geológie [textový dokument (print)] : zborník prednáok z 32. medzinárodnej konferencie / Širila, Jozef [Zostavovateľ, editor]. – 1. vyd. – Banská Bystrica (Slovensko) : Zväz slovenských vedeckotechnických spoločností. Slovenská banícka spoločnosť, 2022. – ISBN 978-80-970521-9-5, s. 79-102 [CD-ROM] </t>
  </si>
  <si>
    <t xml:space="preserve">Výučba cudzieho jazyka pre potreby využitia v lektorskom výklade a tvorby informačných  materiálov vo vybraných expozíciách ľudovej architektúry / Molnárová, Andrea [Autor, UKFFFAKMK, 50%] ; Záhumenská, Lucia [Autor, UKFFFAKMK, 50%]. – text. – [slovenčina]. – [OV 020]. – [ŠO 6213]. – [príspevok] In: Interkultúrna komunikácia vo výučbe odborného cudzieho jazyka [elektronický dokument] / Dančišinová, Lucia [Zostavovateľ, editor] ; Kozárová, Irina [Zostavovateľ, editor] ; Vaňková, Ingrida [Recenzent] ; Maťková, Svetlana [Recenzent]. – 1. vyd. – Prešov (Slovensko) : Prešovská univerzita v Prešove, 2022. – ISBN (online) 978-80-555-2975-2. – SIGN-PU FM-22 110/22, s. 122-140 [online] </t>
  </si>
  <si>
    <t xml:space="preserve">Výučba materinského jazyka (slohovej zložky) na strednej škole na Slovensku a dolnozemských Slovákov / Hlavatá, Renáta [Autor, UKFFFASJL, 100%] ; Úloha slovenských stredných škôl v živote dolnozemských Slovákov [10.09.2021-11.09.2021, Nadlak, Rumunsko]. – text. – [slovenčina]. – [OV 010]. – [ŠO 7605]. – [príspevok z podujatia] In: Úloha slovenských stredných škôl v živote dolnozemských Slovákov [textový dokument (print)] : zborník prijatých prác na rovnomennú medzinárodnú konferenciu v Nadlaku 10. - 11. septembra 2021 / Babiak, Michal [Zostavovateľ, editor] ; Hlásnik, Pavel [Zostavovateľ, editor] ; Šomráková, Ľudmila [Zostavovateľ, editor] ; Unc, Bianca [Zostavovateľ, editor] ; Lenovský, Ladislav [Recenzent] ; Hlásnik, Pavel [Recenzent] ; Unc, Bianca [Recenzent]. – 1. vyd. – Nadlak (Rumunsko) : Vydavateľstvo - Editura Ivan Krasko, 2021. – ISBN 978-973-107-187-9, s. 223-232 [tlačená forma] </t>
  </si>
  <si>
    <t xml:space="preserve">Vyučovacie štýly a analytické myslenie učiteľov v pregraduálnej príprave a v praxi = Teaching style and analytic thinking of pre-service and in-service teachers / Haváčová, Lucia [Autor, 50%] ; Ballová Mikušková, Eva [Autor, UKFPFAKAP, 50%]. – text. – [slovenčina]. – [OV 010]. – [ŠO 7701]. – [príspevok] In: Konvergencie vedeckej činnosti študentov a učiteľov 3 [textový dokument (print)] / Verešová, Marcela [Zostavovateľ, editor] ; Valihorová, Marta [Recenzent] ; Pavelová, Ľuba [Recenzent]. – 1. vyd. – Nitra (Slovensko) : Univerzita Konštantína Filozofa v Nitre, 2022. – ISBN 978-80-558-1902-0, s. 50-59 [tlačená forma] </t>
  </si>
  <si>
    <t xml:space="preserve">Využitie prvkov tanečno-pohybovej terapie v inkluzívnej triede bežnej základnej školy / Sender, Barbora [Autor, UKFPFAKPE, 100%]. – text. – [slovenčina]. – [OV 010]. – [ŠO 7605]. – [príspevok] In: Žiak, pohyb, edukácia [elektronický dokument] : vedecký zborník 2022 / Merica, Marián [Zostavovateľ, editor] ; Belešová, Mária [Zostavovateľ, editor] ; Skrypko, Anatol [Recenzent] ; Görner, Karol [Recenzent]. – 1. vyd. – Bratislava (Slovensko) : Univerzita Komenského v Bratislave, 2022. – ISBN (online) 978-80-223-5471-4. – SIGN-UKO PD PP/22, s. 155-160 [CD-ROM] </t>
  </si>
  <si>
    <t xml:space="preserve">Využitie tutoriálnych videí v online výučbe 3D grafiky / Šteflovičová, Kristína [Autor, UKFFPVKIN, 100%] ; Študentská vedecká konferencia 2022 [06.04.2022, Nitra, Slovensko]. – text. – [slovenčina]. – [OV 160]. – [ŠO 2508]. – [príspevok z podujatia] In: Študentská vedecká konferencia 2022 [elektronický dokument] : zborník recenzovaných príspevkov / Spišiak, Ján [Zostavovateľ, editor] ; Račáková, Slavka [Zostavovateľ, editor] ; Voštinár, Patrik [Recenzent] ; Vagač, Michal [Recenzent]. – 1. vyd. – Banská Bystrica (Slovensko) : Univerzita Mateja Bela v Banskej Bystrici, 2022. – ISBN 978-80-557-1984-9, s. 251-257 [online] </t>
  </si>
  <si>
    <t xml:space="preserve">Význam zaradenia matematických prechádzok do vyučovania matematiky = Advocating of including the math trails in mathematics education / Haringová, Silvia [Autor, UKFFPVKIN, 100%] ; Študentská vedecká konferencia 2022 [06.04.2022, Nitra, Slovensko]. – text. – [slovenčina]. – [OV 010]. – [ŠO 7605]. – [príspevok z podujatia] In: Študentská vedecká konferencia 2022 [elektronický dokument] : zborník recenzovaných príspevkov / Spišiak, Ján [Zostavovateľ, editor] ; Račáková, Slavka [Zostavovateľ, editor] ; Voštinár, Patrik [Recenzent] ; Vagač, Michal [Recenzent]. – 1. vyd. – Banská Bystrica (Slovensko) : Univerzita Mateja Bela v Banskej Bystrici, 2022. – ISBN 978-80-557-1984-9, s. 401-406 [online] </t>
  </si>
  <si>
    <t xml:space="preserve">Vzdelanie rodičov a školský prospech žiaka / Gužiková, Libuša [Autor, UKFPFAKPE, 100%] ; Juvenilia Paedagogica 2022, 12 [11.02.2022, Trnava, Slovensko]. – text. – [slovenčina]. – [OV 010]. – [ŠO 7605]. – [príspevok z podujatia]. – [recenzované] In: Juvenilia Paedagogica 2022 [elektronický dokument] : aktuálne teoretické a výskumné otázky pedagogiky v konceptoch dizertačných prác doktorandov  : z konferencie s medzinárodnou účasťou konanej dňa 11.02.2022 pod záštitou dekanky Pedagogickej fakulty : zborník príspevkov / Rajský, Andrej [Zostavovateľ, editor]. – 1. vyd. – Trnava (Slovensko) : Trnavská univerzita v Trnave. Pedagogická fakulta. Katedra pedagogických štúdií, 2022. – ISBN 978-80-568-0503-9. – TUTPFKPS signatúra E092575, s. 41-51 [CD-ROM] </t>
  </si>
  <si>
    <t xml:space="preserve">Vzdelávacie potreby učiteľov slovenského jazyka a literatúry s dôrazom na slovenský jazyk ako druhý jazyk v intenciách profesijného vzdelávania / Onušková, Mária [Autor, UKFPFAKPE, 100%] ; EDUCA 17, 17 [05.05.2022, Nitra, Slovensko]. – text. – [slovenčina]. – [OV 010]. – [ŠO 7605]. – [abstrakt z podujatia - KP] In: EDUCA 17 [elektronický dokument] : vzdelanie - cesta pre všetkých. Zborník z vedeckej konferencie doktorandov s medzinárodnou účasťou, Nitra 5.5.2022 / Bielčiková, Kristína [Zostavovateľ, editor] ; Janíček Pavelová, Monika [Zostavovateľ, editor] ; Židová, Monika [Zostavovateľ, editor] ; Krystoň, Miroslav [Recenzent] ; Petlák, Erich [Recenzent]. – 1. vyd. – Nitra (Slovensko) : Univerzita Konštantína Filozofa v Nitre, 2022. – ISBN 978-80-558-1943-3, s. 109-109 [online] </t>
  </si>
  <si>
    <t xml:space="preserve">Vzdelávanie počas 3. vlny pandémie covid-19 na SPU v Nitre / Fatrcová Šramková, Katarína [Autor, SPUFAP33, 50%] ; Juríková, Tünde [Autor, UKFFSSUVP, 50%] ; EDUCO 2022, 17 [16.05.2022, Zlín, Česko]. – text. – [slovenčina]. – [OV 010, 190]. – [ŠO 7605, 4190, 1536]. – [príspevok z podujatia]. – [recenzované] In: EDUCO 2022 [textový dokument (print)] [elektronický dokument] : didaktické a environmentální aspekty přípravy učitelů přírodovědných, zemědělských a příbuzných oborů v kontextu strategie evropského vzdělávání / Dytrtová, Radmila [Zostavovateľ, editor] ; Jirsáková, Jitka [Zostavovateľ, editor] ; Sandanusová, Anna [Zostavovateľ, editor] ; Karabacak, Eda [Zostavovateľ, editor]. – 1. vyd. – Praha (Česko) : Česká zemědelská univerzita v Praze, 2022. – ISBN 978-80-213-3194-5, s. 38-47 [tlačená forma] </t>
  </si>
  <si>
    <t xml:space="preserve">Vzdelávanie počas 3. vlny pandémie covid-19 na UKF v Nitre / Fatrcová Šramková, Katarína [Autor, SPUFAP33, 50%] ; Juríková, Tünde [Autor, UKFFSSUVP, 50%] ; EDUCO 2022, 17 [16.05.2022, Zlín, Česko]. – text. – [slovenčina]. – [OV 010, 190]. – [ŠO 1536, 7605, 4190]. – [príspevok z podujatia]. – [recenzované] In: EDUCO 2022 [textový dokument (print)] [elektronický dokument] : didaktické a environmentální aspekty přípravy učitelů přírodovědných, zemědělských a příbuzných oborů v kontextu strategie evropského vzdělávání / Dytrtová, Radmila [Zostavovateľ, editor] ; Jirsáková, Jitka [Zostavovateľ, editor] ; Sandanusová, Anna [Zostavovateľ, editor] ; Karabacak, Eda [Zostavovateľ, editor]. – 1. vyd. – Praha (Česko) : Česká zemědelská univerzita v Praze, 2022. – ISBN 978-80-213-3194-5, s. 16-25 [tlačená forma] </t>
  </si>
  <si>
    <t xml:space="preserve">Vzdelávanie počas pandémie COVID-19 na SPU v Nitre = Education during the COVID-19 pandemic at SAU in Nitra / Fatrcová Šramková, Katarína [Autor, SPUFAP33, 50%] ; Juríková, Tünde [Autor, UKFFSSUVP, 50%] ; EDUCO 2021, 16 [24.06.2021, [s.l.], Virtuálny priestor]. – text. – [slovenčina]. – [OV 010, 190]. – [ŠO 7605, 4190]. – [príspevok] In: Skvalitňovanie prípravy budúcich učiteľov prírodovedných, poľnohospodárskych a príbuzných odborov [elektronický dokument] / Sandanusová, Anna [Zostavovateľ, editor] ; Dytrtová, Radmila [Zostavovateľ, editor] ; Morovič, Martin [Recenzent] ; Švecová, Milada [Recenzent] ; Vondráková, Mária [Recenzent]. – 1. vyd. – Nitra (Slovensko) : Univerzita Konštantína Filozofa v Nitre, 2021. – ISBN 978-80-558-1865-8, s. 33-41 [online] </t>
  </si>
  <si>
    <t xml:space="preserve">Vzdelávanie počas pandémie COVID-19 na UKF v Nitre = Education during the COVID-19 pandemic at CPU in Nitra / Juríková, Tünde [Autor, UKFFSSUVP, 50%] ; Fatrcová Šramková, Katarína [Autor, SPUFAP33, 50%] ; EDUCO, 14 [28.03.2021-30.03.2021, Tatranská Štrba, Slovensko]. – text. – [slovenčina]. – [OV 010, 190]. – [ŠO 7605, 4190]. – [príspevok] In: Skvalitňovanie prípravy budúcich učiteľov prírodovedných, poľnohospodárskych a príbuzných odborov [elektronický dokument] / Sandanusová, Anna [Zostavovateľ, editor] ; Dytrtová, Radmila [Zostavovateľ, editor] ; Morovič, Martin [Recenzent] ; Švecová, Milada [Recenzent] ; Vondráková, Mária [Recenzent]. – 1. vyd. – Nitra (Slovensko) : Univerzita Konštantína Filozofa v Nitre, 2021. – ISBN 978-80-558-1865-8, s. 25-32 [online] </t>
  </si>
  <si>
    <t xml:space="preserve">Vzťah exekutívnych funkcií a kariérového rozhodnutia žiakov = Relationship between pupils executive functions and career decision-making / Dragulová, Eva [Autor, 50%] ; Gatial, Viktor [Autor, UKFPFAKAP, 50%]. – text. – [slovenčina]. – [OV 010]. – [ŠO 7605]. – [príspevok] In: Konvergencie vedeckej činnosti študentov a učiteľov 3 [textový dokument (print)] / Verešová, Marcela [Zostavovateľ, editor] ; Valihorová, Marta [Recenzent] ; Pavelová, Ľuba [Recenzent]. – 1. vyd. – Nitra (Slovensko) : Univerzita Konštantína Filozofa v Nitre, 2022. – ISBN 978-80-558-1902-0, s. 184-195 [tlačená forma] </t>
  </si>
  <si>
    <t xml:space="preserve">Vzťah vedeckého myslenia a profesijných kompetencií študentov učiteľstva a učiteľov v praxi = Relationship between scientific reasoning and professional competencies of teachers in pregradual education and practise / Tomačeková, Alexandra [Autor, 50%] ; Ballová Mikušková, Eva [Autor, UKFPFAKAP, 50%]. – text. – [slovenčina]. – [OV 010]. – [ŠO 7701]. – [príspevok] In: Konvergencie vedeckej činnosti študentov a učiteľov 3 [textový dokument (print)] / Verešová, Marcela [Zostavovateľ, editor] ; Valihorová, Marta [Recenzent] ; Pavelová, Ľuba [Recenzent]. – 1. vyd. – Nitra (Slovensko) : Univerzita Konštantína Filozofa v Nitre, 2022. – ISBN 978-80-558-1902-0, s. 39-49 [tlačená forma] </t>
  </si>
  <si>
    <t xml:space="preserve">Waste as an innovative educational topic during the pandemic covid 19 in chemistry for pupils on the 7th grade of primary school = Odpady ako inovatívna edukačná téma počas pandémie vo vyučovacom predmete chémia pre žiakov 7. roč. základnej školy / Feszterová, Melánia [Autor, UKFFPVKCH, 100%]. – text. – [angličtina]. – [OV 010]. – [ŠO 7605]. – [príspevok] In: Edukacja w dobie pandemii / Sałata, Elżbieta [Zostavovateľ, editor] ; Bojanowicz, Justyna [Zostavovateľ, editor] ; Depešová, Jana [Recenzent] ; Jakimiuk, Beata [Recenzent]. – 1. vyd. – Radom (Poľsko) : Uniwersytet Technologiczno-Humanistyczny im. Kazimierza Pułaskiego w Radomiu, 2022. – ISBN 978-83-7351-948-0. – ISSN 1642-5278, s. 129-156 </t>
  </si>
  <si>
    <t xml:space="preserve">We also remain active online: Solving global waste problems by secondary school students / Pucherová, Zuzana [Autor, UKFFPVKEE, 40%] ; Szabová, Lucia [Autor, UKFFPVKEE, 20%] ; Jakab, Imrich [Autor, UKFFPVKEE, 40%] ; European Conference on e-Learning, 20 [28.10.2021-29.10.2021, Berlin, Nemecko]. – [angličtina]. – [OV 100]. – [ŠO 1536]. – [príspevok z podujatia]. – WOS CC ; SCO In: ECEL 2021 [elektronický dokument] : 20th European Conference on e-Learning, online conference / [bez zostavovateľa] [Zostavovateľ, editor]. – 1. vyd. – Berlín (Nemecko) : University of Applied Sciences HTW, 2022. – ISBN 9781914587191. – ISSN 2048-8637, s. 379-386 [online] </t>
  </si>
  <si>
    <t xml:space="preserve">Websites for more Effective Digital Teaching and Learning in Higher Education / Radics, Rudolf [Autor, UKFFSSUML, 100%] ; International Technology, Education and Development Conference 2022, 16 [07.03.2022-08.03.2022, Valencia, Španielsko]. – text. – [angličtina]. – [OV 010]. – [ŠO 7605]. – [príspevok z podujatia]. – [recenzované]. – DOI 10.21125/inted.2021.0348 In: INTED2021 [textový dokument (print)] [elektronický dokument] : 15th International Technology, Education and Development Conference : conference proceedings / Chova, Luis Goméz [Zostavovateľ, editor] ; López Martínez, Agustín [Zostavovateľ, editor] ; Candel Torres, Ignacio [Zostavovateľ, editor]. – 1. vyd. – Valencia (Španielsko) : IATED, 2021. – (INTED Proceedings, ISSN 2340-1079). – ISBN 978-84-09-27666-0. – ISSN 2340-1079, s. 1508-1512 [online] </t>
  </si>
  <si>
    <t xml:space="preserve">Why do we believe weird things? Recent trends in cognitive failures research in Slovakia / Kurincová Čavojová, Vladimíra [Autor, UKFPFAKAP, 80%] ; Brezina, Ivan [Autor, 20%] ; ICERI 2019, 12 [11.11.2019-13.11.2019, Seville, Španielsko]. – text. – [angličtina]. – [OV 010]. – [ŠO 7605]. – [príspevok z podujatia]. – [recenzované]. – WOS CC In: ICERI2019 Proceedings [elektronický dokument] : 12th International conference of education, research and innovation / Gómez Chova, Luis [Zostavovateľ, editor] ; López Martínez, Agustín [Zostavovateľ, editor] ; Candel Torres, Ignacio [Zostavovateľ, editor]. – 1. vyd. – Valencia (Španielsko) : IATED, 2019. – ISBN 978-84-09-14755-7. – ISSN 2340-1095, 2267-2276 [USB kľúč] </t>
  </si>
  <si>
    <t xml:space="preserve">Wolność jako podstawowy składnik godności ludzkiej - elementy teorii i empirii / Štefaňak, Ondrej [Autor, UKFFFAKSO, 100%] ; Globalne konteksty poszanowania praw i wolności człowieka, 14 [10.12.2021, Gliwice, Poľsko]. – text. – [poľština]. – [OV 060]. – [ŠO 6115]. – [príspevok z podujatia] In: Globalne konteksty poszanowania praw i wolności człowieka [textový dokument (print)] : 14. Międzynarodowa Konferencja Naukowa, Gliwice, 10 grudnia 2021r. / Kuzior, Aleksandra [Zostavovateľ, editor] ; Tkachenko, Iryna [Recenzent] ; Luchakivska, Ivanna [Recenzent]. – 1. vyd. – Gliwice (Poľsko) : Wydawnictwo Politechniki Śląskiej, 2021. – ISBN 978-83-7880-798-8, s. 161-169 [tlačená forma] </t>
  </si>
  <si>
    <t xml:space="preserve">Záujem žien o bojové umenia na Slovensku / Paška, Ľubomír [Autor, UKFPFAKTV, 34%] ; Czaková, Monika [Autor, UKFPFAKTV, 33%] ; Elexa, Adam [Autor, 33%]. – text. – [slovenčina]. – [OV 210]. – [ŠO 7418]. – [príspevok] In: Šport a rekreácia 2022 (Recenzovaný nekonferenčný zborník vedecko-výskumných a odborných prác, zameraný na prezentáciu poznatkov v oblasti športu, telesnej výchovy, diagnostiky, zdravia, rekreácie, cestovného ruchu, regenerácie, manažmentu, atď.) [textový dokument (print)] [elektronický dokument] : zborník vedeckých prác / Broďáni, Jaroslav [Zostavovateľ, editor] ; Czaková, Monika [Zostavovateľ, editor] ; Bartík, Pavol [Recenzent] ; Šimonek, Jaromír [Recenzent] ; Kanásová, Janka [Recenzent] ; Halmová, Nora [Recenzent] ; Broďáni, Jaroslav [Recenzent] ; Horička, Pavol [Recenzent] ; Divinec, Lenka [Recenzent] ; Czaková, Natália [Recenzent] ; Vašková, Monika [Recenzent] ; Kraček, Stanislav [Recenzent]. – 1. vyd. – Roč. 12. – Nitra (Slovensko) : Univerzita Konštantína Filozofa v Nitre. Pedagogická fakulta UKF. Katedra telesnej výchovy a športu, 2022. – ISBN 978-80-558-1905-1, s. 28-34 [tlačená forma] [online] </t>
  </si>
  <si>
    <t xml:space="preserve">Zdravotná starostlivosť v kontexte kvality života v meste Nitra pred pandémiou Covid-19 / Vilinová, Katarína [Autor, UKFFPVKGR, 100%] ; Mezinárodní kolokvium o regionálních vědách, 25 [22.06.2022-24.06.2022, Brno, Česko]. – text. – [slovenčina]. – [OV 092]. – [ŠO 1217]. – [príspevok z podujatia]. – [recenzované]. – DOI 10.5817/CZ.MUNI.P280-0068-2022-36 In: 25. Mezinárodní kolokvium o regionálních vědách [elektronický dokument] : sborník příspěvků Brno 22.-24.6.2022 / Klímová, Viktorie [Zostavovateľ, editor] ; Žítek, Vladimír [Zostavovateľ, editor]. – 1. vyd. – Roč. 25. – Brno (Česko) : Masarykova univerzita, 2022. – ISBN 978-80-280-0068-4, s. 296-303 [CD-ROM] </t>
  </si>
  <si>
    <t xml:space="preserve">Zdravotná telesná výchova a jej výučba na vybraných základných školách / Kanásová, Janka [Autor, UKFPFAKTV, 80%] ; Kubirita, Martin [Autor, 20%]. – text. – [slovenčina]. – [OV 210]. – [ŠO 7418]. – [príspevok] In: Šport a rekreácia 2022 (Recenzovaný nekonferenčný zborník vedecko-výskumných a odborných prác, zameraný na prezentáciu poznatkov v oblasti športu, telesnej výchovy, diagnostiky, zdravia, rekreácie, cestovného ruchu, regenerácie, manažmentu, atď.) [textový dokument (print)] [elektronický dokument] : zborník vedeckých prác / Broďáni, Jaroslav [Zostavovateľ, editor] ; Czaková, Monika [Zostavovateľ, editor] ; Bartík, Pavol [Recenzent] ; Šimonek, Jaromír [Recenzent] ; Kanásová, Janka [Recenzent] ; Halmová, Nora [Recenzent] ; Broďáni, Jaroslav [Recenzent] ; Horička, Pavol [Recenzent] ; Divinec, Lenka [Recenzent] ; Czaková, Natália [Recenzent] ; Vašková, Monika [Recenzent] ; Kraček, Stanislav [Recenzent]. – 1. vyd. – Roč. 12. – Nitra (Slovensko) : Univerzita Konštantína Filozofa v Nitre. Pedagogická fakulta UKF. Katedra telesnej výchovy a športu, 2022. – ISBN 978-80-558-1905-1, s. 103-113 [tlačená forma] [online] </t>
  </si>
  <si>
    <t xml:space="preserve">Zmeny v rozšírení ryšavky tmavopásej (Apodemus agrarius) na Slovensku / Jánošíková, Radoslava [Autor, UKFFPVKEE, 15%] ; Kamenišťák, Jakub [Autor, UKFFPVKEE, 10%] ; Košša, Jakub [Autor, UKFFPVKEE, 15%] ; Poláčiková, Zuzana [Autor, UKFFPVKZA, 10%] ; Ševčík, Michal [Autor, UKFFPVKEE, 15%] ; Tulis, Filip [Autor, UKFFPVKEE, 20%] ; Baláž, Ivan [Autor, UKFFPVKEE, 15%] ; Zoológia 2022 [17.11.2022-19.11.2022, Smolenice, Slovensko]. – text. – [slovenčina]. – [OV 100]. – [ŠO 1217]. – [abstrakt z podujatia - KP] In: Zborník abstraktov z vedeckého kongresu "Zoológia 2022" [textový dokument (print)] [elektronický dokument] / Fenďa, Peter [Zostavovateľ, editor]. – 1. vyd. – Zvolen (Slovensko) : Technická univerzita vo Zvolene, 2022. – ISBN 978-80-228-3339-4, s. 10-10 [tlačená forma] </t>
  </si>
  <si>
    <t xml:space="preserve">Zmeny v spoločenstvách bĺch drobných cicavcov pozdĺž výškového gradientu v prírodných podmienkach Slovenska / Baláž, Ivan [Autor, UKFFPVKEE, 25%] ; Ševčík, Michal [Autor, UKFFPVKEE, 25%] ; Tulis, Filip [Autor, UKFFPVKEE, 25%] ; Dudich, Alexander [Autor, 25%] ; Zoológia 2022 [17.11.2022-19.11.2022, Smolenice, Slovensko]. – text. – [slovenčina]. – [OV 100]. – [ŠO 1217]. – [abstrakt z podujatia - KP] In: Zborník abstraktov z vedeckého kongresu "Zoológia 2022" [textový dokument (print)] [elektronický dokument] / Fenďa, Peter [Zostavovateľ, editor]. – 1. vyd. – Zvolen (Slovensko) : Technická univerzita vo Zvolene, 2022. – ISBN 978-80-228-3339-4, s. 12-12 [tlačená forma] </t>
  </si>
  <si>
    <t xml:space="preserve">Zmeny v spotrebiteľskom správaní domácich návštevníkov pod vplyvom pandémie Covid 1+9 v marginálnom území = Changes in Consumer Behavior of Domestic visitors under the Influence of the Covid 19 Pandemic in Marginal Areas / Bieliková, Hana [Autor, UKFFSSKCR, 50%] ; Palenčíková, Zuzana [Autor, UKFFSSKCR, 50%] ; Aktuální problémy cestovního ruchu, 16 [02.03.2022-03.03.2022, Jihlava, Česko]. – text. – [slovenčina]. – [OV 080]. – [ŠO 6213]. – [príspevok z podujatia] In: Aktuální problémy cestovního ruchu [elektronický dokument] : krizová řešení pro cestovní ruch. Recenzovaný sborník z mezinárodní konference / Linderová, Ivica [Zostavovateľ, editor]. – 1. vyd. – Jihlava (Česko) : Vysoká škola polytechnická Jihlava, 2022. – ISBN (online) 978-80-88064-57-2, s. 33-43 [online] </t>
  </si>
  <si>
    <t>V3 - Vedecký výstup publikačnej činnosti z časopisu</t>
  </si>
  <si>
    <t xml:space="preserve">"Ezernyolcszáznegyvennyolc, te csillag! / Angyal, Ladislav [Autor, UKFFSSUML, 100%]. – text. – [maďarčina]. – [OV 010]. – [ŠO 7605]. – [článok]. – [recenzované] In: Katedra [elektronický dokument] : szlovákiai magyar pedagógusok és szülők lapja. – Dunajská Streda (Slovensko) : Nadácia Katedra. – ISSN 1335-6445. – ISSN (online) 2729-9066. – Roč. 29, č. 7 (2022), s. 5-5 [tlačená forma] [online] </t>
  </si>
  <si>
    <t xml:space="preserve">“Ancient foreign” policy tools in new cloths = instrumente antice" de politică externă în haine noi / Brhlíková, Radoslava [Autor, UKFFFAKPO, 100%]. – text. – [angličtina]. – [OV 060]. – [ŠO 6718]. – [článok]. – [recenzované] In: Revista Moldovenească de Drept Internaţional şi Relaţii Internaţionale [textový dokument (print)] [elektronický dokument] . – Kišinev (Moldavská republika) : Institutul de Cercetări Juridice, Politice și Sociologice. – ISSN 1857-1999. – ISSN (online) 2345-1963. – Roč. 17, č. 2 (2022), s. 79-89 [tlačená forma] [online] </t>
  </si>
  <si>
    <t xml:space="preserve">„Bagdadban is olyanok a népek, mint Nyárligeten...” Transzkulturális kérdések Csabai László Szindbád, a detektív című kötetében / Radics, Rudolf [Autor, UKFFSSUML, 100%]. – text. – [maďarčina]. – [OV 010]. – [ŠO 7320]. – [článok]. – [recenzované] In: Irodalmi Szemle [textový dokument (print)] [elektronický dokument] : irodalom, kritika, társadalomtudomány. – Bratislava (Slovensko) : Madách-Posonium. – ISSN 1336-5088. – Roč. 65, č. 1 (2022), s. 40-48 [tlačená forma] [online] </t>
  </si>
  <si>
    <t xml:space="preserve">A „hatalmas vonzerővel bíró ideál”, avagy a szabadidő létrejötte és alakulása Csehszlovákiában (is) / Mészárosová, Zuzana [Autor, UKFFFAKFI, 100%]. – text. – [maďarčina]. – [OV 060]. – [ŠO 6115]. – [článok]. – [recenzované] In: Fórum Társadalomtudományi Szemle [textový dokument (print)] . – Šamorín (Slovensko) : Fórum inštitút pre výskum menšín. – ISSN 1335-4361. – Roč. 24, č. 3 (2022), s. 21-39 [tlačená forma] </t>
  </si>
  <si>
    <t xml:space="preserve">A „korai szlovák történelem”  az újabb szlovák szakirodalomban / Pintérová, Beáta [Autor, UKFFFAKHI, 100%]. – text. – [maďarčina]. – [OV 030]. – [ŠO 7115]. – [článok]. – [recenzované] In: Történelmi Szemle [textový dokument (print)] : a Magyar Tudományos Akadémia Történettudományi Intézetének értesítője : az MTA Történettudományi Intézetének folyóirata. – Budapešť (Maďarsko) : Magyar Tudományos Akadémia. Bölcsészettudományi Kutatóközpont. – ISSN 0040-9634. – Roč. 64, č. 1 (2022), s. 41-53 [tlačená forma] </t>
  </si>
  <si>
    <t xml:space="preserve">A human evaluation of English-Slovak machine translation / Munková, Daša [Autor, UKFFFAKTR, 34%] ; Welnitzová, Katarína [Autor, UCMFIFKAAM, 33%] ; Pánisová, Ľudmila [Autor, UKFFFAKTR, 33%]. – text. – [angličtina]. – [OV 020]. – [ŠO 7320]. – [článok]. – [recenzované]. – DOI 10.1080/0907676X.2022.2116989 In: Perspectives [textový dokument (print)] [elektronický dokument] : studies in translation theory and practice. – Abingdon (Veľká Británia) : Taylor &amp; Francis Group. – ISSN 0907-676X. – ISSN (online) 1747-6623. – Roč. 31, č. 3 (2022), s. 1-12 [tlačená forma] [online] </t>
  </si>
  <si>
    <t xml:space="preserve">A Legere-érzés népszerűsítése az oktatás különböző szintjein. Recenzió Petres Csizmadia Gabriella és N. Tóth Anikó Legere - módszertani kézikönyv a modern irodalomtanításhoz c. kötetéről / Radics, Rudolf [Autor, UKFFSSUML, 100%]. – text. – [maďarčina]. – [OV 010]. – [ŠO 7320]. – [článok]. – [recenzované] In: Katedra [elektronický dokument] : szlovákiai magyar pedagógusok és szülők lapja. – Dunajská Streda (Slovensko) : Nadácia Katedra. – ISSN 1335-6445. – ISSN (online) 2729-9066. – Roč. 29, č. 5 (2022), s. 21-24 [tlačená forma] [online] </t>
  </si>
  <si>
    <t xml:space="preserve">A legújabb legrégebbi magyar nyelvemlék / Kozmács, István [Autor, UKFFSSUML, 100%]. – text. – [maďarčina]. – [OV 020]. – [ŠO 7320]. – [článok]. – [recenzované] In: Katedra [elektronický dokument] : szlovákiai magyar pedagógusok és szülők lapja. – Dunajská Streda (Slovensko) : Nadácia Katedra. – ISSN 1335-6445. – ISSN (online) 2729-9066. – Roč. 29, č. 5 (2022), s. 8-9 [tlačená forma] [online] </t>
  </si>
  <si>
    <t xml:space="preserve">A meseregény írói névadásának jellegzetességei = Characteristics of literary namegiving in fairy tale novels / Bárcziová, Žofia [Autor, UKFFSSUML, 30%] ; Petres Csizmadia, Gabriela [Autor, UKFFSSUML, 70%]. – text. – [maďarčina]. – [OV 010]. – [ŠO 7320]. – [článok]. – [recenzované]. – DOI 10.29178/NevtErt.2021.10. – SCO In: Névtani Értesítő [textový dokument (print)] [elektronický dokument] . – Budapešť (Maďarsko) : Magyar nyelvtudományi társaság, Budapešť (Maďarsko) : Eötvös Loránd Tudományegyetem. ELTE Bölcsészettudományi Kar. Magyar Nyelvtudományi és Finnugor Intézet. – ISSN 0139-2190. – ISSN (online) 2064-7484. – Roč. 43 (2021), s. 167-183 [tlačená forma] . – CiteScore: 0,3 ; SJR: 0,101 Scimago - Linguistics and language - Q4 </t>
  </si>
  <si>
    <t xml:space="preserve">A meseregény poétikája : elméleti kiindulópontok / Petres Csizmadia, Gabriela [Autor, UKFFSSUML, 100%]. – text. – [maďarčina]. – [OV 010]. – [ŠO 7605]. – [článok]. – [recenzované] In: Partitúra [textový dokument (print)] : irodalomtudományi folyóirat. – Nitra (Slovensko) : Univerzita Konštantína Filozofa v Nitre. Fakulta stredoeurópskych štúdií. Ústav stredoeurópskych jazykov a kultúr. – ISSN 1336-7307. – Roč. 16, č. 2 (2021), s. 17-52 [tlačená forma] </t>
  </si>
  <si>
    <t xml:space="preserve">A model of subtitling training in university education / Zahorák, Andrej [Autor, UKFFFAKTR, 50%] ; Ukušová, Jana [Autor, UKFFFAKTR, 50%]. – text. – [angličtina]. – [OV 020]. – [ŠO 7320]. – [článok]. – [recenzované]. – DOI 10.2478/jolace-2021-0010. – WOS CC In: Journal of Language and Cultural Education [textový dokument (print)] [elektronický dokument] . – Trnava (Slovensko) : Trnavská univerzita v Trnave. Pedagogická fakulta. – ISSN 1339-4045. – ISSN (online) 1339-4584. – Roč. 9, č. 2 (2021), s. 44-57 [tlačená forma] [online] . – AIS: 0.071 AIS - Education &amp; educational research - Q4 </t>
  </si>
  <si>
    <t xml:space="preserve">A név mint paratextus a műfordítás gyakorlatában = Names as a paratext in the practice of literary translation / Benyovszky, Kristian [Autor, UKFFSSUML, 100%]. – text. – [maďarčina]. – [OV 020]. – [ŠO 7605]. – [článok]. – [recenzované]. – DOI 10.29178/NevtErt.2021.3. – SCO In: Névtani Értesítő [textový dokument (print)] [elektronický dokument] . – Budapešť (Maďarsko) : Magyar nyelvtudományi társaság, Budapešť (Maďarsko) : Eötvös Loránd Tudományegyetem. ELTE Bölcsészettudományi Kar. Magyar Nyelvtudományi és Finnugor Intézet. – ISSN 0139-2190. – ISSN (online) 2064-7484. – Roč. 43 (2021), s. 45-67 [tlačená forma] . – CiteScore: 0,3 ; SJR: 0,101 Scimago - Linguistics and language - Q4 </t>
  </si>
  <si>
    <t xml:space="preserve">A New Window on Interaction: Does Mindfulness Play a Role? / Khonamri, Fatemeh [Autor, 30%] ; Soleimani, Mahsa [Autor, 20%] ; Gadušová, Zdenka [Autor, UKFFFAKAA, 40%] ; Pavera, Libor [Autor, 10%]. – [angličtina]. – [OV 010]. – [ŠO 7605]. – [článok]. – [recenzované]. – DOI 10.15503/jecs2022.2.155.170. – WOS CC In: Journal of education culture and society [elektronický dokument] . – Vroclav (Poľsko) : Fundacja Pro Scientia Publica. – ISSN 2081-1640. – Roč. 13, č. 2 (2022), s. 155-170 [online] </t>
  </si>
  <si>
    <t xml:space="preserve">A postcolonial feminist dystopia: Margaret Atwood’s “Handmaid’s Tale” / Briedik, Adam [Autor, UKFFFAKAA, 100%]. – text. – [angličtina]. – [OV 020]. – [ŠO 8110]. – [článok]. – [recenzované]. – DOI 10.2478/aa-2021-0004. – SCO In: Ars aeterna [textový dokument (print)] [elektronický dokument] : literary Studies and Humanity. – ISSN 1337-9291. – ISSN (online) 2450-8497. – Roč. 13, č. 1 (2021), s. 57-67 [tlačená forma] [online] . – CiteScore: 0,1 ; SJR: 0,108 ; SNIP: 0,103 Scimago - Cultural studies - Q3, Linguistics and language - Q4, Literature and literary theory - Q3 </t>
  </si>
  <si>
    <t xml:space="preserve">A rejtőzködés misztériuma, avagy adalékok aválasztási eredményeihezz MKP és a Most-Híd / Mészárosová, Zuzana [Autor, UKFFFAKPO, 100%]. – text. – [maďarčina]. – [OV 060]. – [ŠO 6115]. – [článok]. – [recenzované] In: Magyar kisebbség [textový dokument (print)] : nemzetpolitikai szemle. – ISSN 1224-2292. – Roč. 25, č. 1-2 (2021), s. 64-83 [tlačená forma] </t>
  </si>
  <si>
    <t xml:space="preserve">A Study of Symbolic Analysis of Electrical Circuits on the Example of a Radio Frequency Filter / Ďuriš, Viliam [Autor, UKFFPVKMA, 34%] ; Zakharova, A.V. [Autor, 33%] ; Chumarov, Sergey [Autor, 33%]. – text. – [angličtina]. – [OV 240]. – [ŠO 1113]. – [článok]. – [recenzované]. – DOI 10.15866/iree.v17i2.21685. – SCO In: International Review of Electrical Engineering [textový dokument (print)] . – Rím (Taliansko) : Praise Worthy Prize. – ISSN 1827-6660. – ISSN (online) 2533-2244. – Roč. 17, č. 2 (2022), s. 206-214 </t>
  </si>
  <si>
    <t xml:space="preserve">A Systematic Review of Blockchain Applications / Sunny, Farhana Akter [Autor, 15%] ; Hajek, Petr [Autor, 15%] ; Munk, Michal [Autor, UKFFPVKIN, 14%] ; Abedin, Mohammad Zoynul [Autor, 14%] ; Satu, Md. Shahriare [Autor, 14%] ; Efat, Md. Iftekharul Alam [Autor, 14%] ; Islam, Md. Jahidu [Autor, 14%]. – text. – [angličtina]. – [OV 160]. – [ŠO 2508]. – [článok]. – [recenzované]. – DOI 10.1109/ACCESS.2022.3179690. – WOS CC ; SCO ; CCC In: IEEE Access [elektronický dokument] : practical innovations, open solutions. – Piscataway (USA) : Institute of Electrical and Electronics Engineers. – ISSN (online) 2169-3536. – Roč. 10 (2022), s. 59155-59177 [online] </t>
  </si>
  <si>
    <t xml:space="preserve">A szlovákiai magyarok választási magatartásának tendenciái / Mészárosová, Zuzana [Autor, UKFFFAKPO, 100%]. – text. – [maďarčina]. – [OV 060]. – [ŠO 6115]. – [článok]. – [recenzované] In: Magyar kisebbség [textový dokument (print)] : nemzetpolitikai szemle. – ISSN 1224-2292. – Roč. 25, č. 1-2 (2021), s. 83-100 [tlačená forma] </t>
  </si>
  <si>
    <t xml:space="preserve">A térbeli alkotás oktatási jelentősége az általános iskolában / Lehoťáková, Eva [Autor, UKFFSSUVP, 50%] ; Tóth, Attila [Autor, UKFFSSUVP, 50%]. – text. – [maďarčina]. – [OV 010]. – [ŠO 7605]. – [článok]. – [recenzované] In: Kultúratudományi Szemle [textový dokument (print)] . – Pécs (Maďarsko) : Pécsi Tudományegyetem. – ISSN 2676-9158. – Roč. 3, č. 4 (2021), s. 123-130 [tlačená forma] </t>
  </si>
  <si>
    <t xml:space="preserve">A-brak-adabra! Niekoľko slov o eskamotážach s brakom / Boszorád, Martin [Autor, UKFFFAULK, 100%]. – text. – [slovenčina]. – [OV 020]. – [ŠO 6107]. – [článok]. – [recenzované] In: Fraktál [textový dokument (print)] : literatúra horizontálne a vertikálne. – Závod (Slovensko) : Fraktál. – ISSN 2585-8912. – Roč. 5, č. 2 (2022), s. 93-98 [tlačená forma] </t>
  </si>
  <si>
    <t xml:space="preserve">Absolventi Katedry geografie a regionálneho rozvoja v Nitre od roku 1963 do súčasnosti = Graduates of the Department of Geography and Regional Development in Nitra from 1963 to the Present / Vilinová, Katarína [Autor, UKFFPVKGR, 100%]. – text. – [slovenčina]. – [OV 092]. – [ŠO 1217]. – [článok]. – [recenzované]. – DOI 10.17846/GI.2021.25.2.109-123 In: Geografické informácie [textový dokument (print)] [elektronický dokument] . – Nitra (Slovensko) : Univerzita Konštantína Filozofa v Nitre. – ISSN 1337-9453. – Roč. 25, č. 2 (2021), s. 109-123 [tlačená forma] [online] </t>
  </si>
  <si>
    <t xml:space="preserve">Adaptačné ťažkosti začínajúcich školákov v centre diagnostickej činnosti učiteľa = The adaptation difficulties of beginning pupils in the center of teacher ́s diagnostics activities / Teleková, Radka [Autor, UKFPFAKPE, 100%]. – [slovenčina]. – [OV 010]. – [ŠO 7605]. – [článok]. – [recenzované] In: Edukácia [elektronický dokument] : Vedecko-odborný časopis. – Košice (Slovensko) : Univerzita Pavla Jozefa Šafárika v Košiciach. Celouniverzitné pracovisko UPJŠ. Vydavateľstvo ŠafárikPress UPJŠ. – ISSN 1339-8725. – Roč. 4, č. 2 (2021), s. 123-128 [online] </t>
  </si>
  <si>
    <t xml:space="preserve">Adaptive resilience of and through urban ecosystem services: A transdisciplinary approach to sustainability in Barcelona / De Luca, Claudia [Autor, 25%] ; Langemeyer, Johannes [Autor, 25%] ; Vaňo, Simeon [Autor, UKFFPVKEE, 20%] ; Baró, Francesc [Autor, 15%] ; Andersson, Erik [Autor, 15%]. – text. – [angličtina]. – [OV 100]. – [ŠO 1610]. – [článok]. – [recenzované]. – DOI 10.5751/ES-12535-260438. – SCO In: Ecology and Society [textový dokument (print)] . – Toronto (Kanada) : Universities and Research Institutions in Canada. – ISSN 1708-3087. – Roč. 26, č. 4 (2021), s. 1-25 [online] . – CiteScore: 8 ; IF: 4.653 ; SJR: 1,346 ; SNIP: 1,656 ; AIS: 1.434 AIS - Ecology - Q1, Environmental studies - Q1 JIF - Ecology - Q1, Environmental studies - Q2 Scimago - Ecology - Q1 </t>
  </si>
  <si>
    <t xml:space="preserve">Addressing Media Literacy through an International Virtual Exchange: A Report of One ESL-EFL Collaboration / Lehotská, Nikola [Autor, UKFPFAKLI, 34%] ; Tomaš, Zuzana [Autor, 33%] ; Vojtkulakova, Margita [Autor, 33%]. – text. – [angličtina]. – [OV 010]. – [ŠO 7605]. – [článok]. – [recenzované]. – SCO In: TESL-EJ [textový dokument (print)] . – Berkeley (USA) : TESL-EJ Publications. – ISSN (online) 1072-4303. – Roč. 25, č. 4 (2022), s. 1-12 [online] </t>
  </si>
  <si>
    <t xml:space="preserve">Aktuálny stav, špecifiká a perspektívy edukácie dieťaťa s Downovým syndrómom v materskej škole / Balážová, Jana [Autor, UKFPFAKPE, 100%]. – text. – [slovenčina]. – [OV 010]. – [ŠO 7605]. – [článok]. – [recenzované]. – DOI 10.54937/ssf.2022.21.3.41-49 In: Studia Scientifica Facultatis Paedagogicae [textový dokument (print)] [elektronický dokument] . – Ružomberok (Slovensko) : Katolícka univerzita v Ružomberku. VERBUM - vydavateľstvo KU. – ISSN 1336-2232. – Roč. 21, č. 3 (2022), s. 41-49 [tlačená forma] [online] </t>
  </si>
  <si>
    <t xml:space="preserve">Akustické vlastnosti koncertných priestorov vybraných slovenských synagóg v Prešove a Košiciach / Jarabica, Michal [Autor, UKFPFAKHU, 100%]. – text. – [slovenčina]. – [OV 010]. – [ŠO 7605]. – [článok]. – [recenzované]. – DOI 10.4149/SH_2021_3_3 In: Slovenská hudba [textový dokument (print)] : revue pre hudobnú kultúru. – Bratislava (Slovensko) : Slovenská muzikologická asociácia pri Slovenskej hudobnej únii. – ISSN 1335-2458. – ISSN (zrušené) 0037-6965. – Roč. 47, č. 3 (2021), s. 251-271 [tlačená forma] </t>
  </si>
  <si>
    <t xml:space="preserve">Akustické vlastnosti Moyzesovej siene v Bratislave / Brezina, Pavol [Autor, UKFPFAKHU, 80%] ; Zaťko, Peter [Autor, 10%] ; Kostelanský, Maroš [Autor, 10%]. – text. – [slovenčina]. – [OV 010]. – [ŠO 7605]. – [článok]. – [recenzované] In: Fyzikálne faktory prostredia [textový dokument (print)] : časopis o problematike fyzikálnych faktorov prostredia. – Košice (Slovensko) : IbSolve. – ISSN 1338-3922. – Roč. 12, č. 1 (2022), s. 13-19 [tlačená forma] </t>
  </si>
  <si>
    <t xml:space="preserve">Alcuni spunti per la ricezione della poesia di Eugenio Montale in Slovacchia / Rusnáková, Natália [Autor, UKFFFAKRO, 100%]. – text. – [taliančina]. – [OV 020]. – [ŠO 7320]. – [článok]. – [recenzované] In: Studi italo-slovacchi [textový dokument (print)] . – Nitra (Slovensko) : Univerzita Konštantína Filozofa v Nitre. Filozofická fakulta, Bratislava (Slovensko) : Slovenská akadémia vied. – ISSN 1338-6778. – Roč. 10, č. 1 (2021), s. 3-9 [tlačená forma] </t>
  </si>
  <si>
    <t xml:space="preserve">An Evaluation of the Work Social Worker in the Imprisonment With Active Preparation for Post-Penitentiary Care in Slovakia / Vanková, Katarína [Autor, UKFFSVURS, 100%]. – [angličtina]. – [OV 060]. – [ŠO 7761]. – [článok]. – [recenzované]. – DOI 10.32861/jssr.81.1.8 In: The Journal of Social Sciences Research [textový dokument (print)] [elektronický dokument] . – Punjab (Pakistan) : Academic Research Publishing Group. – ISSN 2413-6670. – ISSN (online) 2411-9458. – Roč. 8, č. 1 (2022), s. 1-8 [tlačená forma] [online] </t>
  </si>
  <si>
    <t xml:space="preserve">An Exploratory Study into EFL Teachers’ Implementation of New Technologies and Distance Teaching During the Covid-19 Pandemic / Foltyn, Marzena Aneta [Autor, UKFPFAKLI, 50%] ; Polok, Krzysztof [Autor, 50%]. – text. – [angličtina]. – [OV 010]. – [ŠO 7605, 7320]. – [článok]. – [recenzované]. – DOI 10.24093/awej/covid2.10. – WOS CC In: Arab World English Journal [elektronický dokument] . – Kuala Lumpur  (Malajzia) : Dr. Khairi Obaid Tayyeh Al-Zubaidi. – ISSN (online) 2229-9327. – suppl. Roč. 13, č. Special Issue (2022), s. 155-168 [online] </t>
  </si>
  <si>
    <t xml:space="preserve">Analýza hry Arthura Millera Skúška ohňom optikou teórie francúzskeho filozofa Michela Foucaulta a inscenačné prístupy k nej / Hudecová, Ingrida [Autor, UKFFFAKKU, 100%]. – text. – [slovenčina]. – [OV 020]. – [ŠO 8110]. – [článok]. – [recenzované] In: Culturologica Slovaca [elektronický dokument] : internetový kulturologický časopis. – Nitra (Slovensko) : Univerzita Konštantína Filozofa v Nitre. – ISSN 2453-9740. – Roč. 7, č. 1 (2022), s. 5-20 [online] </t>
  </si>
  <si>
    <t xml:space="preserve">Analýza prekladu vybraných slovných spojení a kolokácií z anglického do slovenského jazyka / Jakubičková, Barbara [Autor, UKFFFAKTR, 100%]. – text. – [slovenčina]. – [OV 020]. – [ŠO 7320]. – [článok]. – [recenzované] In: Jazyk a kultúra [elektronický dokument] : internetový časopis Lingvokulturologického a prekladateľsko-tlmočníckeho centra excelentnosti pri Filozofickej fakulte Prešovskej univerzity. – Prešov (Slovensko) : Prešovská univerzita v Prešove. Lingvokulturologické a prekladateľsko-tlmočnícke centrum excelentnosti. – ISSN (online) 1338-1148. – Roč. 13, č. 49-50 (2022), s. 13-24 [online] </t>
  </si>
  <si>
    <t xml:space="preserve">Analýza titulkov v dabingovej verzii diela Rodinka Bélierovcov / Ukušová, Jana [Autor, UKFFFAKTR, 100%]. – [slovenčina]. – [OV 020]. – [ŠO 7320]. – [článok]. – [recenzované] In: Kritika prekladu [textový dokument (print)] [elektronický dokument] . – Banská Bystrica (Slovensko) : Univerzita Mateja Bela v Banskej Bystrici. Vydavateľstvo Univerzity Mateja Bela v Banskej Bystrici - Belianum. – ISSN 1339-3405. – č. 2 (2021), s. 79-94 [tlačená forma] [online] </t>
  </si>
  <si>
    <t xml:space="preserve">Antropológia a politické naratívy vy(zne)užívajúce tému novodobých migrácií = Anthropology and Political Narratives (Mis)Using the Theme of Modern Migrations / Letavajová, Silvia [Autor, UKFFFAKMK, 100%]. – text. – [slovenčina]. – [OV 030]. – [ŠO 7115]. – [článok]. – [recenzované]. – SCO In: Národopisný věstník [textový dokument (print)] [elektronický dokument] . – Praha (Česko) : Česká národopisná společnost. – ISSN 1211-8117. – ISSN (online) 2571-0982. – Roč. 38(80), č. 2 (2021), s. 51-64 [tlačená forma] [online] . – CiteScore: 0,1 ; SJR: 0,112 ; SNIP: 0,121 Scimago - Anthropology - Q4, Cultural studies - Q3, History - Q3 </t>
  </si>
  <si>
    <t xml:space="preserve">Apatite from Slovakia / Štubňa, Ján [Autor, UKFFPVKGR, 49%] ; Bančik, Tomáš [Autor, 1%] ; Fridrichová, Jana [Autor, UKOPRGMPLG , 16%] ; Rybnikova, Olena Andrijivna [Autor, UKOPRGMPLG , 18%] ; Bačík, Peter [Autor, UKOPRGMPLG , 16%]. – text, fotogr. – [angličtina]. – [OV 010]. – [ŠO 1217]. – [článok]. – [recenzované]. – SIGN-UKO PR 206/22. – WOS CC ; CCC In: The Journal of Gemmology [textový dokument (print)] . – Londýn (Veľká Británia) : The Gemmological Association of Great Britain. – ISSN 1355-4565. – ISSN (online) 2632-1718. – Roč. 38, č. 2 (2022), s. 114-115 [tlačená forma] </t>
  </si>
  <si>
    <t xml:space="preserve">Aplikácia kognitívnych myšlienkových operácií pri porozumení literárnemu textu v siedmom ročníku / Gergelyová, Viktória [Autor, UKFFSSUML, 34%] ; Vančo, Ildikó [Autor, UKFFSSUML, 33%] ; Kozmács, István [Autor, UKFFSSUML, 33%]. – text. – [slovenčina]. – [OV 020]. – [ŠO 7605]. – [článok]. – [recenzované] In: Lingua Viva [textový dokument (print)] [elektronický dokument] : odborný časopis pro teorii a praxi vyučování cizím jazykům a češtině jako cizímu jazyku. – České Budějovice (Česko) : Jihočeská univerzita v Českých Budějovicích. Pedagogická fakulta. – ISSN 1801-1489. – ISSN (online) 2336-8136. – Roč. 18, č. 34 (2022), s. 26-36 [tlačená forma] [online] </t>
  </si>
  <si>
    <t xml:space="preserve">Application of Landscape-Ecological Approach for Greenways Planning in Rural Agricultural Landscape / Melicher, Jakub [Autor, UKFFPVKEE, 50%] ; Špulerová, Jana [Autor, 50%]. – text. – [angličtina]. – [OV 100]. – [ŠO 1610]. – [článok]. – [recenzované]. – DOI 10.3390/environments9020030. – WOS CC ; SCO In: Environments [elektronický dokument] . – Bazilej (Švajčiarsko) : Multidisciplinary Digital Publishing Institute. – ISSN (online) 2076-3298. – Roč. 9, č. 2 (2022), s. 1-23 [online] </t>
  </si>
  <si>
    <t xml:space="preserve">Application of the diagnostic test dismas - structures of mathematical skills at the students second and third years in Slovakia and Czech Republic = Aplikácia diagnostického testu dismas - štruktúry matematických zručností u žiakov 2. A 3. ročníka naSllovensku a v ČR / Janíček Pavelová, Monika [Autor, UKFPFAKPE, 40%] ; Erhardtová, Gabriela [Autor, UKFPFAKPE, 40%] ; Žovinec, Erik [Autor, UKFPFAKPE, 20%]. – text. – [angličtina]. – [OV 010]. – [ŠO 7605]. – [článok]. – [recenzované]. – DOI 10.18355/PG.2022.11.2.10 In: Slavonic Pedagogical Studies Journal [textový dokument (print)] [elektronický dokument] : the Scientific Educational Journal . – Nitra (Slovensko) : Slovenská Vzdelávacia a Obstarávacia. – ISSN 1339-8660. – ISSN (online) 1339-9055. – Roč. 11, č. 2 (2022), s. 291-301 [tlačená forma] [online] . – Nordic List: 1 </t>
  </si>
  <si>
    <t xml:space="preserve">Aspects of self-regulated learning and their influence on the mathematics achievement of fifth graders in the context of four different proclaimed curricula / Říčan, Jaroslav [Autor, 34%] ; Chytrý, Vlastimil [Autor, 33%] ; Medová, Janka [Autor, UKFFPVKMA, 33%]. – text. – [angličtina]. – [OV 240]. – [ŠO 1113]. – [článok]. – [recenzované]. – DOI 10.3389/fpsyg.2022.963151. – WOS CC ; SCO ; CCC In: Frontiers in Psychology [elektronický dokument] . – Lausanne (Švajčiarsko) : Frontiers Media. – ISSN (online) 1664-1078. – Roč. 13 (2022), s. 1-15 [online] </t>
  </si>
  <si>
    <t xml:space="preserve">Assemblages of ground-living spiders (Araneae) and harvestmen (Opiliones) of the recultivated old chemical waste dump in Vrakuňa (Bratislava, Slovakia) / Gajdoš, Peter [Autor, 20%] ; Majzlan, Oto [Autor, UKOPREEM, 20%] ; David, Stanislav [Autor, UKFFPVKEE, 20%] ; Purgat, Pavol [Autor, UKFFPVKEE, 20%] ; Litavský, Juraj [Autor, UKOPREEM, 20%]. – [angličtina]. – [OV 100]. – [ŠO 1610]. – [článok]. – [recenzované]. – DOI 10.1007/s11756-022-01247-9 In: Biologia [textový dokument (print)] [elektronický dokument] . – Cham : Springer Nature. – ISSN 0006-3088. – ISSN (online) 1336-9563. – Roč. 77, č. 10 (2022), s. 1-14 [tlačená forma] [online] </t>
  </si>
  <si>
    <t xml:space="preserve">Assessing Slovak Teachers’ Literacy and Related Non-cognitive Skills in the International Measurements PIAAC / Šarvajcová, Marcela [Autor, UKFFFAKSO, 34%] ; Rybanský, Ľubomír [Autor, UKFFPVKMA, 33%] ; Štrbová, Monika [Autor, UKFFFAKSO, 33%]. – text. – [angličtina]. – [OV 060]. – [ŠO 6115]. – [článok]. – [recenzované]. – DOI 10.15804/tner.2021.66.4.11. – SCO In: The New Educational Review [textový dokument (print)] [elektronický dokument] : International scientific journal founded by three universities from Czech Republic, Poland and Slovak Republic. – Toruň (Poľsko) : Wydawnictwo Adam Marszalek. – ISSN 1732-6729. – Roč. 66, č. 4 (2021), s. 133-146 [tlačená forma] [online] . – CiteScore: 0,6 ; SJR: 0,219 ; SNIP: 0,429 Scimago - Education - Q3 </t>
  </si>
  <si>
    <t xml:space="preserve">At-Risk Youth in the Context of Current Normality – Psychological Aspects / Hlad, Ľubomír [Autor, UKFFFAUKD, 40%] ; Konečná, Irena [Autor, 5%] ; Žalec, Bojan [Autor, 5%] ; Majda, Peter [Autor, Teologický inštitút KU, 40%] ; Ionescu, Tiberius Constantin [Autor, 5%] ; Biryukova, Yulia [Autor, 5%]. – [angličtina]. – [OV 020]. – [ŠO 6171]. – [článok]. – [recenzované]. – DOI 10.15503/jecs2022.2.285.296. – WOS CC In: Journal of education culture and society [elektronický dokument] . – Vroclav (Poľsko) : Fundacja Pro Scientia Publica. – ISSN 2081-1640. – Roč. 13, č. 2 (2022), s. 285-296 [online] </t>
  </si>
  <si>
    <t xml:space="preserve">Attitude towards physical education and enjoyment of physical activity in high school students / Romanová, Martina [Autor, UKFFSVUAP, 100%]. – text. – [angličtina]. – [OV 060]. – [ŠO 7701]. – [článok]. – [recenzované]. – DOI 10.33543/1102. – WOS CC In: AD ALTA [textový dokument (print)] [elektronický dokument] : journal of interdisciplinary research = recenzovaný mezioborový vědecký časopis. – Hradec Králové (Česko) : Magnanimitas akademické sdružení. – ISSN 1804-7890. – ISSN (online) 2464-6733. – Roč. 11, č. 2 (2021), s. 234-239 [tlačená forma] [online] . – AIS: 0.028 AIS - Multidisciplinary sciences - Q4 </t>
  </si>
  <si>
    <t xml:space="preserve">Barriers to the development of the circular economy in small and medium-sized enterprises in Slovakia / Levický, Michal [Autor, UKFFPVUMI, 45%] ; Fiľa, Milan [Autor, UKFFPVUMI, 25%] ; Maroš, Milan [Autor, UKFFPVUMI, 15%] ; Korenková, Marcela [Autor, UKFFPVUMI, 15%]. – text. – [angličtina]. – [OV 080]. – [ŠO 6213]. – [článok]. – [recenzované]. – DOI 10.9770/jesi.2022.9.3(5). – WOS CC In: Entrepreneurship and Sustainability Issues [elektronický dokument] . – Vilnius (Litva) : Entrepreneurship and sustainability center. – ISSN (online) 2345-0282. – Roč. 9, č. 3 (2022), s. 76-87 [online] </t>
  </si>
  <si>
    <t xml:space="preserve">Basic aspects of sleep from the perspective of tanakh and rabbinic judaism / Roubalová, Marie [Autor, 10%] ; Králik, Roman [Autor, Teologický inštitút KU, 20%] ; Maturkanič, Patrik [Autor, 25%] ; Hlad, Ľubomír [Autor, UKFFFAKNS, 25%] ; Ďatelinka, Anton [Autor, 20%]. – [angličtina]. – [OV 020]. – [ŠO 6171]. – [článok]. – [recenzované]. – SIGN-UKO RK 41/22. – WOS CC In: Acta Missiologica [textový dokument (print)] [elektronický dokument] : akademický časopis Inštitútu misijnej práce a Tropického zdravotníctva Jána Pavla II., VŠ ZSP Svätej Alžbety. – Bratislava (Slovensko) : Vysoká škola zdravotníctva a sociálnej práce sv. Alžbety v Bratislave. – ISSN 1337-7515. – ISSN (online) 2453-7160. – ISSN (chybné) 1333-0023. – Roč. 16, č. 1 (2022), s. 169-184 [tlačená forma] [online] </t>
  </si>
  <si>
    <t xml:space="preserve">Básnik stratených možností / Florková, Janka [Autor, UKFFFASJL, 100%]. – text. – [slovenčina]. – [OV 020]. – [ŠO 7320]. – [článok]. – [recenzované] In: Vertigo [textový dokument (print)] : časopis o poézii a básnikoch. – Fintice (Slovensko) : FACE - Fórum alternatívnej kultúry a vzdelávania. – ISSN 1339-3820. – Roč. 9, č. 4 (2021), s. 71-80 [tlačená forma] </t>
  </si>
  <si>
    <t xml:space="preserve">Being Nice or Being Scared? Personality Traits, Beliefs and Threat of COVID-19 as Predictors of Non-Normative Health Behaviors during Second Wave of Pandemic / Čavojová, Vladimíra [Autor, 34%] ; Ballová Mikušková, Eva [Autor, UKFPFAKAP, 33%] ; Šrol, Jakub [Autor, 33%]. – [angličtina]. – [OV 010]. – [ŠO 7701, 7605]. – [článok]. – [recenzované]. – DOI 10.31577/sp.2022.01.838. – TUT ID E092530. – SCO ; CCC In: Studia Psychologica [textový dokument (print)] [elektronický dokument] : International journal for research and theory in psychological sciences = Časopis pre základný výskum a teóriu v psychologických vedách. – Bratislava (Slovensko) : SAP - Slovak Academic Press, Bratislava (Slovensko) : Slovenská akadémia vied. Centrum spoločenských a psychologických vied. Ústav experimentálnej psychológie, Bratislava (Slovensko) : Slovenská akadémia vied. Veda, vydavateľstvo Slovenskej akadémie vied. – ISSN 0039-3320. – ISSN (online) 2585-8815. – Roč. 64, č. 1 (2022), s. 45-63 [tlačená forma] [online] </t>
  </si>
  <si>
    <t xml:space="preserve">Benzene exposure causes structural and functional damage in rat ovaries: occurrence of apoptosis and autophagy / Harrath, Abdel Halim [Autor, 12.5%] ; Alrezaki, Abdulkarem [Autor, 12.5%] ; Jalouli, Maroua [Autor, 12.5%] ; Al-Dawood, Nouf [Autor, 12.5%] ; Dasmash, Walled [Autor, 12.5%] ; Mansour, Lamjed [Autor, 12.5%] ; Sirotkin, Alexander [Autor, UKFFPVKZA, 12.5%] ; Alwasel, Saleh Hamad Amad [Autor, 12.5%]. – [angličtina]. – [OV 130]. – [ŠO 1536]. – [článok]. – [recenzované]. – DOI 10.1007/s11356-022-21289-5 In: Environmental Science and Pollution Research [elektronický dokument] [textový dokument (print)] . – Heidelberg (Nemecko) : Springer Nature. Springer International Publishing AG. – ISSN 0944-1344. – ISSN (online) 1614-7499. – Roč. 29, č. 27 (2022), s. 1-11 [tlačená forma] [online] </t>
  </si>
  <si>
    <t xml:space="preserve">Biological Effects of Hydrogen Water on Subjects with NAFLD: A Randomized, Placebo-Controlled Trial / Kura, Branislav [Autor, 5.263%] ; Szántová, Mária [Autor, UKOLF3IK, 5.263%] ; LeBaron, Tyler W. [Autor, 5.263%] ; Mojto, Viliam [Autor, UKOLF3IK, 5.263%] ; Barančík, Miroslav [Autor, 5.263%] ; Szeiffová Bačová, Barbara [Autor, 5.263%] ; Kaločayová, Barbora [Autor, 5.263%] ; Sýkora, Matúš [Autor, 5.263%] ; Okruhlicová, Ľudmila [Autor, 5.263%] ; Tribulová, Narcisa [Autor, 5.263%] ; Gvozdjáková, Anna [Autor, UKOLFFAL5, 5.263%] ; Sumbalová, Zuzana [Autor, UKOLFFAL5, 5.263%] ; Kucharská, Jarmila [Autor, UKOLFFAL5, 5.263%] ; Faktorová, Xénia [Autor, UKOLF3IK, 5.264%] ; Jakabovičová, Martina [Autor, UKOLF3IK, 5.263%] ; Ďurkovičová, Zuzana [Autor, UKOLF3IK, 5.264%] ; Mačutek, Ján [Autor, UKFFPVKMA, 5.263%] ; Koščová, Michaela [Autor, 5.264%] ; Slezák, Ján [Korešpondenčný autor, 5.263%]. – text. – [angličtina]. – [OV 180, 240]. – [ŠO 5618, 1113]. – [článok]. – [recenzované]. – DOI 10.3390/antiox11101935. – SIGN-UKO LF 3IK/22. – WOS CC ; SCO In: Antioxidants [elektronický dokument] . – Bazilej (Švajčiarsko) : Multidisciplinary Digital Publishing Institute. – ISSN (online) 2076-3921. – Roč. 11, č. 10 (2022), art. no. 1935, s. [1-12] [online] </t>
  </si>
  <si>
    <t xml:space="preserve">Black Elder and Its Constituents: Molecular Mechanisms of Action Associated with Female Reproduction / Kolesárová, Adriana [Autor, 25%] ; Baldovská, Simona [Autor, 25%] ; Kohút, Ladislav [Autor, 25%] ; Sirotkin, Alexander [Autor, UKFFPVKZA, 25%]. – [angličtina]. – [OV 130, 190]. – [ŠO 1536]. – [článok]. – [recenzované]. – DOI 10.3390/ph15020239. – WOS CC ; SCO ; CCC In: Pharmaceuticals [elektronický dokument] : an international scientific journal of medicinal chemistry and related drug sciences. – Bazilej (Švajčiarsko) : Multidisciplinary Digital Publishing Institute. – ISSN (online) 1424-8247. – Roč. 15, č. 2 (2022), art. no. 239, s. 1-17 [online] </t>
  </si>
  <si>
    <t xml:space="preserve">Blockchain-Empowered Service Management for the Decentralized Metaverse of Things / Maksymyuk, Taras [Autor, 16.67%] ; Gazda, Juraj [Autor, 16.666%] ; Gazda, Vladimír [Autor, UJSEFKM, 16.666%] ; Bugár, Gabriel [Autor, UKFFPVKEE, 16.666%] ; Liyanage, Madhusanka [Autor, 16.666%] ; Dohler, Mischa [Autor, 16.666%]. – [angličtina]. – [OV 080, 100]. – [ŠO 6213, 1610]. – [článok]. – [recenzované]. – DOI 10.1109/ACCESS.2022.3205739. – WOS CC ; SCO ; CCC In: IEEE Access [elektronický dokument] : practical innovations, open solutions. – Piscataway (USA) : Institute of Electrical and Electronics Engineers. – ISSN (online) 2169-3536. – Roč. 10 (2022), s. 99025-99037 [online] </t>
  </si>
  <si>
    <t xml:space="preserve">Boje druhej svetovej vojny na juhozápadnom Slovensku v spomienkach priamych účastníkov, príslušníkov Červenej armády. Memoárová literatúra ako vojenskohistorický prameň. 2. časť (2) = Combats of world war II in southwestern Slovakia in the memoirs of participants, members of the Red Army. Memoir literature as a source of military-historical research 2. part / Šteiner, Pavol [Autor, UKFFFAKMU, 100%]. – text. – [slovenčina]. – [OV 030]. – [ŠO 7115]. – [článok]. – [recenzované]. – DOI 10.17846/SHN.2021.25.2.477-494. – SCO In: Studia Historica Nitriensia [textový dokument (print)] [elektronický dokument] . – Nitra (Slovensko) : Univerzita Konštantína Filozofa v Nitre. – ISSN 1338-7219. – ISSN (online) 2585-8661. – Roč. 25, č. 2 (2021), s. 477-494 [tlačená forma] [online] . – CiteScore: 0,4 ; SJR: 0,209 ; SNIP: 1,036 Scimago - Cultural studies - Q2, History - Q1, Museology - Q2 </t>
  </si>
  <si>
    <t xml:space="preserve">Business environment and the performance of the sports industry in relation to the population physical activity of the EU / Kučera, Jozef [Autor, UMBEF04, 50%] ; Fiľa, Milan [Autor, UKFFPVUMI, 50%]. – text. – [angličtina]. – [OV 080]. – [ŠO 6213]. – [článok]. – [recenzované] In: Journal of Business [textový dokument (print)] [elektronický dokument] . – Tbilisi (Gruzínsko) : International Black Sea University. – ISSN 2233-369X. – ISSN (online) 2346-8297. – Roč. 10, č. 1 (2021), s. 31-42 [tlačená forma] </t>
  </si>
  <si>
    <t xml:space="preserve">Calculation of Electric Circuits Using the Fast Kirchhoff Method / Ďuriš, Viliam [Autor, UKFFPVKMA, 25%] ; Chertanovskiy, Aleksey G. [Autor, 25%] ; Chumarov, Sergey G. [Autor, 25%] ; Kartuzov, Aleksandеr V. [Autor, 25%]. – text. – [angličtina]. – [OV 240]. – [ŠO 1113]. – [článok]. – [recenzované]. – DOI 10.18421/TEM111-09. – WOS CC ; SCO In: TEM Journal [textový dokument (print)] [elektronický dokument] : Technology, Education, Management, Informatics. – Novi Pazar (Srbsko) : Association for Information Communication Technology Education and Science. – ISSN 2217-8309. – ISSN (online) 2217-8333. – Roč. 11, č. 1 (2022), 75-81 [tlačená forma] [online] </t>
  </si>
  <si>
    <t xml:space="preserve">Can nopal cactus (Opuntia ficus-indica L. Miller) treat obesity? / Sirotkin, Alexander [Autor, UKFFPVKZA, 100%]. – text. – [angličtina]. – [OV 130]. – [ŠO 1536]. – [článok]. – [recenzované]. – DOI 10.1016/j.obmed.2022.100390. – SCO In: Obesity medicine [elektronický dokument] . – Londýn (Veľká Británia) : Elsevier. – ISSN (online) 2451-8476. – č. 30 (2022), s. 1-4 [online] </t>
  </si>
  <si>
    <t xml:space="preserve">Case study of features extraction and real time classification of emotion from speech on the basis with using neural nets / Magdin, Martin [Autor, UKFFPVKIN, 34%] ; Sulka, Timotej [Autor, UKFFPVKIN, 33%] ; Fodor, Kristián [Autor, UKFFPVKIN, 33%]. – text. – [angličtina]. – [OV 160]. – [ŠO 1160]. – [článok]. – [recenzované]. – DOI 10.3233/JIFS-211402. – WOS CC ; SCO ; CCC In: Journal of Intelligent &amp; Fuzzy Systems [textový dokument (print)] [elektronický dokument] . – Amsterdam (Holandsko) : IOS Press. – ISSN 1064-1246. – ISSN (online) 1875-8967. – Roč. 43, č. 5 (2022), s. 5399-5415 [tlačená forma] [online] </t>
  </si>
  <si>
    <t xml:space="preserve">Causes of Foreign Language Speaking Anxiety Through the Eyes of Non-Native Language Speakers / Kamenická, Jana [Autor, UKFPFAKLI, 50%] ; Harťanská, Jana [Autor, UKFFFAKAA, 50%]. – text. – [angličtina]. – [OV 010]. – [ŠO 7605]. – [článok]. – [recenzované]. – DOI 10.54937/ssf.2022.21.1.198-216 In: Studia Scientifica Facultatis Paedagogicae [textový dokument (print)] [elektronický dokument] . – Ružomberok (Slovensko) : Katolícka univerzita v Ružomberku. VERBUM - vydavateľstvo KU. – ISSN 1336-2232. – Roč. 21, č. 1 (2022), s. 198-216 [tlačená forma] [online] </t>
  </si>
  <si>
    <t xml:space="preserve">Collaborative scenario building: Engaging stakeholders to unravel opportunities for urban adaptation planning / Suchá, Lenka [Autor, 16%] ; Vaňo, Simeon [Autor, UKFFPVKEE, 14%] ; Jančovič, Martin [Autor, UKFFPVKEE, 14%] ; Aubrechtová, Tereza [Autor, 14%] ; Bašta, Petr [Autor, 14%] ; Duchková, Helena [Autor, 14%] ; Lorencová Krkoška, Eliška [Autor, 14%]. – [angličtina]. – [OV 100]. – [ŠO 1610]. – [článok]. – [recenzované]. – DOI 10.1016/j.uclim.2022.101277. – WOS CC ; SCO In: Urban Climate [textový dokument (print)] . – Amsterdam (Holandsko) : Elsevier. – ISSN 2212-0955. – Roč. 45, č. 101277 (2022), s. 1-14 [tlačená forma] </t>
  </si>
  <si>
    <t xml:space="preserve">Colonial/Imperial Discourses in a First-Contact Narrative: Terry Bisson’s “They’re Made of Meat” (1991) / Briedik, Adam [Autor, UKFFFAKAA, 100%]. – text. – [angličtina]. – [OV 020]. – [ŠO 8110]. – [článok]. – [recenzované]. – DOI 10.18848/2327-7912/cgp/v20i01/157-171 In: Polish Journal of English Studies [textový dokument (print)] [elektronický dokument] . – Kraków (Poľsko) : Polish Association for the Study of English. – ISSN 2545-0131. – ISSN (online) 2543-5981. – Roč. 8, č. 1 (2022), s. 43-65 [tlačená forma] [online] </t>
  </si>
  <si>
    <t xml:space="preserve">Comparative Analysis of Methods for Calculating the Energy Flux Density used in Assessing the Permissible Level of Environmental Pollution by Electromagnetic Radiation / Ďuriš, Viliam [Korešpondenčný autor, UKFFPVKMA, 34%] ; Ivanov, Vladimir N. [Autor, 33%] ; Chumarov, Sergey Gennadevich [Autor, 33%]. – text. – [angličtina]. – [OV 240]. – [ŠO 1113]. – [článok]. – [recenzované]. – DOI 10.18421/TEM112-54. – WOS CC ; SCO In: TEM Journal [textový dokument (print)] [elektronický dokument] : Technology, Education, Management, Informatics. – Novi Pazar (Srbsko) : Association for Information Communication Technology Education and Science. – ISSN 2217-8309. – ISSN (online) 2217-8333. – Roč. 11, č. 2 (2022), s. 920-925 [tlačená forma] [online] </t>
  </si>
  <si>
    <t xml:space="preserve">Comparison of bird diversity between temperate floodplain forests and urban parks / Machar, Ivo [Autor, 20%] ; Šimek, Pavel [Autor, 15%] ; Schlossárek, Marek [Autor, 15%] ; Pechanec, Vilém [Autor, 15%] ; Petrovič, František [Autor, UKFFPVKEE, 20%] ; Brus, Jan [Autor, 5%] ; Špinlerová, Zuzana [Autor, 5%] ; Seják, Jozef [Autor, 5%]. – text. – [angličtina]. – [OV 100]. – [ŠO 1610]. – [článok]. – [recenzované]. – DOI 10.1016/j.ufug.2021.127427. – WOS CC ; SCO ; CCC In: Urban forestry &amp; urban greening [textový dokument (print)] [elektronický dokument] . – Mníchov (Nemecko) : Elsevier. – ISSN 1618-8667. – 2022, s. 1-8 [tlačená forma] [online] </t>
  </si>
  <si>
    <t xml:space="preserve">Comparison of Multilayer Neural Network Models in Terms of Success of Classifications Based on EmguCV, ML.NET and Tensorflow.Net / Magdin, Martin [Autor, UKFFPVKIN, 30%] ; Benc, Juraj [Autor, UKFFPVKIN, 5%] ; Koprda, Štefan [Autor, UKFFPVKIN, 30%] ; Balogh, Zoltán [Autor, UKFFPVKIN, 30%] ; Tuček, Daniel [Autor, UKFFPVKIN, 5%]. – text. – [angličtina]. – [OV 160]. – [ŠO 2508, 1217]. – [článok]. – [recenzované]. – DOI 10.3390/app12083730. – WOS CC ; SCO ; CCC In: Applied sciences [elektronický dokument] . – Bazilej (Švajčiarsko) : Multidisciplinary Digital Publishing Institute. – ISSN (online) 2076-3417. – Roč. 12, č. 8 (2022), s. 1-16 [online] </t>
  </si>
  <si>
    <t xml:space="preserve">Comparison of the inter-item correlations of the Big Five Inventory-10 (BFI-10) between Western and non-Western contexts / Park, Joonha [Autor, 2.778%] ; Broek van den, Karlijn L. [Autor, 2.778%] ; Bhullar, Navjot [Autor, 2.778%] ; Ogunbode, Charles Adedayo [Autor, 2.778%] ; Schermer, Julie Aitken [Autor, 2.778%] ; Sollár, Tomáš [Autor, UKFFSVUAP, 2.778%]. – text. – [angličtina]. – [OV 060]. – [ŠO 7701]. – [článok]. – [recenzované]. – DOI 10.1016/j.paid.2022.111751. – WOS CC ; SCO ; CCC In: Personality and Individual Differences [textový dokument (print)] : The Official Journal of the International Society for the Study of Individual Differences (ISSID). – Amsterdam (Holandsko) : Elsevier. – ISSN 0191-8869. – č. 196 (2022), s. 1-7 [tlačená forma] </t>
  </si>
  <si>
    <t xml:space="preserve">Compassion and solidarity with the poor in tanakh and rabbinic Judaism / Králik, Roman [Autor, Teologický inštitút KU, 20%] ; Roubalová, Marie [Autor, 10%] ; Hlad, Ľubomír [Autor, UKFFFAKNS, 30%] ; Judák, Viliam [Autor, UKORKFH, 20%] ; Akimjak, Amantius [Autor, Teologický inštitút KU, 20%]. – text. – [angličtina]. – [OV 020]. – [ŠO 6171]. – [článok]. – [recenzované]. – SIGN-UKO RK 27/22. – ESCI ; WOS CC In: Acta Missiologica [textový dokument (print)] [elektronický dokument] : akademický časopis Inštitútu misijnej práce a Tropického zdravotníctva Jána Pavla II., VŠ ZSP Svätej Alžbety. – Bratislava (Slovensko) : Vysoká škola zdravotníctva a sociálnej práce sv. Alžbety v Bratislave. – ISSN 1337-7515. – ISSN (online) 2453-7160. – ISSN (chybné) 1333-0023. – Roč. 16, č. 1 (2022), s. 154-168 [tlačená forma] [online] </t>
  </si>
  <si>
    <t xml:space="preserve">Competitive Adsorption of Cr(III) and Cu(II) on Electron Beam-Irradiated Sheep Wool from Binary Solutions Can be Controlled by the Absorbed Dose / Braniša, Jana [Autor, UKFFPVKCH, 40%] ; Koóšová, Karin [Autor, UKFFPVKCH, 10%] ; Lendelová, Karolína [Autor, UKFFPVKCH, 10%] ; Porubská, Mária [Autor, UKFFPVKCH, 40%]. – text. – [angličtina]. – [OV 120]. – [ŠO 1420]. – [článok]. – [recenzované]. – DOI 10.1021/acsomega.2c05253. – WOS CC In: ACS Omega [elektronický dokument] . – Washington (USA) : American Chemical Society. – ISSN (online) 2470-1343. – Roč. 7, č. 42 (2022), s. 38015-38024 [online] </t>
  </si>
  <si>
    <t xml:space="preserve">Comprehensive Flow-Cytometric Quality Assessment of Ram Sperm Intended for Gene Banking Using Standard and Novel Fertility Biomarkers / Vašíček, Jaromír [Autor, SPUFBP31, 12.5%] ; Baláži, Andrej [Autor, 12.5%] ; Svoradová, Andrea [Autor, 12.5%] ; Vozaf, Jakub [Autor, SPUFBP31, 12.5%] ; Dujíčková, Linda [Autor, UKFFPVKBG, 12.5%] ; Makarevich, Alexander V. [Autor, 12.5%] ; Bauer, Miroslav [Autor, UKFFPVKBG, 12.5%] ; Chrenek, Peter [Autor, SPUFBP31, 12.5%]. – text. – [angličtina]. – [OV 130, 120]. – [ŠO 1536, 2908]. – [článok]. – [recenzované]. – DOI 10.3390/ijms23115920. – WOS CC ; SCO ; CCC In: International journal of molecular sciences [textový dokument (print)] [elektronický dokument] : open access journal. – Bazilej (Švajčiarsko) : Multidisciplinary Digital Publishing Institute. – ISSN 1661-6596. – ISSN (online) 1422-0067. – Roč. 23, č. 11 (2022), art. no. 592, s. 1-29 [online] [tlačená forma] </t>
  </si>
  <si>
    <t xml:space="preserve">Concept mapping in teaching mathematics in Slovakia : pedagogical experiment results / Záhorec, Ján [Autor, UKOPDDPP, 35%] ; Hašková, Alena [Autor, UKFPFAKTT, 35%] ; Hrmo, Roman [Autor, KDOP, 30%]. – text, graf., tab., obr. – [angličtina]. – [OV 240, 010]. – [ŠO 1113, 7605]. – [článok]. – [recenzované]. – DOI 10.3390/math10121965. – WOS CC ; SCO ; CCC In: Mathematics [elektronický dokument] . – Bazilej (Švajčiarsko) : Multidisciplinary Digital Publishing Institute. – ISSN (online) 2227-7390. – Roč. 10, č. 12 (2022), art. no. 1965, s. [1-28] [online] </t>
  </si>
  <si>
    <t xml:space="preserve">Concurrent Assessment of Phthalates/HEXAMOLL (R) DINCH Exposure and Wechsler Intelligence Scale for Children Performance in Three European Cohorts of the HBM4EU Aligned Studies / Rosolen, Valentina [Autor, 3.226%] ; Giordani, Elisa [Autor, 3.226%] ; Mariuz, Marika [Autor, 3.226%] ; Parpinel, Maria [Autor, 3.226%] ; Ronfani, Luca [Autor, 3.226%] ; Šovčíková, Eva [Autor, SZULFUPSYCHOL, 3.226%] ; Fábelová, Lucia [Autor, SZUFVZOEM, 3.226%] ; Šidlovská, Miroslava [Autor, UKFFPVKZA, 3.226%] ; Kolena, Branislav [Autor, UKFFPVKZA, 3.226%]. – text. – [angličtina]. – [OV 130, 180]. – [ŠO 5141]. – [článok]. – [recenzované]. – DOI 10.3390/toxics10090538. – WOS CC ; CCC In: Toxics [elektronický dokument] . – Bazilej (Švajčiarsko) : Multidisciplinary Digital Publishing Institute. – ISSN (online) 2305-6304. – Roč. 10, č. 9 (2022), s. 1-20 [online] </t>
  </si>
  <si>
    <t xml:space="preserve">Consideration of spatial heterogeneity in landslide susceptibility mapping using geographical random forest model / Quevedo, Renata Pacheco [Autor, 23%] ; Maciel, Daniel Andrade [Autor, 23%] ; Uehara, Tatiana Dias Tardelli [Autor, 5%] ; Vojtek, Matej [Autor, UKFFPVKGR, 20%] ; Renno, Camilo Daleles [Autor, 2%] ; Pradhan, Biswajeet [Autor, 2%] ; Vojteková, Jana [Autor, UKFFPVKGR, 15%] ; Quoc Bao Pham [Autor, 10%]. – text. – [angličtina]. – [OV 100]. – [ŠO 1217]. – [článok]. – [recenzované]. – DOI 10.1080/10106049.2021.1996637. – WOS CC ; SCO In: Geocarto international [textový dokument (print)] . – Hong Kong (Čína) : Geocarto International Centre. – ISSN 1010-6049. – Roč. 36 (2021), s. 1-24 [tlačená forma] . – CiteScore: 7,2 ; IF: 3.450 ; SJR: 0,644 ; SNIP: 0,99 ; AIS: 0.518 AIS - Environmental sciences - Q3, Geosciences, multidisciplinary - Q3, Imaging science &amp; photographic technology - Q2, Remote sensing - Q3 JIF - Environmental sciences - Q3, Geosciences, multidisciplinary - Q2, Imaging science &amp; photographic technology - Q2, Remote sensing - Q3 Scimago - Geography, planning and development - Q1, Water science and technology - Q2 </t>
  </si>
  <si>
    <t xml:space="preserve">Corona Art Challenge 2020. Strategy Of Re-Interpretation/Creation In Art-Marketing In The Environment Of Participative Culture Of Social Media [Creation in Art-Marketing in the Environment of Participative Culture of Social Media [uvedený v databáze WoS]] / Kapsová, Eva [Autor, UKFFFAKAE, 70%] ; Spálová, Lucia [Autor, UKFFFAKMR, 30%]. – text. – [angličtina]. – [OV 060]. – [ŠO 7205]. – [článok]. – [recenzované]. – WOS CC In: European Journal of Media, Art and Photography [textový dokument (print)] [elektronický dokument] . – Trnava (Slovensko) : Univerzita sv. Cyrila a Metoda v Trnave. Fakulta masmediálnej komunikácie. – ISSN 1339-4940. – Roč. 10, č. 1 (2022), s. 74-84 [tlačená forma] [online] </t>
  </si>
  <si>
    <t xml:space="preserve">Covid-19 Pandemic and Human Rights – Myth or Reality? / Tvrdoň, Miroslav [Autor, UKFFSVKSP, 33%] ; Akimjak, Amantius [Autor, Teologický inštitút KU, 33%] ; Slobodová Nováková, Katarína [Autor, UCMFIFKEMŠ, 33%] ; Biryukova, Yulia [Autor, 1%]. – [angličtina]. – [OV 060, 180]. – [ŠO 7761]. – [článok]. – [recenzované]. – DOI 10.15503/jecs2022.2.221.230. – WOS CC In: Journal of education culture and society [elektronický dokument] . – Vroclav (Poľsko) : Fundacja Pro Scientia Publica. – ISSN 2081-1640. – Roč. 13, č. 2 (2022), s. 221-229 [online] </t>
  </si>
  <si>
    <t xml:space="preserve">Creation and (Re)Shaping of the Image of the Image of the V4 / Tkáč-Zabáková, Lenka [Autor, UKFFSSUSJ, 100%]. – text. – [angličtina]. – [OV 020]. – [ŠO 7320]. – [článok]. – [recenzované] In: Kommunikáció, média, gazdaság [textový dokument (print)] : a Budapesti Kommunikációs Főiskola és a Századvég Kiadó negyedéves folyóirata. – ISSN 1589-9500. – Roč. 19, č. 1 (2021), s. 71-96 [tlačená forma] </t>
  </si>
  <si>
    <t xml:space="preserve">Credibility and Involvement of Social Media in Education—Recommendations for Mitigating the Negative Effects of the Pandemic among High School Students / Tkáčová, Hedviga [Autor, KURFIZU, 58%] ; Králik, Roman [Autor, 11%] ; Tvrdoň, Miroslav [Autor, UKFFSVKSP, 15%] ; Jenisová, Zita [Autor, UKFFPVKCH, 15%] ; Martín, José García [Autor, 1%]. – text. – [angličtina]. – [OV 060, 010, 100]. – [ŠO 6115, 7605, 1610]. – [článok]. – [recenzované]. – DOI 10.3390/ijerph19052767. – WOS CC ; SCO ; CCC In: International journal of environmental research and public health [elektronický dokument] [textový dokument (print)] : open access journal. – Basel (Švajčiarsko) : Multidisciplinary Digital Publishing Institute. – ISSN 1661-7827. – ISSN (online) 1660-4601. – Roč. 19, č. 5 (2022), s. 1-22 [online] [tlačená forma] </t>
  </si>
  <si>
    <t xml:space="preserve">Czech Translations of the Gospel of Matthew from the Diachronic Point of View - Plus Ca Change / Cech, Radek [Autor, 34%] ; Mačutek, Ján [Autor, UKFFPVKMA, 33%] ; Kosek, Pavel [Autor, 33%]. – text. – [angličtina]. – [OV 240]. – [ŠO 1113]. – [článok]. – [recenzované]. – DOI 10.2478/jazcas-2021-0059. – SCO In: Jazykovedný časopis [elektronický dokument] [textový dokument (print)] : vedecký časopis pre otázky teórie jazyka = scientific journal for the theory of language. – Bratislava (Slovensko) : SAP - Slovak Academic Press, Varšava (Poľsko) : De Gruyter. – ISSN 0021-5597. – ISSN (online) 1338-4287. – Roč. 72, č. 2 (2021), 656-666 [online] [tlačená forma] . – CiteScore: 0,3 ; SJR: 0,191 ; SNIP: 0,923 Scimago - Linguistics and language - Q2 </t>
  </si>
  <si>
    <t xml:space="preserve">Častica tiež v komunikačno-pragmatických súvislostiach = The particle also in communication and pragmatic contexts / Sokolová, Jana [Autor, UKFFFASJL, 100%]. – text. – [slovenčina]. – [OV 020]. – [ŠO 7320]. – [článok]. – [recenzované]. – SCO In: Slovenská reč [textový dokument (print)] [elektronický dokument] : časopis pre výskum slovenského jazyka : orgán Jazykovedného ústavu Ľudovíta Štúra Slovenskej akadémie vied. – Martin (Slovensko) : Matica slovenská, Bratislava (Slovensko) : SAP - Slovak Academic Press. – ISSN 0037-6981. – ISSN (online) 1338-4279. – Roč. 87, č. 1 (2022), s. 89-109 [tlačená forma] [online] </t>
  </si>
  <si>
    <t xml:space="preserve">Čierne srdce / Kuhnke, Jasmina [Autor] ; Zahorák, Andrej [Prekladateľ, UKFFFAKTR, 100%]. – text. – [slovenčina]. – [OV 020]. – [ŠO 7320]. – [článok]. – [recenzované] In: Verzia [elektronický dokument] : časopis zameraný na umelecký preklad. – Bratislava (Slovensko) : DoSlov. – ISSN 2729-9910. – Roč. 3, č. 2 (2022), s. 27-30 [online] </t>
  </si>
  <si>
    <t xml:space="preserve">Čítanie s porozumením na stredných školách a vzdelanie rodičov = Reading Comprehension at Secondary Schools and Parents ̓ Education / Havettová, Romana [Autor, UKFFFAKRO, 50%] ; Stranovská, Eva [Autor, UKFFFAKRO, 50%]. – text. – [slovenčina]. – [OV 010]. – [ŠO 7605]. – [článok]. – [recenzované] In: Edukácia [elektronický dokument] : Vedecko-odborný časopis. – Košice (Slovensko) : Univerzita Pavla Jozefa Šafárika v Košiciach. Celouniverzitné pracovisko UPJŠ. Vydavateľstvo ŠafárikPress UPJŠ. – ISSN 1339-8725. – Roč. 4, č. 2 (2021), s. 114-121 [online] </t>
  </si>
  <si>
    <t xml:space="preserve">Čo sa skrýva pod kobercom : Ako v čase krízy komunikujú veľké hudobné podujatia / Holetz, Tomáš [Autor, UKFFFAKMR, 100%]. – text. – [slovenčina]. – [OV 020]. – [ŠO 7205]. – [článok]. – [recenzované] In: Dot.comm [elektronický dokument] : časopis pre teóriu, výskum a prax mediálnej a marketingovej komunikácie = journal for the theory, research and practice of media and marketing communication. – Bratislava (Slovensko) : Európska akadémia manažmentu marketingu a médií. – ISSN 1339-5181. – Roč. 10, č. 1 (2021), s. 32-40 [online] </t>
  </si>
  <si>
    <t xml:space="preserve">Čriepky z hospodárenia revúckeho evanjelického a. v. zboru a jeho fílii Revúčky a Muránskej Zdychavy (v 30. rokoch 20. storočia) = Shards of the management of the Evangelical Church of the Augsburg Confession in Revúca and its filiales Revúčka and Muránská Zdychava (in the 1930s) / Jakubej, Ján [Autor, UKFFFAKHI, 100%]. – text. – [slovenčina]. – [OV 030]. – [ŠO 7115]. – [článok]. – [recenzované]. – SCO In: Historia Ecclesiastica [textový dokument (print)] : časopis pre dejiny cirkví a náboženstiev v Strednej Európe. – Prešov (Slovensko) : Prešovská univerzita v Prešove. – ISSN 1338-4341. – Roč. 12, č. 2 (2021), s. 142-162 [tlačená forma] . – CiteScore: 0,4 ; SJR: 0,174 ; SNIP: 0,186 Scimago - History - Q2, Religious studies - Q2 </t>
  </si>
  <si>
    <t xml:space="preserve">Daniel v jame levovej : (k jednej epizóde z dejín slovenského nadrealizmu) / Teplan, Dušan [Autor, UKFFFASJL, 100%]. – text. – [slovenčina]. – [OV 020]. – [ŠO 7320]. – [článok]. – [recenzované]. – DOI 10.5817/SL2022-2-X In: Slavica litteraria [textový dokument (print)] [elektronický dokument] : vědecký recenzovaný časopis publikující odborné práce z oblasti literárněvědné slavistiky. – Brno (Česko) : Masarykova univerzita. – ISSN 1212-1509. – ISSN (online) 2336-4491. – Roč. 25, č. 2 (2022), s. 21-33 [tlačená forma] [online] </t>
  </si>
  <si>
    <t xml:space="preserve">Decomposition with New Technologies in Contemporary Slovak Theatre Productions / Hrbek, Milan [Autor, UKFFFAULK, 100%]. – text. – [angličtina]. – [OV 040]. – [ŠO 8202]. – [článok]. – [recenzované]. – DOI 10.31577/sd-2021-0020. – SCO In: Slovenské divadlo [textový dokument (print)] [elektronický dokument] : revue dramatických umení. – Bratislava (Slovensko) : Slovenská akadémia vied. Pracoviská SAV. Ústav divadelnej a filmovej vedy. – ISSN 0037-699X. – ISSN (online) 1336-8605. – Roč. 69, č. 3 (2021), s. 277-289 [tlačená forma] [online] . – CiteScore: 0,2 ; SJR: 0,158 ; SNIP: 0,208 Scimago - Communication - Q3, Cultural studies - Q2, History - Q2, Literature and literary theory - Q1, Music - Q2, Visual arts and performing arts - Q1 </t>
  </si>
  <si>
    <t xml:space="preserve">Depression and anxiety as predictors of quality of life after a stroke / Sollár, Tomáš [Autor, UKFFSVUAP, 35%] ; Dančová, Katarína [Autor, UKFFSVUAP, 5%] ; Solgajová, Andrea [Autor, UKFFSVKOS, 30%] ; Romanová, Martina [Autor, UKFFSVUAP, 30%]. – text. – [angličtina]. – [OV 060]. – [ŠO 7701]. – [článok]. – [recenzované]. – DOI 10.32725/kont.2022.002. – WOS CC ; SCO In: Kontakt [textový dokument (print)] [elektronický dokument] : vědecký časopis Zdravotně sociální fakulty Jihočeské univerzity : časopis pro ošetřovatelství a sociální vědy ve zdraví a nemoci = Journal of nursing and social sciences related to health and illness. – České Budejovice (Česko) : Jihočeská univerzita v Českých Budějovicích. Zdravotně sociální fakulta. – ISSN 1212-4117. – ISSN (online) 1804-7122. – Roč. 24, č. 1 (2022), s. 79-84 [tlačená forma] [online] </t>
  </si>
  <si>
    <t xml:space="preserve">Designing Activities to Develop Statistical Literacy in Primary Pupils While Conducting Physics Laboratory Work in Informal Settings / Medová, Janka [Autor, UKFFPVKMA, 40%] ; Sedmaková, Zdenka [Autor, UKFFPVKMA, 10%] ; Uhrecký, Branislav [Autor, UKFFPVKFY, 10%] ; Valovičová, Ľubomíra [Autor, UKFFPVKFY, 40%]. – text. – [angličtina]. – [OV 240, 091]. – [ŠO 1113, 1160]. – [článok]. – [recenzované]. – DOI 10.3390/educsci12040246. – WOS CC ; SCO In: Education sciences [elektronický dokument] . – Bazilej (Švajčiarsko) : Multidisciplinary Digital Publishing Institute. – ISSN (online) 2227-7102. – Roč. 12, č. 4 (2022), s. 1-20 [online] </t>
  </si>
  <si>
    <t xml:space="preserve">Destinačný manažment a manažment kultúry – na príklade činnosti OOCR Turistický Novohrad a Podpoľanie / Kurpaš, Michal [Autor, UKFFFAKMK, 50%] ; Sibylová, Nikola [Autor, 50%]. – text. – [slovenčina]. – [OV 020]. – [ŠO 8110]. – [článok]. – [recenzované] In: Kontexty kultúry a turizmu [textový dokument (print)] . – Nitra (Slovensko) : Univerzita Konštantína Filozofa v Nitre. Filozofická fakulta. – ISSN 1337-7760. – Roč. 15, č. 1 (2022), s. 35-46 [tlačená forma] </t>
  </si>
  <si>
    <t xml:space="preserve">Detabuizácia staroby a starnutia v tvorbe predstaviteľov súčasného tanca Neskorý zber o. z. / Krajčovičová, Dominika [Autor, UKFFSSKAK, 100%]. – text. – [slovenčina]. – [OV 020]. – [ŠO 8110]. – [článok]. – [recenzované] In: Culturologica Slovaca [elektronický dokument] : internetový kulturologický časopis. – Nitra (Slovensko) : Univerzita Konštantína Filozofa v Nitre. – ISSN 2453-9740. – Roč. 7, č. 1 (2022), s. 42-51 [online] </t>
  </si>
  <si>
    <t xml:space="preserve">Detection of occupational surface remnants at a heavily eroded site; case study of archaeological soils from La Terrasse, Bibracte oppidum / Lisá, Lenka [Autor, 20%] ; Mohammadi, Sahar [Autor, 20%] ; Goláňová, Petra [Autor, 20%] ; Hajnalová, Mária [Autor, UKFFFAKAR, 20%] ; Bajer, Aleš [Autor, 5%] ; Moska, Piotr [Autor, 5%] ; Rohovec, Jan [Autor, 4%] ; Král, Přemysl [Autor, 2%] ; Kysela, Jan [Autor, 2%] ; Kočárová, Romana [Autor, 2%]. – text. – [angličtina]. – [OV 030]. – [ŠO 7115]. – [článok]. – [recenzované]. – DOI 10.1016/j.catena.2021.105911. – WOS CC ; SCO ; CCC In: Catena [textový dokument (print)] [elektronický dokument] : an interdisciplinary journal of soil science, hydrology, geomorphology focusing on geoecology and landscape evolution. – New York (USA) : Elsevier. – ISSN 0341-8162. – ISSN (online) 1872-6887. – Roč. 210 (2022), s. 1-18 [tlačená forma] [online] </t>
  </si>
  <si>
    <t xml:space="preserve">Determination of caesium‐137 in water samples using modified carbon microfibers / Silliková, Veronika [Korešpondenčný autor, 40%] ; Jakubčinová, Jana [Autor, UKFFPVKCH, 10%] ; Horník, Miroslav [Autor, UCMFPVKCHR, 10%] ; Gomola, Igor [Autor, 10%] ; Dulanská, Silvia [Autor, UKOLFULFB, 30%]. – text. – [angličtina]. – [OV 180, 120]. – [ŠO 5141, 1420]. – [článok]. – [recenzované]. – DOI 10.1007/s10967-022-08212-5. – SIGN-UKO LF ULFB/22. – WOS CC ; SCO ; CCC In: Journal of Radioanalytical and Nuclear Chemistry [textový dokument (print)] [elektronický dokument] : an International Journal Dealing with All Aspects and Applications of Nuclear Chemistry. – Dordrecht (Nemecko) : Kluwer Academic Publishers, Dordrecht (Holandsko) : Springer Nature. – ISSN 0236-5731. – ISSN (online) 1588-2780. – Roč. 331, č. 3 (2022), s. 1275-1284 [tlačená forma] [online] </t>
  </si>
  <si>
    <t xml:space="preserve">Determination of phase change temperature of materials from adiabatic scanning calorimetry data / Medveď, Igor [Autor, 33.333%] ; Jurči, Milan [Autor, 33.334%] ; Trník, Anton [Autor, UKFFPVKFY, 33.333%]. – text. – [angličtina]. – [OV 091]. – [ŠO 1160]. – [článok]. – [recenzované]. – DOI 10.1007/s10973-022-11335-2 In: Journal of Thermal Analysis and Calorimetry [textový dokument (print)] [elektronický dokument] : an International Forum for Thermal Studies. – Dordrecht (Holandsko) : Springer Nature. Springer International Publishing AG. – ISSN 1388-6150. – ISSN (online) 1588-2926. – Roč. 147, č. 12 (2022), s. 1-12 [tlačená forma] [online] </t>
  </si>
  <si>
    <t xml:space="preserve">Determination of Time Domain Reflectometry Surface Sensors Sensitivity Depending on Geometry and Material Moisture / Suchorab, Zbigniew [Autor, 13%] ; Malec, Agnieszka [Autor, 13%] ; Sobczuk, Henryk [Autor, 13%] ; Łagód, Grzegorz [Autor, 13%] ; Gorgol, Izolda [Autor, 12%] ; Łazuka, Ewa [Autor, 12%] ; Brzyski, Przemysław [Autor, 12%] ; Trník, Anton [Autor, UKFFPVKFY, 12%]. – text. – [angličtina]. – [OV 170]. – [ŠO 1160]. – [článok]. – [recenzované]. – DOI 10.3390/s22030735. – WOS CC ; SCO ; CCC In: Sensors [textový dokument (print)] [elektronický dokument] . – Bazilej (Švajčiarsko) : Multidisciplinary Digital Publishing Institute. – ISSN 1424-3210. – ISSN (online) 1424-8220. – Roč. 22, č. 3 (2022), s. 1-14 [online] [tlačená forma] </t>
  </si>
  <si>
    <t xml:space="preserve">Developing Intercultural Competence at Slovak Secondary Schools / Sándorová, Zuzana [Autor, UKFPFAKLI, 100%]. – text. – [angličtina]. – [OV 010]. – [ŠO 7605]. – [článok]. – [recenzované]. – DOI 10.36923/jicc.v21i3.17. – SCO In: Journal of Intercultural Communication [textový dokument (print)] . – Štokholm (Švédsko) : Taylor &amp; Francis Group. – ISSN 1404-1634. – Roč. 21, č. 3 (2021), s. 1-13 [tlačená forma] [online] . – CiteScore: 0,6 ; SJR: 0,132 ; SNIP: 0,307 Scimago - Communication - Q4, Cultural studies - Q3 </t>
  </si>
  <si>
    <t xml:space="preserve">Developing Reading Comprehension in L2 with respect to Text Genre and Form / Stranovská, Eva [Autor, UKFFFAKGE, 50%] ; Gadušová, Zdenka [Autor, UKFFFAKAA, 50%]. – text. – [angličtina]. – [OV 010]. – [ŠO 7605]. – [článok]. – [recenzované]. – DOI 10.26907/esd.17.2.07 In: Education and Self Development [textový dokument (print)] . – ISSN 1991-7740. – Roč. 17, č. 2 (2022), s. 63-74 [tlačená forma] </t>
  </si>
  <si>
    <t xml:space="preserve">Developing Tourism Undergraduates’ Intercultural Communicative Skills in the English Language in a Purely Online Environment / Sándorová, Zuzana [Autor, UKFPFAKLI, 75%] ; Beták, Norbert [Autor, UKFFSSKCR, 20%] ; Presinszká, Silvia [Autor, 5%]. – text. – [angličtina]. – [OV 010]. – [ŠO 7605]. – [článok]. – [recenzované] In: Journal of international scientific publications : Educational Alternatives. – Bourgas (Bulharsko) : Science &amp; Education Foundation (Bourgas, Bulharsko). – ISSN 1314-7277. – Roč. 20 (2022), s. 183-195 </t>
  </si>
  <si>
    <t xml:space="preserve">Development and changes in pathogens population causing Dothistroma needle blight in Pinus nigra plantation in Strážovské vrchy Mts / Jánošíková, Radoslava [Autor, UKFFPVKEE, 60%] ; Adamčíková, Katarína [Autor, 40%]. – text. – [angličtina]. – [OV 100]. – [ŠO 1610]. – [článok]. – [recenzované]. – DOI 10.1007/s11756-022-01135-2. – WOS CC ; SCO In: Biologia [textový dokument (print)] [elektronický dokument] . – Cham : Springer Nature. – ISSN 0006-3088. – ISSN (online) 1336-9563. – Roč. 77, č. 8 (2022), s. 1-7 [tlačená forma] [online] </t>
  </si>
  <si>
    <t xml:space="preserve">Development of retail network on the example of three regional towns comparison in West Slovakia / Trembošová, Miroslava [Autor, UKFFPVKGR, 40%] ; Dubcová, Alena [Autor, UKFFPVKGR, 10%] ; Cagáňová, Dagmar [Autor, M4000, 25%] ; Nagyová, Ľudmila [Autor, 25%]. – text. – [angličtina]. – [OV 092, 140]. – [ŠO 1217]. – [článok]. – [recenzované]. – DOI 10.1007/s11276-020-02272-9. – WOS CC ; SCO ; CCC In: Wireless networks [textový dokument (print)] [elektronický dokument] : the journal of mobile communication, computation and information. – Dordrecht (Holandsko) : Springer Nature. – ISSN 1022-0038. – ISSN (online) 1572-8196. – Roč. 28, č. 2 (2022), s. 903-913 [tlačená forma] [online] </t>
  </si>
  <si>
    <t xml:space="preserve">Diagnosing and Comparing Mental Disorders of Serial Killers in Fiction : An Interdisciplinary of Iain Banks’ “The Wasp Factory” (1984) and Bret E. Ellis’ “American Psycho” (1991) / Briedik, Adam [Autor, UKFFFAKAA, 100%]. – text. – [angličtina]. – [OV 020]. – [ŠO 8110]. – [článok]. – [recenzované]. – DOI 10.18848/2327-7912/cgp/v20i01/157-171. – SCO In: The International Journal of Literary Humanities [textový dokument (print)] [elektronický dokument] . – Champaign (USA) : University of Illinois Research Park. – ISSN 2327-7912. – ISSN (online) 2327-8676. – DOI 10.18848/2327-7912/CGP. – Roč. 20, č. 1 (2022), s. 157-171 [tlačená forma] [online] </t>
  </si>
  <si>
    <t xml:space="preserve">Diagnostické kompetencie učiteľa a rodinné prostredie začínajúcich školákov / Teleková, Radka [Autor, UKFPFAKPE, 50%] ; Marcineková, Tatiana [Autor, UKFPFAKPE, 50%]. – text. – [angličtina]. – [OV 010]. – [ŠO 7605]. – [článok]. – [recenzované]. – DOI 10.33542/EDU2022-1-0 In: Edukácia [elektronický dokument] : Vedecko-odborný časopis. – Košice (Slovensko) : Univerzita Pavla Jozefa Šafárika v Košiciach. Celouniverzitné pracovisko UPJŠ. Vydavateľstvo ŠafárikPress UPJŠ. – ISSN 1339-8725. – Roč. 5, č. 1 (2022), s. 71-80 [online] </t>
  </si>
  <si>
    <t xml:space="preserve">Diastereomeric dinickel(II) complexes with non-innocent bis(octaazamacrocyclic) ligands: isomerization, spectroelectrochemistry, DFT calculations and use in catalytic oxidation of cyclohexane / Dobrov, Anatolie [Autor, 7%] ; Darvasiová, Denisa [Autor, 045210, 7%] ; Zalibera, Michal [Autor, 045210, 20%] ; Bučinský, Lukáš [Autor, 045280, 10%] ; Jelemenská, Ingrid [Autor, UKFFPVKCH, 7%] ; Rapta, Peter [Autor, 045210, 7%] ; Shova, Sergiu [Autor, 7%] ; Dumitrescu, Dan G. [Autor, 7%] ; Andrade, Marta A. [Autor, 7%] ; Martins, Luísa M. D. R. S. [Autor, 7%] ; Pombeiro, Armando [Autor, 7%] ; Arion, Vladimir B. [Autor, 7%]. – text. – [angličtina]. – [OV 120]. – [ŠO 1420]. – [článok]. – [recenzované]. – DOI 10.1039/d2dt00154c. – WOS CC ; SCO ; CCC In: Dalton Transactions [textový dokument (print)] [elektronický dokument] . – Londýn (Veľká Británia) : The Royal Society of Chemistry. – ISSN 1477-9226. – ISSN (online) 1477-9234. – Roč. 51, č. 13 (2022), s. 5151-5167 [tlačená forma] [online] </t>
  </si>
  <si>
    <t xml:space="preserve">Dietary supplementation of Flaxseed (Linum usitatissimum L.) alters ovarian functions of xylene-exposed mice / Vlčková, Radoslava [Autor, UVLFKBF, 30%] ; Sopková, Drahomíra [Autor, UVLFKBF, 13%] ; Andrejčáková, Zuzana [Autor, UVLFKBF, 20%] ; Lecová, Martina [Autor, UVLFKBF, 5%] ; Fabian, Dušan [Autor, 5%] ; Šefčíková, Zuzana [Autor, 5%] ; Seidavi, Alireza [Autor, 2%] ; Sirotkin, Alexander [Autor, UKFFPVKZA, 20%]. – text. – [angličtina]. – [OV 130, 200]. – [ŠO 1536, 4318]. – [článok]. – [recenzované]. – DOI 10.3390/life12081152. – WOS CC ; SCO ; CCC In: Life [elektronický dokument] . – Bazilej (Švajčiarsko) : Multidisciplinary Digital Publishing Institute. – ISSN (online) 2075-1729. – Roč. 12, č. 8 (2022), art. no. 1152, s. [1-17] [online] </t>
  </si>
  <si>
    <t xml:space="preserve">Difficulties in Reading Comprehension of Hungarian Primary School Students in Slovakia / Gergelyová, Viktória [Autor, UKFFSSUML, 50%] ; Vančo, Ildikó [Autor, UKFFSSUML, 50%]. – text. – [angličtina]. – [OV 010]. – [ŠO 7605]. – [článok]. – [recenzované]. – DOI 10.2478/hsy-2021–0006 In: Hungarian Studies Yearbook [textový dokument (print)] . – Warsaw (Poľsko) : SCIENDO. – ISSN 2668-7542. – Roč. 3, č. 1 (2021), s. 78-88 [tlačená forma] </t>
  </si>
  <si>
    <t xml:space="preserve">Digital Technologies in Environmental Education / Brečka, Peter [Autor, UKFPFAKTT, 34%] ; Valentová, Monika [Autor, UKFPFAKTT, 33%] ; Tureková, Ivana [Autor, UKFPFAKTT, 33%]. – text. – [angličtina]. – [OV 010]. – [ŠO 7605]. – [článok]. – [recenzované]. – DOI 10.18421/TEM112-28,. – WOS CC ; SCO In: TEM Journal [textový dokument (print)] [elektronický dokument] : Technology, Education, Management, Informatics. – Novi Pazar (Srbsko) : Association for Information Communication Technology Education and Science. – ISSN 2217-8309. – ISSN (online) 2217-8333. – Roč. 11, č. 2 (2022), s. 726-730 [tlačená forma] [online] </t>
  </si>
  <si>
    <t xml:space="preserve">Digitális technológiák az idegenforgalomban = Digitálne technológie v cestovnom ruchu / Palenčíková, Zuzana [Autor, UKFFSSKCR, 50%] ; Szabó, Tibor [Autor, UKFFSSUVP, 50%]. – text. – [maďarčina]. – [OV 010]. – [ŠO 7605]. – [článok]. – [recenzované] In: Katedra [elektronický dokument] : szlovákiai magyar pedagógusok és szülők lapja. – Dunajská Streda (Slovensko) : Nadácia Katedra. – ISSN 1335-6445. – ISSN (online) 2729-9066. – Roč. 29, č. 5 (2022), s. 28-30 [tlačená forma] [online] </t>
  </si>
  <si>
    <t xml:space="preserve">Direct action of leptin, obestatin and ginkgo on hormone release by luteinised human ovarian granulosa cells / Sirotkin, Alexander [Autor, UKFFPVKZA, 16%, 17 AH] ; Tarko, Adam [Autor, UKFFPVKZA, 14%] ; Fabová, Zuzana [Autor, UKFFPVKZA, 14%] ; Mlynček, Miloš [Autor, UKFFSVKOS, 14%] ; Kotwica, Jan [Autor, 14%] ; Alwasel, Saleh Hamad Amad [Autor, 14%] ; Harrath, Abdel Halim [Autor, 14%]. – text. – [angličtina]. – [OV 180]. – [ŠO 5602]. – [článok]. – [recenzované]. – DOI 10.1071/RD22154 In: Reproduction, Fertility and Development [textový dokument (print)] : the official journal of the Fertility Society of Australia and of the Australian Society for Reproduction Biology. – Collingwood (Austrália) : Commonwealth Scientific and Industrial Research Organisation CSIRO. – ISSN 1031-3613. – ISSN (online) 1448-5990. – Roč. 34, č. 17 (2022), s. 1-15 [tlačená forma] </t>
  </si>
  <si>
    <t xml:space="preserve">Discussion of the intentions of curricular reform in Slovakia in the context of teaching technology in primary schools = Konkretizácia zámerov kurikulárnej reformy na Slovensku v kontexte výučby techniky na základných školách / Hašková, Alena [Autor, UKFPFAKTT, 50%] ; Lukáčová, Danka [Autor, UKFPFAKTT, 50%]. – text. – [angličtina]. – [OV 010]. – [ŠO 7605]. – [článok]. – [recenzované]. – DOI 10.5507/jtie.2022.007 In: Journal of Technology and Information Education [textový dokument (print)] [elektronický dokument] . – Olomouc (Česko) : Univerzita Palackého v Olomouci. Pedagogická fakulta. Katedra technické a informační výchovy. – ISSN 1803-537X. – ISSN (online) 1803-6805. – Roč. 14, č. 1 (2022), s. 1-16 [tlačená forma] [online] </t>
  </si>
  <si>
    <t xml:space="preserve">Distribution of tetraspanins in bovine ovarian tissue and fresh/vitrified oocytes / Jankovičová, Jana [Autor, 12.5%] ; Sečová, Petra [Autor, 12.5%] ; Horovská, Ľubica [Autor, 12.5%] ; Olexíková, Lucia [Autor, 12.5%] ; Dujíčková, Linda [Autor, UKFFPVKBG, 12.5%] ; Makarevich, Alexander V. [Autor, 12.5%] ; Michalíková, Katarína [Autor, 12.5%] ; Antalíková, Jana [Autor, 12.5%]. – text. – [angličtina]. – [OV 130]. – [ŠO 1536]. – [článok]. – [recenzované]. – DOI 10.1007/s00418-022-02155-4 In: Histochemistry and Cell Biology [textový dokument (print)] . – Berlín (Nemecko) : Springer Nature. – ISSN 0948-6143. – ISSN (online) 1432-119X. – Roč. 158, č. 5 (2022), s. 1-24 [tlačená forma] </t>
  </si>
  <si>
    <t xml:space="preserve">Diversity of Phytochemical and Antioxidant Characteristics of Black Mulberry (Morus nigra L.) Fruits from Turkey / Škrovánková, Soňa [Autor, 12.5%] ; Ercisli, Sezai [Autor, 12.5%] ; Ozkan, Gursel [Autor, 12.5%] ; Ilhan, Gulce [Autor, 12.5%] ; Sagbas, Halil Ibrahim [Autor, 12.5%] ; Karatas, Neva [Autor, 12.5%] ; Juríková, Tünde [Autor, UKFFSSUVP, 12.5%] ; Mlček, Jiří [Autor, 12.5%]. – text. – [angličtina]. – [OV 010]. – [ŠO 1536]. – [článok]. – [recenzované]. – DOI 10.3390/antiox11071339. – WOS CC ; SCO In: Antioxidants [elektronický dokument] . – Bazilej (Švajčiarsko) : Multidisciplinary Digital Publishing Institute. – ISSN (online) 2076-3921. – Roč. 11, č. 7 (2022), s. 1-14 [online] </t>
  </si>
  <si>
    <t xml:space="preserve">Diversity within corporate education at the Slovak labour and welfare administration: a cross-sectional questionnaire survey / Flikingerová, Lenka [Autor, UKFPFAKPE, 50%] ; Tokovská, Miroslava [Autor, 25%] ; Petrová, Gabriela [Autor, UKFPFAKPE, 25%]. – text. – [angličtina]. – [OV 010]. – [ŠO 7605]. – [článok]. – [recenzované]. – DOI 10.33543/1201. – WOS CC In: AD ALTA [textový dokument (print)] [elektronický dokument] : journal of interdisciplinary research = recenzovaný mezioborový vědecký časopis. – Hradec Králové (Česko) : Magnanimitas akademické sdružení. – ISSN 1804-7890. – ISSN (online) 2464-6733. – Roč. 12, č. 1 (2022), s. 45-50 [tlačená forma] [online] </t>
  </si>
  <si>
    <t xml:space="preserve">Do something! Czech and Slovak fanzines and building alternative scenes / Pevčíková, Jozefa [Autor, UKFFFAULK, 100%]. – text. – [angličtina]. – [OV 020]. – [ŠO 8110]. – [článok]. – [recenzované]. – WOS CC In: Slovenská literatúra [textový dokument (print)] [elektronický dokument] : revue pre literárnu vedu : časopis Ústavu slovenskej literatúry Slovenskej akadémie vied. – Bratislava (Slovensko) : Slovenská akadémia vied. Pracoviská SAV. Ústav slovenskej literatúry. – ISSN 0037-6973. – Roč. 69, č. 1 (2022), s. 1-17 [tlačená forma] [online] </t>
  </si>
  <si>
    <t xml:space="preserve">Does breeding habitat affect the amount of ants in the diet of European bee-eater nestlings? / Goffová, Katarína [Korešpondenčný autor, UKOPRBZO, 30%] ; Krčmárik, Samuel [Autor, UKOPRBZO, 10%] ; Selnekovič, Dávid [Autor, UKOPRBZO, 10%] ; Langraf, Vladimír [Autor, UKFFPVKEE, 10%] ; Bohuš, Mirko [Autor, UKOPREEM, 10%] ; Purkart, Adrián [Autor, UKOPRBZO, 30%]. – text, fotogr., tab. – [angličtina]. – [OV 130, 100]. – [ŠO 1610, 1536]. – [článok]. – [recenzované]. – DOI 10.1007/s11756-021-00926-3. – SIGN-UKO PR 1/22. – SCIE ; WOS CC ; SCO ; CCC In: Biologia [textový dokument (print)] [elektronický dokument] . – Cham : Springer Nature. – ISSN 0006-3088. – ISSN (online) 1336-9563. – Roč. 77, č. 1 (2022), s. 157-165 [tlačená forma] [online] </t>
  </si>
  <si>
    <t xml:space="preserve">Dojčenie na verejnosti ako spoločenské tabu (príklad Slovenska) = Breastfeeding in Public as Social Taboo (Example from Slovakia) / Letavajová, Silvia [Autor, UKFFFAKMK, 100%]. – text. – [slovenčina]. – [OV 030]. – [ŠO 7115]. – [článok]. – [recenzované]. – SCO In: Národopisná revue [textový dokument (print)] [elektronický dokument] . – Strážnice (Česko) : Národní ústav lidové kultury. – ISSN 0862-8351. – ISSN (online) 2570-9437. – Roč. 32, č. 1 (2022), s. 32-41 [tlačená forma] [online] </t>
  </si>
  <si>
    <t xml:space="preserve">Dopad dištančnej formy vzdelávania na kvalitu výučby na Katedre manažmentu kultúry a turizmu, UKF v Nitre / Hučková, Jana [Autor, UKFFFAKMK, 100%]. – text. – [slovenčina]. – [OV 020]. – [ŠO 8110]. – [článok]. – [recenzované] In: Kontexty kultúry a turizmu [textový dokument (print)] . – Nitra (Slovensko) : Univerzita Konštantína Filozofa v Nitre. Filozofická fakulta. – ISSN 1337-7760. – Roč. 15, č. 1 (2022), s. 59-68 [tlačená forma] </t>
  </si>
  <si>
    <t xml:space="preserve">Dual Education and Occupational Safety Training / Tureková, Ivana [Autor, UKFPFAKTT, 25%] ; Marková, Iveta [Autor, ZUZFBIPŽI, 25%] ; Hrmo, Roman [Autor, KDOP, 25%] ; Harangozó, Jozef [Autor, UKFPFAKTT, 25%]. – text. – [angličtina]. – [OV 010]. – [ŠO 7605]. – [článok]. – [recenzované]. – DOI 10.53349/resource.2022.iS24.a1114 In: R&amp;E-Source [elektronický dokument] . – Baden (Rakúsko) : Pädagogische Hochschule NÖ. – ISSN (online) 2313-1640. – suppl. Factory of Engineering Pedagogy - FEP, č. 24 (2022), s. 94-101 [online] </t>
  </si>
  <si>
    <t xml:space="preserve">Dva ženské archetypy (Mária a Eva) / Zumríková Kekeliaková, Monika [Autor, UKFFFASJL, 100%]. – text. – [slovenčina]. – [OV 020]. – [ŠO 7320]. – [článok]. – [recenzované] In: Vertigo [textový dokument (print)] : časopis o poézii a básnikoch. – Fintice (Slovensko) : FACE - Fórum alternatívnej kultúry a vzdelávania. – ISSN 1339-3820. – Roč. 9, č. 4 (2021), s. 64-69 [tlačená forma] </t>
  </si>
  <si>
    <t xml:space="preserve">Dve tváre expedičnej a horskej turistiky : kráčať mimo značených ciest / Krno, Svetozár [Autor, UKFFFAKPO, 100%]. – text. – [slovenčina]. – [OV 060]. – [ŠO 6718]. – [článok]. – [recenzované] In: Kapitál [textový dokument (print)] [elektronický dokument] : angažovaný mesačník. – Bratislava (Slovensko) : Občianske združenie Literárny klub, Bratislava (Slovensko) : KPTL občianske združenie. – ISSN 2585-7851. – Roč. 6, č. 7 (2022), s. 26-27 [tlačená forma] </t>
  </si>
  <si>
    <t xml:space="preserve">Educational needs of teachers of Slovak language and literature with an emphasis on Slovak language as a second language for professional education intentions / Onušková, Mária [Autor, UKFPFAKPE, 50%] ; Pisoňová, Mária [Autor, UKFPFAKPE, 50%]. – text. – [angličtina]. – [OV 010]. – [ŠO 7605]. – [článok]. – [recenzované]. – DOI 10.18355/PG.2022.11.2.1 In: Slavonic Pedagogical Studies Journal [textový dokument (print)] [elektronický dokument] : the Scientific Educational Journal . – Nitra (Slovensko) : Slovenská Vzdelávacia a Obstarávacia. – ISSN 1339-8660. – ISSN (online) 1339-9055. – Roč. 11, č. 2 (2022), s. 181-191 [tlačená forma] [online] . – Nordic List: 1 </t>
  </si>
  <si>
    <t xml:space="preserve">Edukácia geografie v teréne ako súčasť prípravy budúcich absolventov v podmienkach vývoja nitrianskej geografickej katedry = Outdoor Geography Education as Part of the Preparation of Future Graduates in the Conditions of Development of the Nitra Geographical Department / Nemčíková, Magdaléna [Autor, UKFFPVKGR, 45%] ; Oremusová, Daša [Autor, UKFFPVKGR, 45%] ; Rampašeková, Zuzana [Autor, UKFFPVKGR, 10%]. – text. – [slovenčina]. – [OV 092]. – [ŠO 1217]. – [článok]. – [recenzované]. – DOI 10.17846/GI.2021.25.2.18-33 In: Geografické informácie [textový dokument (print)] [elektronický dokument] . – Nitra (Slovensko) : Univerzita Konštantína Filozofa v Nitre. – ISSN 1337-9453. – Roč. 25, č. 2 (2021), s. 18-33 [tlačená forma] [online] </t>
  </si>
  <si>
    <t xml:space="preserve">Effect of cadmium on the rhizospheric microorganisms of the sunflower / Lengyelová, Libuša [Autor, UKFFPVKBG, 25%] ; Piršelová, Beáta [Autor, UKFFPVKBG, 25%] ; Galuščáková, Ľudmila [Autor, UKFFPVKBG, 20%] ; Kuna, Roman [Autor, UKFFPVKBG, 10%] ; Boleček, Peter [Autor, UKFFPVKBG, 10%] ; Mészáros, Patrik [Autor, UKFFPVKBG, 10%]. – text. – [angličtina]. – [OV 130]. – [ŠO 1536]. – [článok]. – [recenzované] In: GRANT journal [elektronický dokument] : European Grant Projects, Results, Research &amp; Development, Science : Peer-Reviewed Scientific Journal. – Hradec Králové (Česko) : Magnanimitas akademické sdružení. – ISSN (online) 1805-0638. – ISSN (online) 1805-062X. – Roč. 11, č. 1 (2022), s. 82-85 [CD-ROM] [online] </t>
  </si>
  <si>
    <t xml:space="preserve">Effect of DEHP exposure in Calliphora vicina (Diptera: Calliphoridae) / Šulková, Eva [Autor, UKFFPVKZA, 35%] ; Kolena, Branislav [Autor, UKFFPVKZA, 35%] ; Šuláková, Hana [Autor, 1%] ; Hlisníková, Henrieta [Autor, UKFFPVKZA, 8%] ; Nagyová, Miroslava [Autor, UKFFPVKZA, 5%] ; Poláčiková, Zuzana [Autor, UKFFPVKZA, 2%] ; Babosová, Ramona [Autor, UKFFPVKZA, 7%] ; Vondráková, Mária [Autor, UKFFPVKZA, 2%] ; Petrovičová, Ida [Autor, UKFFPVKZA, 5%]. – text. – [angličtina]. – [OV 130]. – [ŠO 1536]. – [článok]. – [recenzované]. – DOI 10.1016/j.aspen.2022.101984. – WOS CC ; SCO In: Journal of Asia pacific entomology [textový dokument (print)] . – Amsterdam (Holandsko) : Elsevier. Academic Press. – ISSN 1226-8615. – ISSN (online) 1876-7990. – Roč. 25, č. 4 (2022), s. 1-6 [tlačená forma] </t>
  </si>
  <si>
    <t xml:space="preserve">Effect of Green Tea on Weight Gain and Semen Quality of Rabbit Males / Baláži, Andrej [Autor, 20%] ; Sirotkin, Alexander [Autor, UKFFPVKZA, 16%] ; Makovický, Pavol [Autor, UJSPFKBIO, 16%] ; Chrastinová, Ľubica [Autor, 16%] ; Makarevich, Alexander V. [Autor, 16%] ; Chrenek, Peter [Autor, SPUFBP31, 16%]. – text. – [angličtina]. – [OV 130]. – [ŠO 1536]. – [článok]. – [recenzované]. – DOI 10.3390/vetsci9070321. – WOS CC ; SCO ; CCC In: Veterinary sciences [elektronický dokument] . – Bazilej (Švajčiarsko) : Multidisciplinary Digital Publishing Institute. – ISSN 2306-7381. – Roč. 9, č. 7 (2022), art. no. 321, s. 1-14 [online] </t>
  </si>
  <si>
    <t xml:space="preserve">Effect of xylene oral exposure on the mouse uterus – a preliminary study / Štefancová, Diana [Autor, 10%] ; Lecová, Martina [Autor, UVLFKBF, 5%] ; Andrejčáková, Zuzana [Autor, UVLFKBF, 20%] ; Sopková, Drahomíra [Autor, UVLFKBF, 20%] ; Sirotkin, Alexander [Autor, UKFFPVKZA, 5%] ; Vlčková, Radoslava [Autor, UVLFKBF, 40%]. – [angličtina]. – [OV 200, 130]. – [ŠO 4318, 1536]. – [článok]. – [recenzované]. – DOI 10.2478/fv-2022-0029 In: Folia veterinaria [textový dokument (print)] [elektronický dokument] : the scientific journal of the University of Veterinary Medicine and Pharmacy in Košice. – Košice (Slovensko) : Univerzita veterinárskeho lekárstva a farmácie v Košiciach. – ISSN 0015-5748. – ISSN (online) 2453-7837. – Roč. 66, č. 3 (2022), s. 67-73 [tlačená forma] [online] </t>
  </si>
  <si>
    <t xml:space="preserve">E-learningové vzdelávanie a jeho verifikácia na príklade predmetu Diaľkový prieskum Zeme v podmienkach Univerzity Konštantína Filozofa v Nitre v ostatnom decéniu = E-Learning and Its Verification on the Example of Teaching Remote Sensing at the Constantine The Philosopher University in Nitra in Last Decade / Boltižiar, Martin [Autor, UKFFPVKGR, 100%]. – text. – [slovenčina]. – [OV 092]. – [ŠO 1217]. – [článok]. – [recenzované]. – DOI 10.17846/GI.2021.25.2.4-17 In: Geografické informácie [textový dokument (print)] [elektronický dokument] . – Nitra (Slovensko) : Univerzita Konštantína Filozofa v Nitre. – ISSN 1337-9453. – Roč. 25, č. 2 (2021), s. 4-17 [tlačená forma] [online] </t>
  </si>
  <si>
    <t xml:space="preserve">Electronic Media and Online Parent-Teacher Cooperation / Kurincová, Viera [Autor, UKFPFAKPE, 34%] ; Turzák, Tomáš [Autor, UKFPFAKPE, 33%] ; Klimentová, Anna [Autor, UKFPFAKPE, 33%]. – [angličtina]. – [OV 010]. – [ŠO 7605]. – [článok]. – [recenzované]. – DOI 10.15804/kie.2022.02.09 In: Kultura i edukacja [textový dokument (print)] [elektronický dokument] . – Toruń (Poľsko) : Wydawnictwo Adam Marszalek. – ISSN 1230-266X. – Roč. 136, č. 2 (2022), s. 147-161 [tlačená forma] [online] </t>
  </si>
  <si>
    <t xml:space="preserve">Environmentalizmus a jeho obraz na Slovensku po roku 1989 (perspektíva Ivana Dubničku) / Fačkovec, Henrich [Autor, UKFFFAKPO, 100%]. – text. – [slovenčina]. – [OV 060]. – [ŠO 6718]. – [článok]. – [recenzované] In: Civitas [textový dokument (print)] : časopis pre politické a sociálne vedy. – Nitra (Slovensko) : Univerzita Konštantína Filozofa v Nitre. Filozofická fakulta. Katedra politológie a euroázijských štúdií. – ISSN 1335-2652. – Roč. 28, č. 2 (2022), s. 3-4 [tlačená forma] </t>
  </si>
  <si>
    <t xml:space="preserve">Environmentálne a edukačné línie súčasného slovenského divadla : (interpretácia inscenácie eduhry Kým nastane ticho) / Ballay, Miroslav [Autor, UKFFFAKMK, 100%]. – text. – [slovenčina]. – [OV 040]. – [ŠO 8110]. – [článok]. – [recenzované] In: Culturologica Slovaca [elektronický dokument] : internetový kulturologický časopis. – Nitra (Slovensko) : Univerzita Konštantína Filozofa v Nitre. – ISSN 2453-9740. – Roč. 7, č. 1 (2022), s. 32-41 [online] </t>
  </si>
  <si>
    <t xml:space="preserve">Essential metals in health and disease / Jomová, Klaudia [Autor, UKFFPVKCH, 45%] ; Maková, Marianna [Autor, 045210, 15%] ; Y Alomar, Suliman [Autor, 2%] ; Alwasel, Saleh H. [Autor, 2%] ; Nepovimova, Eugenie [Autor, 2%] ; Kuča, Kamil [Autor, 2%] ; Christopher J., Rhodes [Autor, 2%] ; Valko, Marián [Autor, 045210, 30%]. – text. – [angličtina]. – [OV 120]. – [ŠO 1420]. – [článok]. – [recenzované]. – DOI 10.1016/j.cbi.2022.110173. – WOS CC ; SCO ; CCC In: Chemico-Biological Interactions [textový dokument (print)] : a Journal of Molecular, Cellular and Biochemical Toxicology. – Shannon (Írsko) : Elsevier. – ISSN 0009-2797. – ISSN (online) 1872-7786. – Roč. 367 (2022), s. 1-28 [tlačená forma] </t>
  </si>
  <si>
    <t xml:space="preserve">Essential metals in health and disease / Jomová, Klaudia [Autor, UKFFPVKCH, 12.5%] ; Maková, Marianna [Autor, 045210, 12.5%] ; Alomar, Suliman Y. [Autor, 12.5%] ; Alwasel, Saleh H. [Autor, 12.5%] ; Nepovimova, Eugenie [Autor, 12.5%] ; Kuca, Kamil [Autor, 12.5%] ; Rhodes, Christopher J. [Autor, 12.5%] ; Valko, Marián [Autor, 045210, 12.5%]. – text. – [angličtina]. – [OV 120]. – [ŠO 1420]. – [článok]. – [recenzované]. – DOI 10.1016/j.cbi.2022.110173. – SCO In: Chemico-Biological Interactions [textový dokument (print)] : a Journal of Molecular, Cellular and Biochemical Toxicology. – Shannon (Írsko) : Elsevier. – ISSN 0009-2797. – ISSN (online) 1872-7786. – Roč. 367 (2022), s. 1-28 [tlačená forma] </t>
  </si>
  <si>
    <t xml:space="preserve">Ethical and ecological dilemmas of environmental protection / Zozuľak, Ján [Autor, UKFFFAKAE, 50%] ; Zozuľaková, Viera [Autor, UKFFFAKFI, 50%]. – text. – [angličtina]. – [OV 030]. – [ŠO 6107]. – [článok]. – [recenzované]. – DOI 10.2478/mspe-2022-0036. – WOS CC In: Management systems in production engineering [textový dokument (print)] [elektronický dokument] . – Gliwice (Poľsko) : P.A. NOVA. – ISSN 2299-0461. – ISSN (online) 2450-5781. – Roč. 30, č. 3 (2022), s. 282-290 [tlačená forma] [online] </t>
  </si>
  <si>
    <t xml:space="preserve">Ethical reflections on self-sacrifice in Russian Monasticism / Zozuľak, Ján [Autor, UKFFFAKFI, 100%]. – text. – [angličtina]. – [OV 020]. – [ŠO 6107]. – [článok]. – [recenzované]. – DOI 10.15826/qr.2021.4.636. – WOS CC ; SCO ; CCC In: Quaestio Rossica [textový dokument (print)] [elektronický dokument] . – Ekaterinburg (Ruská federácia) : Uralskij federalnyj universitet. – ISSN 2311-911X. – ISSN (online) 2313-6871. – Roč. 9, č. 4 (2021), s. 1226-1240 [tlačená forma] [online] . – CiteScore: 0,3 ; SJR: 0,254 ; SNIP: 0,328 ; AIS: 0.281 AIS - Humanities, multidisciplinary - Q2 Scimago - Cultural studies - Q1, History - Q1, Linguistics and language - Q2, Literature and literary theory - Q1, Visual arts and performing arts - Q1 </t>
  </si>
  <si>
    <t xml:space="preserve">Ethnological research into socialism in post-socialist (Czecho)Slovakia / Beňušková, Zuzana [Autor, UKFFFAKEF, 100%]. – text. – [angličtina]. – [OV 030]. – [ŠO 7115]. – [článok]. – [recenzované]. – SCO In: Národopisná revue [textový dokument (print)] [elektronický dokument] . – Strážnice (Česko) : Národní ústav lidové kultury. – ISSN 0862-8351. – ISSN (online) 2570-9437. – Roč. 31, č. 5 (2021), s. 33-44 [tlačená forma] [online] . – SNIP: 0,406 ; SJR: 0,136 ; CiteScore: 0,2 Scimago - Anthropology - Q3, Cultural studies - Q3 </t>
  </si>
  <si>
    <t xml:space="preserve">Evaluation of 3-axis and 5-axis milling strategies when machining freeform surface features / Ižol, Peter [Autor, 103204, 20%] ; Varga, Ján [Autor, 103201, 20%] ; Vrabeľ, Marek [Autor, UKFFPVKIN, 20%] ; Demko, Michal [Autor, 103201, 20%] ; Greš, Miroslav [Autor, 103002, 20%]. – text. – [angličtina]. – [OV 140]. – [ŠO 2381]. – [článok]. – [recenzované]. – DOI 10.24867/jpe-2022-01-001. – SIGN-TUKE 304250 In: Journal of Production Engineering [textový dokument (print)] . – Novi Sad (Srbsko) : Univerzitet u Novom Sadu. Fakultet tehničkih nauka. – ISSN 1821-4932. – Roč. 25, č. 1 (2022), s. 1-4 [tlačená forma] </t>
  </si>
  <si>
    <t xml:space="preserve">Evaluation of Land-Use Changes as a Result of Underground Coal Mining—A Case Study on the Upper Nitra Basin, West Slovakia / Mojses, Matej [Autor, 40%] ; Petrovič, František [Autor, UKFFPVKEE, 40%] ; Bugár, Gabriel [Autor, UKFFPVKEE, 20%]. – text. – [angličtina]. – [OV 100]. – [ŠO 1610]. – [článok]. – [recenzované]. – DOI 10.3390/w14060989. – WOS CC ; SCO ; CCC In: Water [elektronický dokument] . – Bazilej (Švajčiarsko) : Multidisciplinary Digital Publishing Institute. – ISSN (online) 2073-4441. – Roč. 14, č. 6 (2022), s. 1-22 [online] </t>
  </si>
  <si>
    <t xml:space="preserve">Evaluation of microclimatic conditions during the teaching process in selected school premises. Slovak case study / Tureková, Ivana [Autor, UKFPFAKTT, 40%] ; Marková, Iveta [Autor, ZUZFBIPŽI, 30%] ; Sventeková, Eva [Autor, ZUZFBIKKM, 20%] ; Harangozó, Jozef [Autor, UKFPFAKTT, 10%]. – text. – [angličtina]. – [OV 010]. – [ŠO 7605]. – [článok]. – [recenzované]. – DOI 10.1016/j.energy.2021.122161. – WOS CC ; SCO ; CCC In: Energy [textový dokument (print)] [elektronický dokument] : the International Journal. – Londýn (Veľká Británia) : Elsevier. – ISSN 0360-5442. – ISSN (online) 1873-6785. – Roč. 239, č. 15. január (2022), s. 1-16 [tlačená forma] [online] </t>
  </si>
  <si>
    <t xml:space="preserve">Evaluation of Positive Socio-Economic Phenomena in Territorial Systems of Ecological Stability (Case Study) / Rákayová, Renáta [Autor, UKFFPVKEE, 50%] ; Moyzeová, Milena [Autor, 50%]. – text. – [angličtina]. – [OV 100]. – [ŠO 1610]. – [článok]. – [recenzované]. – DOI 10.3390/land11010120. – WOS CC ; SCO ; CCC In: Land [elektronický dokument] . – Bazilej (Švajčiarsko) : Multidisciplinary Digital Publishing Institute. – ISSN 2073-445X. – Roč. 11, č. 1 (2022), s. 1-12 [online] </t>
  </si>
  <si>
    <t xml:space="preserve">Evaluation of story maps by future geography teachers / Vojteková, Jana [Autor, UKFFPVKGR, 25%] ; Žoncová, Michaela [Autor, UMBFP01, 25%] ; Tirpáková, Anna [Autor, UKFFPVKMA, 25%] ; Vojtek, Matej [Autor, UKFFPVKGR, 25%]. – text. – [angličtina]. – [OV 010, 092]. – [ŠO 1217, 7605]. – [článok]. – [recenzované]. – DOI 10.1080/03098265.2021.1902958. – WOS CC ; SCO ; CCC In: Journal of Geography in Higher Education [textový dokument (print)] [elektronický dokument] . – London (Veľká Británia) : Taylor &amp; Francis Group. – ISSN 0309-8265. – ISSN (online) 1466-1845. – Roč. 46, č. 3 (2022), s. 360-382 [tlačená forma] [online] </t>
  </si>
  <si>
    <t xml:space="preserve">Executive Functions in the Context of Professional Competencies of Future Teachers / Juhásová, Andrea [Autor, UKFPFAKAP, 40%] ; Gatial, Viktor [Autor, UKFPFAKAP, 40%] ; Mesíková, Anna Mária [Autor, 20%]. – text. – [angličtina]. – [OV 010]. – [ŠO 7605]. – [článok]. – [recenzované]. – DOI 10.18421/TEM114-35 In: TEM Journal [textový dokument (print)] [elektronický dokument] : Technology, Education, Management, Informatics. – Novi Pazar (Srbsko) : Association for Information Communication Technology Education and Science. – ISSN 2217-8309. – ISSN (online) 2217-8333. – Roč. 11, č. 4 (2022), s. 75-81 [tlačená forma] [online] </t>
  </si>
  <si>
    <t xml:space="preserve">Experimental Study of the Influence of Selected Factors on the Particle Board Ignition by Radiant Heat Flux / Tureková, Ivana [Autor, UKFPFAKTT, 35%] ; Ivanovičová, Martina [Autor, 5%] ; Harangozó, Jozef [Autor, UKFPFAKTT, 5%] ; Gašpercová, Stanislava [Autor, ZUZFBIPŽI, 20%] ; Marková, Iveta [Autor, ZUZFBIPŽI, 35%]. – text. – [angličtina]. – [OV 230, 010]. – [ŠO 9205, 7605]. – [článok]. – [recenzované]. – DOI 10.3390/polym14091648. – WOS CC ; SCO ; CCC In: Polymers [elektronický dokument] . – Bazilej (Švajčiarsko) : Multidisciplinary Digital Publishing Institute. – ISSN (online) 2073-4360. – Roč. 14, č. 9 (2022), s. [1-14] [online] </t>
  </si>
  <si>
    <t xml:space="preserve">Experimental Verification of the Reading Comprehension Intervention for the German Language as L3 / Szabó, Erzsébet [Autor, UKFFFAKGE, 34%] ; Stranovská, Eva [Autor, UKFFFAKRO, 33%] ; Ficzere, Anikó [Autor, UKFFSSKCR, 33%]. – text. – [angličtina]. – [OV 010]. – [ŠO 7605]. – [článok]. – [recenzované]. – DOI 10.15503/jecs2022.2.369.382. – WOS CC In: Journal of education culture and society [elektronický dokument] . – Vroclav (Poľsko) : Fundacja Pro Scientia Publica. – ISSN 2081-1640. – Roč. 13, č. 2 (2022), s. 369-382 [online] </t>
  </si>
  <si>
    <t xml:space="preserve">Explikačné stratégie pri prekladovom transfere prvkov tretej kultúry v literárnom diele Petit Pays / Ukušová, Jana [Autor, UKFFFAKTR, 100%]. – text. – [slovenčina]. – [OV 020]. – [ŠO 7320]. – [článok]. – [recenzované] In: Proudy [elektronický dokument] : středoevropský časopis pro vědu a literaturu : literární časopis středoevropského centra slovanských studií a ústavu slavistiky FF MU. – Brno (Česko) : Středoevropské centrum slovanských studií. – ISSN (online) 1804-7246. – Roč. 13, č. 1 (2022), s. 1-10 [online] </t>
  </si>
  <si>
    <t xml:space="preserve">Expresívnosť a emocionálnosť v titulkoch spravodajstva slovenských denníkov / Cillingová, Veronika [Autor, UKFFFAKZU, 100%]. – text. – [slovenčina]. – [OV 060]. – [ŠO 7205]. – [článok]. – [recenzované] In: Dot.comm [elektronický dokument] : časopis pre teóriu, výskum a prax mediálnej a marketingovej komunikácie = journal for the theory, research and practice of media and marketing communication. – Bratislava (Slovensko) : Európska akadémia manažmentu marketingu a médií. – ISSN 1339-5181. – Roč. 9, č. 2 (2021), s. 23-34 [online] </t>
  </si>
  <si>
    <t xml:space="preserve">Expressions of belief at Pustý hrad Castle in Zvolen in the light of small metal finds = Prejavy viery na Pustom hrade vo Zvolene vo svetle nálezov kovových miniatúr / Beljak Pažinová, Noémi [Autor, UKFFFAKAR, 55%] ; Ragač, Radoslav [Autor, 35%] ; Beljak, Ján [Autor, 10%]. – text. – [angličtina]. – [OV 030]. – [ŠO 7115]. – [článok]. – [recenzované]. – DOI 10.5817/AH2021-2-4. – SCO In: Archaeologia historica [textový dokument (print)] [elektronický dokument] . – Brno (Česko) : Masarykova univerzita. Filozofická fakulta. – ISSN 0231-5823. – ISSN (online) 2336-4386. – Roč. 46, č. 2 (2021), 397-412 [tlačená forma] [online] . – CiteScore: 0,5 ; SJR: 0,255 ; SNIP: 0,558 Scimago - Archeology - Q2, Archeology (arts and humanities) - Q2, History - Q1 </t>
  </si>
  <si>
    <t xml:space="preserve">Faktorová štruktúra a reliabilita slovenskej skrátenej verzie dotazníka Stroke Specific Quality of Life Scale (SS-QOL-12) / Baňasová, Katarína [Autor, UKFFSVUAP, 50%] ; Hudáková, Miriama [Autor, UKFFSVUAP, 50%]. – text. – [slovenčina]. – [OV 060]. – [ŠO 7701]. – [článok]. – [recenzované] In: Pomáhajúce profesie [textový dokument (print)] : recenzovaný vedecký časopis pre teóriu, výskum, prax a vzdelávanie v pomáhajúcich profesiách. – Nitra (Slovensko) : Univerzita Konštantína Filozofa v Nitre. – ISSN 2585-9447. – Roč. 4, č. 2 (2021), s. 48-54 [tlačená forma] [online] </t>
  </si>
  <si>
    <t xml:space="preserve">Family and media in the 21st century / Židová, Monika [Autor, UKFPFAKPE, 50%] ; Bielčiková, Kristína [Autor, UKFPFAKPE, 50%]. – text. – [slovenčina]. – [OV 010]. – [ŠO 7605]. – [článok]. – [recenzované] In: GRANT journal [elektronický dokument] : European Grant Projects, Results, Research &amp; Development, Science : Peer-Reviewed Scientific Journal. – Hradec Králové (Česko) : Magnanimitas akademické sdružení. – ISSN (online) 1805-0638. – ISSN (online) 1805-062X. – Roč. 11, č. 1 (2022), s. 77-81 [CD-ROM] [online] </t>
  </si>
  <si>
    <t xml:space="preserve">Fear trumps the common good : Psychological antecedents of vaccination attitudes and behaviour / Adamus, Magdalena [Autor, 34%] ; Kurincová Čavojová, Vladimíra [Autor, 33%] ; Ballová Mikušková, Eva [Autor, UKFPFAKAP, 33%]. – text. – [angličtina]. – [OV 060, 010]. – [ŠO 7701, 7605]. – [článok]. – [recenzované]. – DOI 10.1016/j.actpsy.2022.103606. – TUT ID E092981. – WOS CC ; SCO ; CCC In: Acta psychologica [textový dokument (print)] [elektronický dokument] . –    Amsterdam (Holandsko) : North Holland Publishing. – ISSN 0001-6918. – ISSN (online) 1873-6297. – č. 227 (2022), Art. No. 103606, s. 1-6 [tlačená forma] [online] </t>
  </si>
  <si>
    <t xml:space="preserve">Fell into an Eternal Sleep : Finding the Human Skeleton in the La Tène Dwelling from Bratislava-Devín, Záhrady Site / Styk, Matej [Autor, UKFFFAKAR, 60%] ; Repka, Dominik [Autor, UKFFFAKAR, 40%]. – text. – [slovenčina]. – [OV 030]. – [ŠO 7115]. – [článok]. – [recenzované]. – DOI 10.31577/slovarch.2021.suppl.2.9. – WOS CC ; SCO In: Slovenská archeológia [textový dokument (print)] [elektronický dokument] : časopis Archeologického ústavu Slovenskej akadémie vied v Nitre = journal of the Archaeological Institute of the Slovak Academy of Sciences in Nitra = Zeitschrift des Archäologischen Institutes der Slowakischen Akademie der Wissenschaften in Nitra. – Nitra (Slovensko) : Slovenská akadémia vied. Pracoviská SAV. Archeologický ústav. – ISSN 1335-0102. – ISSN (online) 2585-9145. – Roč. 69, č. suppl. 2 (2021), s. 107-116 [tlačená forma] . – CiteScore: 0,3 ; SJR: 0,214 ; SNIP: 0,632 Scimago - Archeology - Q2, Archeology (arts and humanities) - Q2 </t>
  </si>
  <si>
    <t xml:space="preserve">Fenomén kritického myslenia v edukácii: rozvoj hodnotiaceho myslenia / Koleňáková, Rebeka Štefánia [Autor, UKFPFAKPE, 100%]. – text. – [slovenčina]. – [OV 010]. – [ŠO 7605]. – [článok]. – [recenzované] In: GRANT journal [elektronický dokument] : European Grant Projects, Results, Research &amp; Development, Science : Peer-Reviewed Scientific Journal. – Hradec Králové (Česko) : Magnanimitas akademické sdružení. – ISSN (online) 1805-0638. – ISSN (online) 1805-062X. – Roč. 11, č. 1 (2022), s. 23-26 [CD-ROM] [online] </t>
  </si>
  <si>
    <t xml:space="preserve">Filozofia spomienok. K filozofickej a literánej metodológii Straussovho diela Človek pre nikoho = (Philosophy of Memories. About the Philosophical and Literary Methodology of Strauss’s Book Man for Nobody) / Pružinec, Tomáš [Autor, UKFFFAKFI, 100%]. – [slovenčina]. – [OV 020]. – [ŠO 6171]. – [článok]. – [recenzované]. – DOI 10.17846/CL.2022.15.1.149-160. – WOS CC ; SCO In: Konštantínove listy [textový dokument (print)] [elektronický dokument] . – Nitra (Slovensko) : Univerzita Konštantína Filozofa v Nitre. Filozofická fakulta. Ústav pre výskum kultúrneho dedičstva Konštantína a Metoda. – ISSN 1337-8740. – ISSN (online) 2453-7675. – Roč. 15, č. 1 (2022), s. 3-10 [tlačená forma] [online] </t>
  </si>
  <si>
    <t xml:space="preserve">Find of Gallienus Antoninianus Contemporary Forgery from the Pustý hrad Castle in Zvolen, Slovakia / Beljak, Ján [Autor, 33%] ; Beljak Pažinová, Noémi [Autor, UKFFFAKAR, 34%] ; Stoklas, Boris [Autor, 33%]. – text. – [slovenčina]. – [OV 030]. – [ŠO 7115]. – [článok]. – [recenzované]. – DOI 10.31577/slovarch.2021.suppl.2.23. – WOS CC ; SCO In: Slovenská archeológia [textový dokument (print)] [elektronický dokument] : časopis Archeologického ústavu Slovenskej akadémie vied v Nitre = journal of the Archaeological Institute of the Slovak Academy of Sciences in Nitra = Zeitschrift des Archäologischen Institutes der Slowakischen Akademie der Wissenschaften in Nitra. – Nitra (Slovensko) : Slovenská akadémia vied. Pracoviská SAV. Archeologický ústav. – ISSN 1335-0102. – ISSN (online) 2585-9145. – Roč. 69, č. suppl. 2 (2021), s. 249-259 [tlačená forma] . – CiteScore: 0,3 ; SJR: 0,214 ; SNIP: 0,632 Scimago - Archeology - Q2, Archeology (arts and humanities) - Q2 </t>
  </si>
  <si>
    <t xml:space="preserve">Finger-length in the context of female reproductive parameters in Nitra (Slovakia) – Preliminary report / Kolena, Branislav [Autor, UKFFPVKZA, 90%] ; Rubíntová, Alexandra [Autor, 1%] ; Jahnátková, Mária [Autor, 1%] ; Vondráková, Mária [Autor, UKFFPVKZA, 8%]. – [angličtina]. – [OV 130]. – [ŠO 1536]. – [článok]. – [recenzované] In: Slovenská antropológia [textový dokument (print)] : bulletin Slovenskej antropologickej spoločnosti pri SAV. – Bratislava (Slovensko) : Slovenská akadémia vied. Slovenská antropologická spoločnosť pri SAV. – ISSN 1336-5827. – Roč. 25, č. 1 (2022), s. 1-11 [tlačená forma] </t>
  </si>
  <si>
    <t xml:space="preserve">Fire parameters of spruce (Picea abies Karst. (L.)) dust layer from different wood technologies Slovak case study / Mračková, Eva [Autor, KPO, 20%] ; Schmidtová, Jarmila [Autor, KMDG, 15%] ; Marková, Iveta [Autor, ZUZFBIPŽI, 20%] ; Jaďuďová, Jana [Autor, UMBFP04, 15%] ; Tureková, Ivana [Autor, UKFPFAKTT, 15%] ; Hitka, Miloš [Autor, KEMP, 15%]. – text. – [angličtina]. – [OV 170, 230, 010]. – [ŠO 3331, 9205, 7605]. – [článok]. – [recenzované]. – DOI 10.3390/app12020548. – WOS CC ; SCO ; CCC In: Applied sciences [elektronický dokument] . – Bazilej (Švajčiarsko) : Multidisciplinary Digital Publishing Institute. – ISSN (online) 2076-3417. – Roč. 12, č. 2 (2022), art. no. 548 , s. [1-13] [online] </t>
  </si>
  <si>
    <t xml:space="preserve">First language acquisition by Roma and Slovak children / Samko, Milan [Autor, UKFFSVURS, 50%] ; Čerešník, Michal [Autor, PEUFPSUVP, 25%] ; Čerešníková, Miroslava [Autor, UKFFSVURS, 25%]. – text, tab. – [angličtina]. – [OV 060, 020]. – [ŠO 6115, 7701]. – [článok]. – [recenzované]. – DOI 10.29038/EEJPL.2021.8.2.sam. – PEVŠ ID-462958. – SCO In: East European Journal of Psycholinguistics [textový dokument (print)] [elektronický dokument] . – Lutsk (Ukrajina) : Schidnoevropejskij nacionaľnij universitet imeni Lesi Ukrainki. – ISSN 2312-3265. – ISSN (online) 2313-2116. – Roč. 8, č. 2 (2021), 223-232 [tlačená forma] . – CiteScore: 0,4 ; SJR: 0,163 ; SNIP: 0,151 Scimago - Experimental and cognitive psychology - Q4, Linguistics and language - Q2 </t>
  </si>
  <si>
    <t xml:space="preserve">Flood prioritization integrating picture fuzzy-analytic hierarchy and fuzzy-linear assignment model / Ilderomi, Ali Reza [Autor, 30%] ; Vojtek, Matej [Autor, UKFFPVKGR, 30%] ; Vojteková, Jana [Autor, UKFFPVKGR, 15%] ; Pham, Quoc Bao [Autor, 15%] ; Kuriqi, Alban [Autor, 5%] ; Sepehri, Mehdi [Autor, 5%]. – text. – [angličtina]. – [OV 100]. – [ŠO 1217]. – [článok]. – [recenzované]. – DOI 10.1007/s12517-022-10404-y In: Arabian Journal of Geosciences [textový dokument (print)] . – Heidelberg (Nemecko) : Springer Nature. – ISSN 1866-7511. – ISSN (online) 1866-7538. – Roč. 15, č. 1 (2022), art. no. 1185, s. 1-16 [tlačená forma] </t>
  </si>
  <si>
    <t xml:space="preserve">Floristický a vegetačný prieskum vodných nádrží v areáli  Jaguar Land Rover  Slovakia v Nitre = Floristic and vegetation survey of water reservoirs in the  area of Jaguar Land Rover Slovakia in Nitra / David, Stanislav [Autor, UKFFPVKEE, 60%] ; Petrovičová, Kornélia [Autor, SPUFAP31, 40%]. – text. – [slovenčina]. – [OV 100]. – [ŠO 1610]. – [článok]. – [recenzované] In: Ekologické štúdie [textový dokument (print)] : recenzovaný vedecký časopis venovaný aktuálnym problémom ekológie, krajinnej ekológie a príbuzných vedných disciplín. – Nitra (Slovensko) : Slovenská akadémia vied. Slovenská ekologická spoločnosť pri SAV. – ISSN 1338-2853. – Roč. 12, č. 2 (2021), s. 33-51 [tlačená forma] </t>
  </si>
  <si>
    <t xml:space="preserve">Food styling umenie vs. marketingový nástroj / Bednáriková, Lucia [Autor, 50%] ; Zima, Roman [Autor, UKFFFAKMK, 50%]. – text. – [slovenčina]. – [OV 030]. – [ŠO 8110]. – [článok]. – [recenzované] In: Kontexty kultúry a turizmu [textový dokument (print)] . – Nitra (Slovensko) : Univerzita Konštantína Filozofa v Nitre. Filozofická fakulta. – ISSN 1337-7760. – Roč. 14, č. 1 (2021), s. 61-73 [tlačená forma] </t>
  </si>
  <si>
    <t xml:space="preserve">Foodstyling ako nástroj online marketingu / Zima, Roman [Autor, UKFFFAKMK, 50%] ; Bednáriková, Lucia [Autor, 50%]. – text. – [slovenčina]. – [OV 020]. – [ŠO 8110]. – [článok]. – [recenzované] In: Kontexty kultúry a turizmu [textový dokument (print)] . – Nitra (Slovensko) : Univerzita Konštantína Filozofa v Nitre. Filozofická fakulta. – ISSN 1337-7760. – Roč. 15, č. 1 (2022), s. 69-78 [tlačená forma] </t>
  </si>
  <si>
    <t xml:space="preserve">Fordítás és kétnyelvű névszemiotikai tájkép = Translation and the bilingual name semiotic landscape / Bauko, Ján [Autor, UKFFSSUML, 100%]. – text. – [maďarčina]. – [OV 010]. – [ŠO 7320]. – [článok]. – [recenzované]. – DOI 10.29178/NevtErt.2021.5. – SCO In: Névtani Értesítő [textový dokument (print)] [elektronický dokument] . – Budapešť (Maďarsko) : Magyar nyelvtudományi társaság, Budapešť (Maďarsko) : Eötvös Loránd Tudományegyetem. ELTE Bölcsészettudományi Kar. Magyar Nyelvtudományi és Finnugor Intézet. – ISSN 0139-2190. – ISSN (online) 2064-7484. – Roč. 43 (2021), s. 81-100 [tlačená forma] . – CiteScore: 0,3 ; SJR: 0,101 Scimago - Linguistics and language - Q4 </t>
  </si>
  <si>
    <t xml:space="preserve">Forensic Archaeology – Should it be a Thing? : a Case Study / Putško, Mária [Autor, 55%] ; Beljak Pažinová, Noémi [Autor, UKFFFAKAR, 25%] ; Kumičíková, Ivana [Autor, UKOLJ252, 20%]. – text, obr. – [angličtina]. – [OV 180, 030]. – [ŠO 5141, 7115]. – [článok]. – [recenzované]. – DOI 10.31577/szausav.2022.69.9. – SIGN-UKO LJ419/22. – WOS CC ; SCO In: Študijné zvesti Archeologického ústavu Slovenskej akadémie vied [textový dokument (print)] [elektronický dokument] . – Nitra (Slovensko) : Slovenská akadémia vied. – ISSN 0560-2793. – Roč. 69, č. 1 (2022), s. 177-186 [tlačená forma] [online] </t>
  </si>
  <si>
    <t xml:space="preserve">Formation of Programming Skills among Students of Scientific, Technical and Natural Science Areas of Training Using the Arduino Platform / Ďuriš, Viliam [Autor, UKFFPVKMA, 25%] ; Vasileva, Lidia [Autor, 25%] ; Chumarov, Sergey Gennadevich [Autor, 25%] ; Lengyelfalusy, Tomáš [Autor, 25%]. – text. – [angličtina]. – [OV 240]. – [ŠO 1113]. – [článok]. – [recenzované]. – DOI 10.3991/ijoe.v18i12.32409. – WOS CC ; SCO In: International journal of online and biomedical engineering [elektronický dokument] . – Viedeň (Rakúsko) : International Association of Online Engineering. – ISSN (online) 2626-8493. – Roč. 18, č. 12 (2022), s. 4-15 [online] </t>
  </si>
  <si>
    <t xml:space="preserve">Frabozmenná sklenená imitácia alexandritu = Colour-change glass as a alexandrite imitation / Štubňa, Ján [Autor, UKFFPVKGR, 100%]. – text. – [slovenčina]. – [OV 092]. – [ŠO 1217]. – [článok]. – [recenzované] In: Gemologický spravodajca [textový dokument (print)] : časopis gemológov pri FPV UKF v Nitre. – Nitra (Slovensko) : Univerzita Konštantína Filozofa v Nitre. Fakulta prírodných vied. – ISSN 1337-6136. – ISSN (online) 1338-5275. – Roč. 11, č. 2 (2021), s. 5-12 [tlačená forma] </t>
  </si>
  <si>
    <t xml:space="preserve">Fragments On the Solutions Journalism in the Current Theoretical and Media Discourse / Nováčiková, Daša [Autor, UKFFFAKZU, 100%]. – text. – [angličtina]. – [OV 020]. – [ŠO 7205]. – [článok]. – [recenzované] In: Aplikovaná psychologie [textový dokument (print)] [elektronický dokument] . – Terezín (Česko) : Vysoká škola aplikované psychologie. – ISSN 2336-8276. – Roč. 7, č. 12 (2022), s. 1049-1059 [tlačená forma] [online] </t>
  </si>
  <si>
    <t xml:space="preserve">Freedom as a Means and a Goal in Comenius’s Philosophy of Education = Sloboda ako prostriedok i cieľ v Komenského filozofii výchovy / Kondrla, Peter [Autor, UKFFFAKNS, 100%]. – text. – [slovenčina]. – [OV 010]. – [ŠO 7605]. – [článok]. – [recenzované]. – SCO In: Caritas et veritas [elektronický dokument] . – České Budějovice (Česko) : Jihočeská univerzita v Českých Budějovicích. – ISSN 1805-0948. – Roč. 11, č. 2 (2021), s. 21-33 [online] . – CiteScore: 0,1 ; SJR: 0,13 ; SNIP: 0,143 Scimago - Education - Q4, Philosophy - Q3, Religious studies - Q2, Sociology and political science - Q4 </t>
  </si>
  <si>
    <t xml:space="preserve">From Rights to Duties and Responsibilities: A Challenge for Contemporary Democracies = Nuo teisiu iki pareigu ir atsakomybiu: iššukis šiuolaikinems demokratijoms / Maximová, Jarmila [Autor, UKFFFAKAE 06.2022, 100%]. – text. – [angličtina]. – [OV 020]. – [ŠO 6107]. – [článok]. – [recenzované]. – DOI 10.24101/logos.2021.80. – WOS CC ; SCO In: Logos [textový dokument (print)] [elektronický dokument] : religijos, filosofijos ir baznytinio meno žurnalas = A Journal of Religion, Philosophy, Comparative Cultural Studies and Art. – Vilnius (Litva) : Visuomenine organizacija "LOGOS". – ISSN 0868-7692. – Roč. 19, č. 109 (2021), s. 98-105 [tlačená forma] [online] . – CiteScore: 0,3 ; SJR: 0,19 ; SNIP: 0,63 ; AIS: 0.007 AIS - Humanities, multidisciplinary - Q4 Scimago - Arts and humanities (miscellaneous) - Q3, Cultural studies - Q2 </t>
  </si>
  <si>
    <t xml:space="preserve">From trees to fleas: masting indirectly affects flea abundance on a rodent host / Baláž, Ivan [Autor, UKFFPVKEE, 80%] ; Bogdziewicz, Michał [Autor, 5%] ; Dziemian-Zwolak, Sylwia [Autor, 3%] ; Lo Presti, Carlotta [Autor, 2%] ; Wróbel, Aleksandra [Autor, 2%] ; Zduniak, Milena [Autor, 2%] ; Zwolak, Rafal [Autor, 6%]. – text. – [angličtina]. – [OV 100]. – [ŠO 1610]. – [článok]. – [recenzované]. – WOS CC ; SCO In: Integrative Zoology [textový dokument (print)] . – Hoboken (USA) : Willey. – ISSN 1749-4877. – ISSN (online) 1749-4869. – Roč. 17, č. 3 (2022), s. 1-25 [tlačená forma] </t>
  </si>
  <si>
    <t xml:space="preserve">Full-time versus Distance Learning of Statistics / Lukáčová, Danka [Autor, UKFPFAKTT, 100%]. – text. – [angličtina]. – [OV 010]. – [ŠO 7605]. – [článok]. – [recenzované]. – DOI 10.18421/TEM111-55. – WOS CC ; SCO In: TEM Journal [textový dokument (print)] [elektronický dokument] : Technology, Education, Management, Informatics. – Novi Pazar (Srbsko) : Association for Information Communication Technology Education and Science. – ISSN 2217-8309. – ISSN (online) 2217-8333. – Roč. 11, č. 1 (2022), s. 434-438 [tlačená forma] [online] </t>
  </si>
  <si>
    <t xml:space="preserve">Fundamental Contributions in the History of Number Theory / Ďuriš, Viliam [Autor, UKFFPVKMA, 33%] ; Bojdová, Veronika [Autor, UKFFPVKMA, 34%] ; Šumný, Timotej [Autor, 33%]. – text. – [angličtina]. – [OV 240]. – [ŠO 1113]. – [článok]. – [recenzované]. – DOI 10.17846/AMN.2022.8.1.1-10 In: Acta Mathematica Nitriensia [elektronický dokument] . – Nitra (Slovensko) : Univerzita Konštantína Filozofa v Nitre. Fakulta prírodných vied a informatiky. Katedra matematiky. – ISSN 2453-6083. – Roč. 8, č. 1 (2022), s. 1-10 [online] </t>
  </si>
  <si>
    <t xml:space="preserve">Genre-specific irrealia in translation: can irrealia help define speculative fiction sub-genres? / Martinkovič, Matej [Autor, UKFFFAKTR, 100%]. – text. – [angličtina]. – [OV 020]. – [ŠO 7320]. – [článok]. – [recenzované]. – DOI 10.33919/esnbu.22.1.5. – WOS CC In: English Studies at NBU [textový dokument (print)] [elektronický dokument] . – Sofia (Bulharsko) : New Bulgarian University. – ISSN 2367-5705. – ISSN (online) 2367-8704. – Roč. 8, č. 1 (2022), s. 73-92 [tlačená forma] [online] </t>
  </si>
  <si>
    <t xml:space="preserve">Geographical distribution and spatio-temporal changes in the occurrence of invasive plant species in Slovak Republic / Wittlinger, Lukáš [Autor, 50%] ; Petrikovičová, Lucia [Autor, UKFFPVKGR, 30%] ; Petrovič, František [Autor, UKFFPVKEE, 15%] ; Petrikovič, Jozef [Autor, UKFFPVKEE, 5%]. – text. – [angličtina]. – [OV 092, 100]. – [ŠO 1217, 1610]. – [článok]. – [recenzované]. – DOI 10.15421/012211. – WOS CC ; SCO In: Biosystems Diversity [textový dokument (print)] [elektronický dokument] . – Dnipro (Ukrajina) : Oles Honchar Dnipro National University. – ISSN 2519-8513. – ISSN (online) 2520-2529. – Roč. 30, č. 2 (2022), s. 105-118 [tlačená forma] [online] </t>
  </si>
  <si>
    <t xml:space="preserve">Geography of well-being: czech experience / Murgaš, František [Autor, 30%] ; Petrovič, František [Autor, UKFFPVKEE, 70%]. – text. – [angličtina]. – [OV 100]. – [ŠO 1610]. – [článok]. – [recenzované]. – DOI 10.31577/geogrcas.2022.74.2.09. – WOS CC ; SCO In: Geografický časopis [textový dokument (print)] [elektronický dokument] . – Bratislava (Slovensko) : Slovenská akadémia vied. Pracoviská SAV. Geografický ústav. – ISSN 0016-7193. – ISSN (online) 2453-8787. – Roč. 74, č. 2 (2022), s. 181-194 [tlačená forma] [online] </t>
  </si>
  <si>
    <t xml:space="preserve">Gridpoint Method for Proving Combinatorial Identities / Kmeťová, Mária [Autor, UKFFPVKMA, 100%]. – text. – [angličtina]. – [OV 240]. – [ŠO 1113]. – [článok]. – [recenzované]. – DOI 10.18421/TEM114-26 In: TEM Journal [textový dokument (print)] [elektronický dokument] : Technology, Education, Management, Informatics. – Novi Pazar (Srbsko) : Association for Information Communication Technology Education and Science. – ISSN 2217-8309. – ISSN (online) 2217-8333. – Roč. 11, č. 4 (2022), s. 1634-1639 [tlačená forma] [online] </t>
  </si>
  <si>
    <t xml:space="preserve">Habitat of Carabus zawadzkii (Coleoptera: Carabidae) in the Eastern Carpathians / Gajdoš, Peter [Autor, 20%] ; David, Stanislav [Autor, UKFFPVKEE, 20%] ; Majzlan, Oto [Autor, 20%] ; Jászay, Tomáš [Autor, 20%] ; Černecký, Ján [Autor, 20%]. – text, mapy, graf., tab. – [angličtina]. – [OV 100]. – [ŠO 1610]. – [článok]. – [recenzované]. – DOI 10.14411/eje.2022.030. – SIGN-UKO PR 540/22. – WOS CC ; SCO In: European Journal of Entomology [textový dokument (print)] [elektronický dokument] . – České Budějovice (Česko) : Akademie věd České republiky. Biologické centrum AV ČR. Entomologický ústav. – ISSN 1210-5759. – ISSN (online) 1802-8829. – Roč. 119 (2022), s. 285-299 [tlačená forma] [online] </t>
  </si>
  <si>
    <t xml:space="preserve">Hallucinations and Other Psychotic Symptoms in Patients with Borderline Personality Disorder / Belohradova Minariková, Kamila [Autor, 2%] ; Praško Pavlov, Ján [Autor, UKFFSVKPV, 50%] ; Holubová, Michaela [Autor, 5%] ; Vanek, Jakub [Autor, 2%] ; Kantor, Kryštof [Autor, 2%] ; Šlepecký, Miloš [Autor, UKFFSVKPV, 35%] ; Látalová, Klára [Autor, 2%] ; Ocisková, Marie [Autor, 2%]. – text. – [angličtina]. – [OV 060]. – [ŠO 7701]. – [článok]. – [recenzované]. – DOI 10.2147/NDT.S360013. – WOS CC ; SCO ; CCC In: Neuropsychiatric Disease and Treatment [textový dokument (print)] [elektronický dokument] . – Auckland (Nový Zéland) : Dove Medical Press. – ISSN 1176-6328. – ISSN (online) 1178-2021. – Roč. 18 (2022), s. 787-799 [tlačená forma] [online] </t>
  </si>
  <si>
    <t xml:space="preserve">Happiness or quality of life? Or both? / Murgaš, František [Autor, 25%] ; Petrovič, František [Autor, UKFFPVKEE, 25%] ; Maturkanič, Patrik [Autor, UKORKKPT, 25%] ; Králik, Roman [Autor, Teologický inštitút KU, 25%]. – text. – [angličtina]. – [OV 020, 100]. – [ŠO 6107, 1610, 6171]. – [článok]. – [recenzované]. – SIGN-UKO RK 25/22. – WOS CC In: Journal of education culture and society [elektronický dokument] . – Vroclav (Poľsko) : Fundacja Pro Scientia Publica. – ISSN 2081-1640. – Roč. 13, č. 1 (2022), s. 17-36 [online] </t>
  </si>
  <si>
    <t xml:space="preserve">Hashtags for EFL teachers' transformation: an insight into Instagram-mediated reflective practice / Foltyn, Marzena Aneta [Autor, UKFPFAKLI, 100%]. – text. – [angličtina]. – [OV 020]. – [ŠO 7320]. – [článok]. – [recenzované]. – DOI 10.1080/14623943.2022.2120463 In: Reflective Practice [textový dokument (print)] [elektronický dokument] . – Abingdon (Veľká Británia) : Taylor &amp; Francis Group. – ISSN 1462-3943. – ISSN (online) 1470-1103. – Roč. 23, č. 5 (2022), s. 1-10 </t>
  </si>
  <si>
    <t xml:space="preserve">Hausväterliteratur in the Educationand Spirituality of a Noblemanin the Early Modern Era / Rychnová, Lucie [Autor, 20%] ; Akimjaková, Beáta [Autor, Teologický inštitút KU, 20%] ; Judák, Viliam [Autor, UKORKFH, 20%] ; Hlad, Ľubomír [Autor, UKFFFAUKD, 20%] ; Ďatelinka, Anton [Autor, 20%]. – text. – [angličtina]. – [OV 030, 020]. – [ŠO 6171]. – [článok]. – [recenzované]. – DOI 10.15503/jecs2022.2.503.514. – SIGN-UKO RK 38/22. – WOS CC In: Journal of education culture and society [elektronický dokument] . – Vroclav (Poľsko) : Fundacja Pro Scientia Publica. – ISSN 2081-1640. – Roč. 13, č. 2 (2022), s. 503-514 [online] </t>
  </si>
  <si>
    <t xml:space="preserve">História náhrad drahých kameňov v šperkoch do 20. rokov 20. storočia a možnosti ich identifikácie = The history of gemstones imitations in jewels before the 1920 ́s and the possibilities of their identification / Štubňa, Ján [Autor, UKFFPVKGR, 100%]. – text. – [slovenčina]. – [OV 030]. – [ŠO 1217]. – [článok]. – [recenzované] In: Múzeum [textový dokument (print)] : Metodický , študijný a  informačný recenzovaný časopis pre zamestnancov múzeí a galérií. – Bratislava (Slovensko) : Slovenské národné múzeum. – ISSN 0027-5263. – Roč. 68, č. 2 (2022), s. 54-58 [tlačená forma] </t>
  </si>
  <si>
    <t xml:space="preserve">Historical Contexts of the Creation of Supervision in Social Work in Slovakia / Gabura, Ján [Autor, UKFFSVKSP, 100%]. – [angličtina]. – [OV 060]. – [ŠO 6115]. – [článok]. – [recenzované]. – SCO In: Sociální práce [textový dokument (print)] [elektronický dokument] : nabízíme spojení teorie s praxí = ponúkame spojenie teórie s praxou. – Brno (Česko) : Národní centrum pro rodinu, Brno (Česko) : Asociace vzdělavatelů v sociální práci. – ISSN 1213-6204. – ISSN (online) 1805-885X. – Roč. 22, č. 5 (2022), s. 5-12 [tlačená forma] [online] </t>
  </si>
  <si>
    <t xml:space="preserve">History of Slovak Video Games and Their Localization / Koscelníková, Mária [Autor, UKFFFAKTR, 100%]. – text. – [angličtina]. – [OV 020]. – [ŠO 7320]. – [článok]. – [recenzované] In: Advances in Bridge Engineering [elektronický dokument] . – [s.l] (Veľká Británia) : SpringerOpen. – ISSN (online) 2662-5407. – Roč. 2, č. Translation in Time and Time in Translation (special issue) (2021), s. 84-103 [online] </t>
  </si>
  <si>
    <t xml:space="preserve">Hľadanie identity na pomedzí cestopisnej literatúry a literatúry migrácie v tvorbe Jhumpy Lahiriovej / Šavelová, Monika [Autor, UKFFFAKRO, 100%]. – text. – [slovenčina]. – [OV 020]. – [ŠO 7320]. – [článok]. – [recenzované] In: Mladá veda [elektronický dokument] . – Prešov (Slovensko) : Vydavateľstvo Universum EU. – ISSN (online) 1339-3189. – Roč. 10, č. 5 (2022), s. 53-66 [online] </t>
  </si>
  <si>
    <t xml:space="preserve">Homelessness as a Social Problem - Socio-pathological Phenomenon - Qualitative Analysis / Tvrdoň, Miroslav [Autor, UKFFSVKSP, 35%] ; Lojan, Radoslav [Autor, KURTEST, 30%] ; Máhrik, Tibor [Autor, 30%] ; Zaharia, Stefan [Autor, 3%] ; Davydova, Vladimirovna Ekaterina [Autor, 2%]. – [angličtina]. – [OV 060, 180]. – [ŠO 7761]. – [článok]. – [recenzované]. – DOI 10.15503/jecs2022.2.95.106. – WOS CC In: Journal of education culture and society [elektronický dokument] . – Vroclav (Poľsko) : Fundacja Pro Scientia Publica. – ISSN 2081-1640. – Roč. 13, č. 2 (2022), s. 95-106 [online] </t>
  </si>
  <si>
    <t xml:space="preserve">Human Downgrading - The Concept of Human Degradation on Social Media / Moravčíková, Erika [Autor, UKFFFAKKU, 100%]. – text. – [angličtina]. – [OV 020]. – [ŠO 8110]. – [článok]. – [recenzované]. – WOS CC ; SCO In: Communication Today [textový dokument (print)] [elektronický dokument] . – Trnava (Slovensko) : Univerzita sv. Cyrila a Metoda v Trnave. Fakulta masmediálnej komunikácie. – ISSN 1338-130X. – Roč. 13, č. 1 (2022), s. 28-44 [tlačená forma] [online] </t>
  </si>
  <si>
    <t xml:space="preserve">Hyalite Opal from Erongo, Namibia, Showing Green Daylight Fluorescence / Hanus, Radek [Autor, 16%] ; Sobek, Kamil [Autor, 16%] ; Johnová, Kamila [Autor, 16%] ; Trojek, Tomáš [Autor, 16%] ; Štubňa, Ján [Autor, UKFFPVKGR, 16%] ; Hanus, Tomáš [Autor, 10%] ; Jungmannová, Kamila [Autor, 10%]. – text. – [angličtina]. – [OV 092]. – [ŠO 1217]. – [článok]. – [recenzované]. – DOI 10.15506/JoG.2022.38.2.172. – WOS CC ; CCC In: The Journal of Gemmology [textový dokument (print)] . – Londýn (Veľká Británia) : The Gemmological Association of Great Britain. – ISSN 1355-4565. – ISSN (online) 2632-1718. – Roč. 38, č. 2 (2022), s. 172-182 [tlačená forma] </t>
  </si>
  <si>
    <t xml:space="preserve">Changes in Sectoral Employement in the Regions of Slovakia under the Impact of the Covid-19 Pandemic / Papcunová, Viera [Autor, UKFFPVUMI, 34%] ; Levický, Michal [Autor, UKFFPVUMI, 33%] ; Hudáková, Jarmila [Autor, UKFFPVUMI, 33%]. – text. – [angličtina]. – [OV 060]. – [ŠO 6213]. – [článok]. – [recenzované] In: Regionální rozvoj mezi teorií a praxí [elektronický dokument] . – Hradec Králové (Česko) : Civitas per Populi. – ISSN (online) 1805-3246. – Roč. 11, č. 2 (2022), s. 61-76 [online] </t>
  </si>
  <si>
    <t xml:space="preserve">Changes in Spatial Distribution of Arable Land, Crop Production and Yield of Selected Crops in the EU Countries after 2004 / Némethová, Jana [Autor, UKFFPVKGR, 34%] ; Svobodová, Hana [Autor, 33%] ; Věžník, Antonín [Autor, 33%]. – [angličtina]. – [OV 190]. – [ŠO 4219]. – [článok]. – [recenzované]. – DOI 10.3390/agriculture12101697. – WOS CC In: Agriculture [elektronický dokument] . – Bazilej (Švajčiarsko) : Multidisciplinary Digital Publishing Institute. – ISSN (online) 2077-0472. – Roč. 12, č. 10 (2022), s. 1-16 [online] </t>
  </si>
  <si>
    <t xml:space="preserve">Changes in the community structure of epigeic arthropods in the conditions of ecological farming of pea (Pisum sativum L.) / Langraf, Vladimír [Autor, UKFFPVKZA, 65%] ; Petrovičová, Kornélia [Autor, SPUFAP31, 30%] ; Schlarmannová, Janka [Autor, UKFFPVKZA, 4%] ; Chovancová, Zuzana [Autor, UKFFPVKZA, 1%]. – text. – [angličtina]. – [OV 130, 190]. – [ŠO 1536, 4190]. – [článok]. – [recenzované]. – DOI 10.4067/S0718-58392022000400527. – WOS CC ; SCO In: Chilean Journal of Agricultural Research [textový dokument (print)] . – Santiago (Čile) : Instituto de Investigaciones Agropecuarias. – ISSN 0718-5820. – ISSN (online) 0718-5839. – Roč. 82, č. 4 (2022), s. 527-536 [tlačená forma] </t>
  </si>
  <si>
    <t xml:space="preserve">Changes in the Structure of Crop Production in Slovakia after 2004 Using an Example of Selected Crops / Némethová, Jana [Autor, UKFFPVKGR, 50%] ; Vilinová, Katarína [Autor, UKFFPVKGR, 50%]. – text. – [angličtina]. – [OV 190]. – [ŠO 1217]. – [článok]. – [recenzované]. – DOI 10.3390/land11020249. – WOS CC ; SCO ; CCC In: Land [elektronický dokument] . – Bazilej (Švajčiarsko) : Multidisciplinary Digital Publishing Institute. – ISSN 2073-445X. – Roč. 11, č. 2 (2022), s. 1-19 [online] </t>
  </si>
  <si>
    <t xml:space="preserve">Changes of Endophytic Bacterial Community in Mature Leaves of Prunus laurocerasus L. during the Seasonal Transition from Winter Dormancy to Vegetative Growth / Michalko, Jaroslav [Autor, SPUFBP31, 16%] ; Medo, Juraj [Autor, SPUFBP31, 14%] ; Ferus, Peter [Autor, 14%] ; Konôpková, Jana [Autor, 14%] ; Košutová, Dominika [Autor, UKFFPVKBG, 14%] ; Hoťka, Peter [Autor, 14%] ; Barta, Marek [Autor, 14%]. – text. – [angličtina]. – [OV 190, 130]. – [ŠO 4190, 1217]. – [článok]. – [recenzované]. – DOI 10.3390/plants11030417. – WOS CC ; SCO ; CCC In: Plants-Basel [elektronický dokument] . – Bazilej (Švajčiarsko) : Multidisciplinary Digital Publishing Institute. – ISSN (online) 2223-7747. – Roč. 11, č. 3 (2022), art. no, 417, s. 1-19 [online] </t>
  </si>
  <si>
    <t xml:space="preserve">Chicken Eggshell Powder More Effectively Alleviates Bone Loss Compared to Inorganic Calcium Carbonate: an Animal Study Performed on Ovariectomized Rats / Omelka, Radoslav [Autor, UKFFPVKBG, 25%] ; Martiniaková, Monika [Autor, UKFFPVKZA, 25%] ; Bábiková, Martina [Autor, UKFFPVKBG, 15%] ; Švík, Karol [Autor, 5%] ; Slovák, Lukáš [Autor, 5%] ; Kováčová, Veronika [Autor, UKFFPVKZA, 10%] ; Vozár, Jaroslav [Autor, 5%] ; Šoltésová Prnová, Marta [Autor, 10%]. – text. – [angličtina]. – [OV 130]. – [ŠO 1536]. – [článok]. – [recenzované]. – DOI 10.26402/jpp.2021.6.05. – WOS CC In: Journal of Physiology and Pharmacology [textový dokument (print)] [elektronický dokument] : an Official Journal of the Polish Physiological Society. – Kraków (Poľsko) : Polskie Towarzystwo Fizjologiczne. – ISSN 0867-5910. – ISSN (online) 1899-1505. – Roč. 72, č. 6 (2021), s. 873-879 [tlačená forma] [online] . – IF: 2.589 ; SNIP: 0.843 ; SJR: 0.646 ; CiteScore: 4.7 ; AIS: 0.382 AIS - Physiology - Q4 JIF - Physiology - Q3 Scimago - Medicine (miscellaneous) - Q2, Pharmacology - Q2, Physiology - Q3 </t>
  </si>
  <si>
    <t xml:space="preserve">Chosen sociolinguistic competencies in students in secondary school / Vnučko, Gregor [Autor, 70%] ; Reid, Eva [Autor, UKFPFAKLI, 30%]. – text. – [angličtina]. – [OV 010]. – [ŠO 7605]. – [článok]. – [recenzované]. – DOI 10.18355/PG.2022.11.1.3 In: Slavonic Pedagogical Studies Journal [textový dokument (print)] [elektronický dokument] : the Scientific Educational Journal . – Nitra (Slovensko) : Slovenská Vzdelávacia a Obstarávacia. – ISSN 1339-8660. – ISSN (online) 1339-9055. – Roč. 11, č. 1 (2022), s. 42-63 [tlačená forma] [online] . – Nordic List: 1 </t>
  </si>
  <si>
    <t xml:space="preserve">Identification of historical trackways in forests using contextual geospatial analyses / Slámová, Martina [Autor, KEVTUR, 20%] ; Beljak Pažinová, Noémi [Autor, UKFFFAKAR, 20%] ; Belčáková, Ingrid [Autor, KEVTUR, 20%] ; Beljak, Ján [Autor, 20%] ; Maliniak, Pavol [Autor, UMBFF02, 20%]. – text. – [angličtina]. – [OV 030, 100]. – [ŠO 7115, 1610]. – [článok]. – [recenzované]. – DOI 10.1002/arp.1882. – WOS CC ; SCO In: Archaeological Prospection [elektronický dokument] [textový dokument (print)] . – Hoboken (USA) : John Wiley &amp; Sons. – ISSN 1075-2196. – ISSN (online) 1099-0763. – 2022, s. 1-18 [online] [tlačená forma] </t>
  </si>
  <si>
    <t xml:space="preserve">Identifikácia modrého, červeného a zeleného koráliku z Indie = Identification of blue, red and green beads from India / Štubňa, Ján [Autor, UKFFPVKGR, 100%]. – text. – [slovenčina]. – [OV 092]. – [ŠO 1217]. – [článok]. – [recenzované] In: Gemologický spravodajca [textový dokument (print)] : časopis gemológov pri FPV UKF v Nitre. – Nitra (Slovensko) : Univerzita Konštantína Filozofa v Nitre. Fakulta prírodných vied. – ISSN 1337-6136. – ISSN (online) 1338-5275. – Roč. 12, č. 1 (2022), s. 12-17 [tlačená forma] </t>
  </si>
  <si>
    <t xml:space="preserve">Ideologie językowe romskich matek w szkołach na Słowacji : Language Ideologies of Roma Mothers in Schools in Slovakia / Samko, Milan [Autor, UKFFSVURS, 100%]. – text. – [poľština]. – [OV 020]. – [ŠO 7761]. – [článok]. – [recenzované] In: Studia Romologica [textový dokument (print)] . – Tarnow (Poľsko) : Komitet Opieki nad Zabytkami Kultury Żydowskiej. – ISSN 1689-4758. – Roč. 21, č. 14 (2021), s. 119-128 [tlačená forma] </t>
  </si>
  <si>
    <t xml:space="preserve">Ignition of Wood-Based Boards by Radiant Heat / Marková, Iveta [Autor, ZUZFBIPŽI, 20%] ; Ivaničová, Martina [Autor, UKFPFAKTT, 20%] ; Makovická Osvaldová, Linda [Autor, ZUZFBIPŽI, 20%] ; Harangozó, Jozef [Autor, UKFPFAKTT, 20%] ; Tureková, Ivana [Autor, UKFPFAKTT, 20%]. – [angličtina]. – [OV 010]. – [ŠO 7605]. – [článok]. – [recenzované]. – DOI 10.3390/f13101738. – WOS CC ; SCO In: Forests [elektronický dokument] . – Bazilej (Švajčiarsko) : Multidisciplinary Digital Publishing Institute. – ISSN (online) 1999-4907. – Roč. 13, č. 10 (2022), s. 1-18 [online] </t>
  </si>
  <si>
    <t xml:space="preserve">Impact of climatic changes on the montane and alpine lake ecosystems (High Tatras, Western Carpathians) / Hrivnáková, Kristína [Autor, UKFFPVKEE, 100%]. – text. – [angličtina]. – [OV 100]. – [ŠO 1610]. – [článok]. – [recenzované] In: Oecologia Montana [textový dokument (print)] [elektronický dokument] : international journal of mountain ecology. – Poprad (Slovensko) : Prunella. – ISSN 1210-3209. – ISSN (online) 2644-4682. – Roč. 29, č. 2 (2020), s. 39-52 [tlačená forma] [online] </t>
  </si>
  <si>
    <t xml:space="preserve">Impact of the Covid-19 Coronavirus Pandemic on Tourism Facilities In the Regions of Slovakia / Urbaníková, Marta [Autor, UKFFPVUMI, 50%] ; Štubňová, Michaela [Autor, UKFFPVUMI, 50%]. – text. – [angličtina]. – [OV 080]. – [ŠO 6213]. – [článok]. – [recenzované]. – DOI 10.17846/GI.2020.24.2.348-360 In: Geografické informácie [textový dokument (print)] [elektronický dokument] . – Nitra (Slovensko) : Univerzita Konštantína Filozofa v Nitre. – ISSN 1337-9453. – Roč. 24, č. 2 (2020), s. 348-360 [tlačená forma] [online] </t>
  </si>
  <si>
    <t xml:space="preserve">Impact of the Heat Source Model on Transient Methods of Conductivity and Diffusivity Measurement / Malinarič, Svetozár [Autor, UKFFPVKFY, 50%] ; Bokes, Peter [Autor, 50%]. – text. – [angličtina]. – [OV 091, 150]. – [ŠO 1160, 2675]. – [článok]. – [recenzované]. – WOS CC ; SCO ; CCC In: International Journal of Thermophysics [textový dokument (print)] : Journal of Thermophysical Properties and Thermophysics and Its Applications. – New York (USA) : Springer Nature. Springer International Publishing AG. – ISSN 0195-928X. – ISSN (online) 1572-9567. – Roč. 43, č. 2 (2022), s. 1-14 [tlačená forma] </t>
  </si>
  <si>
    <t xml:space="preserve">Impact of Two Coronavirus Waves on Higher Education: Comparative Study / Hašková, Alena [Autor, UKFPFAKTT, 60%] ; Šebo, Miroslav [Autor, UKFPFAKTT, 40%]. – text. – [angličtina]. – [OV 010]. – [ŠO 7605]. – [článok]. – [recenzované]. – DOI 10.26907/esd.17.2.08. – SCO In: Education and Self Development [textový dokument (print)] . – ISSN 1991-7740. – Roč. 17, č. 2 (2022), s. 75-85 [tlačená forma] </t>
  </si>
  <si>
    <t xml:space="preserve">Implementation of Pedagogical Research into Statistical Courses to Develop Students' Statistical Literacy / Gonda, Dalibor [Autor, ZUZRIAMOA, 25%] ; Pavlovičová, Gabriela [Autor, UKFFPVKMA, 25%] ; Ďuriš, Viliam [Autor, UKFFPVKMA, 25%] ; Tirpáková, Anna [Autor, UKFFPVKMA, 25%]. – text. – [angličtina]. – [OV 010]. – [ŠO 7605, 1113]. – [článok]. – [recenzované]. – DOI 10.3390/math10111793. – WOS CC ; SCO ; CCC In: Mathematics [elektronický dokument] . – Bazilej (Švajčiarsko) : Multidisciplinary Digital Publishing Institute. – ISSN (online) 2227-7390. – Roč. 10, č. 11 (2022), s. 1-17 [online] </t>
  </si>
  <si>
    <t xml:space="preserve">Implicitny charaktar formul prabačeňňa v mavlenčych pavodzinach belarusav / Kalechyts, Alena [Autor, UKFFFAKRU, 100%]. – text. – [bieloruština]. – [OV 020]. – [ŠO 7320]. – [článok]. – [recenzované]. – DOI 10.32612/uw.bmz.2021.5.pp.18-23 In: Belaruskaja mova jak zamežnaja [elektronický dokument] . – ISSN 2544-5448. – Roč. 5, č. 4 (2021), s. 18-23 [online] </t>
  </si>
  <si>
    <t xml:space="preserve">Inclusion in higher education in the Slovak republic / Poláčková, Vladimíra [Autor, UKFPFAKPE, 50%] ; Sender, Barbora [Autor, UKFPFAKPE, 50%]. – text. – [angličtina]. – [OV 010]. – [ŠO 7605]. – [článok]. – [recenzované]. – DOI 10.33543/1201. – WOS CC In: AD ALTA [textový dokument (print)] [elektronický dokument] : journal of interdisciplinary research = recenzovaný mezioborový vědecký časopis. – Hradec Králové (Česko) : Magnanimitas akademické sdružení. – ISSN 1804-7890. – ISSN (online) 2464-6733. – Roč. 12, č. 1 (2022), s. 151-156 [tlačená forma] [online] </t>
  </si>
  <si>
    <t xml:space="preserve">Influence of Varieties and Mulching on the Quality and Quantity of Vegetable Pepper Yield / Valšíková-Frey, Magdaléna [Autor, SPUFZK10, 20%] ; Mlček, Jiří [Autor, 16%] ; Bučková, Martina [Autor, 16%] ; Adámková, Anna [Autor, 16%] ; Adámek, Martin [Autor, 16%] ; Juríková, Tünde [Autor, UKFFSSUVP, 16%]. – text. – [angličtina]. – [OV 010]. – [ŠO 7605]. – [článok]. – [recenzované]. – DOI 10.3390/horticulturae8111035. – WOS CC ; SCO ; CCC In: Horticulturae [elektronický dokument] . – Bazilej (Švajčiarsko) : Multidisciplinary Digital Publishing Institute. – ISSN (online) 2311-7524. – Roč. 8, č. 11 (2022), s. 1-14 [online] </t>
  </si>
  <si>
    <t xml:space="preserve">Interaktive Webtools für den Grammatikunterricht / Vergeiner, Elisabeth [Autor, UKFFFAKGE, 100%]. – text. – [nemčina]. – [OV 010]. – [ŠO 7605]. – [článok]. – [recenzované]. – DOI 10.14220/odaf.2021.37.2.160 In: ÖDaF-Mitteilungen [textový dokument (print)] . – Viedeň (Rakúsko) : Universität Wien. Philologisch-Kulturwissenschaftliche Fakultät. Institut für Germanistik. – ISSN 2196-9167. – Roč. 37, č. 2 (2021), s. 160-169 [tlačená forma] </t>
  </si>
  <si>
    <t xml:space="preserve">Internet Use and Internet Addiction in the Context of Foreign Language Reading Comprehension / Ficzere, Anikó [Autor, UKFFSSKCR, 30%] ; Stranovská, Eva [Autor, UKFFFAKGE, 35%] ; Gadušová, Zdenka [Autor, UKFFFAKAA, 35%]. – text. – [angličtina]. – [OV 010]. – [ŠO 7605]. – [článok]. – [recenzované]. – DOI 10.24966/AAD-7276/100081 In: Journal of Addiction &amp; Addictive Disorders [textový dokument (print)] . – Hendon (USA) : Herald Scholarly Open Access. – ISSN 2578-7276. – Roč. 9, č. 1 (2022), s. 1-3 [tlačená forma] </t>
  </si>
  <si>
    <t xml:space="preserve">Interrelationships between amphiregulin, kisspeptin, FSH and FSH receptor in promotion of human ovarian cell functions / Fabová, Zuzana [Autor, UKFFPVKZA, 25%] ; Loncová, Barbora [Autor, UKFFPVKZA, 25%] ; Mlynček, Miloš [Autor, UKFFSVKOS, 25%] ; Sirotkin, Alexander [Autor, UKFFPVKZA, 25%]. – text. – [angličtina]. – [OV 130, 180]. – [ŠO 1536, 5618]. – [článok]. – [recenzované]. – DOI 10.1071/RD21230. – WOS CC ; SCO ; CCC In: Reproduction, Fertility and Development [textový dokument (print)] : the official journal of the Fertility Society of Australia and of the Australian Society for Reproduction Biology. – Collingwood (Austrália) : Commonwealth Scientific and Industrial Research Organisation CSIRO. – ISSN 1031-3613. – ISSN (online) 1448-5990. – Roč. 34, č. 3 (2022), s. 362-377 [tlačená forma] </t>
  </si>
  <si>
    <t xml:space="preserve">Iolite from the Czech Republic / Hreus, Sebastián [Autor, 101501, 50%] ; Novák, Milan [Autor, 25%] ; Štubňa, Ján [Autor, UKFFPVKGR, 25%]. – text. – [angličtina]. – [OV 092]. – [ŠO 1217]. – [článok]. – [recenzované]. – WOS CC ; CCC In: The Journal of Gemmology [textový dokument (print)] . – Londýn (Veľká Británia) : The Gemmological Association of Great Britain. – ISSN 1355-4565. – ISSN (online) 2632-1718. – Roč. 38, č. 1 (2022), s. 12-14 [tlačená forma] </t>
  </si>
  <si>
    <t xml:space="preserve">Jak se koronavirus stal hnacím motorem online vzdělávání / Masařová, Klára [Autor, UKFFFAKMR, 50%] ; Androsch, Nela Helena [Autor, UKFFFAKMR, 50%]. – [čeština]. – [OV 060]. – [ŠO 7205]. – [článok]. – [recenzované]. – DOI 10.26552/MKD.C.2021.1.4 In: Mediamatika a kultúrne dedičstvo [elektronický dokument] : revue o nových médiách a kultúrnom dedičstve. – Žilina (Slovensko) : Žilinská univerzita v Žiline. Fakulta humanitných vied. Katedra mediamatiky a kultúrneho dedičstva. – ISSN 1339-777X. – Roč. 8, č. 1 (2021), s. 1-11 [online] </t>
  </si>
  <si>
    <t xml:space="preserve">K prekladu anglických kolokácií do slovenčiny v beletrii = On the Translation of English Collocations in Fiction into Slovak / Jakubičková, Barbara [Autor, UKFFFAKTR, 100%]. – text. – [slovenčina]. – [OV 020]. – [ŠO 7320]. – [článok]. – [recenzované]. – SCO In: Slovenská reč [textový dokument (print)] [elektronický dokument] : časopis pre výskum slovenského jazyka : orgán Jazykovedného ústavu Ľudovíta Štúra Slovenskej akadémie vied. – Martin (Slovensko) : Matica slovenská, Bratislava (Slovensko) : SAP - Slovak Academic Press. – ISSN 0037-6981. – ISSN (online) 1338-4279. – Roč. 86, č. 3 (2021), s. 328-353 [tlačená forma] [online] . – CiteScore: 0,4 ; SJR: 0,123 ; SNIP: 0,87 Scimago - Linguistics and language - Q3 </t>
  </si>
  <si>
    <t xml:space="preserve">K problematike pojmových máp v technickom vzdelávaní = To the Issue of Notion Maps in Technical Education / Tomková, Viera [Autor, UKFPFAKTT, 100%]. – [slovenčina]. – [OV 010]. – [ŠO 7605]. – [článok]. – [recenzované] In: Technika a vzdelávanie [textový dokument (print)] [elektronický dokument] : časopis zameraný na technické vzdelávanie v základných, stredných i na vysokých školách, na oblasť základného a aplikovaného výskumu, aplikáciu informačných technológií vo výučbe odborných predmetov. – Banská Bystrica (Slovensko) : Univerzita Mateja Bela v Banskej Bystrici. Fakulta prírodných vied. – ISSN 1338-9742. – ISSN (online) 1339-9888. – Roč. 10, č. 1 (2021), s. 9-12 [tlačená forma] [online] </t>
  </si>
  <si>
    <t xml:space="preserve">K problemenaciolekta i ego vlijanija na specifiku terminologii i ossobennosti ejo perevoda = The Problem of Natiolect in Connection with the Language Interference and the Specifics of Terminology Translation / Korina, Natália [Autor, UKFFFAKRU, 45%] ; Wrede, Oľga [Autor, UKFFFAKGE, 45%] ; Zamaletdinov, Radif [Autor, 10%]. – text. – [ruština]. – [OV 020]. – [ŠO 6107]. – [článok]. – [recenzované]. – DOI 10.2478/jazcas-2022-0004. – SCO In: Jazykovedný časopis [elektronický dokument] [textový dokument (print)] : vedecký časopis pre otázky teórie jazyka = scientific journal for the theory of language. – Bratislava (Slovensko) : SAP - Slovak Academic Press, Varšava (Poľsko) : De Gruyter. – ISSN 0021-5597. – ISSN (online) 1338-4287. – Roč. 72, č. 3 (2021), s. 787-808 [online] [tlačená forma] . – CiteScore: 0,3 ; SJR: 0,191 ; SNIP: 0,923 Scimago - Linguistics and language - Q2 </t>
  </si>
  <si>
    <t xml:space="preserve">K voprosu o triadičeskom charaktere tvorčestva F. M. Dostojevskogo = Some Notes of the Triadic Character of Dostoyevsky ́s Creativity / Lekeš, Patrik [Autor, UKFFFASJL, 100%]. – text. – [angličtina]. – [OV 020]. – [ŠO 7320]. – [článok]. – [recenzované]. – DOI 10.24412/2470-1262-2022-3 -38-46 In: Cross-cultural studies [textový dokument (print)] : education and science. – Middlebury (USA) : Russian Department, Middlebury College. – ISSN 2470-1262. – Roč. 7, č. 3 (2022), s. 38-46 [tlačená forma] </t>
  </si>
  <si>
    <t xml:space="preserve">Kak segmentirovať auditoriju čtoby nastrojiť reklamu v internete = Ako segmentovať publikum na vytvorenie online reklamy / Zacharová, Jana [Autor, UKFFFAKMR, 100%]. – text. – [ruština]. – [OV 020]. – [ŠO 6107]. – [článok]. – [recenzované] In: Učreždenija kuľtury [elektronický dokument] : spravočnik rukovoditeľja. – ISSN 1727-6772. – Roč. 7, č. 4 (2022), s. 1-3 [online] </t>
  </si>
  <si>
    <t xml:space="preserve">Kierkegaard’s reading of reality / Akimjak, Amantius [Autor, Teologický inštitút KU, 33%] ; Hlad, Ľubomír [Autor, UKFFFAKNS, 37%] ; Ďatelinka, Anton [Autor, UKORKKPT, 30%]. – text. – [angličtina]. – [OV 020]. – [ŠO 6171]. – [článok]. – [recenzované]. – DOI 10.18355/XL.2022.15.01.05. – SIGN-UKO RK 1/22. – SCO In: XLinguae [textový dokument (print)] [elektronický dokument] : European scientific language journal. – Nitra (Slovensko) : Vzdelávanie Don Bosca, Nitra (Slovensko) : Slovenská Vzdelávacia a Obstarávacia. – ISSN 1337-8384. – ISSN (online) 2453-711X. – Roč. 15, č. 1 (2022), s. 47-54 [tlačená forma] [online] </t>
  </si>
  <si>
    <t xml:space="preserve">Kisspeptin as autocrine/paracrine regulator of human ovarian cell functions: Possible interrelationships with FSH and its receptor / Fabová, Zuzana [Autor, UKFFPVKZA, 25%] ; Loncová, Barbora [Autor, UKFFPVKZA, 25%] ; Mlynček, Miloš [Autor, UKFFSVKOS, 25%] ; Sirotkin, Alexander [Autor, UKFFPVKZA, 25%]. – text. – [angličtina]. – [OV 130]. – [ŠO 1536]. – [článok]. – [recenzované]. – DOI 10.1016/j.repbio.2021.100580. – WOS CC ; SCO In: Reproductive Biology [textový dokument (print)] [elektronický dokument] . – Olsztyn (Poľsko) : Institute of Animal Reproduction and Food Research of the Polish Academy of Sciences. – ISSN 1642-431X. – ISSN (online) 2300-732X. – Roč. 22, č. 1 (2022), s. 1-9 [tlačená forma] [online] </t>
  </si>
  <si>
    <t xml:space="preserve">Knowledge of Fractions of Learners in Slovakia / Švecová, Valéria [Autor, UKFFPVKMA, 70%] ; Balgová, Marta [Autor, 20%] ; Pavlovičová, Gabriela [Autor, UKFFPVKMA, 10%]. – text. – [angličtina]. – [OV 010]. – [ŠO 1113]. – [článok]. – [recenzované]. – DOI 10.3390/math10060901. – WOS CC ; SCO ; CCC In: Mathematics [elektronický dokument] . – Bazilej (Švajčiarsko) : Multidisciplinary Digital Publishing Institute. – ISSN (online) 2227-7390. – Roč. 10, č. 6 (2022), s. 1-17 [online] </t>
  </si>
  <si>
    <t xml:space="preserve">Knowledge on use of Electrotherapy among Nursing and Urgent Health Care Students / Líšková, Miroslava [Autor, UKFFSVKOS, 50%] ; Mankovecká, Monika [Autor, UKFFSVKUM, 50%]. – text. – [angličtina]. – [OV 180]. – [ŠO 5602]. – [článok]. – [recenzované]. – DOI 10.33543/1201. – WOS CC In: AD ALTA [textový dokument (print)] [elektronický dokument] : journal of interdisciplinary research = recenzovaný mezioborový vědecký časopis. – Hradec Králové (Česko) : Magnanimitas akademické sdružení. – ISSN 1804-7890. – ISSN (online) 2464-6733. – Roč. 12, č. 1 (2022), s. 212-214 [tlačená forma] [online] </t>
  </si>
  <si>
    <t xml:space="preserve">Koncepcia Obráteného Dekalógu prof. W. Świątkiewicza a jej verifikácia v prostredí slovenskej mládeže / Štefaňak, Ondrej [Autor, UKFFFAKFI, 100%]. – text. – [slovenčina]. – [OV 060]. – [ŠO 6115]. – [článok]. – [recenzované] In: Mládež a spoločnosť [textový dokument (print)] : slovenský časopis pre štátnu politiku a výskum mládeže = Slovak journal for state policy and youth research. – Bratislava (Slovensko) : Centrum vedecko-technických informácií SR. – ISSN 1335-1109. – Roč. 28, č. 2-3 (2022), s. 36-46 [tlačená forma] </t>
  </si>
  <si>
    <t xml:space="preserve">Koncept dosť dobrej matky v postmodernej spoločnosti = Concept good-enough mother in postmodern society / Uličná, Zuzana [Autor, UKFFFAKAE, 100%]. – text. – [slovenčina]. – [OV 020]. – [ŠO 6107]. – [článok]. – [recenzované] In: Prohuman [elektronický dokument] : vedecko-odborný interdisciplinárny recenzovaný časopis, zameraný na oblasť spoločenských, sociálnych a humanitných vied : vedecko-odborný internetový časopis. – Bratislava (Slovensko) : Business Intelligence Club. – ISSN (online) 1338-1415. – č. 27. október (2022), s. 1-13 [online] </t>
  </si>
  <si>
    <t xml:space="preserve">Konfraternity konventu panny Marie a sv. Karla velikého na novém městě pražském z doby předhusitské = Confraternities of the Convent of Our Lady and St Charles the Great in Prague’s New Town in the Pre-Hussite Period / Krafl, Pavel Otmar [Autor, UKFFFAKAR, 100%]. – text. – [čeština]. – [OV 020]. – [ŠO 7115]. – [článok]. – [recenzované]. – DOI 10.17846/CL.2022.15.2.79-89. – WOS CC ; SCO In: Konštantínove listy [textový dokument (print)] [elektronický dokument] . – Nitra (Slovensko) : Univerzita Konštantína Filozofa v Nitre. Filozofická fakulta. Ústav pre výskum kultúrneho dedičstva Konštantína a Metoda. – ISSN 1337-8740. – ISSN (online) 2453-7675. – Roč. 15, č. 2 (2022), s. 79-89 [tlačená forma] [online] </t>
  </si>
  <si>
    <t xml:space="preserve">Konštrukcia obdĺžnika daného obsahu vpísaného do pravouhlého trojuholníka v prostredí GeoGebra / Vallo, Dušan [Autor, UKFFPVKMA, 100%]. – text. – [slovenčina]. – [OV 010]. – [ŠO 7605, 1113]. – [článok]. – [recenzované]. – DOI 10.17846/AMN.2022.8.1.11-15 In: Acta Mathematica Nitriensia [elektronický dokument] . – Nitra (Slovensko) : Univerzita Konštantína Filozofa v Nitre. Fakulta prírodných vied a informatiky. Katedra matematiky. – ISSN 2453-6083. – Roč. 8, č. 1 (2022), s. 11-15 [online] </t>
  </si>
  <si>
    <t xml:space="preserve">Kriminalita rómskej mládeže v socializme / Rác, Ivan [Autor, UKFFSVURS, 100%]. – text. – [slovenčina]. – [OV 060]. – [ŠO 7761]. – [článok]. – [recenzované] In: Sociálna prevencia [textový dokument (print)] : odborný časopis. – Bratislava (Slovensko) : Národné osvetové centrum. – ISSN 1336-9679. – TUTPR signatúra E025398. – Roč. 17, č. 1 (2022), s. 11-13 [tlačená forma] </t>
  </si>
  <si>
    <t xml:space="preserve">Kultúrna inštitúcia ako komunikačný kanál medzi organizátorom a adresátom / Štosel, Marek [Autor, UKFFFAKZU, 100%]. – [slovenčina]. – [OV 020]. – [ŠO 7205]. – [článok]. – [recenzované] In: Culturologica Slovaca [elektronický dokument] : internetový kulturologický časopis. – Nitra (Slovensko) : Univerzita Konštantína Filozofa v Nitre. – ISSN 2453-9740. – Roč. 7, č. 1 (2022), s. 78-88 [online] </t>
  </si>
  <si>
    <t xml:space="preserve">Kultúrno-historický rozmer Cyrilo-metodskej misie v kontexte neskorších cirkevných diel na Slovensku (Rituale Strigoniense, Rituale Slovacchiᴁ a Cantus Catholici) = The Cultural-Historical Dimension of the Cyril and Methodius Mission in the Context of Later Ecclesiastical Works in Slovakia (Rituale Strigoniense, Rituale Slovacchiæ and Cantus Catholici) / Judák, Viliam [Autor, UKORKFH, 40%] ; Hlad, Ľubomír [Autor, UKFFFAUKD, 30%] ; Ďatelinka, Anton [Autor, UKORKKPT, 30%]. – text. – [slovenčina]. – [OV 030, 020]. – [ŠO 6171]. – [článok]. – [recenzované]. – DOI 10.17846/CL.2022.15.1.40-52. – SIGN-UKO RK 23/22. – WOS CC ; SCO In: Konštantínove listy [textový dokument (print)] [elektronický dokument] . – Nitra (Slovensko) : Univerzita Konštantína Filozofa v Nitre. Filozofická fakulta. Ústav pre výskum kultúrneho dedičstva Konštantína a Metoda. – ISSN 1337-8740. – ISSN (online) 2453-7675. – Roč. 15, č. 1 (2022), s. 40-52 [tlačená forma] [online] </t>
  </si>
  <si>
    <t xml:space="preserve">Kvalita života u závislých od psychoaktívnych látok v ústavnej liečbe závislostí / Wolt, Richard [Autor, UKFFSVKPV, 40%] ; Micháleková, Ema [Autor, 30%] ; Uhláriková, Jana [Autor, UKFFSVKPV, 30%]. – text. – [slovenčina]. – [OV 060]. – [ŠO 7701]. – [článok]. – [recenzované] In: Pomáhajúce profesie [textový dokument (print)] : recenzovaný vedecký časopis pre teóriu, výskum, prax a vzdelávanie v pomáhajúcich profesiách. – Nitra (Slovensko) : Univerzita Konštantína Filozofa v Nitre. – ISSN 2585-9447. – Roč. 4, č. 2 (2021), s. 40-48 [tlačená forma] [online] </t>
  </si>
  <si>
    <t xml:space="preserve">La motivica dantesca nel romanzo "Il Fuoco" di Gabriele d ́Annunzio e la sua ricezione nell ́ambiente slovacco negli anni trenta / Rusnáková, Natália [Autor, UKFFFAKRO, 100%]. – text. – [taliančina]. – [OV 020]. – [ŠO 7320]. – [článok]. – [recenzované] In: Studi italo-slovacchi [textový dokument (print)] . – Nitra (Slovensko) : Univerzita Konštantína Filozofa v Nitre. Filozofická fakulta, Bratislava (Slovensko) : Slovenská akadémia vied. – ISSN 1338-6778. – Roč. 10, č. 2 (2021), s. 123-131 [tlačená forma] </t>
  </si>
  <si>
    <t xml:space="preserve">LANDEP Methodology for Archetypes of Landscape and Landscape Planning: Case Study of Brhlovce, Slovakia / Mišovičová, Regína [Autor, UKFFPVKEE, 40%] ; Pucherová, Zuzana [Autor, UKFFPVKEE, 40%] ; Grežo, Henrich [Autor, UKFFPVKEE, 20%]. – text. – [angličtina]. – [OV 100]. – [ŠO 1610]. – [článok]. – [recenzované]. – DOI 10.18848/2325-1115/CGP/v17i02/77-97. – SCO In: The International Journal of Social Sustainability in Economic, Social, and Cultural Context [textový dokument (print)] [elektronický dokument] . – Champaign (USA) : Common Ground Research Networks. – ISSN 2325-1115. – ISSN (online) 2325-114X. – DOI 10.18848/2325-1115/CGP. – Roč. 17, č. 2 (2021), s. 77-97 [tlačená forma] [online] . – CiteScore: 0,5 ; SJR: 0,171 ; SNIP: 0,109 Scimago - Environmental science (miscellaneous) - Q4, Geography, planning and development - Q4, Sociology and political science - Q3 </t>
  </si>
  <si>
    <t xml:space="preserve">Language and Cultural Peculiarities of Gender Realisation / Baghana, Jerome [Autor, UCMFIFKPED, 20%] ; Slobodová Nováková, Katarína [Autor, UCMFIFKEMŠ, 20%] ; Voloshina, Tatiana G. [Autor, 20%] ; Qi, Wang [Autor, 20%] ; Pavlíková, Martina [Autor, UKFFFAKZU, 20%]. – text. – [angličtina]. – [OV 010]. – [ŠO 7320]. – [článok]. – [recenzované]. – DOI 10.15503/jecs2022.2.531.548. – WOS CC In: Journal of education culture and society [elektronický dokument] . – Vroclav (Poľsko) : Fundacja Pro Scientia Publica. – ISSN 2081-1640. – Roč. 13, č. 2 (2022), s. 531-548 [online] </t>
  </si>
  <si>
    <t xml:space="preserve">Lektorský výklad a informačné materiály v cudzom jazyku vo vybraných pamiatkových rezerváciách ľudovej architektúry / Molnárová, Andrea [Autor, UKFFFAKMK, 50%] ; Záhumenská, Lucia [Autor, UKFFFAKMK, 50%]. – text. – [slovenčina]. – [OV 020]. – [ŠO 8110]. – [článok]. – [recenzované] In: Kontexty kultúry a turizmu [textový dokument (print)] . – Nitra (Slovensko) : Univerzita Konštantína Filozofa v Nitre. Filozofická fakulta. – ISSN 1337-7760. – Roč. 15, č. 1 (2022), s. 7-20 [tlačená forma] </t>
  </si>
  <si>
    <t xml:space="preserve">Lifelong learning and development for social workers / Budayová, Zuzana [Autor, Teologický inštitút KU, 30%] ; Svoboda, Michal [Autor, 30%] ; Kóša, Marek [Autor, UKFPFAKTT, 15%] ; Tudose, Catalina [Autor, 15%] ; Molchanova, Irma Igorevna [Autor, 10%]. – text. – [angličtina]. – [OV 010]. – [ŠO 7605]. – [článok]. – [recenzované]. – DOI 10.15503/jecs2022.2.359.368. – WOS CC In: Journal of education culture and society [elektronický dokument] . – Vroclav (Poľsko) : Fundacja Pro Scientia Publica. – ISSN 2081-1640. – Roč. 13, č. 2 (2022), s. 359-368 [online] </t>
  </si>
  <si>
    <t xml:space="preserve">Linear motor driven leg-press dynamometer for testing, training, and rehabilitation : a scoping review with a focus on the concept of serial stretch loading (Review) / Cvečka, Ján [Autor, UKOTVDKCH, 47%] ; Krčmár, Matúš [Korešpondenčný autor, UKFPFAKTV, 2%] ; Hamar, Dušan [Autor, UKOTVKKA, 1%] ; Kern, Helmut [Autor, 1%] ; Christian, Hofer [Autor, 1%] ; Löfler, Stefan [Autor, 1%] ; Vajda, Matej [Autor, UKOTVDKCH, 47%]. – text, fotogr., graf., tab., obr. – [angličtina]. – [OV 210]. – [ŠO 7418]. – [článok]. – [recenzované]. – DOI 10.3390/ijerph19084445. – SIGN-UKO TV. – WOS CC ; SCO ; CCC In: International journal of environmental research and public health [elektronický dokument] [textový dokument (print)] : open access journal. – Basel (Švajčiarsko) : Multidisciplinary Digital Publishing Institute. – ISSN 1661-7827. – ISSN (online) 1660-4601. – Roč. 19, č. 8 (2022), art. no. 4445, s. 1-19 [online] [tlačená forma] </t>
  </si>
  <si>
    <t xml:space="preserve">Los tratadistas del eros y la Academia. El caso de la Enciclopedia del erotismo de Camilo José Cela / Lampis, Mirko [Autor, UKFFFAKRO, 100%]. – text. – [španielčina]. – [OV 020]. – [ŠO 7320]. – [článok]. – [recenzované]. – DOI 10.25145/j.refiull.2022.45.01 In: Revista de Filologia de la Universidad de La Laguna [textový dokument (print)] . – La Laguna (Španielsko) : Instituto Universitario de Investigación Social y Turismo de la Universidad de La Laguna. – ISSN 0212-4130. – č. 45 (2022), s. 11-35 [tlačená forma] </t>
  </si>
  <si>
    <t xml:space="preserve">Maintaining soil productivity as the key factor in European prehistoric and Medieval farming / Dreslerová, Dagmar [Autor, 10%] ; Hajnalová, Mária [Autor, UKFFFAKAR, 75%] ; Trubač, Jakub [Autor, 3%] ; Chuman, Tomáš [Autor, 3%] ; Kočár, Petr [Autor, 3%] ; Kunzová, Eva [Autor, 3%] ; Šefrna, Luděk [Autor, 3%]. – text. – [angličtina]. – [OV 030]. – [ŠO 7115]. – [článok]. – [recenzované]. – DOI 10.1016/j.jasrep.2020.102633. – WOS CC ; SCO ; CCC In: Journal of archaeological science [textový dokument (print)] [elektronický dokument] : reports. – Amstredam (Holandsko) : Elsevier. – ISSN 2352-409X. – č. 35 (2021), s. 1-12 [tlačená forma] [online] . – CiteScore: 3 ; SJR: 0,73 ; SNIP: 0,971 ; AIS: 0.603 AIS - Archaeology - Q2 Scimago - Archeology - Q1, Archeology (arts and humanities) - Q1, History - Q1 </t>
  </si>
  <si>
    <t xml:space="preserve">Managing Transference and Countertransference in Cognitive Behavioral Supervision: Theoretical Framework and Clinical Application / Praško Pavlov, Ján [Autor, UKFFSVKPV, 11.111%] ; Ocisková, Marie [Autor, 11.111%] ; Vanek, Jakub [Autor, 11.111%] ; Burkauskas, Julius [Autor, 11.111%] ; Šlepecký, Miloš [Autor, UKFFSVKPV, 11.111%] ; Bite, Leva [Autor, 11.111%] ; Krone, Ilona [Autor, 11.111%] ; Sollár, Tomáš [Autor, UKFFSVUAP, 11.111%] ; Juskiene, Alicja [Autor, 11.112%]. – text. – [angličtina]. – [OV 060]. – [ŠO 7701]. – [článok]. – [recenzované]. – DOI 10.2147/PRBM.S369294. – WOS CC ; SCO In: Psychology Research and Behavior Management [elektronický dokument] . – Auckland (Nový Zéland) : Dove Medical Press. – ISSN 1179-1578. – č. 15 (2022), s. 2129-2155 [online] </t>
  </si>
  <si>
    <t xml:space="preserve">Manažment destinácie cestovného ruchu v Nitrianskom samosprávnom kraji / Kompasová, Katarína [Autor, UKFFFAKMK, 100%]. – text. – [slovenčina]. – [OV 080]. – [ŠO 6213]. – [článok]. – [recenzované] In: Kontexty kultúry a turizmu [textový dokument (print)] . – Nitra (Slovensko) : Univerzita Konštantína Filozofa v Nitre. Filozofická fakulta. – ISSN 1337-7760. – Roč. 15, č. 1 (2022), s. 47-57 [tlačená forma] </t>
  </si>
  <si>
    <t xml:space="preserve">Mariánska hora v Levoči v združení European Marian Network = Marian Hill in Levoči in the European Marian Network Association / Štefaňak, Ondrej [Autor, UKFFFAKSO, 100%]. – text. – [slovenčina]. – [OV 060]. – [ŠO 6115]. – [článok]. – [recenzované] In: Historia Ecclesiastica [textový dokument (print)] : časopis pre dejiny cirkví a náboženstiev v Strednej Európe. – Prešov (Slovensko) : Prešovská univerzita v Prešove. – ISSN 1338-4341. – Roč. 12, č. 1 (2021), s. 244-254 [tlačená forma] . – CiteScore: 0,4 ; SJR: 0,174 ; SNIP: 0,186 Scimago - History - Q2, Religious studies - Q2 </t>
  </si>
  <si>
    <t xml:space="preserve">Maths anxiety as a predictor of developmental dyscalculia / Janíček Pavelová, Monika [Autor, UKFPFAKPE, 25%] ; Erhardtová, Gabriela [Autor, UKFPFAKPE, 25%] ; Kraljiková, Michaela [Autor, UKFPFAKPE, 25%] ; Žovinec, Erik [Autor, UKFPFAKPE, 25%]. – text. – [angličtina]. – [OV 010]. – [ŠO 7605]. – [článok]. – [recenzované] In: GRANT journal [elektronický dokument] : European Grant Projects, Results, Research &amp; Development, Science : Peer-Reviewed Scientific Journal. – Hradec Králové (Česko) : Magnanimitas akademické sdružení. – ISSN (online) 1805-0638. – ISSN (online) 1805-062X. – Roč. 11, č. 1 (2022), s. 37-40 [CD-ROM] [online] </t>
  </si>
  <si>
    <t xml:space="preserve">Media Education as a Means of Sexting Prevention / Bielčiková, Kristína [Autor, UKFPFAKPE, 50%] ; Hollá, Katarína [Autor, UKFPFAKPE, 50%]. – text. – [angličtina]. – [OV 010]. – [ŠO 7605]. – [článok]. – [recenzované]. – DOI 10.15503/jecs2022.1.111.125. – WOS CC In: Journal of education culture and society [elektronický dokument] . – Vroclav (Poľsko) : Fundacja Pro Scientia Publica. – ISSN 2081-1640. – Roč. 13, č. 1 (2022), s. 111-125 [online] </t>
  </si>
  <si>
    <t xml:space="preserve">Médiá v súčasnej spoločnosti v kontexte etických a výchovných stratégií / Lomnický, Igor [Autor, UKFFFAKAE 06.2022, 50%] ; Lesková, Andrea [Autor, UKFFFAKAE 06.2022, 50%]. – text. – [slovenčina]. – [OV 020]. – [ŠO 6107]. – [článok]. – [recenzované] In: Civitas [textový dokument (print)] : časopis pre politické a sociálne vedy. – Nitra (Slovensko) : Univerzita Konštantína Filozofa v Nitre. Filozofická fakulta. Katedra politológie a euroázijských štúdií. – ISSN 1335-2652. – Roč. 27, č. 1 (2021), s. 11-13 [tlačená forma] </t>
  </si>
  <si>
    <t xml:space="preserve">Medzinárodný projekt „Bádatelia prírody - EXON“ ako prostriedok environmentálneho vzdelávania na základnej škole / Lehotayová, Jarmila [Autor, UKFFPVKEE, 100%]. – text. – [slovenčina]. – [OV 100]. – [ŠO 1610]. – [článok]. – [recenzované] In: Pedagogické rozhľady [elektronický dokument] [textový dokument (print)] : Odborno-metodický časopis pre školy a školské zariadenia. – Banská Bystrica (Slovensko) : Metodicko-pedagogické centrum. – ISSN (online) 1335-0404. – Roč. 31, č. 1 (2022), s. 28-30 [online] [tlačená forma] </t>
  </si>
  <si>
    <t xml:space="preserve">Mechanical behaviour of porous kaolin-based ceramics for potential catalysts support applications / Obada, David Olubiyi [Autor, 16%] ; Salami, Kazeem A. [Autor, 14%] ; Alabi, Abdulmumin A. [Autor, 14%] ; Oyedeji, Ayodeji N. [Autor, 14%] ; Csáki, Štefan [Autor, UKFFPVKFY, 14%] ; Húlan, Tomáš [Autor, UKFFPVKFY, 14%] ; Meher, Alok K. [Autor, 14%]. – text. – [angličtina]. – [OV 160]. – [ŠO 2508]. – [článok]. – [recenzované]. – DOI 10.1007/s43207-022-00248-3. – SCO In: The Journal of Korean Ceramic Society [elektronický dokument] [textový dokument (print)] . – Berlin (Nemecko) : Springer Nature. – ISSN 1229-7801. – ISSN (online) 2234-0491. – Roč. 59, č. 6 (2022), s. 1-14 [tlačená forma] [online] </t>
  </si>
  <si>
    <t xml:space="preserve">Mental health in public service interpreting / Hodáková, Soňa [Autor, UKFFFAKTR, 50%] ; Ukušová, Jana [Autor, UKFFFAKTR, 50%]. – text. – [angličtina]. – [OV 020]. – [ŠO 7320]. – [článok]. – [recenzované] In: Bridge [elektronický dokument] : Trends and Traditions in Translation and Interpreting Studies. – Nitra (Slovensko) : Univerzita Konštantína Filozofa v Nitre. Filozofická fakulta. Katedra translatológie. – ISSN (online) 2729-8183. – Roč. 3, č. 1 (2022), s. 58-70 [online] </t>
  </si>
  <si>
    <t xml:space="preserve">Mentor’s Perception of the Future Science Teacher’s Teaching Practice / Radulović, Branka [Autor, 15%] ; Jovanovic, Tamara [Autor, 15%] ; Gadušová, Zdenka [Autor, UKFFFAKAA, 30%] ; Hašková, Alena [Autor, UKFPFAKTT, 30%] ; Pavera, Libor [Autor, 10%]. – text. – [angličtina]. – [OV 010]. – [ŠO 7605]. – [článok]. – [recenzované]. – WOS CC In: Journal of education culture and society [elektronický dokument] . – Vroclav (Poľsko) : Fundacja Pro Scientia Publica. – ISSN 2081-1640. – Roč. 13, č. 1 (2022), s. 145-155 [online] </t>
  </si>
  <si>
    <t xml:space="preserve">Metamorhoses of General, Doctrinal and Practical Dimensions of Slovak Youth Religiosity / Štefaňak, Ondrej [Autor, UKFFFAKSO, 100%]. – text. – [angličtina]. – [OV 060]. – [ŠO 6115]. – [článok]. – [recenzované]. – DOI 10.18290/rns22502.7 In: Annals of Social Sciences [textový dokument (print)] [elektronický dokument] . – Lublin (Poľsko) : Towarzystwo Naukowe KUL. – ISSN 0137-4176. – ISSN (online) 2544-5812. – Roč. 14, č. 2 (2022), s. 119-141 [tlačená forma] [online] </t>
  </si>
  <si>
    <t xml:space="preserve">Metaphysics and Mysticism: Mystical Aspects and Elements in the Work of Czech Thinker Karel Riha / Vašek, Martin [Autor, UKFFFAKFI, 34%] ; Blaščíková, Andrea [Autor, UKFFFAKNS, 33%] ; Nemec, Rastislav [Autor, TUTTFKKF, 33%]. – text. – [angličtina]. – [OV 020]. – [ŠO 6107]. – [článok]. – [recenzované]. – DOI 10.3390/rel13010084. – TUTTFKKF signatúra E089540. – WOS CC ; SCO ; CCC In: Religions [elektronický dokument] . – Basel (Švajčiarsko) : Multidisciplinary Digital Publishing Institute. – ISSN (online) 2077-1444. – Roč. 13, č. 1 (2022), art. no. 84, s. [1-15] [online] </t>
  </si>
  <si>
    <t xml:space="preserve">Množstvo času stráveného na internete u študentov vybraných stredných škôl v Nitre / Rác, Ivan [Autor, UKFFSVURS, 100%]. – text. – [slovenčina]. – [OV 060]. – [ŠO 7761]. – [článok]. – [recenzované] In: Prevencia [textový dokument (print)] : Informačný bulletin zameraný na prevenciu sociálno-patologických javov v rezorte školstva = Information Bulletin Aimed at Prevention of Social-pathological Phenomena in the Education Sector. – Bratislava (Slovensko) : Centrum vedecko-technických informácií SR. – ISSN 1336-3689. – Roč. 21, č. 1 (2022), s. 33-40 [tlačená forma] </t>
  </si>
  <si>
    <t xml:space="preserve">Modification of Grammar-Lexical Tests in English Lessons for the Individuals with Developmental Learning Disabilities at Lower Secondary School / Horváthová, Ivana [Autor, UKFFFAKAA, 100%]. – text. – [angličtina]. – [OV 010]. – [ŠO 7605]. – [článok]. – [recenzované]. – DOI 10.33542/EDU2022-1-0 In: Edukácia [elektronický dokument] : Vedecko-odborný časopis. – Košice (Slovensko) : Univerzita Pavla Jozefa Šafárika v Košiciach. Celouniverzitné pracovisko UPJŠ. Vydavateľstvo ŠafárikPress UPJŠ. – ISSN 1339-8725. – Roč. 5, č. 1 (2022), s. 35-44 [online] </t>
  </si>
  <si>
    <t xml:space="preserve">Modré sklo farbené meďou s inklúziiami syntetického wollastonitu = Copper-doped artificial blue glass containing synthetic wollastonite inclusions / Štubňa, Ján [Autor, UKFFPVKGR, 100%]. – text. – [slovenčina]. – [OV 092]. – [ŠO 1217]. – [článok]. – [recenzované] In: Gemologický spravodajca [textový dokument (print)] : časopis gemológov pri FPV UKF v Nitre. – Nitra (Slovensko) : Univerzita Konštantína Filozofa v Nitre. Fakulta prírodných vied. – ISSN 1337-6136. – ISSN (online) 1338-5275. – Roč. 12, č. 1 (2022), s. 5-11 [tlačená forma] </t>
  </si>
  <si>
    <t xml:space="preserve">Mohamed or Adam? Strategies for Naming Children among Muslim in Slovakia / Letavajová, Silvia [Autor, UKFFFAKMK, 100%]. – text. – [angličtina]. – [OV 030]. – [ŠO 7115]. – [článok]. – [recenzované]. – DOI 10.15176/vol58no207. – SCO In: Narodna umjetnost [textový dokument (print)] : hrvatski časopis za etnologiju i folkloristiku. – Záhreb (Chorvátsko) : Institut za etnologiju i folkloristiku. – ISSN 0547-2504. – Roč. 58, č. 2 (2021), s. 125-140 [tlačená forma] . – CiteScore: 0,5 ; SJR: 0,122 ; SNIP: 0,382 Scimago - Anthropology - Q4, Arts and humanities (miscellaneous) - Q3, Cultural studies - Q3 </t>
  </si>
  <si>
    <t xml:space="preserve">Molecular insight into genetic structure and diversity of putative hybrid swarms of Pinus sylvestris × P. mugo in Slovakia / Klobučník, Miroslav [Autor, UKOPRBGE, 40%] ; Galgóci, Martin [Autor, UKFFPVKBG, 40%] ; Gömöry, Dušan [Autor, KF, 10%] ; Kormuťák, Andrej [Autor, 10%]. – text, ilustr., graf., tab. – [angličtina]. – [OV 130, 190]. – [ŠO 1536, 4219]. – [článok]. – [recenzované]. – DOI 10.3390/f13020205. – SIGN-UKO PR 411/22. – WOS CC ; SCO ; CCC In: Forests [elektronický dokument] . – Bazilej (Švajčiarsko) : Multidisciplinary Digital Publishing Institute. – ISSN (online) 1999-4907. – Roč. 13, č. 2 (2022), art. no. 205, s. [1-14] [online] </t>
  </si>
  <si>
    <t xml:space="preserve">Monastic Identity of Constantine the Philosopher and Methodius and The First Slavic Translations of Ascetic Texts / Zozuľak, Ján [Autor, UKFFFAKAE, 100%]. – [angličtina]. – [OV 020]. – [ŠO 7115]. – [článok]. – [recenzované]. – DOI 10.17846/CL.2022.15.1.3-10. – WOS CC ; SCO In: Konštantínove listy [textový dokument (print)] [elektronický dokument] . – Nitra (Slovensko) : Univerzita Konštantína Filozofa v Nitre. Filozofická fakulta. Ústav pre výskum kultúrneho dedičstva Konštantína a Metoda. – ISSN 1337-8740. – ISSN (online) 2453-7675. – Roč. 15, č. 1 (2022), s. 3-10 [tlačená forma] [online] </t>
  </si>
  <si>
    <t xml:space="preserve">Monogamia a morálne konštrukcie sexuálnej a párovej exkluzivity = Monogamy and moral constructions of sexual and couple exclusivity / Kňažko, Boris [Autor, UKFFFAKAE 06.2022, 100%]. – text. – [slovenčina]. – [OV 020]. – [ŠO 6107]. – [článok]. – [recenzované] In: Prohuman [elektronický dokument] : vedecko-odborný interdisciplinárny recenzovaný časopis, zameraný na oblasť spoločenských, sociálnych a humanitných vied : vedecko-odborný internetový časopis. – Bratislava (Slovensko) : Business Intelligence Club. – ISSN (online) 1338-1415. – č. 26. január (2022), s. 1-6 [online] </t>
  </si>
  <si>
    <t xml:space="preserve">Moobbing na pracovišti : mechanismy a dopady / Praško Pavlov, Ján [Autor, UKFFSVKPV, 50%] ; Šlepecký, Miloš [Autor, UKFFSVKPV, 39%] ; Vanek, Jakub [Autor, 3%] ; Nesnídal, Vlastimil [Autor, 1%] ; Ocisková, Marie [Autor, 1%] ; Kantor, Kryštof [Autor, 1%] ; Holubová, Michaela [Autor, 1%] ; Hodný, František [Autor, 1%] ; Vrbová, Kristýna [Autor, 1%] ; Bednárová, Lucie [Autor, 1%] ; Boček, Jonáš [Autor, 1%]. – text. – [čeština]. – [OV 060]. – [ŠO 7701]. – [článok]. – [recenzované] In: Psychiatrie pro praxi [textový dokument (print)] [elektronický dokument] . – Konice (Česko) : Solen medical education (CZ). – ISSN 1213-0508. – ISSN (online) 1803-5272. – Roč. 22, č. 3 (2021), s. 132-137 [tlačená forma] [online] </t>
  </si>
  <si>
    <t xml:space="preserve">Moravian–Slovak Borderland: Possibilities for Rural Development / Vaishar, Antonín [Autor, 45%] ; Št’astná, Milada [Autor, 45%] ; Kramáreková, Hilda [Autor, UKFFPVKGR, 10%]. – text. – [angličtina]. – [OV 092]. – [ŠO 1217]. – [článok]. – [recenzované]. – DOI 10.3390/su14063381. – WOS CC ; SCO ; CCC In: Sustainability [elektronický dokument] . – Bazilej (Švajčiarsko) : Multidisciplinary Digital Publishing Institute. – ISSN (online) 2071-1050. – Roč. 14, č. 6 (2022), s. 1-16 [online] </t>
  </si>
  <si>
    <t xml:space="preserve">Morfologické nálezy v kostnej dreni pri myeloproliferatívnych ochoreniach v Českej republike / Gajdošová, Natália [Autor, 35%] ; Babosová, Ramona [Autor, UKFFPVKZA, 35%] ; Galko, Jan [Autor, 30%]. – text. – [slovenčina]. – [OV 180]. – [ŠO 1536]. – [článok]. – [recenzované] In: Slovenská antropológia [textový dokument (print)] : bulletin Slovenskej antropologickej spoločnosti pri SAV. – Bratislava (Slovensko) : Slovenská akadémia vied. Slovenská antropologická spoločnosť pri SAV. – ISSN 1336-5827. – Roč. 25, č. 1 (2022), s. 12-19 [tlačená forma] </t>
  </si>
  <si>
    <t xml:space="preserve">Morphometric variability of ground beetles Bembidion minimum (Coleoptera, Carabidae): who should change more, males or females? / Parhomenko, Olexandr [Autor, 4%] ; Langraf, Vladimír [Autor, UKFFPVKZA, 45%] ; Petrovičová, Kornélia [Autor, SPUFAP31, 45%] ; Komlyk, Viktoriia [Autor, 3%] ; Brygadyrenko, Viktor [Autor, 3%]. – text. – [angličtina]. – [OV 190, 130]. – [ŠO 4190, 1536, 1610]. – [článok]. – [recenzované]. – DOI 10.24189/ncr.2022.008. – WOS CC ; SCO In: Nature conservation research [elektronický dokument] . – Ruská federácia : Fund for Support and Development of Protected Areas "Bear Land". – ISSN (online) 2500-008X. – Roč. 7, č. 1 (2022), s. 42-69 </t>
  </si>
  <si>
    <t xml:space="preserve">Motifs of homosexuality in Virginia Woolf’s Orlando / Kellerová, Nina [Autor, UKFPFAKLI, 70%] ; Reid, Eva [Autor, UKFPFAKLI, 30%]. – text. – [angličtina]. – [OV 020]. – [ŠO 7320]. – [článok]. – [recenzované]. – DOI 10.2478/aa-2021-0012. – SCO In: Ars aeterna [textový dokument (print)] [elektronický dokument] : literary Studies and Humanity. – ISSN 1337-9291. – ISSN (online) 2450-8497. – Roč. 13, č. 2 (2021), s. 75-93 [tlačená forma] [online] . – CiteScore: 0,1 ; SJR: 0,108 ; SNIP: 0,103 Scimago - Cultural studies - Q3, Linguistics and language - Q4, Literature and literary theory - Q3 </t>
  </si>
  <si>
    <t xml:space="preserve">Motív cesty vo vybraných dielach literatúry migrácie v Taliansku = The motif of the journey in selected works of literature of migration in Italy / Jaščurová, Jana [Autor, UKFFFAKRO, 100%]. – text. – [slovenčina]. – [OV 020]. – [ŠO 7320]. – [článok]. – [recenzované] In: Mladá veda [elektronický dokument] . – Prešov (Slovensko) : Vydavateľstvo Universum EU. – ISSN (online) 1339-3189. – Roč. 10, č. 5 (2022), s. 20-28 [online] </t>
  </si>
  <si>
    <t xml:space="preserve">Motivation to become an EFL teacher and academic achievement / Kráľová, Zdena [Autor, UKFPFAKLI, 25%] ; Tomšik, Robert [Autor, UKFPFAKAP, 25%] ; Kováčiková, Elena [Autor, UKFPFAKLI, 25%] ; Harťanská, Jana [Autor, UKFFFAKAA, 25%]. – text. – [angličtina]. – [OV 010]. – [ŠO 7605]. – [článok]. – [recenzované]. – DOI 10.18355/PG.2022.11.1.1 In: Slavonic Pedagogical Studies Journal [textový dokument (print)] [elektronický dokument] : the Scientific Educational Journal . – Nitra (Slovensko) : Slovenská Vzdelávacia a Obstarávacia. – ISSN 1339-8660. – ISSN (online) 1339-9055. – Roč. 11, č. 1 (2022), s. 2-21 [tlačená forma] [online] . – Nordic List: 1 </t>
  </si>
  <si>
    <t xml:space="preserve">Music and drama activities in learning about the forest and its impact on communication with younger children of primary school age / Kollárová, Dana [Autor, UKFPFAKPE, 50%] ; Kačmárová, Simona [Autor, UKFPFAKHU, 50%]. – text. – [angličtina]. – [OV 010]. – [ŠO 7605]. – [článok]. – [recenzované]. – WOS CC In: AD ALTA [textový dokument (print)] [elektronický dokument] : journal of interdisciplinary research = recenzovaný mezioborový vědecký časopis. – Hradec Králové (Česko) : Magnanimitas akademické sdružení. – ISSN 1804-7890. – ISSN (online) 2464-6733. – Roč. 12, č. 1 (2022), s. 75-80 [tlačená forma] [online] </t>
  </si>
  <si>
    <t xml:space="preserve">Musical theater in Slovakia (in the period from Baroque to Romanticism) / Hubinská, Zuzana [Autor, UKFPFAKHU, 50%] ; Lacková, Ivana [Autor, UKFPFAKHU, 50%]. – text. – [angličtina]. – [OV 010]. – [ŠO 7605]. – [článok]. – [recenzované]. – WOS CC In: AD ALTA [textový dokument (print)] [elektronický dokument] : journal of interdisciplinary research = recenzovaný mezioborový vědecký časopis. – Hradec Králové (Česko) : Magnanimitas akademické sdružení. – ISSN 1804-7890. – ISSN (online) 2464-6733. – Roč. 11, č. 2 (2021), s. 87-90 [tlačená forma] [online] . – AIS: 0.028 AIS - Multidisciplinary sciences - Q4 </t>
  </si>
  <si>
    <t xml:space="preserve">Musikalische Intermedialität als Strukturelemnt in Ingeborg Bachmanns Malina? / Baumann, Yannick [Autor, UKFFFAKRO, 100%]. – [nemčina]. – [OV 020]. – [ŠO 6107]. – [článok]. – [recenzované] In: Slowakische Zeitschrift für Germanistik [textový dokument (print)] [elektronický dokument] . – Bratislava (Slovensko) : Spoločnosť učiteľov nemeckého jazyka a germanistov Slovenska. – ISSN 1338-0796. – ISSN (online) 2729-8361. – Roč. 13, č. 2 (2021), s. 51-67 [tlačená forma] [online] </t>
  </si>
  <si>
    <t xml:space="preserve">Na ceste zo zajatia... = On the Way from Imprisonment... / Tomašková, Silvia [Autor, UKFFFAKFI, 100%]. – text. – [slovenčina]. – [OV 020]. – [ŠO 6107]. – [článok]. – [recenzované]. – DOI 10.31577/filozofia.2022.77.5.6. – WOS CC ; SCO ; CCC In: Filozofia [textový dokument (print)] [elektronický dokument] . – Bratislava (Slovensko) : Slovenská akadémia vied. Pracoviská SAV. Filozofický ústav. – ISSN 0046-385X. – ISSN (online) 2585-7061. – Roč. 77, č. 5 (2022), s. 380-390 [tlačená forma] [online] . – Nordic List: 1 </t>
  </si>
  <si>
    <t xml:space="preserve">Na palube arcinaratívu/arcitextu / Boszorád, Martin [Autor, UKFFFAULK, 100%]. – text. – [slovenčina]. – [OV 020]. – [ŠO 6107]. – [článok]. – [recenzované] In: Kino-Ikon [textový dokument (print)] : časopis pre vedu o filme a pohyblivom obraze = a journal for the sciences of the moving image and cinema. – Bratislava (Slovensko) : Asociácia slovenských filmových klubov, Bratislava (Slovensko) : Vysoká škola múzických umení v Bratislave. – ISSN 1335-1893. – Roč. 25, č. 2 (2021), s. 151-155 [tlačená forma] </t>
  </si>
  <si>
    <t xml:space="preserve">Nadväznosť technického vzdelávania na základných a stredných školách = Continuity of technical education in primary and secondary schools / Ažaltovičová, Michaela [Autor, UKFPFAKTT, 34%] ; Depešová, Jana [Autor, UKFPFAKTT, 33%] ; Tomková, Viera [Autor, UKFPFAKTT, 33%]. – text. – [slovenčina]. – [OV 010]. – [ŠO 7605]. – [článok]. – [recenzované] In: Technika a vzdelávanie [textový dokument (print)] [elektronický dokument] : časopis zameraný na technické vzdelávanie v základných, stredných i na vysokých školách, na oblasť základného a aplikovaného výskumu, aplikáciu informačných technológií vo výučbe odborných predmetov. – Banská Bystrica (Slovensko) : Univerzita Mateja Bela v Banskej Bystrici. Fakulta prírodných vied. – ISSN 1338-9742. – ISSN (online) 1339-9888. – Roč. 10, č. 1 (2021), s. 27-41 [tlačená forma] [online] </t>
  </si>
  <si>
    <t xml:space="preserve">Nagyszombati kötődések, pozsonyi kapcsolatok Kodály Zoltán életművében / Józsa, Mónika [Autor, UKFFSSUVP, 100%]. – text. – [maďarčina]. – [OV 010]. – [ŠO 7605]. – [článok]. – [recenzované] In: Magyar Művészet [textový dokument (print)] . – Budapešť (Maďarsko) : Magyar Művészeti Akadémia. – ISSN 2064-3799. – Roč. 10, č. 1 (2022), s. 46-52 [tlačená forma] </t>
  </si>
  <si>
    <t xml:space="preserve">Najčastejšie ošetrovateľské diagnózy na vybraných pracoviskách / Vörösová, Gabriela [Autor, UKFFSVKOS, 34%] ; Zrubcová, Dana [Autor, UKFFSVKOS, 33%] ; Solgajová, Andrea [Autor, UKFFSVKOS, 33%]. – text. – [slovenčina]. – [OV 180]. – [ŠO 5602]. – [článok]. – [recenzované] In: Pomáhajúce profesie [textový dokument (print)] : recenzovaný vedecký časopis pre teóriu, výskum, prax a vzdelávanie v pomáhajúcich profesiách. – Nitra (Slovensko) : Univerzita Konštantína Filozofa v Nitre. – ISSN 2585-9447. – Roč. 4, č. 2 (2021), s. 14-21 [tlačená forma] [online] </t>
  </si>
  <si>
    <t xml:space="preserve">Nebezpečenstvo kybergroomingu / Židová, Monika [Autor, UKFPFAKPE, 100%]. – text. – [slovenčina]. – [OV 010]. – [ŠO 7605]. – [článok]. – [recenzované] In: Aktuality zväzu [textový dokument (print)] : aktuality zväzu pracovníkov školstva a vedy na Slovensku. – Bratislava (Slovensko) : Odborový zväz pracovníkov školstva a vedy na Slovensku. – ISSN 1338-7960. – Roč. 31, č. 2 (2022), s. 24-26 [tlačená forma] </t>
  </si>
  <si>
    <t xml:space="preserve">Nedostatky v čitateľskej gramotnosti žiakov štvrtého a siedmeho ročníka / Gergelyová, Viktória [Autor, UKFFSSUML, 34%] ; Vančo, Ildikó [Autor, UKFFSSUML, 33%] ; Kozmács, István [Autor, UKFFSSUML, 33%]. – [slovenčina]. – [OV 020]. – [ŠO 7605]. – [článok]. – [recenzované] In: Lingua Viva [textový dokument (print)] [elektronický dokument] : odborný časopis pro teorii a praxi vyučování cizím jazykům a češtině jako cizímu jazyku. – České Budějovice (Česko) : Jihočeská univerzita v Českých Budějovicích. Pedagogická fakulta. – ISSN 1801-1489. – ISSN (online) 2336-8136. – Roč. 17, č. 33 (2021), s. 64-74 [tlačená forma] [online] </t>
  </si>
  <si>
    <t xml:space="preserve">Nemateriální kulturní dědictví jako předmět etnologického výzkumu / Beňušková, Zuzana [Autor, UKFFFAKEF, 50%] ; Pavlicová, Martina [Autor, 50%]. – [slovenčina]. – [OV 020]. – [ŠO 7115]. – [článok]. – [recenzované]. – DOI 10.2478/se-2021-0001 In: Slovenský národopis [textový dokument (print)] [elektronický dokument] : časopis Ústavu etnológie Slovenskej akadémie vied = journal of the Institute of Ethnology of the Slovak Academy of Sciences = Zeitschrift des Ethnologischen Institutes der Slowakischen Akademie der Wissenschaften = revue de l'Institut d'ethnologie de l'Académie slovaque des sciences. – Bratislava (Slovensko) : Slovenská akadémia vied. Pracoviská SAV. Ústav etnológie. – ISSN 1335-1303. – ISSN (online) 1339-9357. – Roč. 69, č. 1 (2021), s. 5-12 [tlačená forma] [online] . – SNIP: 1,076 ; SJR: 0,187 ; CiteScore: 0,5 ; AIS: 0.198 AIS - Anthropology - Q3 Scimago - Anthropology - Q3 </t>
  </si>
  <si>
    <t xml:space="preserve">Nemi sztereotípiák a kortárs ikermeseregényekben / Petres Csizmadia, Gabriela [Autor, UKFFSSUML, 100%]. – text. – [maďarčina]. – [OV 010]. – [ŠO 7605]. – [článok]. – [recenzované] In: Irodalmi Szemle [textový dokument (print)] [elektronický dokument] : irodalom, kritika, társadalomtudomány. – Bratislava (Slovensko) : Madách-Posonium. – ISSN 1336-5088. – Roč. 65, č. 3 (2022), s. 57-71 [tlačená forma] [online] </t>
  </si>
  <si>
    <t xml:space="preserve">Never mind the city guides: The topos of a city in urban fantasy (with interpretative emphasis on Neil Gaiman's novel Neverwhere) / Boszorád, Martin [Autor, UKFFFAULK, 50%] ; Klimková, Simona [Autor, UKFFFAKAA, 50%]. – text. – [angličtina]. – [OV 020]. – [ŠO 7320]. – [článok]. – [recenzované]. – DOI 10.2478/aa-2021-0009. – SCO In: Ars aeterna [textový dokument (print)] [elektronický dokument] : literary Studies and Humanity. – ISSN 1337-9291. – ISSN (online) 2450-8497. – Roč. 13, č. 2 (2021), s. 31-42 [tlačená forma] [online] . – CiteScore: 0,1 ; SJR: 0,108 ; SNIP: 0,103 Scimago - Cultural studies - Q3, Linguistics and language - Q4, Literature and literary theory - Q3 </t>
  </si>
  <si>
    <t xml:space="preserve">New Findings on Medieval Sacral Architecture in the Territory of Tekov and Hont / Martinák, Matúš [Autor, UKFFFAKAR, 100%]. – text. – [angličtina]. – [OV 030]. – [ŠO 7115]. – [článok]. – [recenzované]. – DOI 10.31577/szausav.2022.69.6. – WOS CC In: Študijné zvesti Archeologického ústavu Slovenskej akadémie vied [textový dokument (print)] [elektronický dokument] . – Nitra (Slovensko) : Slovenská akadémia vied. – ISSN 0560-2793. – Roč. 69, č. 1 (2022), s. 127-140 [tlačená forma] [online] </t>
  </si>
  <si>
    <t xml:space="preserve">New technologies and ambient marketing communication / Wojciechowski, Łukasz Pawel [Autor, UCMFMKKMSK, 50%] ; Fichnová, Katarína [Autor, UKFFFAKMR, 50%]. – text. – [angličtina]. – [OV 060]. – [ŠO 7205]. – [článok]. – [recenzované]. – DOI 10.24917/20837275.14.2.2 In: Annales Universitatis Paedagogicae Cracoviensis [elektronický dokument] [textový dokument (print)] : Studia de Cultura. – Kraków (Poľsko) : Uniwersytet Pedagogiczny im. Komisji Edukacji Narodowej w Krakowie. Wydawnictwo Naukowe Uniwersytetu Pedagogicznego. – ISSN 2083-7275. – ISSN (online) 2391-4432. – DOI 10.24917/20837275.10.2. – Roč. 14, č. 2 (2022), s. 22-46 [online] </t>
  </si>
  <si>
    <t xml:space="preserve">Nitrate removal from aqueous solution by way of adsorption on modified sheep wool / Porubská, Mária [Autor, UKFFPVKCH, 35%] ; Cvik, Marcel [Autor, UKFFPVKCH, 5%] ; Jomová, Klaudia [Autor, UKFFPVKCH, 15%] ; Branišová, Zuzana [Autor, TUTPFPVU, 5%] ; Braniša, Jana [Autor, UKFFPVKCH, 40%]. – text. – [angličtina]. – [OV 120]. – [ŠO 1420]. – [článok]. – [recenzované]. – DOI 10.1680/jsuin.21.00006. – TUTPFPVU signatúra E089551. – WOS CC ; SCO ; CCC In: Surface innovations [textový dokument (print)] [elektronický dokument] . – Westminster (Veľká Británia) : ICE Publishing. – ISSN 2050-6252. – ISSN (online) 2050-6260. – Roč. 10, č. 1 (2022), s. 68-75 [tlačená forma] [online] </t>
  </si>
  <si>
    <t xml:space="preserve">Notes on Research of Popular Literature in the Central European Context = Poznámky k výskumu populárnej literatúry v stredoeurópskom kultúrnom kontexte  / Benyovszky, Kristian [Autor, UKFFSSUML, 100%]. – [slovenčina]. – [OV 010]. – [ŠO 7605]. – [článok]. – [recenzované]. – DOI 10.31577/slovlit.2022.69.1.1. – WOS CC ; SCO In: Slovenská literatúra [textový dokument (print)] [elektronický dokument] : revue pre literárnu vedu : časopis Ústavu slovenskej literatúry Slovenskej akadémie vied. – Bratislava (Slovensko) : Slovenská akadémia vied. Pracoviská SAV. Ústav slovenskej literatúry. – ISSN 0037-6973. – Roč. 69, č. 1 (2022), s. 1-17 [tlačená forma] [online] </t>
  </si>
  <si>
    <t xml:space="preserve">Notes on the trickster as a literary character in archnarratives. A brief initial analysis / Danišová, Nikola [Autor, UKFFFAULK, 100%]. – text. – [angličtina]. – [OV 020]. – [ŠO 8110]. – [článok]. – [recenzované]. – DOI 10.2478/aa-2022-0003. – SCO In: Ars aeterna [textový dokument (print)] [elektronický dokument] : literary Studies and Humanity. – ISSN 1337-9291. – ISSN (online) 2450-8497. – Roč. 14, č. 1 (2022), s. 21-35 [tlačená forma] [online] </t>
  </si>
  <si>
    <t xml:space="preserve">Nová definícia českého granátu a jeho identifikácia = New definition of the Czech (Bohemian) garnet and identification / Štubňa, Ján [Autor, UKFFPVKGR, 70%] ; Hanus, Radek [Autor, 25%] ; Malíková, Viviana [Autor, 5%]. – text. – [slovenčina]. – [OV 092]. – [ŠO 1217]. – [článok]. – [recenzované] In: Esemestník [textový dokument (print)] [elektronický dokument] : spravodajca Slovenskej mineralogickej spoločnosti. – Bratislava (Slovensko) : Slovenská mineralogická spoločnosť. – ISSN 1338-6425. – ISSN (online) 1338-7189. – Roč. 10, č. 1 (2021), s. 13-20 [tlačená forma] [online] </t>
  </si>
  <si>
    <t xml:space="preserve">Nový prístup k profesijným kompetenciám vzdelávateľov dospelých / Temiaková, Dominika [Autor, UKFPFAKPE, 50%] ; Petrová, Gabriela [Autor, UKFPFAKPE, 50%]. – text. – [slovenčina]. – [OV 010]. – [ŠO 7605]. – [článok]. – [recenzované] In: Mladá veda [elektronický dokument] . – Prešov (Slovensko) : Vydavateľstvo Universum EU. – ISSN (online) 1339-3189. – Roč. 10, č. 1 (2022), s. 24-32 [online] </t>
  </si>
  <si>
    <t xml:space="preserve">Nucleus reprogramming/remodeling through selective enucleation (SE) of immature oocytes and zygotes: a nucleolus point of view / Fulka, Helena [Autor, 8%] ; Loi, Pasqualino [Autor, 1%] ; Palazzese, Luca [Autor, 1%] ; Benc, Michal [Autor, UKFFPVKBG, 70%] ; Fulka, Josef [Autor, 20%]. – text. – [angličtina]. – [OV 200]. – [ŠO 1536]. – [článok]. – [recenzované]. – DOI 10.1262/jrd.2022-004. – WOS CC ; SCO ; CCC In: The Journal of reproduction and development [textový dokument (print)] . – Amsterdam (Holandsko) : Elsevier Biomedical. – ISSN (online) 13484400. – Roč. 68, č. 3 (2022), s. 165-172 [tlačená forma] </t>
  </si>
  <si>
    <t xml:space="preserve">Number of rational points of elliptic curves / Ďuriš, Viliam [Autor, UKFFPVKMA, 50%] ; Šumný, Timotej [Autor, UKFFPVKMA, 50%]. – text. – [angličtina]. – [OV 240]. – [ŠO 1113]. – [článok]. – [recenzované]. – DOI 10.1142/S1793557122500176. – WOS CC ; SCO In: Asian-European Journal of Mathematics [textový dokument (print)] [elektronický dokument] . – Singapur (Singapur) : World Scientific Publishing. – ISSN 1793-5571. – ISSN (online) 1793-7183. – Roč. 15, č. 1 (2022), s. 1-11 [tlačená forma] [online] </t>
  </si>
  <si>
    <t xml:space="preserve">Numeracy as a Part of Financial Literacy: Student Case Study in Slovakia / Drábeková, Janka [Autor, SPUFEM34, 50%] ; Rumanová, Lucia [Autor, UKFFPVKMA, 40%] ; Pavlovičová, Gabriela [Autor, UKFFPVKMA, 10%]. – text. – [angličtina]. – [OV 010]. – [ŠO 7605]. – [článok]. – [recenzované]. – DOI 10.3991/ijet.v17i10.29659. – SCO In: International Journal of Emerging Technologies in Learning [textový dokument (print)] [elektronický dokument] . – Viedeň (Rakúsko) : International Association of Online Engineering. – ISSN 1863-0383. – ISSN (online) 1868-8799. – Roč. 17, č. 10 (2022), s. 186-199 [tlačená forma] [online] </t>
  </si>
  <si>
    <t xml:space="preserve">Nurse educator education in six European countries: a descriptive study = Ausbildung von Pflegepädagog/-innen in sechs europäischen Ländern - eine deskriptive Studie / Campos, Silva Simone [Autor, 12%] ; Salminen, Leena [Autor, 11%] ; Elonen, Imane [Autor, 11%] ; Linares, Pilar Fuster [Autor, 11%] ; Cassar, Maria [Autor, 11%] ; Haycock-Stuart, Elaine [Autor, 11%] ; Saaranen, Terhi [Autor, 11%] ; Zrubcová, Dana [Autor, UKFFSVKOS, 11%] ; Ewers, Michael [Autor, 11%]. – text. – [angličtina]. – [OV 180]. – [ŠO 5602]. – [článok]. – [recenzované]. – DOI 10.2478/ijhp-2022-0006 In: International Journal of Health Professions [elektronický dokument] . – Winterthur (Švajčiarsko) : Verein zur Förderung der Wissenschaft in den Gesundheitsberufen. – ISSN 2296-990X. – Roč. 9, č. 1 (2022), s. 67-77 [online] </t>
  </si>
  <si>
    <t xml:space="preserve">Nutritional Treatment of Patients with Colorectal Cancer / Lewandowska, Agata [Autor, 5.888%] ; Religioni, Urszula [Autor, 5.882%] ; Czerw, Aleksandra [Korešpondenčný autor, 5.882%] ; Deptala, Andrzej [Autor, 5.882%] ; Karakiewicz, Beata [Autor, 5.882%] ; Partyka, Olga [Autor, 5.882%] ; Pajewska, Monika [Autor, 5.882%] ; Sygit, Katarzyna [Autor, 5.882%] ; Cipora, Elzbieta [Autor, 5.882%] ; Kmiec, Kamila [Autor, 5.882%] ; Augustynowicz, Anna [Autor, 5.882%] ; Mekal, Dominika [Autor, 5.882%] ; Waszkiewicz, Michal [Autor, 5.882%] ; Baranska, Agnieszka [Autor, 5.882%] ; Mináriková, Daniela [Autor, UKOFAPR, 5.882%] ; Minárik, Peter [Autor, UKFFSVKUM, 5.882%] ; Merks, Piotr [Autor, 5.882%]. – [angličtina]. – [OV 180]. – [ŠO 5214, 5602]. – [článok]. – [recenzované]. – DOI 10.3390/ijerph19116881 In: International journal of environmental research and public health [elektronický dokument] [textový dokument (print)] : open access journal. – Basel (Švajčiarsko) : Multidisciplinary Digital Publishing Institute. – ISSN 1661-7827. – ISSN (online) 1660-4601. – Roč. 19, č. 11 (2022), art. no. 6881, s. [1-12] [online] [tlačená forma] </t>
  </si>
  <si>
    <t xml:space="preserve">Obrazy alebo výstupy? / Zwiefelhofer, Miro [Autor, UKFFFAKMK, 100%]. – text, fotogr. – [slovenčina]. – [OV 030]. – [ŠO 8202, 8110]. – [článok]. – [recenzované] In: Konkrétne o divadle [textový dokument (print)] [elektronický dokument] : mesačník o divadle na Slovensku. – Bratislava (Slovensko) : Divadelný ústav. – ISSN 1337-1800. – ISSN (online) 2336-4548. – Roč. 16, č. 3 (2022), s. 31-34 [tlačená forma] [online] </t>
  </si>
  <si>
    <t xml:space="preserve">Obrazy Podunajska v cestopisnej reflexii grófa N.M. du Parc Locmariu = Images of the Danube region in a travelogue of count n. M. V. du Parc Locmaria / Pišová, Paula [Autor, UKFFFAKRO, 100%]. – text. – [slovenčina]. – [OV 020]. – [ŠO 7320]. – [článok]. – [recenzované] In: Mladá veda [elektronický dokument] . – Prešov (Slovensko) : Vydavateľstvo Universum EU. – ISSN (online) 1339-3189. – Roč. 10, č. 5 (2022), s. 29-42 [online] </t>
  </si>
  <si>
    <t xml:space="preserve">Od ľudovej tradície k folklóru, folklorizmu a ich dekonštrukcii = From Folk Tradition to Folklore, Folklorism and their Deconstruction / Kapsová, Eva [Autor, UKFFFAULK, 100%]. – [slovenčina]. – [OV 020]. – [ŠO 8110]. – [článok]. – [recenzované]. – TRUNI ohlas E088784 In: Profil [textový dokument (print)] : súčasného výtvarného umenia. – Bratislava (Slovensko) : Kruh súčasného umenia Profil. – ISSN 1335-9770. – Roč. 28, č. 4 (2021), s. 32-57 [tlačená forma] </t>
  </si>
  <si>
    <t xml:space="preserve">Odborné vzdelávanie pedagógov v CAD systéme Autodesk Inventor Professional / Haller, Ján [Autor, UKFPFAKTT, 100%]. – text. – [slovenčina]. – [OV 010]. – [ŠO 7605]. – [článok]. – [recenzované] In: Technika a vzdelávanie [textový dokument (print)] [elektronický dokument] : časopis zameraný na technické vzdelávanie v základných, stredných i na vysokých školách, na oblasť základného a aplikovaného výskumu, aplikáciu informačných technológií vo výučbe odborných predmetov. – Banská Bystrica (Slovensko) : Univerzita Mateja Bela v Banskej Bystrici. Fakulta prírodných vied. – ISSN 1338-9742. – ISSN (online) 1339-9888. – Roč. 10, č. 1 (2021), s. 37-40 [tlačená forma] [online] </t>
  </si>
  <si>
    <t xml:space="preserve">On a Parametrization of Partial-Sums Discrete Probability Distributions / Mačutek, Ján [Autor, UKFFPVKMA, 34%] ; Wimmer, Gejza [Autor, 33%] ; Koščová, Michaela [Autor, 33%]. – text. – [angličtina]. – [OV 010]. – [ŠO 1113]. – [článok]. – [recenzované]. – DOI 10.3390/math10142476. – WOS CC ; SCO ; CCC In: Mathematics [elektronický dokument] . – Bazilej (Švajčiarsko) : Multidisciplinary Digital Publishing Institute. – ISSN (online) 2227-7390. – Roč. 10, č. 14 (2022), s. 1-8 [online] </t>
  </si>
  <si>
    <t xml:space="preserve">On the activities of contemporary theologians of the Spiš Theological School in the Spiš Chapter - Spišské Podhradie / Kondrla, Peter [Autor, UKFFFAKNS, 80%] ; McNamara, Anne Mary [Autor, 20%]. – text. – [angličtina]. – [OV 010]. – [ŠO 7605]. – [článok]. – [recenzované] In: Review of theology, social sciences and sacred art [textový dokument (print)] . – Dublin (Írsko) : International scientific board of catholic researchers and teachers in Ireland. – ISSN 2811-5465. – Roč. 1, č. 2 (2021), s. 195-215 </t>
  </si>
  <si>
    <t xml:space="preserve">Operná a operetná tvorba na území Slovenska (v období od baroka po romantizmus) / Hubinská, Zuzana [Autor, UKFPFAKHU, 50%] ; Lacková, Ivana [Autor, UKFPFAKHU, 50%]. – text. – [slovenčina]. – [OV 010]. – [ŠO 7605]. – [článok]. – [recenzované] In: GRANT journal [elektronický dokument] : European Grant Projects, Results, Research &amp; Development, Science : Peer-Reviewed Scientific Journal. – Hradec Králové (Česko) : Magnanimitas akademické sdružení. – ISSN (online) 1805-0638. – ISSN (online) 1805-062X. – Roč. 11, č. 1 (2022), s. 12-16 [CD-ROM] [online] </t>
  </si>
  <si>
    <t xml:space="preserve">Opevněné kostely v synodálním zákonodárství konce 13. století / Krafl, Pavel Otmar [Autor, UKFFFAKAR, 100%]. – text. – [čeština]. – [OV 030]. – [ŠO 7115]. – [článok]. – [recenzované] In: Časopis Společnosti přátel starožitností [textový dokument (print)] . – Praha (Česko) : Společnost přátel starožitností českých v Praze. – ISSN 1803-1382. – Roč. 129, č. 2 (2021), s. 83-87 [tlačená forma] </t>
  </si>
  <si>
    <t xml:space="preserve">Optimalizácia učebných podmienok vo vzťahu k rozvoju kritického myslenia / Komora, Juraj [Autor, UKFPFAKPE, 50%] ; Bodoríková, Nina [Autor, UKFPFAKPE, 50%]. – text. – [slovenčina]. – [OV 010]. – [ŠO 7605]. – [článok]. – [recenzované]. – DOI 10.33542/EDU2022-1-0 In: Edukácia [elektronický dokument] : Vedecko-odborný časopis. – Košice (Slovensko) : Univerzita Pavla Jozefa Šafárika v Košiciach. Celouniverzitné pracovisko UPJŠ. Vydavateľstvo ŠafárikPress UPJŠ. – ISSN 1339-8725. – Roč. 5, č. 1 (2022), s. 45-52 [online] </t>
  </si>
  <si>
    <t xml:space="preserve">Originalita a efektivita na sociálnych sieťach / Janková, Györgyi [Autor, UKFFFAKMR, 50%] ; Hasprová, Lucia [Autor, 50%]. – text. – [slovenčina]. – [OV 060]. – [ŠO 7205]. – [článok]. – [recenzované] In: Analýza a výskum v marketingovej komunikácii [textový dokument (print)] . – Nitra (Slovensko) : Univerzita Konštantína Filozofa v Nitre. Filozofická fakulta. – ISSN 1339-3715. – Roč. 8, č. 1 (2021), s. 5-21 [tlačená forma] </t>
  </si>
  <si>
    <t xml:space="preserve">Országos tudásszintmérés a tesztkészítők szemszögéből / Hrbáček, Magdaléna [Autor, UKFFSSUSJ, 100%]. – text. – [maďarčina]. – [OV 010]. – [ŠO 7605]. – [článok]. – [recenzované] In: Katedra [elektronický dokument] : szlovákiai magyar pedagógusok és szülők lapja. – Dunajská Streda (Slovensko) : Nadácia Katedra. – ISSN 1335-6445. – ISSN (online) 2729-9066. – Roč. 29, č. 7 (2022), s. 6-8 [tlačená forma] [online] </t>
  </si>
  <si>
    <t xml:space="preserve">Osobnosť Isabelly d'Este Gonzaga nahliadaná cez prizmu dobového kontextu a listovej korešpondencie = (Isabella d’Este Gonzaga’s personality through the prism of contemporary context and letter correspondence) / Šavelová, Monika [Autor, UKFFFAKRO, 80%] ; Rusnáková, Natália [Autor, UKFFFAKRO, 20%]. – text. – [slovenčina]. – [OV 010]. – [ŠO 7320]. – [článok]. – [recenzované]. – DOI 10.17846/SHN.2021.25.2.393-407. – SCO In: Studia Historica Nitriensia [textový dokument (print)] [elektronický dokument] . – Nitra (Slovensko) : Univerzita Konštantína Filozofa v Nitre. – ISSN 1338-7219. – ISSN (online) 2585-8661. – Roč. 25, č. 2 (2021), s. 393-407 [tlačená forma] [online] . – CiteScore: 0,4 ; SJR: 0,209 ; SNIP: 1,036 Scimago - Cultural studies - Q2, History - Q1, Museology - Q2 </t>
  </si>
  <si>
    <t xml:space="preserve">Osobnosť rovesníckeho mediátora v školských inštitúciách / Vanková, Katarína [Autor, UKFFSVURS, 100%]. – text. – [slovenčina]. – [OV 060]. – [ŠO 7205]. – [článok]. – [recenzované] In: Sociálno-zdravotnícke spektrum [elektronický dokument] [textový dokument (print)] : vedecko-odborný časopis pre sociálnych pracovníkov a chronicky chorých : vedecko-odborný časopis pre sociálnych pracovníkov a zdravotníkov. – Prešov (Slovensko) : Vysoká škola zdravotníctva a sociálnej práce sv. Alžbety v Bratislave. Inštitút sociálnych vied a zdravotníctva bl. P. P. Gojdiča. – ISSN 1339-1577. – ISSN (online) 1339-2379. – č. 28/06 (2022), s. 1-10 [tlačená forma] [online] </t>
  </si>
  <si>
    <t xml:space="preserve">Ošetrovateľské činnosti pri chemoterapii a rádioterapii = Nursing activities in chemotherapy and radiotherapy / Spáčilová, Zuzana [Autor, UKFFSVKOS, 34%] ; Slamková, Alica [Autor, UKFFSVKOS, 33%] ; Zrubcová, Dana [Autor, UKFFSVKOS, 33%]. – text. – [slovenčina]. – [OV 180]. – [ŠO 5602]. – [článok]. – [recenzované] In: Zdravotnícke listy [textový dokument (print)] [elektronický dokument] : vedecký recenzovaný časopis. – Trenčín (Slovensko) : Trenčianska univerzita Alexandra Dubčeka v Trenčíne. Fakulta zdravotníctva. – ISSN 1339-3022. – ISSN (online) 2644-4909. – Roč. 10, č. 3 (2022), s. 36-44 [tlačená forma] [online] </t>
  </si>
  <si>
    <t xml:space="preserve">Ošetrovateľské činnosti u pacientov s chemoterapiou / Spáčilová, Zuzana [Autor, UKFFSVKOS, 34%] ; Pavelová, Ľuboslava [Autor, UKFFSVKOS, 33%] ; Archalousová, Alexandra [Autor, UKFFSVKOS, 33%]. – text. – [slovenčina]. – [OV 180]. – [ŠO 5602]. – [článok]. – [recenzované] In: Pomáhajúce profesie [textový dokument (print)] : recenzovaný vedecký časopis pre teóriu, výskum, prax a vzdelávanie v pomáhajúcich profesiách. – Nitra (Slovensko) : Univerzita Konštantína Filozofa v Nitre. – ISSN 2585-9447. – Roč. 4, č. 2 (2021), s. 5-13 [tlačená forma] [online] </t>
  </si>
  <si>
    <t xml:space="preserve">Paradoxes in anti-semitic communication and its function / Mikulášek, Alexej [Autor, 30%] ; Vargová, Zuzana [Autor, UKFFSSUSJ, 70%]. – text. – [angličtina]. – [OV 020]. – [ŠO 7320]. – [článok]. – [recenzované]. – WOS CC In: AD ALTA [textový dokument (print)] [elektronický dokument] : journal of interdisciplinary research = recenzovaný mezioborový vědecký časopis. – Hradec Králové (Česko) : Magnanimitas akademické sdružení. – ISSN 1804-7890. – ISSN (online) 2464-6733. – Roč. 12, č. 1 (2022), s. 178-181 [tlačená forma] [online] </t>
  </si>
  <si>
    <t xml:space="preserve">Participation as a pathway to pluralism: A critical view over diverse disciplines / Leventon, Julia [Autor, 20%] ; Suchá, Lenka [Autor, 20%] ; Nohlová, Barbora [Autor, 20%] ; Vaňo, Simeon [Autor, UKFFPVKEE, 20%] ; Harmáčková, Zuzana Veronika [Autor, 20%]. – text. – [angličtina]. – [OV 100]. – [ŠO 1610]. – [článok]. – [recenzované]. – DOI 10.1016/bs.aecr.2022.04.006. – SCO In: Advances in ecological and environmental research [textový dokument (print)] . – Newark (USA) : Science Signpost Publishing. – ISSN 2517-9454. – Roč. 65, č. 1 (2022), s. 1-15 [online] </t>
  </si>
  <si>
    <t xml:space="preserve">Participation of school and family in addressing adaptation difficulties of pupils starting primary education / Teleková, Radka [Autor, UKFPFAKPE, 50%] ; Marcineková, Tatiana [Autor, UKFPFAKPE, 50%]. – text. – [angličtina]. – [OV 010]. – [ŠO 7605]. – [článok]. – [recenzované]. – WOS CC In: AD ALTA [textový dokument (print)] [elektronický dokument] : journal of interdisciplinary research = recenzovaný mezioborový vědecký časopis. – Hradec Králové (Česko) : Magnanimitas akademické sdružení. – ISSN 1804-7890. – ISSN (online) 2464-6733. – Roč. 11, č. 2 (2021), 275-280 [tlačená forma] [online] . – AIS: 0.028 AIS - Multidisciplinary sciences - Q4 </t>
  </si>
  <si>
    <t xml:space="preserve">Pedagogy of experience in ethical education at lower secondary education / Juhošová, Erika [Autor, UKFFFAKAE 06.2022, 100%]. – text. – [angličtina]. – [OV 010]. – [ŠO 7605]. – [článok]. – [recenzované]. – DOI 10.53656/ped2022-2.05. – WOS CC In: Pedagogika-Pedagogy [textový dokument (print)] [elektronický dokument] . – Sofia (Bulharsko) : "Az-buki" National Publishing House. – ISSN 0861-3982. – ISSN (online) 1314-8540. – Roč. 94, č. 2 (2022), s. 213-232 [tlačená forma] [online] </t>
  </si>
  <si>
    <t xml:space="preserve">Perception of the personality of Jesus Christ and its influence on the stroeuropean man of the 21st century. Comparative studies between the population of the Czech republic and Slovakia / Maturkanič, Patrik [Autor, 20%] ; Čergeťová Tomanová, Ivana [Autor, 20%] ; Majda, Peter [Autor, Teologický inštitút KU, 20%] ; Thurzo, Vladimír [Autor, UKORKST, 20%] ; Kondrla, Peter [Autor, UKFFFAKNS, 20%]. – [angličtina]. – [OV 020]. – [ŠO 6107]. – [článok]. – [recenzované]. – SIGN-UKO RK 17/22. – WOS CC In: Acta Missiologica [textový dokument (print)] [elektronický dokument] : akademický časopis Inštitútu misijnej práce a Tropického zdravotníctva Jána Pavla II., VŠ ZSP Svätej Alžbety. – Bratislava (Slovensko) : Vysoká škola zdravotníctva a sociálnej práce sv. Alžbety v Bratislave. – ISSN 1337-7515. – ISSN (online) 2453-7160. – ISSN (chybné) 1333-0023. – Roč. 16, č. 1 (2022), s. 107-125 [tlačená forma] [online] </t>
  </si>
  <si>
    <t xml:space="preserve">Performance measurement and evaluation of the property in regional cities in Slovakia and the Czech Republic in the context of their local economic development: comparative study / Dvorák, Marek [Autor, 33%] ; Vavrek, Roman [Autor, 34%] ; Papcunová, Viera [Autor, UKFFPVUMI, 23%] ; Mižičková, Jarmila [Autor, 1, 10%]. – text. – [angličtina]. – [OV 080]. – [ŠO 6213]. – [článok]. – [recenzované]. – DOI 10.12775/EiP.2022.029. – WOS CC In: Ekonomia i prawo [textový dokument (print)] [elektronický dokument] . – Toruń (Poľsko) : Uniwersytet Mikołaja Kopernika. Wydawnictwo naukowe Uniwersytetu Mikołaja Kopernika. – ISSN 1898-2255. – ISSN (online) 2392-1625. – Roč. 21, č. 3 (2022), s. 531-561 </t>
  </si>
  <si>
    <t xml:space="preserve">Personal Need for Structure and Fractions in Mathematical Education / Švecová, Valéria [Autor, UKFFPVKMA, 60%] ; Rybanský, Ľubomír [Autor, UKFFPVKMA, 20%] ; Pavlovičová, Gabriela [Autor, UKFFPVKMA, 20%]. – text. – [angličtina]. – [OV 010]. – [ŠO 1113]. – [článok]. – [recenzované]. – DOI 10.3390/ejihpe12050033. – WOS CC ; SCO In: European journal of investigation in health, psychology and education [textový dokument (print)] [elektronický dokument] . – Bazilej (Švajčiarsko) : Multidisciplinary Digital Publishing Institute. – ISSN 2174-8144. – ISSN (online) 2254-9625. – Roč. 12, č. 5 (2022), s. 448-457 [tlačená forma] [online] </t>
  </si>
  <si>
    <t xml:space="preserve">Philosophical Concept of Citizenship in Social Work Education: Model of Norway / Šolcová, Jana [Autor, 50%] ; Tokovská, Miroslava [Autor, 25%] ; Kozubík, Michal [Autor, UKFFSVKSP, 25%]. – text. – [angličtina]. – [OV 060]. – [ŠO 7761]. – [článok]. – [recenzované]. – SCO In: Sociální práce [textový dokument (print)] [elektronický dokument] : nabízíme spojení teorie s praxí = ponúkame spojenie teórie s praxou. – Brno (Česko) : Národní centrum pro rodinu, Brno (Česko) : Asociace vzdělavatelů v sociální práci. – ISSN 1213-6204. – ISSN (online) 1805-885X. – Roč. 22, č. 1 (2022), s. 62-79 [tlačená forma] [online] </t>
  </si>
  <si>
    <t xml:space="preserve">Philosophy of Education in Postmetaphysical Thinking / Kondrla, Peter [Autor, UKFFFAUKD, 40%] ; Maturkanič, Patrik [Autor, 28%] ; Taraj, Martin [Autor, Teologický inštitút KU, 28%] ; Kurilenko, Victoria [Autor, 4%]. – text. – [angličtina]. – [OV 010, 020]. – [ŠO 7605, 6171, 6107]. – [článok]. – [recenzované]. – DOI 10.15503/jecs2022.2.19.30. – SIGN-UKO RK 39/22. – WOS CC In: Journal of education culture and society [elektronický dokument] . – Vroclav (Poľsko) : Fundacja Pro Scientia Publica. – ISSN 2081-1640. – Roč. 13, č. 2 (2022), s. 19-29 [online] </t>
  </si>
  <si>
    <t xml:space="preserve">Physical stress in work activities / Tureková, Ivana [Autor, UKFPFAKTT, 50%] ; Hašková, Alena [Autor, UKFPFAKTT, 50%]. – text. – [angličtina]. – [OV 010]. – [ŠO 7605]. – [článok]. – [recenzované]. – DOI 10.36427/CEJNTREP.4.1.2490 In: Central European journal of new technologies in research education and practice [elektronický dokument] . – Budapešť (Maďarsko) : Eötvös Loránd Tudományegyetem. – ISSN 2676-9425. – Roč. 4, č. 1 (2022), s. 38-45 [online] </t>
  </si>
  <si>
    <t xml:space="preserve">Pillar 3-Pre-processed web server log file dataset of the banking institution / Munk, Michal [Autor, UKFFPVKIN, 20%] ; Pilková, Anna [Autor, UKOMAKSP, 20%] ; Benko, Ľubomír [Korešpondenčný autor, UKFFPVKIN, 20%] ; Blažeková, Petra [Autor, 20%] ; Švec, Peter [Autor, UKFFPVKIN, 20%]. – text. – [angličtina]. – [OV 160, 080]. – [ŠO 2508, 6213]. – [článok]. – [recenzované]. – DOI 10.1016/j.dib.2021.107672. – ESCI ; WOS CC ; SCO In: Data in Brief [textový dokument (print)] [elektronický dokument] . – Amsterdam (Holandsko) : Elsevier. – ISSN 2352-3409. – č. 39 (2021), s. 1-7 [tlačená forma] [online] . – CiteScore: 2,4 ; SJR: 0,131 ; SNIP: 0,106 ; AIS: 0.199 AIS - Multidisciplinary sciences - Q1 Scimago - Education - Q4, Multidisciplinary - Q4 </t>
  </si>
  <si>
    <t xml:space="preserve">Platformy na online výučbu tlmočenia na slovenských univerzitách / Ukušová, Jana [Autor, UKFFFAKTR, 50%] ; Martinkovič, Matej [Autor, UKFFFAKTR, 50%]. – text. – [slovenčina]. – [OV 020]. – [ŠO 7320]. – [článok]. – [recenzované] In: Nová filologická revue [elektronický dokument] : časopis o súčasných problémoch lingvistiky, literárnej vedy, translatológie a kulturológie : časopis o súčasnej lingvistike, literárnej vede, translatológii a kulturológii. – Banská Bystrica (Slovensko) : Univerzita Mateja Bela v Banskej Bystrici. Fakulta humanitných vied. – ISSN (online) 1338-0583. – Roč. 14, č. 1 (2022), s. 92-117 [online] </t>
  </si>
  <si>
    <t xml:space="preserve">Počiatky proanjouovského postoja Rádu svätého Jána Jeruzalemského v Uhorsku vo svetle johanitskej komunikácie = The Beginnings of the Pro-Anjou Attitude of the Order of St. John of Jerusalem in the Hungarian Kingdom in the Light of the Hospitallers’ Communication / Filo, Jozef [Autor, UKFFFAKHI, 100%]. – [slovenčina]. – [OV 020]. – [ŠO 7115]. – [článok]. – [recenzované]. – DOI 10.17846/CL.2022.15.1.24-39. – WOS CC ; SCO In: Konštantínove listy [textový dokument (print)] [elektronický dokument] . – Nitra (Slovensko) : Univerzita Konštantína Filozofa v Nitre. Filozofická fakulta. Ústav pre výskum kultúrneho dedičstva Konštantína a Metoda. – ISSN 1337-8740. – ISSN (online) 2453-7675. – Roč. 15, č. 1 (2022), s. 24-38 [tlačená forma] [online] </t>
  </si>
  <si>
    <t xml:space="preserve">Poézia Gabriely Spustovej Izakovičovej v kontexte súčasnej slovenskej literatúry / Krauter, Michal [Autor, UKFFSSUSJ, 100%]. – [slovenčina]. – [OV 020]. – [ŠO 7320]. – [článok]. – [recenzované] In: Viera a život [textový dokument (print)] : časopis pre kresťanskú orientáciu. – Trnava (Slovensko) : Vydavateľstvo Dobrá kniha. – ISSN 1335-6771. – TUT signatúra E006519. – Roč. 31, č. 1 (2021), s. 64-74 [tlačená forma] </t>
  </si>
  <si>
    <t xml:space="preserve">Pominuteľné a večné. O prezentácii kultúrneho dedičstva a kresťanskej tradícii tribečského spoločenstva / Bönde Gogova, Stanislava [Autor, UKFFFAKAR, 100%]. – text. – [slovenčina]. – [OV 030]. – [ŠO 7115]. – [článok]. – [recenzované] In: Studia Aloisiana [textový dokument (print)] : vedecké štúdie, recenzie, odborné preklady, správy o vedeckých podujatiach, kresťanská filozofia, náuka o rodine, formácia spoločenstiev, katolícka teológia : recenzovaný časopis Teologickej fakulty Trnavskej univerzity. – Trnava (Slovensko) : Vydavateľstvo Dobrá kniha. – ISSN 1338-0508. – Roč. 13, č. 1 (2022), s. 37-49 [tlačená forma] </t>
  </si>
  <si>
    <t xml:space="preserve">Positive emotional stimuli in teaching foreign language vocabulary / Kráľová, Zdena [Autor, UKFPFAKLI, 40%] ; Kamenická, Jana [Autor, UKFPFAKLI, 40%] ; Tirpáková, Anna [Autor, UKFFPVKMA, 20%]. – text. – [angličtina]. – [OV 010]. – [ŠO 7605]. – [článok]. – [recenzované]. – DOI 10.1016/j.system.2021.102678. – WOS CC ; SCO ; CCC In: System [textový dokument (print)] : an International Journal of Educational Technology and Applied Linguistics. – Amsterdam (Holandsko) : Elsevier. – ISSN 0346-251X. – ISSN (online) 1879-3282. – Roč. 104 (2022), s. 1-10 [tlačená forma] </t>
  </si>
  <si>
    <t xml:space="preserve">Postavenie a klasifikácia dragu v dielach dramatických umení = The status and classification of drag in the works of dramatic art / Buch, Samuel [Autor, UKFFFAULK, 100%]. – text. – [slovenčina]. – [OV 020]. – [ŠO 8202]. – [článok]. – [recenzované]. – SCO In: Slovenské divadlo [textový dokument (print)] [elektronický dokument] : revue dramatických umení. – Bratislava (Slovensko) : Slovenská akadémia vied. Pracoviská SAV. Ústav divadelnej a filmovej vedy. – ISSN 0037-699X. – ISSN (online) 1336-8605. – Roč. 69, č. 4 (2021), s. 375-387 [tlačená forma] [online] . – CiteScore: 0,2 ; SJR: 0,158 ; SNIP: 0,208 Scimago - Communication - Q3, Cultural studies - Q2, History - Q2, Literature and literary theory - Q1, Music - Q2, Visual arts and performing arts - Q1 </t>
  </si>
  <si>
    <t xml:space="preserve">Potential of airborne LiDAR data in detecting cultural landscape features in Slovakia / Lieskovský, Juraj [Korešpondenčný autor, 20%] ; Lieskovský, Tibor [Autor, 010130, 20%] ; Hladíková, Katarína [Autor, UKOFIPV, 20%] ; Štefunková, Dagmar [Autor, 20%] ; Hurajtová, Natália [Autor, UKFFPVKEE, 20%]. – text. – [angličtina]. – [OV 100, 030]. – [ŠO 1610, 7115]. – [článok]. – [recenzované]. – DOI 10.1080/01426397.2022.2045923. – SSCI ; WOS CC ; SCO In: Landscape research [textový dokument (print)] [elektronický dokument] . – Abingdon (Veľká Británia) : Taylor &amp; Francis Group. – ISSN 0142-6397. – ISSN (online) 1469-9710. – Roč. 47, č. 5 (2022), s. 539-558 [tlačená forma] [online] </t>
  </si>
  <si>
    <t xml:space="preserve">Potential Protective Effect of Puncture Vine (Tribulus terrestris, L.) Against Xylene Toxicity on Bovine Ovarian Cell Functions / Tarko, Adam [Autor, UKFFPVKZA, 16%] ; Štochmaľová, Aneta [Autor, UKFFPVKZA, 12%] ; Hrabovszká, Sandra [Autor, 12%] ; Vachanová, Adriana [Autor, UKFFPVKZA, 12%] ; Harrath, Abdel Halim [Autor, 12%] ; Aldahmash, Waleed [Autor, 12%] ; Grossmann, Roland [Autor, 12%] ; Sirotkin, Alexander [Autor, UKFFPVKZA, 12%]. – text. – [angličtina]. – [OV 130]. – [ŠO 1536]. – [článok]. – [recenzované]. – DOI 10.33549/physiolres.934871. – WOS CC ; CCC In: Physiological research [textový dokument (print)] [elektronický dokument] . – Praha (Česko) : Akademie věd České republiky. Fyziologický ústav AV ČR. – ISSN 0862-8408. – ISSN (online) 1802-9973. – Roč. 71, č. 2 (2022), s. 249-258 [tlačená forma] [online] </t>
  </si>
  <si>
    <t xml:space="preserve">Poznámky k vybraným edukačným rovinám rozvoja mediálnej gramotnosti, interkultúrnych kompetencií a kritického myslenia generácie „Z“ / Moravčíková, Erika [Autor, UKFFFAKMK, 100%]. – text. – [slovenčina]. – [OV 020]. – [ŠO 8110]. – [článok]. – [recenzované] In: Culturologica Slovaca [elektronický dokument] : internetový kulturologický časopis. – Nitra (Slovensko) : Univerzita Konštantína Filozofa v Nitre. – ISSN 2453-9740. – Roč. 7, č. 1 (2022), s. 60-77 [online] </t>
  </si>
  <si>
    <t xml:space="preserve">Pôsobenie združenia evanjelickej mládeže - Jednoty Samuela Ormisa - v Revúcej ako významný faktor posilňovania konfesionálnej a etnickej identity miestnych dospievajúcich (1. obdobie činnosti, 1932-1936) = Activities of the Association of Evangelical youth – Unity of Samuel Ormis – in Revúca as Eminent Factor for Strengthening Religious and Ethnical Identity of Local Adolescents II. Period 1932 – 1936) / Jakubej, Ján [Autor, UKFFFAKHI, 100%]. – text. – [slovenčina]. – [OV 030]. – [ŠO 7115]. – [článok]. – [recenzované]. – DOI 10.17846/SHN.2022.26.1.120-158. – SCO In: Studia Historica Nitriensia [textový dokument (print)] [elektronický dokument] . – Nitra (Slovensko) : Univerzita Konštantína Filozofa v Nitre. – ISSN 1338-7219. – ISSN (online) 2585-8661. – Roč. 26, č. 1 (2022), s. 120-158 [tlačená forma] [online] </t>
  </si>
  <si>
    <t xml:space="preserve">Právo klásť otázky v zmutovanom digi-kapitalizme / Fuják, Július [Autor, UKFFFAKMK, 100%]. – text. – [slovenčina]. – [OV 020]. – [ŠO 8110]. – [článok]. – [recenzované] In: Culturologica Slovaca [elektronický dokument] : internetový kulturologický časopis. – Nitra (Slovensko) : Univerzita Konštantína Filozofa v Nitre. – ISSN 2453-9740. – Roč. 7, č. 1 (2022), s. 52-59 [online] </t>
  </si>
  <si>
    <t xml:space="preserve">Predictive Factors and Treatment of Aseptic Pseudoarthrosis of the Humeral Shaft = Prediktívne faktory a liečba aseptickej pseudoartrózy diafýzy humeru / Popelka, Vladimír [Autor, 50%] ; Popelka, Vladimír [Autor, UKFFSVKUM, 50%]. – text. – [angličtina]. – [OV 180]. – [ŠO 5141]. – [článok]. – [recenzované] In: Acta chirurgiae orthopaedicae et traumatologiae Čechoslovaca [textový dokument (print)] : časopis České společnosti pro ortopedii a traumatologii. – Praha (Česko) : Česká společnost pro ortopedii a traumatologii. – ISSN 0001-5415. – Roč. 89, č. 5 (2022), s. 360-369 [tlačená forma] </t>
  </si>
  <si>
    <t xml:space="preserve">Prediktory zmien funkčného a kognitívneho stavu pacientov po CMP / Sollár, Tomáš [Autor, UKFFSVUAP, 25%] ; Katrušín, Boris [Autor, UKFFSVKPV, 25%] ; Romanová, Martina [Autor, UKFFSVUAP, 25%] ; Solgajová, Andrea [Autor, UKFFSVKOS, 25%]. – text. – [slovenčina]. – [OV 060]. – [ŠO 7701]. – [článok]. – [recenzované] In: Pomáhajúce profesie [textový dokument (print)] : recenzovaný vedecký časopis pre teóriu, výskum, prax a vzdelávanie v pomáhajúcich profesiách. – Nitra (Slovensko) : Univerzita Konštantína Filozofa v Nitre. – ISSN 2585-9447. – Roč. 4, č. 2 (2021), s. 63-73 [tlačená forma] [online] </t>
  </si>
  <si>
    <t xml:space="preserve">Preklad voľných a ustálených slovných spojení / Jakubičková, Barbara [Autor, UKFFFAKTR, 100%]. – text. – [slovenčina]. – [OV 020]. – [ŠO 7320]. – [článok]. – [recenzované] In: Nová filologická revue [elektronický dokument] : časopis o súčasných problémoch lingvistiky, literárnej vedy, translatológie a kulturológie : časopis o súčasnej lingvistike, literárnej vede, translatológii a kulturológii. – Banská Bystrica (Slovensko) : Univerzita Mateja Bela v Banskej Bystrici. Fakulta humanitných vied. – ISSN (online) 1338-0583. – Roč. 14, č. 1 (2022), s. 41-57 [online] </t>
  </si>
  <si>
    <t xml:space="preserve">Preparation for (active) ageing and (active) old age through the andragogical-research optics / Határ, Ctibor [Autor, UKFPFAKPE, 100%]. – text. – [angličtina]. – [OV 010]. – [ŠO 7605]. – [článok]. – [recenzované]. – WOS CC In: AD ALTA [textový dokument (print)] [elektronický dokument] : journal of interdisciplinary research = recenzovaný mezioborový vědecký časopis. – Hradec Králové (Česko) : Magnanimitas akademické sdružení. – ISSN 1804-7890. – ISSN (online) 2464-6733. – Roč. 11, č. 2 (2021), s. 77-81 [tlačená forma] [online] . – AIS: 0.028 AIS - Multidisciplinary sciences - Q4 </t>
  </si>
  <si>
    <t xml:space="preserve">Preparation of Ti3SiC2 MAX phase from Ti, TiC, and SiC by SPS / Csáki, Štefan [Autor, UKFFPVKFY, 25%] ; Lukáč, František [Autor, 25%] ; Veverka, Jakub [Autor, 25%] ; Chráska, Tomáš [Autor, 25%]. – text. – [angličtina]. – [OV 091]. – [ŠO 1160]. – [článok]. – [recenzované]. – DOI 10.1016/j.ceramint.2022.06.149. – WOS CC ; SCO ; CCC In: Ceramics International [textový dokument (print)] [elektronický dokument] . – Oxon (Veľká Británia) : Elsevier. – ISSN 0272-8842. – ISSN (online) 1873-3956. – Roč. 48, č. 17 (2022), s. 1-5 [tlačená forma] [online] </t>
  </si>
  <si>
    <t xml:space="preserve">Preparedness of future English teachers as a prerequisite of their professional well-being / Kováčiková, Elena [Autor, UKFPFAKLI, 75%] ; Harťanská, Jana [Autor, UKFFFAKAA, 25%]. – text. – [angličtina]. – [OV 010]. – [ŠO 7605]. – [článok]. – [recenzované]. – DOI 10.36534/erlj.2021.02.07 In: ERL Journal [elektronický dokument] . – Gdaňsk (Poľsko) : International Association for the Educational Role of Language. – ISSN 2657-9774. – Roč. 6, č. 2 (2021), s. 76-82 [online] </t>
  </si>
  <si>
    <t xml:space="preserve">Prevalence and Antifungal Susceptibility Profile of Oral Candida spp. Isolates from a Hospital in Slovakia / Černáková, Lucia [Autor, UKOPRBMV, 25%] ; Líšková, Anna [Autor, VSSVArektorat, 25%] ; Lengyelová, Libuša [Autor, UKFFPVKBG, 20%] ; Rodrigues, Celia F. [Autor, 30%]. – text, graf., tab. – [angličtina]. – [OV 180, 130]. – [ŠO 5602, 1536]. – [článok]. – [recenzované]. – DOI 10.3390/medicina58050576. – SIGN-UKO PR 461/22. – SCIE ; WOS CC ; SCO In: Medicina [textový dokument (print)] [elektronický dokument] . – Basel (Švajčiarsko) : Multidisciplinary Digital Publishing Institute. – ISSN 1010-660X. – ISSN (online) 1648-9144. – ISSN (chybné) 1648-9233. – Roč. 58, č. 5 (2022), art. no. 576, s. 1-9 [tlačená forma] </t>
  </si>
  <si>
    <t xml:space="preserve">Priestorová analýza maloobchodnej siete mesta Nitra = Spatial Analysis of the Nitra Retail Network / Trembošová, Miroslava [Autor, UKFFPVKGR, 90%] ; Forgáč, Pavel [Autor, 5%] ; Brestičová, Katarína [Autor, 5%]. – text. – [slovenčina]. – [OV 092]. – [ŠO 1217]. – [článok]. – [recenzované]. – DOI 10.17846/GI.2021.25.2.63-87 In: Geografické informácie [textový dokument (print)] [elektronický dokument] . – Nitra (Slovensko) : Univerzita Konštantína Filozofa v Nitre. – ISSN 1337-9453. – Roč. 25, č. 2 (2021), s. 63-87 [tlačená forma] [online] </t>
  </si>
  <si>
    <t xml:space="preserve">Príklady didaktických materiálov pre rozvoj priestorových schopností žiakov pomocou lego počas dištančného vzdelávania / Beták, Norbert [Autor, UKFFSSKCR, 100%]. – text. – [slovenčina]. – [OV 080]. – [ŠO 6213]. – [článok]. – [recenzované]. – DOI 10.5507/jtie.2021.005 In: Journal of Technology and Information Education [textový dokument (print)] [elektronický dokument] . – Olomouc (Česko) : Univerzita Palackého v Olomouci. Pedagogická fakulta. Katedra technické a informační výchovy. – ISSN 1803-537X. – ISSN (online) 1803-6805. – Roč. 13, č. 2 (2021), s. 191-204 [tlačená forma] [online] </t>
  </si>
  <si>
    <t xml:space="preserve">Problem Transformation as a Gateway to the Wider Use of Basic Computational Algorithms / Gonda, Dalibor [Autor, ZUZRIAMOA, 25%] ; Pavlovičová, Gabriela [Autor, UKFFPVKMA, 25%] ; Ďuriš, Viliam [Autor, UKFFPVKMA, 25%] ; Tirpáková, Anna [Autor, UKFFPVKMA, 25%]. – text. – [angličtina]. – [OV 240]. – [ŠO 1113]. – [článok]. – [recenzované]. – DOI 10.3390/math10050793. – WOS CC ; SCO ; CCC In: Mathematics [elektronický dokument] . – Bazilej (Švajčiarsko) : Multidisciplinary Digital Publishing Institute. – ISSN (online) 2227-7390. – Roč. 10, č. 5 (2022), s. [1-10] [online] </t>
  </si>
  <si>
    <t xml:space="preserve">Problémy rodičovstva v postmodernej spoločnosti = Problems of parenting in postmodern society / Uličná, Zuzana [Autor, UKFFFAKAE, 100%]. – text. – [slovenčina]. – [OV 020]. – [ŠO 6107]. – [článok]. – [recenzované] In: Prohuman [elektronický dokument] : vedecko-odborný interdisciplinárny recenzovaný časopis, zameraný na oblasť spoločenských, sociálnych a humanitných vied : vedecko-odborný internetový časopis. – Bratislava (Slovensko) : Business Intelligence Club. – ISSN (online) 1338-1415. – č. 28. október (2022), s. 1-15 [online] </t>
  </si>
  <si>
    <t xml:space="preserve">Professional training of managers in the information and educational environment of universities / Kulakhmet, Moldabek [Autor, 35%] ; Hajrullina, Alfira [Autor, 10%] ; Oleksiuk, Nataliya [Autor, 10%] ; Tvrdoň, Miroslav [Autor, UKFFSVKSP, 35%] ; Protas, Oksana [Autor, 5%] ; Ragozina, Viktoria [Autor, 5%]. – text. – [angličtina]. – [OV 060]. – [ŠO 7761]. – [článok]. – [recenzované]. – DOI 10.52547/johepal.3.2.53. – SCO In: Journal of Higher Education Policy and Leadership Studies [elektronický dokument] . – ISSN 2717-1426. – Roč. 3, č. 2 (2022), s. 53-70 [online] </t>
  </si>
  <si>
    <t xml:space="preserve">Programy televízie RTVS Jednotka určené pre detského diváka a ich potenciálny edukačný efekt / Štrbová, Edita [Autor, UKFFFAKMR, 50%] ; Pecháčová, Natália [Autor, 50%]. – text. – [slovenčina]. – [OV 060]. – [ŠO 7205]. – [článok]. – [recenzované] In: Dot.comm [elektronický dokument] : časopis pre teóriu, výskum a prax mediálnej a marketingovej komunikácie = journal for the theory, research and practice of media and marketing communication. – Bratislava (Slovensko) : Európska akadémia manažmentu marketingu a médií. – ISSN 1339-5181. – Roč. 9, č. 2 (2021), s. 13-21 [online] </t>
  </si>
  <si>
    <t xml:space="preserve">Progress in the Transition of the Circular Economy in Slovakia and the European Union / Levický, Michal [Autor, UKFFPVUMI, 34%] ; Urbaníková, Marta [Autor, UKFFPVUMI, 33%] ; Dragúňová, Mária [Autor, 33%]. – text. – [angličtina]. – [OV 080]. – [ŠO 6213]. – [článok]. – [recenzované] In: Journal of Business [textový dokument (print)] [elektronický dokument] . – Tbilisi (Gruzínsko) : International Black Sea University. – ISSN 2233-369X. – ISSN (online) 2346-8297. – Roč. 10, č. 1 (2021), s. 44-51 [tlačená forma] </t>
  </si>
  <si>
    <t xml:space="preserve">Projekt leteckého laserového skenovania Slovenskej republiky a jeho využitie v manažmente ochrany archeologického dedičstva [Airbone Laser Scanning Project of the Slovak Republic and its Use in the Management of Archaeological Heritage Protection] / Leitmanová, Katarína [Autor, 25%] ; Gálová, Linda [Autor, 25%] ; Lieskovský, Tibor [Autor, 20%] ; Bisták, Peter [Autor, UKFFFAKAR, 10%] ; Zachar, Ján [Autor, 20%]. – text. – [slovenčina]. – [OV 092]. – [ŠO 3636]. – [článok]. – [recenzované] In: Geodetický a kartografický obzor [elektronický dokument] : odborný a vědecký časopis Českého úřadu zeměměřického a katastrálního a Úradu geodézie, kartografie a katastra Slovenskej republiky. – Praha (Česko) : Český úřad zeměměřický a katastrální, Bratislava (Slovensko) : Úrad geodézie, kartografie a katastra Slovenskej republiky. – ISSN (online) 1805-7446. – ISSN (zrušené) 0016-7096. – Roč. 68 (110), č. 3 (2022), s. 53-68 [online] </t>
  </si>
  <si>
    <t xml:space="preserve">Proverbial representation of figurative intertextuality in the slovak press / Gallo, Ján [Autor, UKFFFASJL, 50%] ; Sokolová, Jana [Autor, UKFFFASJL, 50%]. – text. – [angličtina]. – [OV 020]. – [ŠO 7320]. – [článok]. – [recenzované]. – DOI 10.51762/1FK-2022-27-03-04. – SCO In: Filologičeskij klass [textový dokument (print)] [elektronický dokument] : regional'nyj žurnal učitelej- slovesnikov Urala. – Ekaterinburg (Ruská federácia) : Uraľskij gosudarstvennyj pedagogičeskij universitet. – ISSN 2071-2405. – ISSN (online) 2658-5235. – Roč. 27, č. 3 (2022), s. 48-58 [tlačená forma] [online] </t>
  </si>
  <si>
    <t xml:space="preserve">Pseudoplectania africana (Sarcosomataceae, Pezizales), a new species from South Africa / Sochorova, Zuzana [Autor, 20%] ; Carbone, Matteo [Autor, 20%] ; Sedlarova, Michaela [Autor, 20%] ; Polhorský, Adam [Autor, UKFFPVKBG, 20%] ; Sochor, Michal [Autor, 20%]. – text. – [angličtina]. – [OV 130]. – [ŠO 1536]. – [článok]. – [recenzované]. – DOI 10.38201/btha.abc.v52.i1.1. – SCO In: Bothalia [textový dokument (print)] . – ISSN 0006-8241. – ISSN (online) 2311-9284. – Roč. 52, č. 1 (2022), s. 1-15 [tlačená forma] </t>
  </si>
  <si>
    <t xml:space="preserve">Psychometrické vlastnosti slovenskej verzie dotazníka Utrecht Proactive Competence Coping Scale / Hudáková, Miriama [Autor, UKFFSVUAP, 34%] ; Baňasová, Katarína [Autor, UKFFSVUAP, 33%] ; Katrušín, Boris [Autor, UKFFSVKPV, 33%]. – text. – [slovenčina]. – [OV 060]. – [ŠO 7701]. – [článok]. – [recenzované] In: Pomáhajúce profesie [textový dokument (print)] : recenzovaný vedecký časopis pre teóriu, výskum, prax a vzdelávanie v pomáhajúcich profesiách. – Nitra (Slovensko) : Univerzita Konštantína Filozofa v Nitre. – ISSN 2585-9447. – Roč. 4, č. 2 (2021), s. 55-62 [tlačená forma] [online] </t>
  </si>
  <si>
    <t xml:space="preserve">Puncture Vine (Tribulus Terrestris L.) in Control of Health and Reproduction / Sirotkin, Alexander [Autor, UKFFPVKZA, 50%] ; Kolesárová, Adriana [Autor, 50%]. – text. – [angličtina]. – [OV 130, 190]. – [ŠO 4190]. – [článok]. – [recenzované]. – DOI 10.33549/physiolres.934711. – WOS CC ; SCO ; CCC In: Physiological research [textový dokument (print)] [elektronický dokument] . – Praha (Česko) : Akademie věd České republiky. Fyziologický ústav AV ČR. – ISSN 0862-8408. – ISSN (online) 1802-9973. – Roč. 70 (2021), s. 657-667 [tlačená forma] [online] . – SNIP: 0.682 ; SJR: 0.528 ; CiteScore: 3.2 ; IF: 2.139 ; AIS: 0.403 AIS - Physiology - Q4 JIF - Physiology - Q4 Scimago - Medicine (miscellaneous) - Q2, Physiology - Q3 </t>
  </si>
  <si>
    <t xml:space="preserve">Quantum-chemical studies of the antioxidant effectiveness of para-phenylene diamines / Breza, Martin [Autor, 50%] ; Jelemenská, Ingrid [Autor, UKFFPVKCH, 50%]. – [angličtina]. – [OV 170]. – [ŠO 1420]. – [článok]. – [recenzované]. – DOI 10.1002/vnl.21901. – WOS CC ; SCO ; CCC In: Journal of Vinyl and Additive Technology [textový dokument (print)] . – Hoboken (USA) : Willey. – ISSN 1083-5601. – ISSN (online) 1548-0585. – Roč. 28, č. 2 (2022), s. 352-366 [tlačená forma] </t>
  </si>
  <si>
    <t xml:space="preserve">R&amp;D expenditure, innovation performance and economic development of the EU countries / Kučera, Jozef [Autor, UMBEF04, 50%] ; Fiľa, Milan [Autor, UKFFPVUMI, 50%]. – [angličtina]. – [OV 080]. – [ŠO 6213]. – [článok]. – [recenzované]. – DOI 10.9770/jesi.2022.9.3(14). – WOS CC In: Entrepreneurship and Sustainability Issues [elektronický dokument] . – Vilnius (Litva) : Entrepreneurship and sustainability center. – ISSN (online) 2345-0282. – Roč. 9, č. 3 (2022), s. 227-241 [online] </t>
  </si>
  <si>
    <t xml:space="preserve">Rapid linear transport infrastructure development in the Carpathians: A major threat to the integrity of ecological connectivity for large carnivores / Papp, Cristian Remus [Autor, 20%] ; Dostál, Ivo [Autor, UKFFPVKEE, 20%] ; Hlaváč, Václav [Autor, 20%] ; Berchi, Gavril Marius [Autor, 20%] ; Romportl, Dušan [Autor, 20%]. – text. – [angličtina]. – [OV 100]. – [ŠO 1610]. – [článok]. – [recenzované]. – DOI 10.3897/natureconservation.47.71807. – WOS CC ; SCO ; CCC In: Nature Conservation [textový dokument (print)] [elektronický dokument] . – Sofia (Bulharsko) : Pensoft Publishers, Sofia (Bulharsko) : Bulgarian Pharmaceutical Science Society. – ISSN 1314-6947. – ISSN (online) 1314-3301. – č. 47 (2022), s. 35-63 [tlačená forma] [online] </t>
  </si>
  <si>
    <t xml:space="preserve">Reading Comprehension and Lesson Design for English Language Learners / Hvozdíková, Silvia [Autor, UKFFFAKAA, 50%] ; Horníčková, Mária [Autor, UKFFFAKRO, 50%]. – text. – [angličtina]. – [OV 010]. – [ŠO 7605]. – [článok]. – [recenzované] In: Lingua Viva [textový dokument (print)] [elektronický dokument] : odborný časopis pro teorii a praxi vyučování cizím jazykům a češtině jako cizímu jazyku. – České Budějovice (Česko) : Jihočeská univerzita v Českých Budějovicích. Pedagogická fakulta. – ISSN 1801-1489. – ISSN (online) 2336-8136. – Roč. 18, č. 34 (2022), s. 9-17 [tlačená forma] [online] </t>
  </si>
  <si>
    <t xml:space="preserve">Recepcia obrazu  Uhorska a jeho obyvateľov v cestopisnej literatúre 19. storočia v kontexte svetovej literatúry / Pišová, Paula [Autor, UKFFFAKRO, 100%]. – text. – [slovenčina]. – [OV 020]. – [ŠO 7320]. – [článok]. – [recenzované] In: Studi italo-slovacchi [textový dokument (print)] . – Nitra (Slovensko) : Univerzita Konštantína Filozofa v Nitre. Filozofická fakulta, Bratislava (Slovensko) : Slovenská akadémia vied. – ISSN 1338-6778. – Roč. 11, č. 1 (2022), s. 104-108 [tlačená forma] </t>
  </si>
  <si>
    <t xml:space="preserve">Reflection of Problem Solving Task and Importance of A-priori Analysis in Preparing Teacher for the Teaching Process / Rumanová, Lucia [Autor, UKFFPVKMA, 100%]. – text. – [angličtina]. – [OV 010]. – [ŠO 7605]. – [článok]. – [recenzované]. – DOI 10.18421/TEM112-42. – WOS CC ; SCO In: TEM Journal [textový dokument (print)] [elektronický dokument] : Technology, Education, Management, Informatics. – Novi Pazar (Srbsko) : Association for Information Communication Technology Education and Science. – ISSN 2217-8309. – ISSN (online) 2217-8333. – Roč. 11, č. 2 (2022), s. 837-841 [tlačená forma] [online] </t>
  </si>
  <si>
    <t xml:space="preserve">Reflection on Family Support Through Early Intervention Service / Lehoczká, Lýdia [Autor, UKFFSVURS, 50%] ; Zatkova,, Gabriela [Autor, 50%]. – text. – [angličtina]. – [OV 060]. – [ŠO 7761]. – [článok]. – [recenzované]. – DOI 10.22359/cswhi_12_3_08. – WOS CC In: Clinical Social Work and Health Intervention [textový dokument (print)] [elektronický dokument] . – Viedeň (Rakúsko) : Gesellschaft für angewandte Präventionsmedizin. – ISSN 2222-386X. – ISSN (online) 2076-9741. – Roč. 12, č. 3 (2021), s. 46-49 [tlačená forma] [online] . – AIS: 0.013 AIS - Public, environmental &amp; occupational health - Q4 </t>
  </si>
  <si>
    <t xml:space="preserve">Regime in CBT of major depression : Theory and practice / Ocisková, Marie [Autor, 1%] ; Praško Pavlov, Ján [Autor, UKFFSVKPV, 32%] ; Vanek, Jakub [Autor, 1%] ; Houdková, Michaela [Autor, 1%] ; Hodný, František [Autor, 1%] ; Šlepecký, Miloš [Autor, UKFFSVKPV, 32%] ; Sollár, Tomáš [Autor, UKFFSVUAP, 32%]. – text. – [angličtina]. – [OV 060]. – [ŠO 7701]. – [článok]. – [recenzované] In: Activitas Nervosa Superior Rediviva [textový dokument (print)] [elektronický dokument] : international journal for integrated neuroscience. – Bratislava (Slovensko) : Vysoká škola zdravotníctva a sociálnej práce sv. Alžbety v Bratislave, Bratislava (Slovensko) : Slovenská akadémia vied. – ISSN 1337-933X. – ISSN (online) 1338-4015. – Roč. 64, č. 1 (2022), s. 33-45 [tlačená forma] [online] </t>
  </si>
  <si>
    <t xml:space="preserve">Rekonštrukcia kachľovej pece habánskeho štýlu z Oponického hradu / Styk, Matej [Autor, UKFFFAKAR, 50%] ; Styková, Barbora [Autor, 40%] ; Repka, Dominik [Autor, UKFFFAKAR, 10%]. – text. – [slovenčina]. – [OV 030]. – [ŠO 7115]. – [článok]. – [recenzované]. – DOI 10.5817/AH2022-2-13 In: Archaeologia historica [textový dokument (print)] [elektronický dokument] . – Brno (Česko) : Masarykova univerzita. Filozofická fakulta. – ISSN 0231-5823. – ISSN (online) 2336-4386. – Roč. 47, č. 2 (2022), s. 1-18 [tlačená forma] [online] </t>
  </si>
  <si>
    <t xml:space="preserve">Rekonštrukcia kultúrnej krajiny v extraviláne Nitrianskeho Pravna v roku 1550 s akcentom na pôsobenie nemeckej minority / Žabenský, Marián [Autor, UKFFFAKMK, 60%] ; Čukan, Jaroslav [Autor, UKFFFAKMK, 40%]. – text. – [slovenčina]. – [OV 030]. – [ŠO 8110]. – [článok]. – [recenzované] In: Kontexty kultúry a turizmu [textový dokument (print)] . – Nitra (Slovensko) : Univerzita Konštantína Filozofa v Nitre. Filozofická fakulta. – ISSN 1337-7760. – Roč. 14, č. 2 (2021), s. 37-46 [tlačená forma] </t>
  </si>
  <si>
    <t xml:space="preserve">Rekonštrukcia premien podôb intravilánu v Nitrianskom Pravne prostredníctvom 3D transektov kultúrnej krajiny = Reconstruction of Intravillan Transformations in Nitrianske Pravno through 3D Transects of the Cultural Landscape / Žabenský, Marián [Autor, UKFFFAKMK, 100%]. – text. – [slovenčina]. – [OV 030]. – [ŠO 8110]. – [článok]. – [recenzované]. – DOI 10.17846/SHN.2022.26.1.219-244 In: Studia Historica Nitriensia [textový dokument (print)] [elektronický dokument] . – Nitra (Slovensko) : Univerzita Konštantína Filozofa v Nitre. – ISSN 1338-7219. – ISSN (online) 2585-8661. – Roč. 26, č. 1 (2022), s. 219-244 [tlačená forma] [online] </t>
  </si>
  <si>
    <t xml:space="preserve">Relationship between motor learning and general intelligence / Horička, Pavol [Autor, UKFPFAKTV, 50%] ; Šimonek, Jaromír [Autor, UKFPFAKTV, 50%]. – text. – [angličtina]. – [OV 210]. – [ŠO 7418]. – [článok]. – [recenzované]. – DOI 10.5817/StS2022-1-5. – SCO In: Studia sportiva [textový dokument (print)] [elektronický dokument] . – Brno (Česko) : Masarykova univerzita. Fakulta sportovních studií. – ISSN 1802-7679. – ISSN (online) 2570-8783. – Roč. 16, č. 1 (2022), s. 44-53 [tlačená forma] [online] </t>
  </si>
  <si>
    <t xml:space="preserve">Relationships between depression, anxiety and health-related quality of life in patients with cardiovascular diseases. The moderating role of illness perception / Dančová, Katarína [Autor, UKFFSVUAP, 34%] ; Sollár, Tomáš [Autor, UKFFSVUAP, 33%] ; Romanová, Martina [Autor, UKFFSVUAP, 33%]. – text. – [slovenčina]. – [OV 060]. – [ŠO 7701]. – [článok]. – [recenzované] In: Pomáhajúce profesie [textový dokument (print)] : recenzovaný vedecký časopis pre teóriu, výskum, prax a vzdelávanie v pomáhajúcich profesiách. – Nitra (Slovensko) : Univerzita Konštantína Filozofa v Nitre. – ISSN 2585-9447. – Roč. 4, č. 2 (2021), s. 40-48 [tlačená forma] [online] </t>
  </si>
  <si>
    <t xml:space="preserve">Reliability and validity of karate agility test / Czaková, Monika [Autor, UKFPFAKTV, 90%] ; Broďáni, Jaroslav [Autor, UKFPFAKTV, 10%]. – text. – [angličtina]. – [OV 210]. – [ŠO 7418]. – [článok]. – [recenzované] In: International Journal of Yoga, Physiotherapy and Physical Education [elektronický dokument] . – Delhi (India) : Gupta Publications. – ISSN (online) 2456-5067. – Roč. 7, č. 2 (2022), s. 72-77 [online] </t>
  </si>
  <si>
    <t xml:space="preserve">Relics of St. Constantine-Cyril in Slovakia / Ivanič, Peter [Autor, UKFFFAUKD, 100%]. – text. – [angličtina]. – [OV 020]. – [ŠO 6171, 7115]. – [článok]. – [recenzované]. – DOI 10.17846/CL.2022.15.2.106-126. – WOS CC ; SCO In: Konštantínove listy [textový dokument (print)] [elektronický dokument] . – Nitra (Slovensko) : Univerzita Konštantína Filozofa v Nitre. Filozofická fakulta. Ústav pre výskum kultúrneho dedičstva Konštantína a Metoda. – ISSN 1337-8740. – ISSN (online) 2453-7675. – Roč. 15, č. 2 (2022), s. 106-126 [tlačená forma] [online] </t>
  </si>
  <si>
    <t xml:space="preserve">Religious Tourism on the Example of Nation Pilgrim Places in Slovakia (Patronages of the Virgin Mary) / Judák, Viliam [Autor, UKORKFH, 45%] ; Petrikovičová, Lucia [Autor, UKFFPVKGR, 45%] ; Akimjak, Amantius [Autor, Teologický inštitút KU, 10%]. – text. – [angličtina]. – [OV 092, 020]. – [ŠO 1217, 6171]. – [článok]. – [recenzované]. – DOI 10.15503/jecs2022.2.615.630. – SIGN-UKO RK 37/22. – ESCI ; WOS CC In: Journal of education culture and society [elektronický dokument] . – Vroclav (Poľsko) : Fundacja Pro Scientia Publica. – ISSN 2081-1640. – Roč. 13, č. 2 (2022), s. 615-629 [online] </t>
  </si>
  <si>
    <t xml:space="preserve">Representation of perfect and n-perfect pseudo effect algebras / Dvurečenskij, Anatolij [Autor, UKFFPVKMA, 100%]. – [angličtina]. – [OV 240]. – [ŠO 1113]. – [článok]. – [recenzované]. – DOI 10.1016/j.fss.2022.08.015 In: Fuzzy Sets and Systems [textový dokument (print)] [elektronický dokument] . – ISSN 0165-0114. – ISSN (online) 1872-6801. – ISSN (chybné) 1048-1053. – Roč. 444 (2022), s. 1-16 [tlačená forma] [online] </t>
  </si>
  <si>
    <t xml:space="preserve">Riflessioni sull’evoluzione e statuto della letteratura postcoloniale italiana in relazione al caso di Timira, romanzo meticcio / Gritti, Fabiano [Autor, UKFFFAKRO, 100%]. – text. – [taliančina]. – [OV 020]. – [ŠO 7320]. – [článok]. – [recenzované] In: Literatura Italiana Traduzida [textový dokument (print)] : Revista Eletrônica Quadrimestral de Divulgação Científica, Espaço de Discussão. – Sao Paulo (Brazília) : Universidade Federal de Santa Catarina. – ISSN 2675-4363. – Roč. 3, č. 2 (2022), s. 1-8 [online] </t>
  </si>
  <si>
    <t xml:space="preserve">Risk behaviour of adolescents aged 10-15 in Slovakia. Relation to sex, age, and body mass index / Čerešník, Michal [Autor, PEUFPSUVP, 50%] ; Čerešníková, Miroslava [Autor, UKFFSVURS, 50%]. – text, tab. – [angličtina]. – [OV 060]. – [ŠO 7701]. – [článok]. – [recenzované]. – DOI 10.35198/01-2022-003-0001. – PEVŠ ID-527548. – SCO In: Adiktologie [textový dokument (print)] [elektronický dokument] : odborný časopis pro prevenci, léčbu a výzkum závislostí. – Praha (Česko) : Scan. – ISSN 1213-3841. – ISSN (online) 2570-8112. – Roč. 22, č. 3 (2022), s. 162-170 [tlačená forma] [online] </t>
  </si>
  <si>
    <t xml:space="preserve">Risk Factors for the Diagnosis of Lung Cancer in Poland: A Large-Scale, Population-Based Case-Control Study / Lewandowska, Anna [Autor, 16%] ; Lewandowski, Tomasz [Autor, 14%] ; Zych, Barbara [Autor, 14%] ; Papp, Katalin [Autor, 14%] ; Zrubcová, Dana [Autor, UKFFSVKOS, 14%] ; Apay, Serap Ejder [Autor, 14%] ; Nagórska, Malgorzata [Autor, 14%]. – text. – [angličtina]. – [OV 180]. – [ŠO 5602]. – [článok]. – [recenzované]. – DOI 10.31557/APJCP.2022.23.10.3299. – SCO In: Asian Pacific journal of cancer prevention [textový dokument (print)] [elektronický dokument] . –    Bangkok (Thajsko) : Asian Pacific Organization for Cancer Prevention. – ISSN 1513-7368. – ISSN (online) 2476-762X. – Roč. 23, č. 10 (2022), s. 3299-3307 [tlačená forma] [online] </t>
  </si>
  <si>
    <t xml:space="preserve">Risk of Abdominal Obesity Associated with Phthalate Exposure of Nurses / Kolena, Branislav [Autor, UKFFPVKZA, 35%] ; Hlisníková, Henrieta [Autor, UKFFPVKZA, 23%] ; Keckesová, Ľubica [Autor, UKFFPVKZA, 1%] ; Šidlovská, Miroslava [Autor, UKFFPVKZA, 20%] ; Trnovec, Tomáš [Autor, 1%] ; Petrovičová, Ida [Autor, UKFFPVKZA, 20%]. – text. – [angličtina]. – [OV 130]. – [ŠO 1536]. – [článok]. – [recenzované]. – DOI 10.3390/toxics10030143. – WOS CC ; SCO ; CCC In: Toxics [elektronický dokument] . – Bazilej (Švajčiarsko) : Multidisciplinary Digital Publishing Institute. – ISSN (online) 2305-6304. – Roč. 10, č. 3 (2022), s. 1-12 [online] </t>
  </si>
  <si>
    <t xml:space="preserve">Risk of Severe COVID-19 in Non-Adherent OSA Patients / Genzor, Samuel [Autor, 12.5%] ; Praško Pavlov, Ján [Autor, UKFFSVKPV, 12.5%] ; Mizera, Jan [Autor, 12.5%] ; Jakubec, Petr [Autor, 12.5%] ; Sova, Milan [Autor, 12.5%] ; Vanek, Jakub [Autor, 12.5%] ; Šurinová, Nikoleta [Autor, 12.5%] ; Langová, Kateřina [Autor, 12.5%]. – text. – [angličtina]. – [OV 060]. – [ŠO 7701]. – [článok]. – [recenzované]. – DOI 10.2147/PPA.S387657. – WOS CC ; SCO In: Patient Preference and Adherence [elektronický dokument] . – Auckland (Nový Zéland) : Dove Medical Press. – ISSN (online) 1177-889X. – Roč. 16 (2022), s. 3069-3079 [online] </t>
  </si>
  <si>
    <t xml:space="preserve">Riverine flood potential assessment at municipal level in Slovakia / Vojtek, Matej [Autor, UKFFPVKGR, 80%] ; Janizadeh, Saeid [Autor, 10%] ; Vojteková, Jana [Autor, UKFFPVKGR, 10%]. – [angličtina]. – [OV 050]. – [ŠO 1217]. – [článok]. – [recenzované]. – DOI 10.1016/j.ejrh.2022.101170. – WOS CC ; SCO ; CCC In: Journal of Hydrology- Regional Studies [elektronický dokument] . – Amsterdam (Holandsko) : Elsevier. – ISSN (online) 2214-5818. – č. 42 (2022), s. 1-16 </t>
  </si>
  <si>
    <t xml:space="preserve">Riziká, sociálne hrozby a informačno-komunikačné technológie (1). Žiaci 2. stupňa základných škôl / Vanková, Katarína [Autor, UKFFSVURS, 90%] ; Henželová, Gabriela [Autor, 10%]. – text. – [slovenčina]. – [OV 060]. – [ŠO 7205]. – [abstrakt - ČL]. – [recenzované] In: Didaktika [textový dokument (print)] : odborný časopis pre výchovu a vzdelávanie. – Bratislava (Slovensko) : Wolters Kluwer. Wolters Kluwer SR. – ISSN 1338-2845. – Roč. 3, č. 1 (2022), s. 32-32 [tlačená forma] </t>
  </si>
  <si>
    <t xml:space="preserve">Riziká, sociálne hrozby a informačno-komunikačné technológie (2). Žiaci 2. stupňa základných škôl / Vanková, Katarína [Autor, UKFFSVURS, 99%] ; Henželová, Gabriela [Autor, 1%]. – text. – [slovenčina]. – [OV 060]. – [ŠO 6115]. – [článok]. – [recenzované] In: Didaktika [textový dokument (print)] : odborný časopis pre výchovu a vzdelávanie. – Bratislava (Slovensko) : Wolters Kluwer. Wolters Kluwer SR. – ISSN 1338-2845. – Roč. 3, č. 2 (2022), s. 29-32 [tlačená forma] </t>
  </si>
  <si>
    <t xml:space="preserve">Roles of Gut Microbiome in Bone Homeostasis and Its Relationship with Bone-Related Diseases / Zemanová, Nina [Autor, UKFFPVKBG, 20%] ; Omelka, Radoslav [Autor, UKFFPVKBG, 20%] ; Mondočková, Vladimíra [Autor, UKFFPVKBG, 20%] ; Kováčová, Veronika [Autor, UKFFPVKZA, 20%] ; Martiniaková, Monika [Autor, UKFFPVKZA, 20%]. – text. – [angličtina]. – [OV 130]. – [ŠO 1536]. – [článok]. – [recenzované]. – DOI 10.3390/biology11101402. – WOS CC ; SCO ; CCC In: Biology [elektronický dokument] . – Bazilej (Švajčiarsko) : Multidisciplinary Digital Publishing Institute. – ISSN 2079-7737. – Roč. 11, č. 10 (2022), s. 1-24 [online] </t>
  </si>
  <si>
    <t xml:space="preserve">Roma Religion: 1775 and 2018 Compared over Time / Kozubík, Michal [Autor, UKFFSVKSP, 50%] ; Filakovska Bobakova, Daniela [Autor, 20%] ; Mojtová, Martina [Autor, UKFFSVKSP, 10%] ; Tokovská, Miroslava [Autor, UMBPF12, 10%] ; van Dijk, Jitse Pieter [Autor, 10%]. – text. – [angličtina]. – [OV 060]. – [ŠO 5618]. – [článok]. – [recenzované]. – DOI 10.3390/ijerph191811645. – WOS CC ; SCO ; CCC In: International journal of environmental research and public health [elektronický dokument] [textový dokument (print)] : open access journal. – Basel (Švajčiarsko) : Multidisciplinary Digital Publishing Institute. – ISSN 1661-7827. – ISSN (online) 1660-4601. – Roč. 19, č. 18 (2022), s. 1-11 [online] [tlačená forma] </t>
  </si>
  <si>
    <t xml:space="preserve">Rozhlasová dramatizace Kafkovy Proměny jako „realistického díla“ v kontextu vybraných filmových adaptací = Radio adaptation of Kafka  ́s  metamorphosis as a „realistic work“ in the context of selected film adaptations / Mikulášek, Alexej [Autor, UKFFSSUSJ, 40%] ; Tkáč-Zabáková, Lenka [Autor, UKFFSSUSJ, 60%]. – text. – [angličtina]. – [OV 020]. – [ŠO 7320]. – [článok]. – [recenzované]. – SCO In: Slavia Centralis [textový dokument (print)] . – Maribor (Slovinsko) : Univerza v Mariboru. – ISSN 1855-6302. – ISSN (online) 2385-8753. – Roč. 14, č. 1 (2021), s. 192-209 [tlačená forma] . – CiteScore: 0,5 ; SJR: 0,119 ; SNIP: 0,237 Scimago - Linguistics and language - Q3, Literature and literary theory - Q2 </t>
  </si>
  <si>
    <t xml:space="preserve">Russian Proposals for a New Security Architecture In Europe / Brhlíková, Radoslava [Autor, UKFFFAKPO, 100%]. – text. – [angličtina]. – [OV 060]. – [ŠO 6718]. – [článok]. – [recenzované]. – DOI 10.9790/0837-2705043341 In: IOSR Journal of Humanities and Social Science. – Varšava (Poľsko) : International Organization Of Scientific Research. – ISSN 2279-0845. – ISSN (online) 2279-0837. – Roč. 27, č. 5 (2022), s. 33-41 [tlačená forma] [online] </t>
  </si>
  <si>
    <t xml:space="preserve">Sajtó, televízió, rádió, internet. Részletek a szlovákiai magyarok 2021-es médiafogyasztásáról / Mészárosová, Zuzana [Autor, UKFFFAKFI, 100%]. – text. – [maďarčina]. – [OV 060]. – [ŠO 6115]. – [článok]. – [recenzované] In: Fórum Társadalomtudományi Szemle [textový dokument (print)] . – Šamorín (Slovensko) : Fórum inštitút pre výskum menšín. – ISSN 1335-4361. – Roč. 24, č. 4 (2022), s. 77-93 [tlačená forma] </t>
  </si>
  <si>
    <t xml:space="preserve">Scénický dizajn a vizuálna komunikácia. Od umenia k marketingu = Scenic design and visual communication. From art to marketing / Inštitorisová, Dagmar [Autor, UKFFFAKMR, 100%]. – text. – [slovenčina]. – [OV 060]. – [ŠO 7205]. – [článok]. – [recenzované]. – DOI 10.31577/sd-2022-0007. – SCO In: Slovenské divadlo [textový dokument (print)] [elektronický dokument] : revue dramatických umení. – Bratislava (Slovensko) : Slovenská akadémia vied. Pracoviská SAV. Ústav divadelnej a filmovej vedy. – ISSN 0037-699X. – ISSN (online) 1336-8605. – Roč. 70, č. 1 (2022), s. 91-104 [tlačená forma] [online] </t>
  </si>
  <si>
    <t xml:space="preserve">SCF Ligases and Their Functions in Oogenesis and Embryogenesis—Summary of the Most Important Findings throughout the Animal Kingdom / Kinterova, Veronika [Autor, 48%] ; Kanka, Jiří [Autor, 3%] ; Bartková, Alexandra [Autor, UKFFPVKBG, 48%] ; Toralová, Tereza [Autor, 1%]. – text. – [angličtina]. – [OV 130]. – [ŠO 1536]. – [článok]. – [recenzované]. – DOI 10.3390/cells11020234. – WOS CC ; SCO In: Cells [elektronický dokument] . – Bazilej (Švajčiarsko) : Multidisciplinary Digital Publishing Institute. – ISSN (online) 2073-4409. – Roč. 11, č. 2 (2022), s. 1-14 [online] </t>
  </si>
  <si>
    <t xml:space="preserve">Sebahodnotenie profesijných kompetencií budúcich vzdelávateľov dospelých / Temiaková, Dominika [Autor, UKFPFAKPE, 100%]. – text. – [slovenčina]. – [OV 010]. – [ŠO 7605]. – [článok]. – [recenzované] In: GRANT journal [elektronický dokument] : European Grant Projects, Results, Research &amp; Development, Science : Peer-Reviewed Scientific Journal. – Hradec Králové (Česko) : Magnanimitas akademické sdružení. – ISSN (online) 1805-0638. – ISSN (online) 1805-062X. – Roč. 11, č. 1 (2022), s. 65-71 [CD-ROM] [online] </t>
  </si>
  <si>
    <t xml:space="preserve">Self-Efficacy in the Pre-Gradual Training  of Occupational Subject Teachers / Duda, Malgorzata [Autor, 25%] ; Kráľová, Zdena [Autor, UKFPFAKLI, 25%] ; Porubčanová, Dáša [Autor, KŠDI, 25%] ; Bursová, Janka [Autor, Teologický inštitút KU, 25%]. – text. – [angličtina]. – [OV 010]. – [ŠO 7605]. – [článok]. – [recenzované]. – DOI 10.15804/tner.2022.68.2.13. – SCO In: The New Educational Review [textový dokument (print)] [elektronický dokument] : International scientific journal founded by three universities from Czech Republic, Poland and Slovak Republic. – Toruň (Poľsko) : Wydawnictwo Adam Marszalek. – ISSN 1732-6729. – Roč. 68 (2022), s. 162-170 [tlačená forma] [online] </t>
  </si>
  <si>
    <t xml:space="preserve">Self-stigma in schizoprenia - consequences and management / Praško Pavlov, Ján [Autor, UKFFSVKPV, 10%] ; Vanek, Jakub [Autor, 10%] ; Holubová, Michaela [Autor, 10%] ; Kolek, Antonin [Autor, 10%] ; Kotian, Michal [Autor, 10%] ; Vrbova, Kristyna [Autor, 10%] ; Nesnídal, Vlastimil [Autor, 10%] ; Kantor, Kryštof [Autor, 10%] ; Ocisková, Marie [Autor, 10%] ; Šlepecký, Miloš [Autor, UKFFSVKPV, 10%]. – text. – [angličtina]. – [OV 060]. – [ŠO 7701]. – [článok]. – [recenzované]. – WOS CC ; SCO In: Activitas Nervosa Superior Rediviva [textový dokument (print)] [elektronický dokument] : international journal for integrated neuroscience. – Bratislava (Slovensko) : Vysoká škola zdravotníctva a sociálnej práce sv. Alžbety v Bratislave, Bratislava (Slovensko) : Slovenská akadémia vied. – ISSN 1337-933X. – ISSN (online) 1338-4015. – Roč. 63, č. 4 (2021), 160-174 [tlačená forma] [online] . – SNIP: 0.080 ; SJR: 0.112 ; AIS: 0.061 AIS - Clinical neurology - Q4 Scimago - Neuroscience (miscellaneous) - Q4 </t>
  </si>
  <si>
    <t xml:space="preserve">Sémantické reprezentácie menšín. Sonda do postojov dospievajúcich vo veku 12 až 15 rokov = Semantic representations of minorities. Survey into the attitudes of adolescents aged 12 to 15 years / Čerešníková, Miroslava [Autor, UKFFSVURS, 70%] ; Čerešník, Michal [Autor, PEUFPSUVP, 30%]. – text, tab., obr. – [slovenčina]. – [OV 060]. – [ŠO 7761]. – [článok]. – [recenzované]. – DOI 10.17846/PP.2022.5.1.5-19. – PEVŠ ID-521495 In: Pomáhajúce profesie [textový dokument (print)] : recenzovaný vedecký časopis pre teóriu, výskum, prax a vzdelávanie v pomáhajúcich profesiách. – Nitra (Slovensko) : Univerzita Konštantína Filozofa v Nitre. – ISSN 2585-9447. – Roč. 5, č. 1 (2022), s. 5-19 [tlačená forma] [online] </t>
  </si>
  <si>
    <t xml:space="preserve">Seméma „zámku“ v slovanských čarovných rozprávkach = The“Castle” Semene in Slavic Fairy Tales / Danišová, Nikola [Autor, UKFFFAULK, 100%]. – text. – [angličtina]. – [OV 020]. – [ŠO 8110]. – [článok]. – [recenzované]. – SCO In: Slavia Centralis [textový dokument (print)] . – Maribor (Slovinsko) : Univerza v Mariboru. – ISSN 1855-6302. – ISSN (online) 2385-8753. – Roč. 15, č. 1 (2022), s. 297-309 [tlačená forma] </t>
  </si>
  <si>
    <t xml:space="preserve">Sexuálne interakcie a nevera na Tindri = Sexual interactions and infidelity on Tinder / Kňažko, Boris [Autor, UKFFFAKAE 06.2022, 100%]. – text. – [slovenčina]. – [OV 020]. – [ŠO 6107]. – [článok]. – [recenzované] In: Prohuman [elektronický dokument] : vedecko-odborný interdisciplinárny recenzovaný časopis, zameraný na oblasť spoločenských, sociálnych a humanitných vied : vedecko-odborný internetový časopis. – Bratislava (Slovensko) : Business Intelligence Club. – ISSN (online) 1338-1415. – č. 26. január (2022), s. 1-4 [online] </t>
  </si>
  <si>
    <t xml:space="preserve">Shabbat as a projection of freedom in Tanakh and rabinic Judaism = Sabat jako projekce svobody v Tanachu a rabinskem judaismu / Roubalová, Marie [Autor, 20%] ; Maturkanič, Patrik [Autor, 20%] ; Bursová, Janka [Autor, Teologický inštitút KU, 25%] ; Kondrla, Peter [Autor, UKFFFAKNS, 25%] ; Zimny, Jan [Autor, 10%]. – text. – [čeština]. – [OV 020, 010]. – [ŠO 6115, 6107, 6171, 7605]. – [článok]. – [recenzované]. – DOI 10.18355/XL.2022.15.01.15. – SCO In: XLinguae [textový dokument (print)] [elektronický dokument] : European scientific language journal. – Nitra (Slovensko) : Vzdelávanie Don Bosca, Nitra (Slovensko) : Slovenská Vzdelávacia a Obstarávacia. – ISSN 1337-8384. – ISSN (online) 2453-711X. – Roč. 15, č. 1 (2022), s. 148-159 [tlačená forma] [online] </t>
  </si>
  <si>
    <t xml:space="preserve">Shopping behavior of the silver generation in Slovakia: a case study Nitra / Trembošová, Miroslava [Autor, UKFFPVKGR, 50%] ; Kramoliš, Ján [Autor, 20%] ; Dubcová, Alena [Autor, UKFFPVKGR, 5%] ; Nagyová, Ľudmila [Autor, 20%] ; Forgáč, Pavel [Autor, 5%]. – text. – [angličtina]. – [OV 092]. – [ŠO 6213]. – [článok]. – [recenzované]. – DOI 10.15240/tul/001/2022-3-009. – WOS CC In: E + M. Ekonomie a management [textový dokument (print)] [elektronický dokument] . – Liberec (Česko) : Technická univerzita v Liberci. – ISSN 1212-3609. – ISSN (online) 2336-5064. – Roč. 25, č. 3 (2022), s. 142-157 [tlačená forma] [online] </t>
  </si>
  <si>
    <t xml:space="preserve">Short Food Supply Chains and Small Farms-Evidence from Slovakia / Floriš, Norbert [Korešpondenčný autor, SPUFES18, 25%] ; Schwarcz, Pavol [Autor, SPUFES31, 25%] ; Schwarczová, Loreta [Autor, SPUFES31, 25%] ; Munk, Michal [Autor, UKFFPVKIN, 25%]. – text. – [angličtina]. – [OV 080]. – [ŠO 6213]. – [článok]. – [recenzované]. – DOI 10.3390/su14052728. – WOS CC ; SCO ; CCC In: Sustainability [elektronický dokument] . – Bazilej (Švajčiarsko) : Multidisciplinary Digital Publishing Institute. – ISSN (online) 2071-1050. – Roč. 14, č. 5 (2022), art. no. 2728, s. 1-23 [online] </t>
  </si>
  <si>
    <t xml:space="preserve">Schema Therapy for Patients with Bipolar Disorder: Theoretical Framework and Application / Ocisková, Marie [Autor, 2%] ; Praško Pavlov, Ján [Autor, UKFFSVKPV, 34%] ; Kantor, Kryštof [Autor, 2%] ; Hodný, František [Autor, 2%] ; Kasyanik, Pavel [Autor, 2%] ; Holubová, Michaela [Autor, 2%] ; Vanek, Jakub [Autor, 2%] ; Šlepecký, Miloš [Autor, UKFFSVKPV, 50%] ; Nesnídal, Vlastimil [Autor, 2%] ; Minariková, Kamila [Autor, 2%]. – text. – [angličtina]. – [OV 060]. – [ŠO 7701]. – [článok]. – [recenzované]. – DOI 10.2147/NDT.S344356. – WOS CC ; SCO ; CCC In: Neuropsychiatric Disease and Treatment [textový dokument (print)] [elektronický dokument] . – Auckland (Nový Zéland) : Dove Medical Press. – ISSN 1176-6328. – ISSN (online) 1178-2021. – Roč. 18 (2022), s. 29-46 [tlačená forma] [online] </t>
  </si>
  <si>
    <t xml:space="preserve">Situation of Roma in Slovakia during COVID-19 pandemic / Rác, Ivan [Autor, UKFFSVURS, 100%]. – text. – [angličtina]. – [OV 060]. – [ŠO 7761]. – [článok]. – [recenzované] In: Edukacja Międzykulturowa [textový dokument (print)] [elektronický dokument] . – Toruń  (Poľsko) : Wydawnictwo Adam Marszalek. – ISSN 2299-4106. – Roč. 18, č. 3 (2022), s. 91-98 [tlačená forma] [online] </t>
  </si>
  <si>
    <t xml:space="preserve">Slovenský preklad Goetheho Fausta v rukopisnej pozostalosti Karola Strmeňa = The Slovak Translation of Goethe’s Faust in the Manuscript Estate of Karol Strmeň / Čakanek, Ján [Autor, UKFFFAKGE, 100%]. – text. – [slovenčina]. – [OV 020]. – [ŠO 8110]. – [článok]. – [recenzované]. – DOI 10.31577/sd-2021-0028. – SCO In: Slovenské divadlo [textový dokument (print)] [elektronický dokument] : revue dramatických umení. – Bratislava (Slovensko) : Slovenská akadémia vied. Pracoviská SAV. Ústav divadelnej a filmovej vedy. – ISSN 0037-699X. – ISSN (online) 1336-8605. – Roč. 69, č. 4 (2021), s. 388-402 [tlačená forma] [online] . – CiteScore: 0,2 ; SJR: 0,158 ; SNIP: 0,208 Scimago - Communication - Q3, Cultural studies - Q2, History - Q2, Literature and literary theory - Q1, Music - Q2, Visual arts and performing arts - Q1 </t>
  </si>
  <si>
    <t xml:space="preserve">Small-extracellular vesicles and their microRNA cargo from porcine follicular fuids: the potential association with oocyte quality / Gad, Ahmed [Autor, 30%] ; Murín, Matej [Autor, 29%] ; Bartková, Alexandra [Autor, UKFFPVKBG, 29%] ; Kinterová, Veronika [Autor, 5%] ; Marcollová, Kateřina [Autor, 1%] ; Laurinčík, Jozef [Autor, UKFFPVKZA, 5%] ; Procházka, Radek [Autor, 1%]. – text. – [angličtina]. – [OV 200]. – [ŠO 1536]. – [článok]. – [recenzované]. – DOI 10.1186/s40104-022-00723-1. – WOS CC ; SCO In: Journal of Animal Science and Biotechnology [textový dokument (print)] . – Londýn (Veľká Británia) : Springer Nature. BioMed Central. – ISSN 1674-9782. – ISSN (online) 2049-1891. – Roč. 13, č. 82 (2022), s. 1-16 [tlačená forma] </t>
  </si>
  <si>
    <t xml:space="preserve">Social Capital as a Predictor of Quality of Life: The Czech Experience / Murgaš, František [Autor, 34%] ; Petrovič, František [Autor, UKFFPVKEE, 33%] ; Tirpáková, Anna [Autor, UKFFPVKMA, 33%]. – text. – [angličtina]. – [OV 130]. – [ŠO 1610]. – [článok]. – [recenzované]. – DOI 10.3390/ijerph19106185. – WOS CC ; SCO ; CCC In: International journal of environmental research and public health [elektronický dokument] [textový dokument (print)] : open access journal. – Basel (Švajčiarsko) : Multidisciplinary Digital Publishing Institute. – ISSN 1661-7827. – ISSN (online) 1660-4601. – Roč. 19, č. 10 (2022), s. 1-17 [online] [tlačená forma] </t>
  </si>
  <si>
    <t xml:space="preserve">Social media and their risks in relation to adolescents / Lesková, Andrea [Autor, UKFFFAKAE 06.2022, 100%]. – [angličtina]. – [OV 020]. – [ŠO 6107]. – [článok]. – [recenzované] In: Humanum [textový dokument (print)] [elektronický dokument] . – Varšava (Poľsko) : Instytut Studiów Międzynarodowych i Edukacji Humanum w Warszawie. – ISSN 1898-8431. – ISSN (online) 2450-0313. – Roč. 40, č. 1 (2021), s. 123-129 [tlačená forma] [online] </t>
  </si>
  <si>
    <t xml:space="preserve">Social services in local government / Budayová, Zuzana [Autor, Teologický inštitút KU, 50%] ; Hlad, Ľubomír [Autor, UKFFFAUKD, 50%]. – text. – [angličtina]. – [OV 020]. – [ŠO 6171]. – [článok]. – [recenzované] In: Revue Internationale des Sciences humaines et naturelles [textový dokument (print)] . – Zürich (Švajčiarsko) : Internationale Stiftung Schulung, Kunst, Ausbildung. – ISSN 2235-2007. – Roč. 12, č. 3 (2022), s. 9-24 [tlačená forma] </t>
  </si>
  <si>
    <t xml:space="preserve">Social work in healthcare in individual departments / Budayová, Zuzana [Autor, Teologický inštitút KU, 50%] ; Hlad, Ľubomír [Autor, UKFFFAUKD, 50%]. – text. – [angličtina]. – [OV 020]. – [ŠO 6171]. – [článok]. – [recenzované] In: Review of theology, social sciences and sacred art [textový dokument (print)] . – ISSN 2811-5465. – č. 3 (2022), s. 9-22 </t>
  </si>
  <si>
    <t xml:space="preserve">Social Work in the Context of the COVID-19 Pandemic / Gabura, Ján [Autor, UKFFSVKSP, 50%] ; Mojtová, Martina [Autor, UKFFSVKSP, 50%]. – text. – [angličtina]. – [OV 060]. – [ŠO 7761]. – [článok]. – [recenzované]. – DOI 10.22359/cswhi_13_1_02. – WOS CC In: Clinical Social Work and Health Intervention [textový dokument (print)] [elektronický dokument] . – Viedeň (Rakúsko) : Gesellschaft für angewandte Präventionsmedizin. – ISSN 2222-386X. – ISSN (online) 2076-9741. – Roč. 13, č. 1 (2022), s. 15-20 [tlačená forma] [online] . – Nordic List: 1 </t>
  </si>
  <si>
    <t xml:space="preserve">Social-emotional development of learners in primary level of education through “reading” wordless picture books : Placing Language in the Centre of Schooling / Horváthová, Ivana [Autor, UKFFFAKAA, 100%]. – text. – [angličtina]. – [OV 010]. – [ŠO 7605]. – [článok]. – [recenzované]. – DOI 10.36534/erlj.2022.01.03 In: ERL Journal [elektronický dokument] . – Gdaňsk (Poľsko) : International Association for the Educational Role of Language. – ISSN 2657-9774. – Roč. 7, č. 1 (2022), s. 32-41 [online] </t>
  </si>
  <si>
    <t xml:space="preserve">Sociálny aspekt integrácie žiaka s ADHD na prvom stupni základnej školy / Poláčková, Vladimíra [Autor, UKFPFAKPE, 50%] ; Gužiková, Libuša [Autor, UKFPFAKPE, 50%]. – text. – [slovenčina]. – [OV 010]. – [ŠO 7605]. – [článok]. – [recenzované] In: GRANT journal [elektronický dokument] : European Grant Projects, Results, Research &amp; Development, Science : Peer-Reviewed Scientific Journal. – Hradec Králové (Česko) : Magnanimitas akademické sdružení. – ISSN (online) 1805-0638. – ISSN (online) 1805-062X. – Roč. 11, č. 1 (2022), s. 6-11 [CD-ROM] [online] </t>
  </si>
  <si>
    <t xml:space="preserve">Sociálny problém: Negatívne dôsledky nezamestnanosti = The Social Problem: Negative Consequences of Unemployment / Takács, Ladislav [Autor, 50%] ; Lesková, Andrea [Autor, UKFFFAKAE 06.2022, 50%]. – text. – [slovenčina]. – [OV 020]. – [ŠO 6107]. – [článok]. – [recenzované] In: Aplikovaná psychologie [textový dokument (print)] [elektronický dokument] . – Terezín (Česko) : Vysoká škola aplikované psychologie. – ISSN 2336-8276. – Roč. 6, č. 11 (2021), s. 927-942 [tlačená forma] [online] </t>
  </si>
  <si>
    <t xml:space="preserve">Socioeconomic Status of University Students as a Limiting Factor for Various Forms of Distance Education during COVID-19 Measures / Chytrý, Vlastimil [Autor, 25%] ; Kubiatko, Milan [Autor, 25%] ; Šindelářová, Romana [Autor, 5%] ; Medová, Janka [Autor, UKFFPVKMA, 45%]. – text. – [angličtina]. – [OV 240]. – [ŠO 1113]. – [článok]. – [recenzované]. – DOI 10.3390/su14105898. – WOS CC ; SCO ; CCC In: Sustainability [elektronický dokument] . – Bazilej (Švajčiarsko) : Multidisciplinary Digital Publishing Institute. – ISSN (online) 2071-1050. – Roč. 14, č. 10 (2022), s. 1-20 [online] </t>
  </si>
  <si>
    <t xml:space="preserve">Solving Geometric Tasks by 9th Grade Pupils and Using GeoGebra Software / Bočková, Veronika [Autor, UKFFPVKMA, 50%] ; Pavlovičová, Gabriela [Autor, UKFFPVKMA, 50%]. – text. – [angličtina]. – [OV 010]. – [ŠO 7605]. – [článok]. – [recenzované]. – DOI 10.17846/AMN.2022.8.1.28-38 In: Acta Mathematica Nitriensia [elektronický dokument] . – Nitra (Slovensko) : Univerzita Konštantína Filozofa v Nitre. Fakulta prírodných vied a informatiky. Katedra matematiky. – ISSN 2453-6083. – Roč. 8, č. 1 (2022), s. 28-38 [online] </t>
  </si>
  <si>
    <t xml:space="preserve">Solving Lonely Runner Conjecture through differential geometry / Ďuriš, Viliam [Autor, UKFFPVKMA, 25%] ; Šumný, Timotej [Autor, UKFFPVKMA, 25%] ; Gonda, Dalibor [Autor, ZUZRIAMOA, 25%] ; Lengyelfalusy, Tomáš [Autor, KŠDI, 25%]. – text. – [angličtina]. – [OV 240]. – [ŠO 1113]. – [článok]. – [recenzované]. – DOI 10.2478/jamsi-2022-0002. – WOS CC In: Journal of Applied Mathematics, Statistics and Informatics [textový dokument (print)] [elektronický dokument] . – Trnava (Slovensko) : Univerzita sv. Cyrila a Metoda v Trnave. Fakulta prírodných vied, Varšava (Poľsko) : De Gruyter. De Gruyter Open. – ISSN 1336-9180. – ISSN (online) 1339-0015. – Roč. 18, č. 1 (2022), s. 21-28 [tlačená forma] [online] </t>
  </si>
  <si>
    <t xml:space="preserve">Something new about the castle life. An archaeozoological perspective to castle and economy at the Deserted Castle Pustýhrad/Pusztavár in Zvolen/Zólyom / Šimunková, Katarína [Autor, UKFFFAKAR, 50%] ; Beljak Pažinová, Noémi [Autor, UKFFFAKAR, 40%] ; Beljak, Ján [Autor, 10%]. – text. – [angličtina]. – [OV 030]. – [ŠO 7115]. – [článok]. – [recenzované]. – DOI 10.1556/0208.2021.00007. – SCO In: Archaeologiai Ertesito [textový dokument (print)] . – Budapešť (Maďarsko) : Akadémiai Kiadó. – ISSN 00038032. – ISSN (online) 1589486X. – Roč. 146, č. 1 (2021), s. 169-185 [tlačená forma] [online] . – CiteScore: 0,3 ; SJR: 0,104 ; SNIP: 0,116 Scimago - Archeology - Q4, Archeology (arts and humanities) - Q4, History - Q3 </t>
  </si>
  <si>
    <t xml:space="preserve">Sonda do problematiky ústavnej starostlivosti o deti v Slovenskom štáte na príklade okresných detských domovov / Rigová, Viktória [Autor, UKFFFAKHI, 100%]. – [slovenčina]. – [OV 030]. – [ŠO 7115]. – [článok]. – [recenzované]. – TRUNI ohlas E093355 In: Acta historica Neosoliensia [textový dokument (print)] [elektronický dokument] : vedecký časopis pre historické vedy. – Banská Bystrica (Slovensko) : Univerzita Mateja Bela v Banskej Bystrici. Filozofická fakulta. Katedra histórie. – ISSN 1336-9148. – ISSN (online) 2453-7845. – Roč. 25, č. 1 (2022), s. 67-87 [tlačená forma] [online] </t>
  </si>
  <si>
    <t xml:space="preserve">Soybean roots defence against cadmium and its dependence on dose in a non-linear manner / Mészáros, Patrik [Autor, UKFFPVKBG, 40%] ; Rybanský, Ľubomír [Autor, UKFFPVKMA, 10%] ; Bardáčová, Monika [Autor, UCMFPVKCHR, 10%] ; Roszival, Marcel [Autor, UKFFPVKBG, 10%] ; Matušíková, Ildikó [Autor, UCMFPVKCHR, 30%]. – text. – [angličtina]. – [OV 130]. – [ŠO 1536]. – [článok]. – [recenzované]. – DOI 10.1163/22238980-bja10044. – WOS CC ; SCO ; CCC In: Israel Journal of Plant Sciences [textový dokument (print)] . – Abingdon (Veľká Británia) : Taylor &amp; Francis Group. – ISSN 0792-9978. – ISSN (online) 2223-8980. – Roč. 69, č. 1-2 (2022), s. 13-24 [tlačená forma] </t>
  </si>
  <si>
    <t xml:space="preserve">Spatial Ability and Geometric Thinking of the Students of Teacher Training for Primary Education / Pavlovičová, Gabriela [Autor, UKFFPVKMA, 34%] ; Bočková, Veronika [Autor, UKFFPVKMA, 33%] ; Laššová, Katarína [Autor, UKFFPVKMA, 33%]. – text. – [angličtina]. – [OV 010]. – [ŠO 1113]. – [článok]. – [recenzované]. – DOI 10.18421/TEM111-49. – WOS CC ; SCO In: TEM Journal [textový dokument (print)] [elektronický dokument] : Technology, Education, Management, Informatics. – Novi Pazar (Srbsko) : Association for Information Communication Technology Education and Science. – ISSN 2217-8309. – ISSN (online) 2217-8333. – Roč. 11, č. 1 (2022), 388-395 [tlačená forma] [online] </t>
  </si>
  <si>
    <t xml:space="preserve">Spatial analysis of historical objects with defensive function in Slovakia / Vojteková, Jana [Autor, UKFFPVKGR, 20%] ; Tirpáková, Anna [Autor, UKFFPVKMA, 20%] ; Petrovič, František [Autor, UKFFPVKEE, 20%] ; Izakovičová, Zita [Autor, 20%] ; Vojtek, Matej [Autor, UKFFPVKGR, 20%]. – text. – [angličtina]. – [OV 100]. – [ŠO 1610]. – [článok]. – [recenzované]. – DOI 10.1080/10106049.2021.1978561. – WOS CC ; SCO In: Geocarto international [textový dokument (print)] . – Hong Kong (Čína) : Geocarto International Centre. – ISSN 1010-6049. – Roč. 36 (2021), s. 1-14 [tlačená forma] . – CiteScore: 7,2 ; IF: 3.450 ; SJR: 0,644 ; SNIP: 0,99 ; AIS: 0.518 AIS - Environmental sciences - Q3, Geosciences, multidisciplinary - Q3, Imaging science &amp; photographic technology - Q2, Remote sensing - Q3 JIF - Environmental sciences - Q3, Geosciences, multidisciplinary - Q2, Imaging science &amp; photographic technology - Q2, Remote sensing - Q3 Scimago - Geography, planning and development - Q1, Water science and technology - Q2 </t>
  </si>
  <si>
    <t xml:space="preserve">Spatiotemporal change detection of carbon storage and sequestration in an arid ecosystem by integrating Google Earth Engine and InVEST (the Jiroft plain, Iran) / Adelisardou, F. [Autor, 30%] ; Zhao, W. [Autor, 20%] ; Chow, R. [Autor, 20%] ; Mederly, Peter [Autor, UKFFPVKEE, 20%] ; Minkina, T. [Autor, 5%] ; Schou, J. S. [Autor, 5%]. – text. – [angličtina]. – [OV 100]. – [ŠO 1610]. – [článok]. – [recenzované]. – DOI 10.1007/s13762-021-03676-6. – WOS CC ; SCO In: International Journal of Environmental Science and Technology [textový dokument (print)] . – Berlín (Nemecko) : Springer Nature. Springer International Publishing AG. – ISSN 1735-1472. – ISSN (online) 1735-2630. – Roč. 19, č. 1 (2022), s. 1-16 [tlačená forma] </t>
  </si>
  <si>
    <t xml:space="preserve">Spessartine from Tongbei, China / Štubňa, Ján [Autor, UKFFPVKGR, 50%] ; Hanus, Radek [Autor, 1%] ; Fridrichová, Jana [Autor, UKOPRGMPLG , 25%] ; Bačík, Peter [Autor, UKOPRGMPLG , 24%]. – text, fotogr. – [angličtina]. – [OV 092]. – [ŠO 1217]. – [článok]. – [recenzované]. – SIGN-UKO PR 213/22. – WOS CC ; CCC In: The Journal of Gemmology [textový dokument (print)] . – Londýn (Veľká Británia) : The Gemmological Association of Great Britain. – ISSN 1355-4565. – ISSN (online) 2632-1718. – Roč. 38, č. 1 (2022), s. 18-19 [tlačená forma] </t>
  </si>
  <si>
    <t xml:space="preserve">Sports talent search : genes versus motor tests / Šimonek, Jaromír [Autor, UKFPFAKTV, 50%] ; Židek, Radoslav [Autor, 50%]. – text. – [angličtina]. – [OV 010]. – [ŠO 7605]. – [článok]. – [recenzované]. – DOI 10.14529/hsm210320. – SCO In: Čelovek. Sport. Medicina [textový dokument (print)] [elektronický dokument] . – Čeľabinsk (Ruská federácia) : Nacionnaľnyj issledovateľskij universitet. – ISSN 2500-0209. – ISSN (online) 2500-0195. – Roč. 21, č. 3 (2021), s. 160-168 [tlačená forma] [online] . – CiteScore: 0,6 ; SJR: 0,234 ; SNIP: 0,407 ; AIS: 0.015 AIS - Sport sciences - Q4 Scimago - Orthopedics and sports medicine - Q3, Physical therapy, sports therapy and rehabilitation - Q3 </t>
  </si>
  <si>
    <t xml:space="preserve">STEAM vo vyučovaní programovanie = STEAM in  programming teaching / Krajinčák, Erik [Autor, 33%] ; Šebo, Miroslav [Autor, UKFPFAKTT, 33%] ; Depešová, Jana [Autor, UKFPFAKTT, 34%]. – text. – [slovenčina]. – [OV 010]. – [ŠO 7605]. – [článok]. – [recenzované] In: Technika a vzdelávanie [textový dokument (print)] [elektronický dokument] : časopis zameraný na technické vzdelávanie v základných, stredných i na vysokých školách, na oblasť základného a aplikovaného výskumu, aplikáciu informačných technológií vo výučbe odborných predmetov. – Banská Bystrica (Slovensko) : Univerzita Mateja Bela v Banskej Bystrici. Fakulta prírodných vied. – ISSN 1338-9742. – ISSN (online) 1339-9888. – Roč. 10, č. 2 (2021), s. 41-44 [tlačená forma] [online] </t>
  </si>
  <si>
    <t xml:space="preserve">Stomatálna charakteristika listov ovsa vystavených iónom kadmia / Piršelová, Beáta [Autor, UKFFPVKBG, 20%] ; Kuna, Roman [Autor, UKFFPVKBG, 10%] ; Galuščáková, Ľudmila [Autor, UKFFPVKBG, 25%] ; Lengyelová, Libuša [Autor, UKFFPVKBG, 25%] ; Kubová, Veronika [Autor, UKFFPVKBG, 5%] ; Rozsival, Marcel [Autor, UKFFPVKBG, 5%] ; Bojnanská, Katarína [Autor, 10%]. – text. – [slovenčina]. – [OV 130]. – [ŠO 1536]. – [článok]. – [recenzované] In: GRANT journal [elektronický dokument] : European Grant Projects, Results, Research &amp; Development, Science : Peer-Reviewed Scientific Journal. – Hradec Králové (Česko) : Magnanimitas akademické sdružení. – ISSN (online) 1805-0638. – ISSN (online) 1805-062X. – Roč. 11, č. 1 (2022), s. 86-92 [CD-ROM] [online] </t>
  </si>
  <si>
    <t xml:space="preserve">Storing and structuring big data in histological research (vertebrates) using a relational database in SQL / Langraf, Vladimír [Autor, UKFFPVKEE, 55%] ; Babosová, Ramona [Autor, UKFFPVKZA, 20%] ; Petrovičová, Kornélia [Autor, SPUFAP31, 20%] ; Schlarmannová, Janka [Autor, UKFFPVKZA, 4%] ; Brygadyrenko, Viktor [Autor, 1%]. – text. – [angličtina]. – [OV 160]. – [ŠO 1536]. – [článok]. – [recenzované] In: Regulatory mechanisms in biosystems [textový dokument (print)] [elektronický dokument] . – Dnipro (Ukrajina) : Oles Honchar Dnipro National University. – ISSN 2519-8521. – ISSN (online) 2520-2588. – Roč. 13, č. 3 (2022), s. 207-212 [tlačená forma] [online] </t>
  </si>
  <si>
    <t xml:space="preserve">StressDat-Database of speech under stress in Slovak / Sabo, Róbert [Autor, 30%] ; Beňuš, Štefan [Autor, UKFFFAKAA, 20%] ; Trnka, Marian [Autor, 20%] ; Ritomský, Marian [Autor, 10%] ; Rusko, Milan [Autor, 10%] ; Schaper, Meilin [Autor, 5%] ; Szabó, Jakub [Autor, UKOLFUMB, 5%]. – text. – [angličtina]. – [OV 160, 180]. – [ŠO 2508, 5141]. – [článok]. – [recenzované]. – DOI 10.2478/jazcas-2021-0053. – SIGN-UKO LF UMB/21. – SCO In: Jazykovedný časopis [elektronický dokument] [textový dokument (print)] : vedecký časopis pre otázky teórie jazyka = scientific journal for the theory of language. – Bratislava (Slovensko) : SAP - Slovak Academic Press, Varšava (Poľsko) : De Gruyter. – ISSN 0021-5597. – ISSN (online) 1338-4287. – Roč. 72, č. 2 (2021), s. 579-589 [online] [tlačená forma] . – CiteScore: 0,3 ; SJR: 0,191 ; SNIP: 0,923 Scimago - Linguistics and language - Q2 </t>
  </si>
  <si>
    <t xml:space="preserve">Structural and nano-mechanical characteristics of a novel mixture of natural hydroxyapatite materials: Insights from ab-initio calculations and experiments / Osuchukwu, Obinna A [Autor, 15%] ; Salihi, Abdu [Autor, 15%] ; Abdullahi, Ibrahim [Autor, 14%] ; Obada, David Olubiyi [Autor, 14%] ; Abolade, Simeon A [Autor, 14%] ; Akande, Akinlolu [Autor, 14%] ; Csáki, Štefan [Autor, UKFFPVKFY, 14%]. – text. – [angličtina]. – [OV 091]. – [ŠO 1160]. – [článok]. – [recenzované]. – DOI 10.1016/j.matlet.2022.132977. – WOS CC ; SCO ; CCC In: Materials letters [textový dokument (print)] [elektronický dokument] . – Amsterdam (Holandsko) : Elsevier. North-Holland. – ISSN 0167-577X. – ISSN (online) 1873-4979. – Roč. 326 (2022), s. 1-4 [tlačená forma] [online] </t>
  </si>
  <si>
    <t xml:space="preserve">Structure of sports performance in women ́s heptathlon / Broďáni, Jaroslav [Autor, UKFPFAKTV, 25%] ; Czaková, Monika [Autor, UKFPFAKTV, 25%] ; Dvořáčková, Natália [Autor, UKFPFAKTV, 25%] ; Halbavý, Lukáš [Autor, UKFPFAKTV, 25%]. – text. – [angličtina]. – [OV 210]. – [ŠO 7418]. – [článok]. – [recenzované]. – DOI 10.7752/jpes.2022.04129. – SCO In: Journal of physical education and sport [elektronický dokument] [textový dokument (print)] . – Pitesti, Arges (Rumunsko) : Universitatea din Pitesti. – ISSN 2247-8051. – ISSN (online) 2247-806X. – Roč. 22, č. 4 (2022), s. 1018-1025 [online] [tlačená forma] </t>
  </si>
  <si>
    <t xml:space="preserve">Student's Categorization Activities in the Educational Process of Second Foreign Language Reading Comprehension / Stranovská, Eva [Autor, UKFFFAKGE, 40%] ; Ficzere, Anikó [Autor, UKFFSSKCR, 30%] ; Horníčková, Mária [Autor, UKFFFAKRO, 30%]. – text. – [angličtina]. – [OV 010]. – [ŠO 7605]. – [článok]. – [recenzované]. – DOI 10.13187/ejced.2022.1.194. – WOS CC ; SCO In: European journal of contemporary education [elektronický dokument] . – Washington (USA) : Cherkas Global University Press. – ISSN 2304-9650. – ISSN (online) 2305-6746. – Roč. 11, č. 1 (2022), s. 194-203 [online] </t>
  </si>
  <si>
    <t xml:space="preserve">Subkultúry súvisiace so športom so zameraním na slovenské futbalové prostredie – Ultras ŠK Slovan Bratislava / Straka, Jeremiáš [Autor, UKFFFAKMK, 100%]. – text. – [slovenčina]. – [OV 030]. – [ŠO 7115]. – [článok]. – [recenzované] In: Kontexty kultúry a turizmu [textový dokument (print)] . – Nitra (Slovensko) : Univerzita Konštantína Filozofa v Nitre. Filozofická fakulta. – ISSN 1337-7760. – Roč. 14, č. 2 (2021), s. 87-98 [tlačená forma] </t>
  </si>
  <si>
    <t xml:space="preserve">Suburbanization process of regional cities in Slovakia / Trembošová, Miroslava [Autor, UKFFPVKGR, 50%] ; Dubcová, Alena [Autor, UKFFPVKGR, 2%] ; Nagyová, Ľudmila [Autor, SPUFEM31, 25%] ; Cagáňová, Dagmar [Autor, M4000, 20%] ; Kóňová, Terézia [Autor, 3%]. – text. – [angličtina]. – [OV 092]. – [ŠO 1217]. – [článok]. – [recenzované] In: Transport &amp; Logistics [textový dokument (print)] : international journal. – Košice (Slovensko) : Technická univerzita v Košiciach. Fakulta baníctva, ekológie, riadenia a geotechnológií, Belehrad (Srbsko) : Univerzitet u Beogradu. Rudarsko-geološki fakultet. – ISSN 1451-107X. – ISSN (online) 2406-1069. – Roč. 22, č. 53 (2022), s. 21-31 [tlačená forma] </t>
  </si>
  <si>
    <t xml:space="preserve">Súvisia morálne dilemy s axiologickými konštrukciami partnerskej lásky? = Are moral dilemmas related to the axiological constructions of partner love? / Marková, Dagmar [Autor, UKFFFAKAE, 100%]. – text. – [slovenčina]. – [OV 020]. – [ŠO 6107]. – [článok]. – [recenzované]. – DOI 10.25142/spp.2022.002 In: Social Pathology &amp; Prevention [textový dokument (print)] [elektronický dokument] . – Opava (Česko) : Slezská univerzita v Opavě. Fakulta veřejných politik. – ISSN 2464-5877. – ISSN (online) 2464-5885. – Roč. 7, č. 2 (2021), s. 47-52 [tlačená forma] [online] </t>
  </si>
  <si>
    <t xml:space="preserve">SWOT Analysis of Virtual Reality Creation Equipments / Kuna, Peter [Autor, UKFFPVKIN, 35%] ; Hašková, Alena [Autor, UKFPFAKTT, 33%] ; Borza, Ľuboš [Autor, 32%]. – text. – [angličtina]. – [OV 010]. – [ŠO 7605]. – [článok]. – [recenzované]. – DOI 10.53349/resource.2022.iS24.a1106 In: R&amp;E-Source [elektronický dokument] . – Baden (Rakúsko) : Pädagogische Hochschule NÖ. – ISSN (online) 2313-1640. – suppl. Factory of Engineering Pedagogy - FEP, č. 24 (2022), s. 28-32 [online] </t>
  </si>
  <si>
    <t xml:space="preserve">Širšie súvislosti angažovanosti rodičov v práci školy a príprava budúcich učiteľov = Broader Context of Family Engagement in School and Teacher Training / Kurincová, Viera [Autor, UKFPFAKPE, 50%] ; Turzák, Tomáš [Autor, UKFPFAKPE, 50%]. – text. – [slovenčina]. – [OV 010]. – [ŠO 7605]. – [článok]. – [recenzované] In: Pedagogika.sk [elektronický dokument] : slovenský časopis pre pedagogické vedy = Slovak Journal for Educational Sciences. – Bratislava (Slovensko) : Slovenská akadémia vied. Slovenská pedagogická spoločnosť pri SAV. – ISSN (online) 1338-0982. – Roč. 12, č. 3 (2021), s. 144-155 [online] </t>
  </si>
  <si>
    <t xml:space="preserve">Špecifiká jazyka a obraznosti ženskej mystiky: Memoriál Angely z Foligna / Šavelová, Monika [Autor, UKFFFAKTR, 100%]. – text. – [slovenčina]. – [OV 020]. – [ŠO 7320]. – [článok]. – [recenzované] In: Studi italo-slovacchi [textový dokument (print)] . – Nitra (Slovensko) : Univerzita Konštantína Filozofa v Nitre. Filozofická fakulta, Bratislava (Slovensko) : Slovenská akadémia vied. – ISSN 1338-6778. – Roč. 11, č. 1 (2022), s. 81-101 [tlačená forma] </t>
  </si>
  <si>
    <t xml:space="preserve">Špecifiká práce učiteľa v procese adaptácie žiakov na začiatku školskej dochádzky / Teleková, Radka [Autor, UKFPFAKPE, 100%]. – text. – [slovenčina]. – [OV 010]. – [ŠO 7605]. – [článok]. – [recenzované] In: Edukácia [elektronický dokument] : Vedecko-odborný časopis. – Košice (Slovensko) : Univerzita Pavla Jozefa Šafárika v Košiciach. Celouniverzitné pracovisko UPJŠ. Vydavateľstvo ŠafárikPress UPJŠ. – ISSN 1339-8725. – Roč. 4, č. 2 (2021), s. 129-134 [online] </t>
  </si>
  <si>
    <t xml:space="preserve">Tailor-Made Training for Industrial Sector Employees / Kuna, Peter [Autor, UKFFPVKIN, 35%] ; Hašková, Alena [Autor, UKFPFAKTT, 35%] ; Hodál, Peter [Autor, 30%]. – text. – [angličtina]. – [OV 010]. – [ŠO 7605]. – [článok]. – [recenzované]. – DOI 10.3390/su14042104. – WOS CC ; SCO ; CCC In: Sustainability [elektronický dokument] . – Bazilej (Švajčiarsko) : Multidisciplinary Digital Publishing Institute. – ISSN (online) 2071-1050. – Roč. 14, č. 4 (2022), s. 1-20 [online] </t>
  </si>
  <si>
    <t xml:space="preserve">Teacher competence in relation to the Overconfidence effect / Krause, Robert [Autor, UKFPFAKAP, 100%]. – text. – [angličtina]. – [OV 010]. – [ŠO 7605]. – [článok]. – [recenzované]. – DOI 10.33225/pec/21.79.220 In: Problems of education in the 21st century [textový dokument (print)] [elektronický dokument] . – Šiauliai (Litva) : Scientia Socialis. – ISSN 1822-7864. – ISSN (online) 2538-7111. – Roč. 79, č. 2 (2021), s. 1-9 [tlačená forma] [online] . – SNIP: 1,261 ; AIS: 0.114 AIS - Education &amp; educational research - Q3 </t>
  </si>
  <si>
    <t xml:space="preserve">Teaching Algorithms to Develop the Algorithmic Thinking of Informatics Students / Gonda, Dalibor [Autor, ZUZRIAMOA, 25%] ; Ďuriš, Viliam [Autor, UKFFPVKMA, 25%] ; Tirpáková, Anna [Autor, UKFFPVKMA, 25%] ; Pavlovičová, Gabriela [Autor, UKFFPVKMA, 25%]. – text. – [angličtina]. – [OV 240, 010]. – [ŠO 1113]. – [článok]. – [recenzované]. – DOI 10.3390/math10203857. – WOS CC ; SCO ; CCC In: Mathematics [elektronický dokument] . – Bazilej (Švajčiarsko) : Multidisciplinary Digital Publishing Institute. – ISSN (online) 2227-7390. – Roč. 10, č. 20 (2022), s. [1-13] [online] </t>
  </si>
  <si>
    <t xml:space="preserve">Technické parametre kamerových systémov z hľadiska tvorby virtuálnej realitypre školské účely = Technical parameters of camera systems in terms of creation of virtual reality for school purposes / Kuna, Peter [Autor, UKFFPVKIN, 34%] ; Hašková, Alena [Autor, UKFPFAKTT, 33%] ; Borza, Ľuboš [Autor, 33%]. – text. – [slovenčina]. – [OV 010]. – [ŠO 7605]. – [článok]. – [recenzované] In: Technika a vzdelávanie [textový dokument (print)] [elektronický dokument] : časopis zameraný na technické vzdelávanie v základných, stredných i na vysokých školách, na oblasť základného a aplikovaného výskumu, aplikáciu informačných technológií vo výučbe odborných predmetov. – Banská Bystrica (Slovensko) : Univerzita Mateja Bela v Banskej Bystrici. Fakulta prírodných vied. – ISSN 1338-9742. – ISSN (online) 1339-9888. – Roč. 10, č. 2 (2021), s. 32-36 [tlačená forma] [online] </t>
  </si>
  <si>
    <t xml:space="preserve">Téri képességek fejlesztése az informatikaórán / Szabó, Tibor [Autor, UKFFSSUVP, 50%] ; Žitný, Rastislav [Autor, UKFFSSUVP, 50%]. – text. – [maďarčina]. – [OV 010]. – [ŠO 7605]. – [článok]. – [recenzované] In: Katedra [elektronický dokument] : szlovákiai magyar pedagógusok és szülők lapja. – Dunajská Streda (Slovensko) : Nadácia Katedra. – ISSN 1335-6445. – ISSN (online) 2729-9066. – Roč. 30, č. 1 (2022), s. 30-32 [tlačená forma] [online] </t>
  </si>
  <si>
    <t xml:space="preserve">Terminological, semantic and lexicological aspects of management / Pisoňová, Mária [Autor, UKFPFAKPE, 30%] ; Onušková, Mária [Autor, UKFPFAKPE, 30%] ; Kozárová, Nina [Autor, UKFPFAKPE, 30%] ; Tomczyk, Lukasz [Autor, 5%] ; Crhová, Jitka [Autor, 5%]. – text. – [angličtina]. – [OV 010]. – [ŠO 7605]. – [článok]. – [recenzované]. – DOI 10.18355/XL.2022.15.03.06. – SCO In: XLinguae [textový dokument (print)] [elektronický dokument] : European scientific language journal. – Nitra (Slovensko) : Vzdelávanie Don Bosca, Nitra (Slovensko) : Slovenská Vzdelávacia a Obstarávacia. – ISSN 1337-8384. – ISSN (online) 2453-711X. – Roč. 15, č. 3 (2022), s. 61-71 [tlačená forma] [online] </t>
  </si>
  <si>
    <t xml:space="preserve">Text, context, affect and effect: Fairy tales in the UNICEF advertising campaign against paedophilia / Bohuslavska, Olha [Autor, UKFFFAKAA, 50%] ; Ciprianová, Elena [Autor, UKFFFAKAA, 50%]. – text. – [slovenčina]. – [OV 020]. – [ŠO 7320]. – [článok]. – [recenzované]. – DOI 10.2478/aa-2021-0007. – SCO In: Ars aeterna [textový dokument (print)] [elektronický dokument] : literary Studies and Humanity. – ISSN 1337-9291. – ISSN (online) 2450-8497. – Roč. 13, č. 2 (2021), s. 1-15 [tlačená forma] [online] . – CiteScore: 0,1 ; SJR: 0,108 ; SNIP: 0,103 Scimago - Cultural studies - Q3, Linguistics and language - Q4, Literature and literary theory - Q3 </t>
  </si>
  <si>
    <t xml:space="preserve">The "book of the judge". On the importance of kierkegaard's journals and papers / Binetti, Maria Jose [Autor, 34%] ; Králik, Roman [Autor, Teologický inštitút KU, 33%] ; Kondrla, Peter [Autor, UKFFFAUKD, 33%]. – text. – [angličtina]. – [OV 020]. – [ŠO 6107]. – [článok]. – [recenzované]. – WOS CC In: Journal of education culture and society [elektronický dokument] . – Vroclav (Poľsko) : Fundacja Pro Scientia Publica. – ISSN 2081-1640. – Roč. 13, č. 2 (2022), s. 31-38 [online] </t>
  </si>
  <si>
    <t xml:space="preserve">The acoustic features and music-cultural contexts of concert and theatre halls in Slovakia - zichy palace, the Slovak National Theatre / Brezina, Pavol [Autor, UKFPFAKHU, 40%] ; Čierna, Alena [Autor, UKFPFAKHU, 30%] ; Jarabica, Michal [Autor, UKFPFAKHU, 20%] ; Zaťko, Peter [Autor, 10%]. – text. – [angličtina]. – [OV 010]. – [ŠO 7605]. – [článok]. – [recenzované]. – DOI 10.36336/akustika20224328. – SCO In: Akustika [textový dokument (print)] : odborný časopis o akustice a vibracích. – České Budějovice (Česko) : Studio D - akustika. – ISSN 1801-9064. – Roč. 43, č. 43 (2022), s. 28-35 [tlačená forma] </t>
  </si>
  <si>
    <t xml:space="preserve">The Adverse Childhood Experiences Concept (ACE) in a Research Sample of Imprisoned Children of Addicted Parents / Juhásová, Andrea [Autor, UKFPFAKAP, 34%] ; Pavelová, Ľuba [Autor, UKFFSVKSP, 33%] ; Lulei, Martin [Autor, 33%]. – text. – [angličtina]. – [OV 060]. – [ŠO 7701]. – [článok]. – [recenzované]. – DOI 10.35198/01-2021-003-0003 In: Adiktologie [textový dokument (print)] [elektronický dokument] : odborný časopis pro prevenci, léčbu a výzkum závislostí. – Praha (Česko) : Scan. – ISSN 1213-3841. – ISSN (online) 2570-8112. – Roč. 21, č. 3 (2021), s. 139-150 [tlačená forma] [online] . – CiteScore: 1 ; SJR: 0,151 ; SNIP: 0,366 Scimago - Psychiatry and mental health - Q4 </t>
  </si>
  <si>
    <t xml:space="preserve">The arch-grammar of the representation of lifeworld in the Indian collection Ocean of the Streams of Story / Čechová, Mariana [Autor, UKFFFAULK, 50%] ; Klimková, Simona [Autor, UKFFFAKAA, 50%]. – text. – [angličtina]. – [OV 020]. – [ŠO 8110]. – [článok]. – [recenzované]. – DOI 10.1515/fabula-2022-0023. – WOS CC ; SCO In: Fabula [textový dokument (print)] [elektronický dokument] : Zeitschrift für Erzählforschung. – Berlin (Nemecko) : De Gruyter. – ISSN 0014-6242. – ISSN (online) 1613-0464. – Roč. 63, č. 3-4 (2022), s. 405-426 [tlačená forma] [online] </t>
  </si>
  <si>
    <t xml:space="preserve">The Benefit of Professional Parenthood for the Child / Minarovičová, Katarína [Autor, UKFFSVKSP, 100%]. – text. – [angličtina]. – [OV 060]. – [ŠO 6115]. – [článok]. – [recenzované]. – DOI 10.22359/cswhi_13_3_11. – WOS CC In: Clinical Social Work and Health Intervention [textový dokument (print)] [elektronický dokument] . – Viedeň (Rakúsko) : Gesellschaft für angewandte Präventionsmedizin. – ISSN 2222-386X. – ISSN (online) 2076-9741. – Roč. 13, č. 3 (2022), s. 70-72 [tlačená forma] [online] . – Nordic List: 1 </t>
  </si>
  <si>
    <t xml:space="preserve">The Cell-Wall β-d-Glucan in Leaves of Oat (Avena sativa L.) Affected by Fungal Pathogen Blumeria graminis f. sp. avenae / Gregusová, Veronika [Autor, UCMFPVKBTE, 15%] ; Kaňuková, Šarlota [Autor, UCMFPVKBTE, 9%] ; Hudcovicová, Martina [Autor, 1%] ; Bojnanská, Katarína [Autor, 1%] ; Ondreičková, Katarína [Autor, 1%] ; Piršelová, Beáta [Autor, UKFFPVKBG, 9%] ; Mészáros, Patrik [Autor, UKFFPVKBG, 8%] ; Lengyelová, Libuša [Autor, UKFFPVKBG, 5%] ; Galuščáková, Ľudmila [Autor, UKFFPVKBG, 5%] ; Kubová, Veronika [Autor, UKFFPVKBG, 2%] ; Matušíková, Ildikó [Autor, UCMFPVKCHR, 6%] ; Mihálik, Daniel [Autor, UCMFPVKBTE, 9%] ; Kraic, Ján [Autor, UCMFPVKBTE, 9%] ; Havrlentová, Michaela [Autor, UCMFPVKBTE, 20%]. – [angličtina]. – [OV 120]. – [ŠO 1536]. – [článok]. – [recenzované]. – DOI 10.3390/ polym14163416. – SCO In: Polymers [elektronický dokument] . – Bazilej (Švajčiarsko) : Multidisciplinary Digital Publishing Institute. – ISSN (online) 2073-4360. – Roč. 14, č. 16 (2022), art. no. 3416, s. [1-20] [online] </t>
  </si>
  <si>
    <t xml:space="preserve">The competency for building school-family partnerships in preservice teacher education: the role of study level, experience with school-family cooperation and self-rated personality / Kurincová, Viera [Autor, UKFPFAKPE, 35%] ; Turzák, Tomáš [Autor, UKFPFAKPE, 33%] ; Turzáková, Jana [Autor, UKFFSVUAP, 32%]. – text. – [angličtina]. – [OV 010]. – [ŠO 7605]. – [článok]. – [recenzované]. – WOS CC In: AD ALTA [textový dokument (print)] [elektronický dokument] : journal of interdisciplinary research = recenzovaný mezioborový vědecký časopis. – Hradec Králové (Česko) : Magnanimitas akademické sdružení. – ISSN 1804-7890. – ISSN (online) 2464-6733. – Roč. 11, č. 2 (2021), 285-288 [tlačená forma] [online] . – AIS: 0.028 AIS - Multidisciplinary sciences - Q4 </t>
  </si>
  <si>
    <t xml:space="preserve">The concept of world literature in Czech and Slovak comparative literary studies / Zelenka, Miloš [Autor, UKFFSSUSJ, 100%]. – text. – [angličtina]. – [OV 020]. – [ŠO 7320]. – [článok]. – [recenzované]. – WOS CC ; SCO ; CCC In: World Literature Studies [textový dokument (print)] [elektronický dokument] . – Bratislava (Slovensko) : Slovenská akadémia vied. Pracoviská SAV. Ústav svetovej literatúry. – ISSN 1337-9275. – ISSN (online) 1337-9690. – Roč. 14, č. 2 (2022), s. 5-30 [tlačená forma] [online] </t>
  </si>
  <si>
    <t xml:space="preserve">The construal processes of the dialect speaker: A case study of discourses in the Talking Book of Hungarian Dialects in Slovakia = A nyelvjárási adatközlő nyelvi konstruálása. Esettanulmány a Szlovákiai magyar nyelvjárási hangoskönyv szövegeiből / Tolcsvai Nagy, Gábor [Autor, UKFFSSUML, 50%] ; Presinszky, Károly [Autor, UKFFSSUML, 50%]. – text. – [angličtina]. – [OV 020]. – [ŠO 7320]. – [článok]. – [recenzované]. – DOI 10.18349/MagyarNyelv.2021.4.485. – SCO In: Magyar nyelv [textový dokument (print)] [elektronický dokument] : közérdekű havi folyóirat a művelt közönség számára. – Budapešť (Maďarsko) : Magyar Nyelvtudományi Társaságot. – ISSN 0025-0228. – ISSN (online) 1588-1210. – Roč. 117, č. 4 (2021), s. 485-501 [tlačená forma] [online] . – CiteScore: 0,2 ; SJR: 0,184 ; SNIP: 0,775 Scimago - Linguistics and language - Q2 </t>
  </si>
  <si>
    <t xml:space="preserve">The consumption of meat within late medieval castles: a case study of Pustý hrad Castle in Zvolen (central Slovakia) = Konzumácia mäsa na hradoch vo vrcholnom stredoveku: prípadová štúdia z Pustého hradu vo Zvolene / Beljak Pažinová, Noémi [Autor, UKFFFAKAR, 40%] ; Šimunková, Katarína [Autor, UKFFFAKAR, 50%] ; Beljak, Ján [Autor, 10%]. – text. – [angličtina]. – [OV 030]. – [ŠO 7115]. – [článok]. – [recenzované]. – DOI 10.35686/AR.2022.4. – WOS CC ; SCO In: Archeologické rozhledy [textový dokument (print)] . – Praha (Česko) : Akademie věd České republiky. Archeologický ústav AV ČR. – ISSN 0323-1267. – Roč. 74, č. 1 (2022), s. 110-133 [tlačená forma] </t>
  </si>
  <si>
    <t xml:space="preserve">The Contexts of Hyperconsumerist  Culture and Social Media  Platforms / Moravčíková, Erika [Autor, UKFFFAKKU, 100%]. – text. – [angličtina]. – [OV 020]. – [ŠO 8110]. – [článok]. – [recenzované]. – WOS CC In: Media Literacy and Academic Research [textový dokument (print)] [elektronický dokument] . – Trnava (Slovensko) : Univerzita sv. Cyrila a Metoda v Trnave. Fakulta masmediálnej komunikácie. – ISSN 2585-8726. – ISSN (online) 2585-9188. – Roč. 5, č. 1 (2022), s. 141-160 [tlačená forma] [online] </t>
  </si>
  <si>
    <t xml:space="preserve">The crisis of society as a crisis of the cult. On the quest for remedy / Smolík, Pavol [Autor, UKFPFAKHU, 50%] ; Sondorová, Dominika [Autor, UKFPFAKHU, 50%]. – text. – [angličtina]. – [OV 010]. – [ŠO 7605]. – [článok]. – [recenzované]. – WOS CC In: AD ALTA [textový dokument (print)] [elektronický dokument] : journal of interdisciplinary research = recenzovaný mezioborový vědecký časopis. – Hradec Králové (Česko) : Magnanimitas akademické sdružení. – ISSN 1804-7890. – ISSN (online) 2464-6733. – Roč. 11, č. 2 (2021), s. 267-271 [tlačená forma] [online] . – AIS: 0.028 AIS - Multidisciplinary sciences - Q4 </t>
  </si>
  <si>
    <t xml:space="preserve">The Cryopreserved Sperm Traits of Various Ram Breeds: Towards Biodiversity Conservation / Vozaf, Jakub [Autor, SPUFBP31, 10%] ; Svoradová, Andrea [Autor, UKFFPVKZA, 10%] ; Baláži, Andrej [Autor, 10%] ; Vašíček, Jaromír [Autor, SPUFBP31, 10%] ; Olexíková, Lucia [Autor, 10%] ; Dujíčková, Linda [Autor, UKFFPVKBG, 10%] ; Makarevich, Alexander V. [Autor, 10%] ; Jurčík, Rastislav [Autor, 10%] ; Ďúranová, Hana [Autor, SPUPRA15, 10%] ; Chrenek, Peter [Autor, SPUFBP31, 10%]. – text. – [angličtina]. – [OV 130, 190, 120]. – [ŠO 1536, 2908]. – [článok]. – [recenzované]. – DOI 10.3390/ani12101311. – WOS CC ; SCO ; CCC In: Animals [elektronický dokument] : an Open Access Journal from MDPI. – Bazilej (Švajčiarsko) : Molecular Diversity Preservation International. – ISSN (online) 2076-2615. – Roč. 12, č. 10 (2022), art. no. 1311, s. 1-13 [online] </t>
  </si>
  <si>
    <t xml:space="preserve">The current parental role in the reflection of changes in family life / Mendelová, Eleonóra [Autor, UKFPFAKPE, 50%] ; Zelená, Hana [Autor, UKFPFAKPE, 50%]. – text. – [angličtina]. – [OV 010]. – [ŠO 7605]. – [článok]. – [recenzované]. – DOI 10.17165/TP.2021.3-4.5 In: Képzés és gyakorlat [textový dokument (print)] : neveléstudományi folyóirat. – Kaposvár (Maďarsko) : Kaposvári Egyetem. Pedagógiai kar, Šopron (Maďarsko) : Soproni Egyetem. Benedek Elek Pedagógiai Kar. – ISSN 1589-519X. – ISSN (online) 2064-4027. – Roč. 19, č. 3-4 (2022), s. 54-63 [tlačená forma] </t>
  </si>
  <si>
    <t xml:space="preserve">The determinants of cooperation and interaction between teacher and parents of beginning pupils / Teleková, Radka [Autor, UKFPFAKPE, 50%] ; Marcineková, Tatiana [Autor, UKFPFAKPE, 50%]. – text. – [angličtina]. – [OV 010]. – [ŠO 7605]. – [článok]. – [recenzované]. – DOI 10.18355/PG.2022.11.2.7 In: Slavonic Pedagogical Studies Journal [textový dokument (print)] [elektronický dokument] : the Scientific Educational Journal . – Nitra (Slovensko) : Slovenská Vzdelávacia a Obstarávacia. – ISSN 1339-8660. – ISSN (online) 1339-9055. – Roč. 11, č. 2 (2022), s. 253-262 [tlačená forma] [online] . – Nordic List: 1 </t>
  </si>
  <si>
    <t xml:space="preserve">The Development of the Slovak Agricultural Landscape in a Changing World / Izakovičová, Zita [Autor, 34%] ; Špulerová, Jana [Autor, 33%] ; Raniak, Andrej [Autor, UKFFPVKEE, 33%]. – text. – [angličtina]. – [OV 100]. – [ŠO 1610]. – [článok]. – [recenzované]. – DOI 10.3389/fsufs.2022.862451. – WOS CC ; SCO ; CCC In: Frontiers in Sustainable Food Systems [elektronický dokument] . – Lausanne (Švajčiarsko) : Frontiers Media. – ISSN 2571-581X. – Roč. 6 (2022), s. 1-16 [online] </t>
  </si>
  <si>
    <t xml:space="preserve">The education of pre-service chemistry teachers, the content of innovation, methods and forms during COVID-19 / Feszterová, Melánia [Autor, UKFFPVKCH, 100%]. – text. – [angličtina]. – [OV 010]. – [ŠO 7605]. – [článok]. – [recenzované]. – DOI 10.53349/resource.2022.iS24.a1104 In: R&amp;E-Source [elektronický dokument] . – Baden (Rakúsko) : Pädagogische Hochschule NÖ. – ISSN (online) 2313-1640. – suppl. Factory of Engineering Pedagogy - FEP, č. 24 (2022), s. 1-8 [online] </t>
  </si>
  <si>
    <t xml:space="preserve">The effect of Luteolin on DNA damage mediated by a copper catalyzed Fenton reaction / Jomová, Klaudia [Autor, UKFFPVKCH, 25%] ; Hudecová, Lenka [Autor, UKFFPVKCH, 25%] ; Lauro, Peter [Autor, UKFFPVKCH, 5%] ; Šimunková, Miriama [Autor, 12%] ; Barbieriková, Zuzana [Autor, 7%] ; Malček, Michal [Autor, 3%] ; Alwasel, Saleh Hamad Amad [Autor, 1%] ; Alhazza, Ibrahim M. [Autor, 1%] ; Rhodes, Christopher J. [Autor, 1%] ; Valko, Marián [Autor, 20%]. – text. – [angličtina]. – [OV 120]. – [ŠO 1420]. – [článok]. – [recenzované]. – DOI 10.1016/j.jinorgbio.2021.111635. – WOS CC ; SCO ; CCC In: Journal of Inorganic Biochemistry [textový dokument (print)] [elektronický dokument] . – New York (USA) : Elsevier. – ISSN 0162-0134. – ISSN (online) 1873-3344. – č. 226 (2022), art. no. 111635, s. [1-15] [tlačená forma] </t>
  </si>
  <si>
    <t xml:space="preserve">The enrichment of knowledge about the microstructure of brown bear compact bone tissue / Babosová, Ramona [Autor, UKFFPVKZA, 30%] ; Zedda, Marco [Autor, 30%] ; Belica, Adela [Autor, 10%] ; Golej, Marián [Autor, 10%] ; Chovancová, Gabriela [Autor, 5%] ; Kalaš, Michal [Autor, 5%] ; Vondráková, Mária [Autor, UKFFPVKZA, 10%]. – text. – [angličtina]. – [OV 130]. – [ŠO 1536]. – [článok]. – [recenzované]. – DOI 10.1080/24750263.2022.2068682. – WOS CC ; SCO ; CCC In: The European Zoological Journal [textový dokument (print)] [elektronický dokument] . – Abingdon (Veľká Británia) : Taylor &amp; Francis Group. – ISSN 2475-0255. – ISSN (online) 2475-0263. – Roč. 89, č. 1 (2022), s. 615-624 [online] [tlačená forma] </t>
  </si>
  <si>
    <t xml:space="preserve">The Impact and Evaluation of the COVID-19 Pandemic on the Teaching of Biology from the Perspective of Slovak School Teachers / Babosová, Ramona [Autor, UKFFPVKZA, 20%] ; Bartková, Alexandra [Autor, UKFFPVKBG, 20%] ; Langraf, Vladimír [Autor, UKFFPVKEE, 20%] ; Vondráková, Mária [Autor, UKFFPVKZA, 20%] ; Sandanusová, Anna [Autor, UKFFPVKZA, 20%]. – text. – [angličtina]. – [OV 010]. – [ŠO 1536]. – [článok]. – [recenzované]. – DOI 10.3390/educsci12050292. – WOS CC ; SCO In: Education sciences [elektronický dokument] . – Bazilej (Švajčiarsko) : Multidisciplinary Digital Publishing Institute. – ISSN (online) 2227-7102. – Roč. 12, č. 5 (2022), s. 1-12 [online] </t>
  </si>
  <si>
    <t xml:space="preserve">The impact of cadmium exposure on cell parameters, expression of specific genes and mineralization in cultivated human osteoblasts / Omelka, Radoslav [Autor, UKFFPVKBG, 16.667%] ; Lukáčová, Martina [Autor, UKFFPVKBG, 16.667%] ; Mondočková, Vladimíra [Autor, UKFFPVKBG, 16.666%] ; Kováčová, Veronika [Autor, UKFFPVKZA, 16.667%] ; Grosskopf, Birgit [Autor, 16.666%] ; Martiniaková, Monika [Autor, UKFFPVKZA, 16.667%]. – [angličtina]. – [OV 130]. – [ŠO 1536]. – [článok]. – [recenzované]. – DOI 10.26262/jbrt.v29i0.8674. – WOS CC ; SCO In: Journal of Biological Research-Thessaloniki. – Londýn (Veľká Británia) : Springer Nature. BioMed Central. – ISSN 2241-5793. – Roč. 29 (2022), s. 1-12 </t>
  </si>
  <si>
    <t xml:space="preserve">The impact of emotionally competent stimuli on language lexis retention / Kráľová, Zdena [Autor, UKFPFAKLI, 45%] ; Kamenická, Jana [Autor, UKFPFAKLI, 45%] ; Tirpáková, Anna [Autor, UKFFPVKMA, 10%]. – text. – [angličtina]. – [OV 010]. – [ŠO 7605]. – [článok]. – [recenzované]. – DOI 10.18355/XL.2022.15.03.05 In: XLinguae [textový dokument (print)] [elektronický dokument] : European scientific language journal. – Nitra (Slovensko) : Vzdelávanie Don Bosca, Nitra (Slovensko) : Slovenská Vzdelávacia a Obstarávacia. – ISSN 1337-8384. – ISSN (online) 2453-711X. – Roč. 15, č. 3 (2022), s. 51-60 [tlačená forma] [online] </t>
  </si>
  <si>
    <t xml:space="preserve">The Impact of Government Social Policy on the Roma Community in Czecho-Slovakia from 1948 to the Present with Comparison of Contemporary Research about Social Pathology / Kwadrans, Lukasz [Autor, 20%] ; Lužica, René [Autor, UKFFSVURS, 40%] ; Rác, Ivan [Autor, UKFFSVURS, 40%]. – text. – [angličtina]. – [OV 060]. – [ŠO 7761]. – [článok]. – [recenzované] In: Kultura i edukacja [textový dokument (print)] [elektronický dokument] . – Toruń (Poľsko) : Wydawnictwo Adam Marszalek. – ISSN 1230-266X. – Roč. 136, č. 2 (2022), s. 162-180 [tlačená forma] [online] </t>
  </si>
  <si>
    <t xml:space="preserve">The impact of military training-related disturbances in Záhorie Military Training Area (Western Slovakia) on the Dragonflies diversity / Šiblová, Zuzana [Autor, UKFFPVKEE, 50%] ; Lehotská, Blanka [Autor, UKOPREEM, 30%] ; Moyzesová, Milena [Autor, 20%]. – text, graf., tab., obr. – [angličtina]. – [OV 100]. – [ŠO 1610]. – [článok]. – [recenzované]. – SIGN-UKO PR 936/21. – SCO In: Studia Universitatis „Vasile Goldis” [textový dokument (print)] [elektronický dokument] : Seria Stiintele Vietii = Life Sciences Series. – Arad (Rumunsko) : Vasile Goldis University Press. – ISSN 1584-2363. – ISSN (online) 1842-7863. – Roč. 31, č. 3 (2021), s. 129-136 [tlačená forma] [online] . – CiteScore: 0,4 ; SJR: 0,11 ; SNIP: 0,248 Scimago - Agricultural and biological sciences (miscellaneous) - Q4, Biochemistry, genetics and molecular biology (miscellaneous) - Q4, Environmental science (miscellaneous) - Q4, Medicine (miscellaneous) - Q4 </t>
  </si>
  <si>
    <t xml:space="preserve">The Impact of Modern Technologies on Life in a Pandemic Situation / Budayová, Zuzana [Autor, Teologický inštitút KU, 70%] ; Pavlíková, Martina [Autor, UKFFFAKZU, 25%] ; Al-Adwan, Ahmad Samed [Autor, 3%] ; Klasnja, Kristina [Autor, 2%]. – text. – [angličtina]. – [OV 010]. – [ŠO 7605]. – [článok]. – [recenzované]. – WOS CC In: Journal of education culture and society [elektronický dokument] . – Vroclav (Poľsko) : Fundacja Pro Scientia Publica. – ISSN 2081-1640. – Roč. 13, č. 1 (2022), s. 213-224 [online] </t>
  </si>
  <si>
    <t xml:space="preserve">The Impact Of Training On Cognitive And Interpreting Performance In The Short And Medium Term / Ukušová, Jana [Autor, UKFFFAKTR, 50%] ; Hodáková, Soňa [Autor, UKFFFAKTR, 50%]. – text. – [angličtina]. – [OV 020]. – [ŠO 7320]. – [článok]. – [recenzované] In: Traduction et Langues [elektronický dokument] . – Alžír (Alžírsko) : Université Oran 2 Mohamed Ben Ahmed Oran. – ISSN 2600-6235. – Roč. 20, č. 2 (2021), s. 23-47 [online] </t>
  </si>
  <si>
    <t xml:space="preserve">The impacts of urbanisation on landscape and environment: The case of Slovakia / Izakovičová, Zita [Autor, UKFFPVKEE, 34%] ; Petrovič, František [Autor, UKFFPVKEE, 33%] ; Pauditšová, Eva [Autor, UKOPREEM, 33%]. – text, graf., obr. – [angličtina]. – [OV 100]. – [ŠO 1610]. – [článok]. – [recenzované]. – DOI 10.3390/su14010060. – SIGN-UKO PR 12/22. – WOS CC ; SCO ; CCC In: Sustainability [elektronický dokument] . – Bazilej (Švajčiarsko) : Multidisciplinary Digital Publishing Institute. – ISSN (online) 2071-1050. – Roč. 14, č. 1 (2022), art. no. 60, s. [1-18] [online] </t>
  </si>
  <si>
    <t xml:space="preserve">The implementation of critical thinking development strategies into technology education: The evidence from Slovakia / Brečka, Peter [Autor, UKFPFAKTT, 34%] ; Valentová, Monika [Autor, UKFPFAKTT, 33%] ; Lančarič, Drahoslav [Autor, 33%]. – text. – [angličtina]. – [OV 010, 060]. – [ŠO 7605]. – [článok]. – [recenzované]. – DOI 10.1016/j.tate.2021.103555. – WOS CC ; SCO ; CCC In: Teaching and teacher education [textový dokument (print)] . – Oxford (Veľká Británia) : Pergamon-Elsevier Science. – ISSN 0742-051X. – ISSN (online) 1879-2480. – Roč. 109, č. Január (2022), art. no. 103555, s. 1-16 [tlačená forma] [online] </t>
  </si>
  <si>
    <t xml:space="preserve">The importance of social and spiritual bridging in relation to post-covid society polarization in Slovakia / Judák, Viliam [Autor, UKORKFH, 30%] ; Akimjak, Amantius [Autor, Teologický inštitút KU, 30%] ; Zimny, Jan [Autor, 3%] ; Kurilenko, V. B. [Autor, 2%] ; Tvrdoň, Miroslav [Autor, UKFFSVKSP, 35%]. – [angličtina]. – [OV 060]. – [ŠO 6115]. – [článok]. – [recenzované]. – SIGN-UKO RK 18/22. – WOS CC In: Acta Missiologica [textový dokument (print)] [elektronický dokument] : akademický časopis Inštitútu misijnej práce a Tropického zdravotníctva Jána Pavla II., VŠ ZSP Svätej Alžbety. – Bratislava (Slovensko) : Vysoká škola zdravotníctva a sociálnej práce sv. Alžbety v Bratislave. – ISSN 1337-7515. – ISSN (online) 2453-7160. – ISSN (chybné) 1333-0023. – Roč. 16, č. 1 (2022), s. 126-137 [tlačená forma] [online] </t>
  </si>
  <si>
    <t xml:space="preserve">The influence of age factor and sports specialization on the level of agility in sports games / Horička, Pavol [Autor, UKFPFAKTV, 100%]. – text, graf., tab. – [angličtina]. – [OV 210]. – [ŠO 7418]. – [článok]. – [recenzované]. – DOI 10.24193/subbeag.66(4).29. – SIGN-UKO TV EXTV In: Studia Universitatis Babes-Bolyai. Educatio Artis Gymnasticae [textový dokument (print)] [elektronický dokument] . – Kluž (Rumunsko) : Presa Universitara Clujeana. – ISSN 1453-4223. – ISSN (online) 2065-9547. – Roč. 66, č. 4 (2021), s. 5-15 [tlačená forma] [online] </t>
  </si>
  <si>
    <t xml:space="preserve">The influence of tool path strategies for 3- and 5-axis milling on the accuracy and roughness of shaped surfaces / Ižol, Peter [Autor, 103204, 20%] ; Grešová, Zuzana [Autor, 103204, 20%] ; Vrabeľ, Marek [Autor, UKFFPVKIN, 20%] ; Brindza, Jozef [Autor, 103002, 20%] ; Demko, Michal [Autor, 103201, 20%]. – text. – [angličtina]. – [OV 140, 160]. – [ŠO 2381, 2508]. – [článok]. – [recenzované]. – SIGN-TUKE 304641 In: Machines, Technologies, Materials [textový dokument (print)] . – Sofia (Bulharsko) : Scientific Technical Union of Mechanical Engineering. – ISSN 1313-0226. – ISSN (online) 1314-507X. – Roč. 16, č. 7 (2022), s. 234-237 [tlačená forma] </t>
  </si>
  <si>
    <t xml:space="preserve">The Influence of Traditional and Immobilized Yeast on the Amino-Acid Content of Sparkling Wine / Prokes, Kamil [Autor, 16%] ; Baron, Mojmir [Autor, 14%] ; Mlcek, Jiri [Autor, 14%] ; Juríková, Tünde [Autor, UKFFSSUVP, 14%] ; Adamkova, Anna [Autor, 14%] ; Ercisli, Sezai [Autor, 14%] ; Sochor, Jiri [Autor, 14%]. – text. – [angličtina]. – [OV 010, 130]. – [ŠO 7605]. – [článok]. – [recenzované]. – DOI 10.3390/fermentation8010036. – WOS CC ; SCO ; CCC In: Fermentation [elektronický dokument] . – Bazilej (Švajčiarsko) : Multidisciplinary Digital Publishing Institute. – ISSN (online) 2311-5637. – Roč. 8, č. 1 (2022), s. 1-14 [online] </t>
  </si>
  <si>
    <t xml:space="preserve">The Joint Effect of Perceived Psychosocial Stress and Phthalate Exposure on Hormonal Concentrations during the Early Stage of Pregnancy: A Cross-Sectional Study / Hlisníková, Henrieta [Autor, UKFFPVKZA, 20%] ; Nagyová, Miroslava [Autor, UKFFPVKZA, 16%] ; Kolena, Branislav [Autor, UKFFPVKZA, 16%] ; Mlynček, Miloš [Autor, UKFFSVKOS, 16%] ; Trnovec, Tomáš [Autor, SZUFVZ, 16%] ; Petrovičová, Ida [Autor, UKFFPVKZA, 16%]. – text. – [angličtina]. – [OV 180]. – [ŠO 5602]. – [článok]. – [recenzované]. – DOI 10.3390/children9101561. – WOS CC ; SCO In: Children [elektronický dokument] . – Basel (Švajčiarsko) : Multidisciplinary Digital Publishing Institute. – ISSN (online) 2227-9067. – Roč. 9, č. 10 (2022), s. 1-13 [online] </t>
  </si>
  <si>
    <t xml:space="preserve">The level of body posture, the flexibility of backbone and flat feet in competition fitness in 8-11year old girls / Veis, Alexandra [Autor, UKFPFAKTV, 40%] ; Kanásová, Janka [Autor, UKFPFAKTV, 30%] ; Halmová, Nora [Autor, UKFPFAKTV, 30%]. – text. – [angličtina]. – [OV 210]. – [ŠO 7418]. – [článok]. – [recenzované]. – DOI 10.23829/TSS.2022.29.1-1. – SCO In: Trends in sport sciences [elektronický dokument] [textový dokument (print)] . – Poznaň (Poľsko) : Akademia Wychowania Fizycznego w Poznaniu. – ISSN 2299-9590. – ISSN (online) 2391-436X. – Roč. 29, č. 1 (2022), s. 5-11 [tlačená forma] [online] </t>
  </si>
  <si>
    <t xml:space="preserve">The Medieval Spear-, Lance or Javelin Heads from the National Museum of Romanian History (Bucharest) and Their Assessment / Husár, Martin [Autor, UKFFFAUKD, 50%] ; Oţa, Silviu Ion [Autor, 50%]. – text. – [angličtina]. – [OV 030]. – [ŠO 7115]. – [článok]. – [recenzované]. – DOI 10.46535/ca.29.1.17. – SCO In: Cercetari Arheologice [textový dokument (print)] . – Bukurešť (Rumunsko) : National Museum of Romanian History. – ISSN 0255-6812. – Roč. 29, č. 1 (2022), s. 335-364 [tlačená forma] </t>
  </si>
  <si>
    <t xml:space="preserve">The Menzerath-Altmann law as the relation between lengths of words and morphemes in Czech / Pelegrinová, Kateřina [Autor, 34%] ; Mačutek, Ján [Autor, UKFFPVKMA, 33%] ; Cech, Radek [Autor, 33%]. – text. – [angličtina]. – [OV 240]. – [ŠO 1113]. – [článok]. – [recenzované]. – DOI 10.2478/jazcas-2021-0037. – SCO In: Jazykovedný časopis [elektronický dokument] [textový dokument (print)] : vedecký časopis pre otázky teórie jazyka = scientific journal for the theory of language. – Bratislava (Slovensko) : SAP - Slovak Academic Press, Varšava (Poľsko) : De Gruyter. – ISSN 0021-5597. – ISSN (online) 1338-4287. – Roč. 72, č. 2 (2021), 405-414 [online] [tlačená forma] . – CiteScore: 0,3 ; SJR: 0,191 ; SNIP: 0,923 Scimago - Linguistics and language - Q2 </t>
  </si>
  <si>
    <t xml:space="preserve">The need to implement the educational process of seniors with health disadvantages living in residential conditions / Kováčová, Andrea [Autor, UKFPFAKPE, 100%]. – text. – [angličtina]. – [OV 010]. – [ŠO 7605]. – [článok]. – [recenzované] In: Journal Socioterapie [elektronický dokument] : vedecký časopis Inštitútu edukológie a sociálnej práce. – Prešov (Slovensko) : Prešovská univerzita v Prešove. Filozofická fakulta. Inštitút edukológie a sociálnej práce. – ISSN 2453-7543. – Roč. 7, č. 2 (2021), s. 27-34 [online] </t>
  </si>
  <si>
    <t xml:space="preserve">The Obodrites and the Lutici in contemporary Polish and Czech academic literature / Krafl, Pavel Otmar [Autor, UKFFFAKAR, 100%]. – text. – [angličtina]. – [OV 030]. – [ŠO 7115]. – [článok]. – [recenzované] In: Slavjanskij almanach [elektronický dokument] [textový dokument (print)] . – Moskva (Ruská federácia) : Indrik. – ISSN 2073-5731. – č. 3-4 (2021), s. 462-474 [online] [tlačená forma] </t>
  </si>
  <si>
    <t xml:space="preserve">The Origins of Chimaeras : Mobilising the boundaries of species in a contemporary weird fiction novel: Anita Moskát`s Irha és bőr / Nagy, Péter [Autor, UJSPFKMJ, 50%] ; Hegedüs, Orsolya [Autor, UKFFSSUVP, 50%]. – [maďarčina]. – [OV 020]. – [ŠO 7320, 7605]. – [článok]. – [recenzované]. – DOI 10.36007/eruedu.2022.1.091-097 In: Eruditio - Educatio [textový dokument (print)] : vedecký časopis Pedagogickej fakulty Univerzity J. Selyeho v Komárne = A Selye János Egyetem Tanárképző Kara tudományos folyóirata = Research Journal of the Faculty of education of J. Selye university. – Komárno (Slovensko) : Univerzita J. Selyeho. Pedagogická fakulta. – ISSN 1336-8893. – Roč. 17, č. 1 (2022), s. 91-97 [tlačená forma] </t>
  </si>
  <si>
    <t xml:space="preserve">The Phenomenon of Social and Pastoral Service in Eastern Slovakia and Northwestern Czech Republic during the COVID-19 Pandemic : Comparison of Two Selected Units of Former Czechoslovakia in the Context of the Perspective of Positive Solutions / Maturkanič, Patrik [Autor, 25%] ; Tomanová Čergeťová, Ivana [Autor, 15%] ; Králik, Roman [Autor, Teologický inštitút KU, 10%] ; Hlad, Ľubomír [Autor, UKFFFAKNS, 15%] ; Roubalová, Marie [Autor, 4%] ; Martín, José García [Autor, 1%] ; Judák, Viliam [Autor, UKORKFH, 10%] ; Akimjak, Amantius [Autor, Teologický inštitút KU, 10%] ; Petrikovičová, Lucia [Autor, UKFFPVKGR, 10%]. – text. – [angličtina]. – [OV 092]. – [ŠO 1217]. – [článok]. – [recenzované]. – DOI 10.3390/ijerph19042480. – SIGN-UKO RK 20/22. – WOS CC ; SCO ; CCC In: International journal of environmental research and public health [elektronický dokument] [textový dokument (print)] : open access journal. – Basel (Švajčiarsko) : Multidisciplinary Digital Publishing Institute. – ISSN 1661-7827. – ISSN (online) 1660-4601. – Roč. 19, č. 4 (2022), s. 1-16 [online] [tlačená forma] </t>
  </si>
  <si>
    <t xml:space="preserve">The Prediction of Distribution of the Invasive Fallopia Taxa in Slovakia / Gašparovičová, Petra [Autor, UKFFPVKEE, 33%] ; Ševčík, Michal [Autor, UKFFPVKEE, 33%] ; David, Stanislav [Autor, UKFFPVKEE, 34%]. – text. – [angličtina]. – [OV 100]. – [ŠO 1610]. – [článok]. – [recenzované]. – DOI 10.3390/plants11111484. – WOS CC ; SCO ; CCC In: Plants-Basel [elektronický dokument] . – Bazilej (Švajčiarsko) : Multidisciplinary Digital Publishing Institute. – ISSN (online) 2223-7747. – Roč. 11, č. 11 (2022), s. 1-16 [online] </t>
  </si>
  <si>
    <t xml:space="preserve">The Primary Results of the last Hungarian Identity Survey in Slovakia / Mészárosová, Zuzana [Autor, UKFFFAKPO, 100%] ; Izsófová, Beáta [Prekladateľ, UKFFFAKPO, 100%]. – text. – [angličtina]. – [OV 060]. – [ŠO 6718]. – [článok]. – [recenzované] In: Fórum Társadalomtudományi Szemle [textový dokument (print)] . – Šamorín (Slovensko) : Fórum inštitút pre výskum menšín. – ISSN 1335-4361. – Roč. 23, č. 5 (2021), s. 37-61 [tlačená forma] </t>
  </si>
  <si>
    <t xml:space="preserve">The problem of objectivity in the Social Sciences: an introduction = El problema de la objetividad en las Ciencias Sociales: una introducción / Martín, José García [Autor, 15%] ; Králik, Roman [Autor, 15%] ; Tvrdoň, Miroslav [Autor, UKFFSVKSP, 25%] ; Jenisová, Zita [Autor, UKFFPVKCH, 20%] ; Pekarčík, Ľubomír [Autor, KURPEKP, 25%]. – text. – [angličtina]. – [OV 060]. – [ŠO 7701, 7761]. – [článok]. – [recenzované]. – DOI 10.18355/XL.2022.15.01.13. – SCO In: XLinguae [textový dokument (print)] [elektronický dokument] : European scientific language journal. – Nitra (Slovensko) : Vzdelávanie Don Bosca, Nitra (Slovensko) : Slovenská Vzdelávacia a Obstarávacia. – ISSN 1337-8384. – ISSN (online) 2453-711X. – Roč. 15, č. 1 (2022), s. 125-135 [tlačená forma] [online] </t>
  </si>
  <si>
    <t xml:space="preserve">The Quality of Life among University of the Third Age Students in Poland, Ukraine and Belarus / Kobylarek, Aleksander [Autor, 15%] ; Błaszczyński, Kamil [Autor, 2%] ; Ślósarz, Luba [Autor, 1%] ; Madej, Martyna [Autor, 1%] ; Carmo, Antonio [Autor, 1%] ; Hlad, Ľubomír [Autor, UKFFFAKNS, 20%] ; Králik, Roman [Autor, Teologický inštitút KU, 8%] ; Akimjak, Amantius [Autor, Teologický inštitút KU, 10%] ; Judák, Viliam [Autor, 10%] ; Maturkanič, Patrik [Autor, 10%] ; Biryukova, Yulia [Autor, 1%] ; Tokárová, Barbora [Autor, UKFFPVKCH, 5%] ; Garcia, Chosé Martin [Autor, 1%] ; Petrikovičová, Lucia [Korešpondenčný autor, UKFFPVKGR, 15%]. – text. – [angličtina]. – [OV 092]. – [ŠO 1217]. – [článok]. – [recenzované]. – DOI 10.3390/su14042049. – SIGN-UKO RK 2/22. – WOS CC ; SCO ; CCC In: Sustainability [elektronický dokument] . – Bazilej (Švajčiarsko) : Multidisciplinary Digital Publishing Institute. – ISSN (online) 2071-1050. – Roč. 14, č. 4 (2022), s. 1-13 [online] </t>
  </si>
  <si>
    <t xml:space="preserve">The role of faith in a social struggle using the example of the pastoral letter of the Slovak bishops of November 1924 / Arpáš, Róbert [Autor, UKFFFAKHI, 100%]. – text. – [angličtina]. – [OV 030]. – [ŠO 7115]. – [článok]. – [recenzované]. – DOI 10.31577/histcaso.2019.67.5.3. – WOS CC ; CCC In: Historický časopis [textový dokument (print)] [elektronický dokument] : vedecký časopis o dejinách Slovenska a strednej Európy = an academic journal on the history of Slovakia and Central Europe. – Bratislava (Slovensko) : Slovenská akadémia vied. Pracoviská SAV. Historický ústav. – ISSN 0018-2575. – ISSN (online) 2585-9099. – Roč. 67, č. 5 (2019), s. 839-850 [tlačená forma] [online] . – SJR: 0,112 ; SNIP: 0,346 ; CiteScore: 0,1 Scimago - History - Q3 </t>
  </si>
  <si>
    <t xml:space="preserve">The Role of Macronutrients, Micronutrients and Flavonoid Polyphenols in the Prevention and Treatment of Osteoporosis / Martiniaková, Monika [Autor, UKFFPVKZA, 30%] ; Bábiková, Martina [Autor, UKFFPVKBG, 13%] ; Mondočková, Vladimíra [Autor, UKFFPVKBG, 9%] ; Blahová, Jana [Autor, UKFFPVKBG, 9%] ; Kováčová, Veronika [Autor, UKFFPVKZA, 9%] ; Omelka, Radoslav [Autor, UKFFPVKBG, 30%]. – text. – [angličtina]. – [OV 130]. – [ŠO 1536]. – [článok]. – [recenzované]. – DOI 10.3390/nu14030523. – WOS CC ; SCO In: Nutrients [elektronický dokument] . – Bazilej (Švajčiarsko) : Multidisciplinary Digital Publishing Institute. – ISSN (online) 2072-6643. – Roč. 14, č. 3 (2022), s. 1-14 [online] </t>
  </si>
  <si>
    <t xml:space="preserve">The Role of Scaffolding through Peer Collaborative Feedback in EFL Literature Students’ Oral Presentation of Short Stories / Khonamri, Fatemeh [Autor, 10%] ; Soleimani, Mahsa [Autor, 10%] ; Tkáčová, Hedviga [Autor, 45%] ; Jenisová, Zita [Autor, UKFFPVKCH, 35%]. – text. – [angličtina]. – [OV 010]. – [ŠO 7605]. – [článok]. – [recenzované]. – DOI 10.13187/ejced.2021.4.958. – WOS CC ; SCO In: European journal of contemporary education [elektronický dokument] . – Bratislava (Slovensko) : Academic Publishing House Researcher. – ISSN 2304-9650. – ISSN (online) 2305-6746. – Roč. 10, č. 4 (2021), s. 958-968 [online] . – CiteScore: 3,4 ; SJR: 0,619 ; SNIP: 1,042 ; AIS: 0.452 AIS - Education &amp; educational research - Q1 Scimago - Education - Q2 </t>
  </si>
  <si>
    <t xml:space="preserve">The Roma and their Christian Life a Pandemic Situation / Ďatelinka, Anton [Autor, 25%] ; Akimjaková, Beáta [Autor, Teologický inštitút KU, 25%] ; Mrosková, Lenka [Autor, UKFFFAKAE, 25%] ; Telezhko, Irina Vladilenovna [Autor, 25%]. – [angličtina]. – [OV 060, 020]. – [ŠO 6115, 6171]. – [článok]. – [recenzované]. – SIGN-UKO RK 42/22. – WOS CC In: Journal of education culture and society [elektronický dokument] . – Vroclav (Poľsko) : Fundacja Pro Scientia Publica. – ISSN 2081-1640. – Roč. 13, č. 2 (2022), s. 455-466 [online] </t>
  </si>
  <si>
    <t xml:space="preserve">The Roma and their Christian Life in a Pandemic Situation / Ďatelinka, Anton [Autor, UKORKKPT, 35%] ; Akimjaková, Beáta [Autor, Teologický inštitút KU, 30%] ; Mrosková, Lenka [Autor, UKFFFAKAE, 30%] ; Telezhko, Irina Vladilenovna [Autor, 5%]. – text. – [angličtina]. – [OV 020]. – [ŠO 6107]. – [článok]. – [recenzované]. – ESCI ; WOS CC In: Journal of education culture and society [elektronický dokument] . – Vroclav (Poľsko) : Fundacja Pro Scientia Publica. – ISSN 2081-1640. – Roč. 13, č. 2 (2022), s. 455-466 [online] </t>
  </si>
  <si>
    <t xml:space="preserve">The seals of medieval hungarian kingdom as means of communication in court practice and property protection / Glejtek, Miroslav [Autor, UKFFFAKHI, 100%]. – text. – [angličtina]. – [OV 030]. – [ŠO 7115]. – [článok]. – [recenzované]. – DOI 10.17846/CL.2022.15.1.11-23. – WOS CC ; SCO In: Konštantínove listy [textový dokument (print)] [elektronický dokument] . – Nitra (Slovensko) : Univerzita Konštantína Filozofa v Nitre. Filozofická fakulta. Ústav pre výskum kultúrneho dedičstva Konštantína a Metoda. – ISSN 1337-8740. – ISSN (online) 2453-7675. – Roč. 15, č. 1 (2022), s. 11-23 [tlačená forma] [online] </t>
  </si>
  <si>
    <t xml:space="preserve">The spatial structure of small mammals (Eulipotyphla, Rodentia) in ecological and conventional farming conditions / Langraf, Vladimír [Autor, UKFFPVKZA, 65%] ; Petrovičová, Kornélia [Autor, SPUFAP31, 30%] ; Schlarmannová, Janka [Autor, UKFFPVKZA, 4%] ; Brygadyrenko, Viktor [Autor, 1%]. – text. – [angličtina]. – [OV 130]. – [ŠO 1536]. – [článok]. – [recenzované]. – DOI 10.32819/021106 In: Agrology [textový dokument (print)] [elektronický dokument] . – Dnepropetrovsk (Ukrajina) : Dnipro State Agrarian and Economic University. – ISSN 2617-6106. – ISSN (online) 2617-6114. – Roč. 5, č. 2 (2022), s. 43-48 [tlačená forma] [online] </t>
  </si>
  <si>
    <t xml:space="preserve">The Specifics of Roman Berger ́s Compositional Language / Štrbák, Marek [Autor, UKFPFAKHU, 100%]. – text. – [angličtina]. – [OV 010]. – [ŠO 7605]. – [článok]. – [recenzované]. – WOS CC In: AD ALTA [textový dokument (print)] [elektronický dokument] : journal of interdisciplinary research = recenzovaný mezioborový vědecký časopis. – Hradec Králové (Česko) : Magnanimitas akademické sdružení. – ISSN 1804-7890. – ISSN (online) 2464-6733. – Roč. 11, č. 2 (2021), s. 272-274 [tlačená forma] [online] . – AIS: 0.028 AIS - Multidisciplinary sciences - Q4 </t>
  </si>
  <si>
    <t xml:space="preserve">The specifics of the evaluative metaphor in english (Based on the texts of art discourse) / Shorabek, Adilkhan [Autor, 24%] ; Pazilova, Bakiza [Autor, 6%] ; Manapova, Gulzhan [Autor, 10%] ; Tolysbayeva, Zhanna [Autor, 10%] ; Mansurov, Nurlan, Mansurov [Autor, 10%] ; Králik, Roman [Autor, UKFFFAKAE 06.2022, 40%]. – text. – [angličtina]. – [OV 020]. – [ŠO 7320]. – [článok]. – [recenzované]. – DOI 10.18355/XL.2021.14.02.18. – SCO In: XLinguae [textový dokument (print)] [elektronický dokument] : European scientific language journal. – Nitra (Slovensko) : Vzdelávanie Don Bosca, Nitra (Slovensko) : Slovenská Vzdelávacia a Obstarávacia. – ISSN 1337-8384. – ISSN (online) 2453-711X. – Roč. 14, č. 2 (2021), s. 245-254 [tlačená forma] [online] . – CiteScore: 2,5 ; SJR: 0,306 ; SNIP: 0,717 Scimago - Linguistics and language - Q2, Philosophy - Q1 </t>
  </si>
  <si>
    <t xml:space="preserve">The status of the church and ecclesiastical law in the Czech lands during the middle ages / Krafl, Pavel Otmar [Autor, UKFFFAKHI, 100%]. – text. – [angličtina]. – [OV 030]. – [ŠO 7115]. – [článok]. – [recenzované]. – DOI 10.7868/S0131878021040024. – SCO In: Srednije veka [textový dokument (print)] : issledovanija po istorii Srednevekov'ja i rannego Novogo vremeni = Studies on Medieval and Early Modern History. – Petrohrad (Ruská federácia) : Izdatel'stvo "Nauka" Leningradskoe otdelenie. – ISSN 0131-8780. – ISSN (zrušené) 0302-6019. – Roč. 82, č. 4 (2021), s. 28-46 [tlačená forma] </t>
  </si>
  <si>
    <t xml:space="preserve">The women of N. K. Jemisin: Representations of women and gender roles in the science-fantasy the Fifth Season / György, Erik [Autor, UKFFFAKAA, 100%]. – text. – [angličtina]. – [OV 020]. – [ŠO 7320]. – [článok]. – [recenzované]. – DOI 10.2478/aa-2021-0011. – SCO In: Ars aeterna [textový dokument (print)] [elektronický dokument] : literary Studies and Humanity. – ISSN 1337-9291. – ISSN (online) 2450-8497. – Roč. 13, č. 2 (2021), s. 61-74 [tlačená forma] [online] . – CiteScore: 0,1 ; SJR: 0,108 ; SNIP: 0,103 Scimago - Cultural studies - Q3, Linguistics and language - Q4, Literature and literary theory - Q3 </t>
  </si>
  <si>
    <t xml:space="preserve">Theoretical and practical aspects of team teaching / Grofčíková, Soňa [Autor, UKFPFAKPE, 50%] ; Trníková, Jana [Autor, UKFPFAKPE, 50%]. – text. – [angličtina]. – [OV 010]. – [ŠO 7605]. – [článok]. – [recenzované]. – DOI 10.36534/erlj.2022.01.08 In: ERL Journal [elektronický dokument] . – Gdaňsk (Poľsko) : International Association for the Educational Role of Language. – ISSN 2657-9774. – Roč. 7, č. 1 (2022), s. 86-92 [online] </t>
  </si>
  <si>
    <t xml:space="preserve">Theoretical, Empirical and Legislative Determinants of Education of Education Managers in the Slovak Republic / Pisoňová, Mária [Autor, UKFPFAKPE, 50%] ; Pappová, Mária [Autor, UKFPFAKPE, 50%]. – text. – [angličtina]. – [OV 010]. – [ŠO 7605]. – [článok]. – [recenzované]. – DOI 10.54937/ssf.2022.21.2.114-125 In: Studia Scientifica Facultatis Paedagogicae [textový dokument (print)] [elektronický dokument] . – Ružomberok (Slovensko) : Katolícka univerzita v Ružomberku. VERBUM - vydavateľstvo KU. – ISSN 1336-2232. – Roč. 21, č. 2 (2022), s. 114-125 [tlačená forma] [online] </t>
  </si>
  <si>
    <t xml:space="preserve">Thermal Behavior of Ceramic Bodies Based on Estonian Clay from the Arumetsa Deposit with Oil Shale Ash and Clinker Dust Additives / Kaljuvee, Tiit [Autor, 12%] ; Štubňa, Igor [Autor, UKFFPVKFY, 11%] ; Húlan, Tomáš [Autor, UKFFPVKFY, 11%] ; Uibu, Mai [Autor, 11%] ; Einard, Marve [Autor, 11%] ; Traksmaa, Rainer [Autor, 11%] ; Viljus, Mart [Autor, 11%] ; Jefimova, Jekaterina [Autor, 11%] ; Trikkel, Andres [Autor, 11%]. – text. – [angličtina]. – [OV 091]. – [ŠO 1160]. – [článok]. – [recenzované]. – DOI 10.3390/pr10010046. – WOS CC ; SCO ; CCC In: Processes [elektronický dokument] . – Bazilej (Švajčiarsko) : Multidisciplinary Digital Publishing Institute. – ISSN (online) 2227-9717. – Roč. 10, č. 1 (2022), s. 1-21 [online] </t>
  </si>
  <si>
    <t xml:space="preserve">Thermal Properties of Illite-Zeolite Mixtures up to 1100 degrees C / Csáki, Štefan [Autor, UKFFPVKFY, 20%] ; Sunitrová, Ivana [Autor, UKFFPVKFY, 20%] ; Lukáč, František [Autor, 20%] ; Łagód, Grzegorz [Autor, 20%] ; Trník, Anton [Autor, UKFFPVKFY, 20%]. – text. – [angličtina]. – [OV 091]. – [ŠO 1160]. – [článok]. – [recenzované]. – DOI 10.3390/ma15093029. – WOS CC ; SCO ; CCC In: Materials [elektronický dokument] . – Bazilej (Švajčiarsko) : Multidisciplinary Digital Publishing Institute. – ISSN (online) 1996-1944. – Roč. 15, č. 9 (2022), s. 1-14 [online] </t>
  </si>
  <si>
    <t xml:space="preserve">Tieň blaženého kráľovstva : cesta na druhú stranu pohľadu / Pomarici, Cesare [Autor, 100%] ; Šavelová, Monika [Prekladateľ, UKFFFAKRO, 100%]. – text. – [slovenčina]. – [OV 020]. – [ŠO 7320]. – [článok]. – [recenzované] In: Studi italo-slovacchi [textový dokument (print)] . – Nitra (Slovensko) : Univerzita Konštantína Filozofa v Nitre. Filozofická fakulta, Bratislava (Slovensko) : Slovenská akadémia vied. – ISSN 1338-6778. – Roč. 10, č. 2 (2021), s. 144-187 [tlačená forma] </t>
  </si>
  <si>
    <t xml:space="preserve">Tissue-specific responses in soybean plants exposed to cadmium / Rozsival, Marcel [Autor, UKFFPVKBG, 10%] ; Lukácsová, Viktória [Autor, 10%] ; Muráňová, Kristína [Autor, 10%] ; Biro, Roman [Autor, 10%] ; Grmanová, Nikol [Autor, 10%] ; Mészáros, Patrik [Autor, UKFFPVKBG, 50%]. – text. – [angličtina]. – [OV 130]. – [ŠO 1536]. – [článok]. – [recenzované]. – DOI 10.55251/jmbfs.5614. – WOS CC ; SCO In: The journal of microbiology, biotechnology and food sciences [elektronický dokument] . – Nitra (Slovensko) : Slovenská poľnohospodárska univerzita v Nitre. Fakulta biotechnológie a potravinárstva. – ISSN (online) 1338-5178. – Roč. 11, č. 5 (2022), s. 1-9 [online] </t>
  </si>
  <si>
    <t xml:space="preserve">To do or not to do: EFL learners ́perception on and practice of homework assignment / Khonamri, Fatemeh [Autor, 10%] ; Arab, Nasibe [Autor, 10%] ; Majda, Peter [Autor, Teologický inštitút KU, 40%] ; Jenisová, Zita [Autor, UKFFPVKCH, 40%]. – [angličtina]. – [OV 020, 010]. – [ŠO 6171, 7605]. – [článok]. – [recenzované]. – WOS CC ; SCO In: European journal of contemporary education [elektronický dokument] . – Washington (USA) : Cherkas Global University Press. – ISSN 2304-9650. – ISSN (online) 2305-6746. – Roč. 11, č. 3 (2022), s. 791-806 [online] </t>
  </si>
  <si>
    <t xml:space="preserve">Tradičný odev a jeho prvky ako marketingový nástroj v kúpeľnom meste Piešťany na prelome 19. a 20. storočia / Mičicová, Katarína [Autor, UKFFFAKMK, 100%]. – text. – [slovenčina]. – [OV 020]. – [ŠO 8110]. – [článok]. – [recenzované] In: Kontexty kultúry a turizmu [textový dokument (print)] . – Nitra (Slovensko) : Univerzita Konštantína Filozofa v Nitre. Filozofická fakulta. – ISSN 1337-7760. – Roč. 14, č. 2 (2021), s. 47-68 [tlačená forma] </t>
  </si>
  <si>
    <t xml:space="preserve">Transformations of Cyrillo-Methodian Tradition in Contemporary Religiosity / Kondrla, Peter [Autor, UKFFFAUKD, 45%] ; Majda, Peter [Autor, Teologický inštitút KU, 25%] ; Králik, Roman [Autor, Teologický inštitút KU, 5%] ; Máhrik, Tibor [Autor, 25%]. – text. – [angličtina]. – [OV 010]. – [ŠO 7605]. – [článok]. – [recenzované]. – DOI 10.17846/CL.2022.15.2.149-159. – WOS CC ; SCO In: Konštantínove listy [textový dokument (print)] [elektronický dokument] . – Nitra (Slovensko) : Univerzita Konštantína Filozofa v Nitre. Filozofická fakulta. Ústav pre výskum kultúrneho dedičstva Konštantína a Metoda. – ISSN 1337-8740. – ISSN (online) 2453-7675. – Roč. 15, č. 2 (2022), s. 149-159 [tlačená forma] [online] </t>
  </si>
  <si>
    <t xml:space="preserve">Transzverzális kompetenciafejlesztés az idegenforgalomban virtuális gyakorlószálloda segítségével / Palenčíková, Zuzana [Autor, UKFFSSKCR, 50%] ; Beták, Norbert [Autor, UKFFSSKCR, 50%]. – text. – [maďarčina]. – [OV 080]. – [ŠO 6213]. – [článok]. – [recenzované] In: OxIPO [elektronický dokument] : e-folyóirat. – Debrecen (Maďarsko) : K+F Stúdió. – ISSN 2676-8771. – Roč. 3, č. 4 (2021), s. 63-83 [online] </t>
  </si>
  <si>
    <t xml:space="preserve">Tréningové zaťaženie determinujúce športovú výkonnosť v chôdzi na 50 km = Training loads determining sports performance in 50 km race walk / Broďáni, Jaroslav [Autor, UKFPFAKTV, 80%] ; Tóth, Matej [Autor, 15%] ; Pupiš, Martin [Autor, UMBFF09, 5%]. – text. – [slovenčina]. – [OV 210]. – [ŠO 7418]. – [článok]. – [recenzované] In: Česká kinantropologie [textový dokument (print)] : časopis České kinantropologické společnosti. – Praha (Česko) : Vědecká společnost kinantropologie, Praha (Česko) : Česká kinantropologická společnost. – ISSN 1211-9261. – Roč. 25, č. 3-4 (2021), s. 60-72 [tlačená forma] </t>
  </si>
  <si>
    <t xml:space="preserve">Tribulus terrestris can suppress the adverse effect of toluene on bovine and equine ovarian granulosa cells / Fabová, Zuzana [Autor, UKFFPVKZA, 20%] ; Tarko, Adam [Autor, UKFFPVKZA, 16%] ; Harrath, Abdel Halim [Autor, 16%] ; Alwasel, Saleh Hamad Amad [Autor, 16%] ; Kotwica, Jan [Autor, 16%] ; Sirotkin, Alexander [Autor, UKFFPVKZA, 16%]. – text. – [angličtina]. – [OV 130]. – [ŠO 1536]. – [článok]. – [recenzované]. – DOI 10.1111/rda.14204. – WOS CC ; SCO In: Reproduction in Domestic Animals [textový dokument (print)] [elektronický dokument] : Zuchthygiene. – Berlin (Nemecko) : Blackwell Verlag GmbH. – ISSN 0936-6768. – ISSN (online) 1439-0531. – Roč. 57, č. 7 (2022), s. 1-12 [tlačená forma] [online] </t>
  </si>
  <si>
    <t xml:space="preserve">Tvorba inovačných učebných materiálov pre žiakov 7. ročníka základnej školy zamerané na separáciu odpadov = Creation of Innovative Learning Materials for Pupils of the 7th Year of Primary School Focused on Waste Separation / Feszterová, Melánia [Autor, UKFFPVKCH, 100%]. – [slovenčina]. – [OV 010]. – [ŠO 7605]. – [článok]. – [recenzované] In: Technika a vzdelávanie [textový dokument (print)] [elektronický dokument] : časopis zameraný na technické vzdelávanie v základných, stredných i na vysokých školách, na oblasť základného a aplikovaného výskumu, aplikáciu informačných technológií vo výučbe odborných predmetov. – Banská Bystrica (Slovensko) : Univerzita Mateja Bela v Banskej Bystrici. Fakulta prírodných vied. – ISSN 1338-9742. – ISSN (online) 1339-9888. – Roč. 10, č. 1 (2021), s. 20-27 [tlačená forma] [online] </t>
  </si>
  <si>
    <t xml:space="preserve">Tvorba učebných pomôcok zameraných na rozvoj hudobnosti a ich uplatnenie v praxi / Sondorová, Dominika [Autor, UKFPFAKHU, 70%] ; Veseľková, Martina [Autor, 30%]. – text. – [slovenčina]. – [OV 010]. – [ŠO 7605]. – [článok]. – [recenzované] In: GRANT journal [elektronický dokument] : European Grant Projects, Results, Research &amp; Development, Science : Peer-Reviewed Scientific Journal. – Hradec Králové (Česko) : Magnanimitas akademické sdružení. – ISSN (online) 1805-0638. – ISSN (online) 1805-062X. – Roč. 11, č. 1 (2022), s. 60-64 [CD-ROM] [online] </t>
  </si>
  <si>
    <t xml:space="preserve">Učebnice a pracovné zošity v predmete Technika = Textbooks and wokrboks in the subject of technology / Lukáčová, Danka [Autor, UKFPFAKTT, 100%]. – [slovenčina]. – [OV 010]. – [ŠO 7605]. – [článok]. – [recenzované] In: Technika a vzdelávanie [textový dokument (print)] [elektronický dokument] : časopis zameraný na technické vzdelávanie v základných, stredných i na vysokých školách, na oblasť základného a aplikovaného výskumu, aplikáciu informačných technológií vo výučbe odborných predmetov. – Banská Bystrica (Slovensko) : Univerzita Mateja Bela v Banskej Bystrici. Fakulta prírodných vied. – ISSN 1338-9742. – ISSN (online) 1339-9888. – Roč. 10, č. 1 (2021), s. 13-16 [tlačená forma] [online] </t>
  </si>
  <si>
    <t xml:space="preserve">Un héros courageux, exploité et méconnu Milan Rastislav Štefánik (dans les œuvres théâtrales en Slovaquie et en République tchèque) / Inštitorisová, Dagmar [Autor, UKFFFAKMR, 100%]. – text. – [francúzština]. – [OV 020]. – [ŠO 6107]. – [článok]. – [recenzované] In: Proudy [elektronický dokument] : středoevropský časopis pro vědu a literaturu : literární časopis středoevropského centra slovanských studií a ústavu slavistiky FF MU. – Brno (Česko) : Středoevropské centrum slovanských studií. – ISSN (online) 1804-7246. – Roč. 13, č. 1 (2022), s. 1-13 [online] </t>
  </si>
  <si>
    <t xml:space="preserve">Unmet emotional, interpersonal, and treatment needs in patients with borderline personality disorder / Kantor, Kryštof [Autor, 2%] ; Praško Pavlov, Ján [Autor, UKFFSVKPV, 36%] ; Ocisková, Marie [Autor, 2%] ; Holubová, Michaela [Autor, 2%] ; Nesnídal, Vlastimil [Autor, 2%] ; Vanek, Jakub [Autor, 2%] ; Minariková, Kamila [Autor, 2%] ; Hodný, František [Autor, 2%] ; Šlepecký, Miloš [Autor, UKFFSVKPV, 25%] ; Zaťková, Marta [Autor, UKFFSVKPV, 25%]. – text. – [angličtina]. – [OV 060]. – [ŠO 7701]. – [článok]. – [recenzované] In: Neuroendocrinology Letters [textový dokument (print)] [elektronický dokument] . – Štokholm (Švédsko) : Maghira and Maas Publications. – ISSN 0172-780X. – ISSN (online) 2354-4716. – Roč. 43, č. 3 (2022), s. 180-197 [tlačená forma] [online] </t>
  </si>
  <si>
    <t xml:space="preserve">Unmet psychosocial needs of people with multiple sclerosis / Praško Pavlov, Ján [Autor, 31%] ; Vanek, Jakub [Autor, 1%] ; Ocisková, Marie [Autor, 1%] ; Belohradova Minariková, Kamila [Autor, 1%] ; Holubová, Michaela [Autor, 1%] ; Kantor, Kryštof [Autor, 1%] ; Šlepecký, Miloš [Autor, UKFFSVKPV, 32%] ; Sollár, Tomáš [Autor, UKFFSVUAP, 32%]. – text. – [angličtina]. – [OV 060]. – [ŠO 7701]. – [článok]. – [recenzované] In: Activitas Nervosa Superior Rediviva [textový dokument (print)] [elektronický dokument] : international journal for integrated neuroscience. – Bratislava (Slovensko) : Vysoká škola zdravotníctva a sociálnej práce sv. Alžbety v Bratislave, Bratislava (Slovensko) : Slovenská akadémia vied. – ISSN 1337-933X. – ISSN (online) 1338-4015. – Roč. 64, č. 1 (2022), s. 3-17 [tlačená forma] [online] </t>
  </si>
  <si>
    <t xml:space="preserve">Urban-Rural Dichotomy of Quality of Life / Petrovič, František [Autor, UKFFPVKEE, 80%] ; Maturkanič, Patrik [Autor, 20%]. – text. – [angličtina]. – [OV 100]. – [ŠO 1610]. – [článok]. – [recenzované]. – DOI 10.3390/su14148658. – SIGN-UKO RK 26/22. – WOS CC ; SCO ; CCC In: Sustainability [elektronický dokument] . – Bazilej (Švajčiarsko) : Multidisciplinary Digital Publishing Institute. – ISSN (online) 2071-1050. – Roč. 14, č. 14 (2022), s. 1-14 [online] </t>
  </si>
  <si>
    <t xml:space="preserve">Urinary Phthalate Biomarkers during Pregnancy, and Maternal Endocrine Parameters in Association with Anthropometric Parameters of Newborns / Hlisníková, Henrieta [Autor, UKFFPVKZA, 30%] ; Kolena, Branislav [Autor, UKFFPVKZA, 22%] ; Šidlovská, Miroslava [Autor, UKFFPVKZA, 22%] ; Mlynček, Miloš [Autor, UKFFSVKOS, 4%] ; Petrovičová, Ida [Autor, UKF.Nitra, 22%]. – text. – [angličtina]. – [OV 130]. – [ŠO 1536]. – [článok]. – [recenzované]. – WOS CC ; SCO ; CCC In: Children [elektronický dokument] . – Basel (Švajčiarsko) : Multidisciplinary Digital Publishing Institute. – ISSN (online) 2227-9067. – Roč. 9, č. 3 (2022), s. 413-439 [online] </t>
  </si>
  <si>
    <t xml:space="preserve">Úrovne porozumenia textu / Kováčová, Zuzana [Autor, UKFFFASJL, 100%]. – text. – [slovenčina]. – [OV 010]. – [ŠO 7605]. – [článok]. – [recenzované] In: Lingua Viva [textový dokument (print)] [elektronický dokument] : odborný časopis pro teorii a praxi vyučování cizím jazykům a češtině jako cizímu jazyku. – České Budějovice (Česko) : Jihočeská univerzita v Českých Budějovicích. Pedagogická fakulta. – ISSN 1801-1489. – ISSN (online) 2336-8136. – Roč. 18, č. 34 (2022), s. 47-59 [tlačená forma] [online] </t>
  </si>
  <si>
    <t xml:space="preserve">Using Peer Instruction Method - Teacher Workshop Experience / Beták, Norbert [Autor, UKFFSSKCR, 80%] ; Sándorová, Zuzana [Autor, UKFPFAKLI, 20%]. – text. – [angličtina]. – [OV 010]. – [ŠO 7605]. – [článok]. – [recenzované] In: Specialusis Ugdymas [textový dokument (print)] [elektronický dokument] . – Siauliai (Litva) : Šiauliu Universitetas. Šiauliu Universitetas Leidykla. – ISSN 1392-5369. – ISSN (online) 2424-3299. – Roč. 2, č. 43 (2022), s. 1998-2005 [tlačená forma] [online] </t>
  </si>
  <si>
    <t xml:space="preserve">Utilization of sawdust as a pore-former in the fabrication of ceramic adsorbents for water purification / Salami, Kazeem A. [Autor, 20%] ; Obada, David Olubiyi [Autor, 20%] ; Alabi, Abdulmumin A. [Autor, 20%] ; Csáki, Štefan [Autor, UKFFPVKFY, 20%] ; Oyedeji, Ayodeji N. [Autor, 20%]. – text. – [angličtina]. – [OV 091]. – [ŠO 1160]. – [článok]. – [recenzované]. – DOI 10.1007/s41779-022-00778-3. – WOS CC ; SCO In: Journal of the Australian Ceramic Society [textový dokument (print)] [elektronický dokument] . – Alexandria (Austrália) : Australian Ceramics Association. – ISSN 0004-881X. – ISSN (online) 2510-1579. – Roč. 58, č. 4 (2022), s. 1-14 [tlačená forma] [online] </t>
  </si>
  <si>
    <t xml:space="preserve">Vad figurativitás / Radics, Rudolf [Autor, UKFFSSUML, 100%]. – text. – [maďarčina]. – [OV 010]. – [ŠO 7605]. – [článok]. – [recenzované] In: Partitúra [textový dokument (print)] : irodalomtudományi folyóirat. – Nitra (Slovensko) : Univerzita Konštantína Filozofa v Nitre. Fakulta stredoeurópskych štúdií. Ústav stredoeurópskych jazykov a kultúr. – ISSN 1336-7307. – Roč. 16, č. 2 (2021), s. 87-96 [tlačená forma] </t>
  </si>
  <si>
    <t xml:space="preserve">Validita slovenskej skrátenej verzie dotazníka Stroke Specific Quality Of Life Scale (SS-QOL-12) / Baňasová, Katarína [Autor, UKFFSVUAP, 50%] ; Hudáková, Miriama [Autor, UKFFSVUAP, 50%]. – text. – [slovenčina]. – [OV 060]. – [ŠO 7701]. – [článok]. – [recenzované] In: Pomáhajúce profesie [textový dokument (print)] : recenzovaný vedecký časopis pre teóriu, výskum, prax a vzdelávanie v pomáhajúcich profesiách. – Nitra (Slovensko) : Univerzita Konštantína Filozofa v Nitre. – ISSN 2585-9447. – Roč. 5, č. 1 (2022), s. 43-53 [tlačená forma] [online] </t>
  </si>
  <si>
    <t xml:space="preserve">Values consolidating and disintegrating lyrical relationships as evaluated by women and men / Kňažko, Boris [Autor, UKFFFAKAE, 100%]. – text. – [angličtina]. – [OV 020]. – [ŠO 6107]. – [článok]. – [recenzované]. – DOI 10.2478/ebce-2022-0003. – WOS CC ; SCO In: Ethics &amp; Bioethics [textový dokument (print)] [elektronický dokument] : (in Central Europe). – Varšava (Poľsko) : De Gruyter. – ISSN 1338-5615. – ISSN (online) 2453-7829. – Roč. 12, č. 1-2 (2022), s. 84-91 [tlačená forma] [online] </t>
  </si>
  <si>
    <t xml:space="preserve">Vedenije delovych telefonnych peregovorov: pragmalingvističeskij i kommunikativno-rečevoj aspekty = Carrying out Business Telephone Talks: Pragmalinguistic and Speech Communication Aspect / Gallo, Ján [Autor, UKFFFAKRU, 100%]. – [ruština]. – [OV 020]. – [ŠO 7320]. – [článok]. – [recenzované]. – DOI 10.24411/2470-1262-2022-1-65-73 In: Cross-cultural studies [textový dokument (print)] : education and science. – Middlebury (USA) : Russian Department, Middlebury College. – ISSN 2470-1262. – Roč. 7, č. 1 (2022), s. 67-73 [tlačená forma] </t>
  </si>
  <si>
    <t xml:space="preserve">Vinohradníctvo a vinárstvo Slovenska v komparácii so štátmi Európskej únie po roku 2004 = Viticulture and Wine Sector of Slovakia in Comparison with States of the European Union After 2004 / Némethová, Jana [Autor, UKFFPVKGR, 50%] ; Krajči, Filip [Autor, 50%]. – text. – [slovenčina]. – [OV 092]. – [ŠO 1217]. – [článok]. – [recenzované]. – DOI 10.17846/GI.2021.25.2.34-49 In: Geografické informácie [textový dokument (print)] [elektronický dokument] . – Nitra (Slovensko) : Univerzita Konštantína Filozofa v Nitre. – ISSN 1337-9453. – Roč. 25, č. 2 (2021), s. 34-49 [tlačená forma] [online] </t>
  </si>
  <si>
    <t xml:space="preserve">Vnímanie tituliek v YouTube videách v rámci online kurzu počúvania s porozumením / Boltižiar, Jana [Autor, UKFFFAKTR, 100%]. – text. – [slovenčina]. – [OV 020]. – [ŠO 7320]. – [článok]. – [recenzované] In: Lingua et vita [textový dokument (print)] [elektronický dokument] : vedecký časopis pre výskum jazykov a interkultúrnej komunikácie. – Bratislava (Slovensko) : Ekonomická univerzita v Bratislave. Celouniverzitné pracovisko EUBA. Vydavateľstvo EKONÓM. – ISSN 1338-6743. – Roč. 10, č. 20 (2) (2021), s. 66-73 [tlačená forma] [online] </t>
  </si>
  <si>
    <t xml:space="preserve">Volunteering of Students of Helping Professions in Pandemic Times at the Faculty of Social Sciences and Health Care, CPU in Nitra, Slovakia / Vanková, Katarína [Autor, UKFFSVURS, 100%]. – text. – [angličtina]. – [OV 060]. – [ŠO 7761]. – [článok]. – [recenzované]. – DOI 10.22359/cswhi_13_3_09. – WOS CC In: Clinical Social Work and Health Intervention [textový dokument (print)] [elektronický dokument] . – Viedeň (Rakúsko) : Gesellschaft für angewandte Präventionsmedizin. – ISSN 2222-386X. – ISSN (online) 2076-9741. – Roč. 13, č. 3 (2022), s. 59-66 [tlačená forma] [online] . – Nordic List: 1 </t>
  </si>
  <si>
    <t xml:space="preserve">Voprosy samoubijstva v proizvedenii Dostojevskogo Krotkaja (psichologičeskij podchod) = A questions of suicide in “The Meek One” by Dostoevsky (Psychological Approach) / Lekeš, Patrik [Autor, UKFFFASJL, 100%]. – text. – [ruština]. – [OV 020]. – [ŠO 7320]. – [článok]. – [recenzované]. – DOI 10.5817/SL2022-1-8 In: Slavica litteraria [textový dokument (print)] [elektronický dokument] : vědecký recenzovaný časopis publikující odborné práce z oblasti literárněvědné slavistiky. – Brno (Česko) : Masarykova univerzita. – ISSN 1212-1509. – ISSN (online) 2336-4491. – Roč. 25, č. 1 (2022), s. 85-94 [tlačená forma] [online] </t>
  </si>
  <si>
    <t xml:space="preserve">Vplyv baníctva na proces adaptácie nemeckej minority v okolí Nitrianskeho Pravna s akcentom na poľnohospodárstvo = The Impact of Mining on the Adaptation Process of the German Minority around Nitrianske Pravno with an Emphasis on Agriculture / Žabenský, Marián [Autor, UKFFFAKMK, 100%]. – text. – [slovenčina]. – [OV 030]. – [ŠO 8110]. – [článok]. – [recenzované]. – DOI 10.17846/SHN.2022.26.1.219-244. – SCO In: Národopisná revue [textový dokument (print)] [elektronický dokument] . – Strážnice (Česko) : Národní ústav lidové kultury. – ISSN 0862-8351. – ISSN (online) 2570-9437. – Roč. 32, č. 3 (2022), s. 206-222 [tlačená forma] [online] </t>
  </si>
  <si>
    <t xml:space="preserve">Vplyv dátumu narodenia na športový výkon / Šimonek, Jaromír [Autor, UKFPFAKTV, 100%]. – text. – [slovenčina]. – [OV 210]. – [ŠO 7418]. – [článok]. – [recenzované] In: Športový edukátor [elektronický dokument] . – Nitra (Slovensko) : Univerzita Konštantína Filozofa v Nitre. Pedagogická fakulta UKF. Katedra telesnej výchovy a športu. – ISSN (online) 1337-7809. – Roč. 15, č. 1 (2022), s. 72-74 [online] </t>
  </si>
  <si>
    <t xml:space="preserve">Vplyv sociálno-psychologického výcviku na rozvoj faktorov črtovej emocionálnej inteligencie / Rapsová, Lucia [Autor, UKFPFAKPE, 80%] ; Zimanová, Radka [Autor, UKFPFAKPE, 20%]. – text. – [slovenčina]. – [OV 010]. – [ŠO 7605]. – [článok]. – [recenzované] In: Prohuman [elektronický dokument] : vedecko-odborný interdisciplinárny recenzovaný časopis, zameraný na oblasť spoločenských, sociálnych a humanitných vied : vedecko-odborný internetový časopis. – Bratislava (Slovensko) : Business Intelligence Club. – ISSN (online) 1338-1415. – č. 25. august 2022 (2022), s. 1-19 [online] </t>
  </si>
  <si>
    <t xml:space="preserve">Vplyv sociálnych sietí pri vzniku migračnej sociálnej siete (v segregovanom/marginalizovanom prostredí) / Šatara, Erik [Autor, UKFFSVURS, 100%]. – text. – [slovenčina]. – [OV 060]. – [ŠO 7701]. – [článok]. – [recenzované] In: Pomáhajúce profesie [textový dokument (print)] : recenzovaný vedecký časopis pre teóriu, výskum, prax a vzdelávanie v pomáhajúcich profesiách. – Nitra (Slovensko) : Univerzita Konštantína Filozofa v Nitre. – ISSN 2585-9447. – Roč. 5, č. 1 (2022), s. 20-33 [tlačená forma] [online] </t>
  </si>
  <si>
    <t xml:space="preserve">Vplyv tanečného umenia na vytváranie ľudských hodnôt = The Impact of Dance Art on the Development of Human Values / Hubinská, Zuzana [Autor, UKFPFAKHU, 100%]. – text. – [angličtina]. – [OV 010]. – [ŠO 7605]. – [článok]. – [recenzované] In: Paidagogos [elektronický dokument] : časopis pro pedagogiku v souvislostech = journal of education in contexts. – Olomouc (Česko) : Paidagogos - spolek pro filosofii, teorii a praxi výchovy a vzdělávání. – ISSN (online) 1213-3809. – č. 1 (2021), s. 39-53 [online] </t>
  </si>
  <si>
    <t xml:space="preserve">Vplyv ťažkých kovov na rast a metabolizmus repy cukrovej = Influence of Heavy Metals on Growth and Metabolism of Sugar Beet / Piršelová, Beáta [Autor, UKFFPVKBG, 75%] ; Roszival, Marcel [Autor, UKFFPVKBG, 5%] ; Kubová, Veronika [Autor, UKFFPVKBG, 20%]. – text. – [slovenčina]. – [OV 130]. – [ŠO 1536]. – [článok]. – [recenzované]. – WOS CC In: Listy cukrovarnické a řepařské [textový dokument (print)] [elektronický dokument] : odborný časopis pro obor cukrovka-cukr. – Praha (Česko) : Cukrospol, Praha (Česko) : Výzkumný ústav cukrovarů. – ISSN 1210-3306. – ISSN (online) 1805-9708. – Roč. 138, č. 3 (2022), s. 112-115 [tlačená forma] [online] </t>
  </si>
  <si>
    <t xml:space="preserve">Vybrané aspekty procesu starnutia populácie Slovenska = Selected Aspects of the Aging Process of Population in Slovakia / Repaská, Gabriela [Autor, UKFFPVKGR, 100%]. – text. – [slovenčina]. – [OV 092]. – [ŠO 1217]. – [článok]. – [recenzované]. – DOI 10.17846/GI.2021.25.2.50-62 In: Geografické informácie [textový dokument (print)] [elektronický dokument] . – Nitra (Slovensko) : Univerzita Konštantína Filozofa v Nitre. – ISSN 1337-9453. – Roč. 25, č. 2 (2021), s. 50-62 [tlačená forma] [online] </t>
  </si>
  <si>
    <t xml:space="preserve">Vybrané prvky inscenačnej tradície ruskej dramatiky 21. storočia v súčasnom slovenskom divadle / Zwiefelhofer, Miro [Autor, UKFFFAKKU, 100%]. – text. – [slovenčina]. – [OV 020]. – [ŠO 8110]. – [článok]. – [recenzované] In: Culturologica Slovaca [elektronický dokument] : internetový kulturologický časopis. – Nitra (Slovensko) : Univerzita Konštantína Filozofa v Nitre. – ISSN 2453-9740. – Roč. 7, č. 1 (2022), s. 21-31 [online] </t>
  </si>
  <si>
    <t xml:space="preserve">Vybrané sociodemografické faktory, pracovná spokojnosť a vnímaná poradenská sebaúčinnosť poradcov / Fejová, Andrea [Autor, 20%] ; Uhláriková, Jana [Autor, UKFFSVKPV, 80%]. – text. – [slovenčina]. – [OV 060]. – [ŠO 7701]. – [článok]. – [recenzované] In: Pomáhajúce profesie [textový dokument (print)] : recenzovaný vedecký časopis pre teóriu, výskum, prax a vzdelávanie v pomáhajúcich profesiách. – Nitra (Slovensko) : Univerzita Konštantína Filozofa v Nitre. – ISSN 2585-9447. – Roč. 5, č. 1 (2022), s. 34-42 [tlačená forma] [online] </t>
  </si>
  <si>
    <t xml:space="preserve">Výučba ruskej literatúry v slovenských školách : sondy súčasnosti / Lekeš, Patrik [Autor, UKFFFASJL, 100%]. – text. – [slovenčina]. – [OV 010]. – [ŠO 7605]. – [článok]. – [recenzované] In: Prohuman [elektronický dokument] : vedecko-odborný interdisciplinárny recenzovaný časopis, zameraný na oblasť spoločenských, sociálnych a humanitných vied : vedecko-odborný internetový časopis. – Bratislava (Slovensko) : Business Intelligence Club. – ISSN (online) 1338-1415. – č. 23. november (2021), s. 1-19 [online] </t>
  </si>
  <si>
    <t xml:space="preserve">Výučba techniky na základných školách a nové strategické zámery / Hašková, Alena [Autor, UKFPFAKTT, 50%] ; Lukáčová, Danka [Autor, UKFPFAKTT, 50%]. – text. – [slovenčina]. – [OV 010]. – [ŠO 7605]. – [článok]. – [recenzované]. – DOI 10.54937/ssf.2022.21.1.135-147 In: Studia Scientifica Facultatis Paedagogicae [textový dokument (print)] [elektronický dokument] . – Ružomberok (Slovensko) : Katolícka univerzita v Ružomberku. VERBUM - vydavateľstvo KU. – ISSN 1336-2232. – Roč. 21, č. 1 (2022), s. 135-147 [tlačená forma] [online] </t>
  </si>
  <si>
    <t xml:space="preserve">Využitie projektového vyučovania na vybranej strednej škole / Uličná, Zuzana [Autor, UKFFFAKAE 06.2022, 100%]. – text. – [slovenčina]. – [OV 010]. – [ŠO 7605]. – [článok]. – [recenzované] In: Prohuman [elektronický dokument] : vedecko-odborný interdisciplinárny recenzovaný časopis, zameraný na oblasť spoločenských, sociálnych a humanitných vied : vedecko-odborný internetový časopis. – Bratislava (Slovensko) : Business Intelligence Club. – ISSN (online) 1338-1415. – č. 13. jún (2022), s. 1-3 [online] </t>
  </si>
  <si>
    <t xml:space="preserve">Využívanie informačno-komunikačných technológií v seniorskom veku = The Use of Information and Communication Technologies by Seniors / Pikna, Jakub [Autor, UKFFSVKSP, 25%] ; Nagy, Denis [Autor, UKFFSVKSP, 25%] ; Morávková, Silvia [Autor, UKFFSVKSP, 25%] ; Candrák, Miloš [Autor, UKFFSVKSP, 25%]. – text. – [slovenčina]. – [OV 020]. – [ŠO 7761]. – [článok]. – [recenzované]. – SCO In: Sociální práce [textový dokument (print)] [elektronický dokument] : nabízíme spojení teorie s praxí = ponúkame spojenie teórie s praxou. – Brno (Česko) : Národní centrum pro rodinu, Brno (Česko) : Asociace vzdělavatelů v sociální práci. – ISSN 1213-6204. – ISSN (online) 1805-885X. – Roč. 21, č. 6 (2021), s. 41-60 [tlačená forma] [online] . – CiteScore: 0,7 ; SJR: 0,245 ; SNIP: 0,575 Scimago - Applied psychology - Q4, Health (social science) - Q3, Social sciences (miscellaneous) - Q3, Sociology and political science - Q3 </t>
  </si>
  <si>
    <t xml:space="preserve">Vývoj religiozity vo filozoficko-sociálnej perspektíve / Kondrla, Peter [Autor, UKFFFAKNS, 100%]. – text. – [slovenčina]. – [OV 010]. – [ŠO 7605]. – [článok]. – [recenzované] In: Rozmer [textový dokument (print)] : časopis pre kresťanskú duchovnú orientáciu. – Bratislava (Slovensko) : Ekumenická rada cirkví v Slovenskej republike, Bratislava (Slovensko) : Redakcia časopisu Rozmer. – ISSN 1335-2660. – Roč. 25, č. 1 (2022), s. 33-39 [tlačená forma] </t>
  </si>
  <si>
    <t xml:space="preserve">Význam a bariéry spolupráce rodiny a materskej školy / Gužiková, Libuša [Autor, UKFPFAKPE, 100%]. – text. – [slovenčina]. – [OV 010]. – [ŠO 7605]. – [článok]. – [recenzované] In: Prohuman [elektronický dokument] : vedecko-odborný interdisciplinárny recenzovaný časopis, zameraný na oblasť spoločenských, sociálnych a humanitných vied : vedecko-odborný internetový časopis. – Bratislava (Slovensko) : Business Intelligence Club. – ISSN (online) 1338-1415. – č. 19. máj (2022), s. 1-10 [online] </t>
  </si>
  <si>
    <t xml:space="preserve">Význam mentálnej hygieny v kontexte univerzitného vzdelávania budúcich tlmočníkov / Hodáková, Soňa [Autor, UKFFFAKTR, 100%]. – text. – [slovenčina]. – [OV 020]. – [ŠO 7320]. – [článok]. – [recenzované] In: Revue spoločenských a humanitných vied [elektronický dokument] . – Sládkovičovo (Slovensko) : Vysoká škola Danubius. – ISSN (online) 1339-259X. – Roč. 9, č. 4 (2021), s. 1-6 [online] </t>
  </si>
  <si>
    <t xml:space="preserve">Výživa a karcinóm prsníka = Nutrition and breast cancer / Minárik, Peter [Autor, UKFFSVKUM, 40%] ; Mináriková, Daniela [Autor, UKOFAPR, 20%] ; Penesová, Adela [Autor, 20%] ; Chlebo, Peter [Autor, SPUFAP33, 10%] ; Adamkovičová, Laura [Autor, UKOFAPR, 10%]. – [slovenčina]. – [OV 180]. – [ŠO 5214]. – [článok]. – [recenzované] In: Onkológia [textový dokument (print)] [elektronický dokument] . – Bratislava (Slovensko) : Solen (SK). – ISSN 1336-8176. – ISSN (online) 1339-4215. – Roč. 17, č. 2 (2022), s. 114-119 [tlačená forma] [online] </t>
  </si>
  <si>
    <t xml:space="preserve">Výživové údaje na obaloch potravín a perspektíva Nutri-Score označovania = Nutritional information on food packaging and the Nutri-Score labelling perspective / Minárik, Peter [Autor, UKFFSVKUM, 20%] ; Golian, Jozef [Autor, SPUFBP32, 20%] ; Mináriková, Daniela [Autor, UKOFAPR, 20%] ; Penesová, Adela [Autor, 20%] ; Chlebo, Peter [Autor, SPUFAP33, 20%]. – [slovenčina]. – [OV 190, 180]. – [ŠO 2940, 5214]. – [článok]. – [recenzované] In: Laboratórna diagnostika [elektronický dokument] . – Bratislava (Slovensko) : Slovenská spoločnosť klinickej biochémie (Bratislava, Slovensko). – ISSN 2729-9201. – Roč. 27, č. 2 (2022), s. 76-85 [online] </t>
  </si>
  <si>
    <t xml:space="preserve">Vzdelávanie rómskych žiakov a žiačok z marginalizovaného prostredia v špeciálnych školách a jeho vplyv na uplatnenie sa na slovenskom trhu práce / Havírová, Zuzana [Autor, UKFFSVURS, 50%] ; Šatara, Erik [Autor, UKFFSVURS, 50%]. – text. – [slovenčina]. – [OV 060]. – [ŠO 7761]. – [článok]. – [recenzované]. – DOI 10.36682/a_2021_2_7 In: Auspicia [textový dokument (print)] [elektronický dokument] : a reviewed magazine for questions of social sciences = recenzovaný vědecký časopis pro oblast společenských a humanitních věd. – České Budějovice (Česko) : Vysoká škola evropských a regionálních studií. – ISSN 1214-4967. – ISSN (online) 2464-7217. – Roč. 18, č. 2 (2021), s. 112-124 [tlačená forma] [online] </t>
  </si>
  <si>
    <t xml:space="preserve">Vzťah medzi sebakritickosťou, hanbou a kvalitou života u dospelých / Penzešová, Laura [Autor, 50%] ; Jurišová, Erika [Autor, UKFFSVKPV, 50%]. – text. – [slovenčina]. – [OV 060]. – [ŠO 7701]. – [článok]. – [recenzované] In: Psychologie a její kontexty [textový dokument (print)] [elektronický dokument] : odborný recenzovaný časopis pro teoretické i praktické otázky uplatnění psychologie v životě dnešního člověka = Peer-reviewed Journal for Theoretical and Practical Issues of the Psychology in Modern Life . – Ostrava (Česko) : Ostravská univerzita. Filozofická fakulta. – ISSN 1803-9278. – ISSN (online) 1805-9023. – Roč. 11, č. 1 (2020), s. 89-102 [tlačená forma] [online] </t>
  </si>
  <si>
    <t xml:space="preserve">Water Reservoirs as a Driver of Anthropogenic Changes in Landscape and Transport Networks: The Czech Republic Experience / Havlíček, Marek [Autor, 34%] ; Dostál, Ivo [Autor, UKFFPVKEE, 33%] ; Pavelková, Renáta [Autor, 33%]. – text. – [angličtina]. – [OV 100]. – [ŠO 1610]. – [článok]. – [recenzované]. – DOI 10.3390/w14121870. – WOS CC ; SCO ; CCC In: Water [elektronický dokument] . – Bazilej (Švajčiarsko) : Multidisciplinary Digital Publishing Institute. – ISSN (online) 2073-4441. – Roč. 14, č. 12 (2022), s. 1-18 [online] </t>
  </si>
  <si>
    <t xml:space="preserve">Wavelets and digital filters designed and synthesized in the time and frequency domains / Ďuriš, Viliam [Autor, UKFFPVKMA, 60%] ; Semenov, Vladimir Ivanovich [Autor, 20%] ; Chumarov, Sergey Gennadevich [Autor, 20%]. – text. – [angličtina]. – [OV 240]. – [ŠO 1113]. – [článok]. – [recenzované]. – DOI 10.3934/mbe.2022141. – WOS CC ; SCO In: Mathematical Biosciences and Engineering [textový dokument (print)] [elektronický dokument] . – Springfield (USA) : American Institute of Mathematical Sciences. – ISSN 1547-1063. – ISSN (online) 1551-0018. – Roč. 19, č. 3 (2022), s. 3056-3068 [tlačená forma] [online] </t>
  </si>
  <si>
    <t xml:space="preserve">Well-Being in the Context of COVID-19 and Quality of Life in Czechia / Maturkanič, Patrik [Autor, 25%] ; Tomanová Čergeťová, Ivana [Autor, 15%] ; Konečná, Irena [Autor, 1%] ; Thurzo, Vladimír [Autor, UKORKST, 15%] ; Akimjak, Amantius [Autor, Teologický inštitút KU, 10%] ; Hlad, Ľubomír [Autor, UKFFFAKNS, 15%] ; Zimny, Jan [Autor, 1%] ; Roubalová, Marie [Autor, 1%] ; Kurilenko, Victoria [Autor, 1%] ; Toman, Martin [Autor, 1%] ; Petrikovič, Jozef [Autor, UKFFPVKEE, 5%] ; Petrikovičová, Lucia [Autor, UKFFPVKGR, 10%]. – text. – [angličtina]. – [OV 100, 020]. – [ŠO 1610, 6171]. – [článok]. – [recenzované]. – DOI 10.3390/ijerph19127164. – SIGN-UKO RK 21/22. – SCIE ; SSCI ; WOS CC ; SCO ; CCC In: International journal of environmental research and public health [elektronický dokument] [textový dokument (print)] : open access journal. – Basel (Švajčiarsko) : Multidisciplinary Digital Publishing Institute. – ISSN 1661-7827. – ISSN (online) 1660-4601. – Roč. 19, č. 12 (2022), s. 1-13 [online] [tlačená forma] </t>
  </si>
  <si>
    <t xml:space="preserve">Würzburg legatine statutes of 1287 and the Kingdom of Bohemia / Krafl, Pavel Otmar [Autor, UKFFFAKHI, 100%]. – text. – [angličtina]. – [OV 030]. – [ŠO 7115]. – [článok]. – [recenzované] In: Temas Medievales [textový dokument (print)] . – Buenos Aires (Argentína) : Departamento de Investigaciones Medievales, Inst. Multidisciplin. de Historia y Ciencias Humanas. – ISSN 1850-2628. – Roč. 29, č. 2 (2021), s. 1-26 [tlačená forma] . – SJR: 0,102 Scimago - Arts and humanities (miscellaneous) - Q4 </t>
  </si>
  <si>
    <t xml:space="preserve">Yellow vetchling (Lathyrus aphaca L.) and round-seeded vetchling (Lathyrus sphaericus Retz.) – two species rediscovered for the flora of Slovakia / Olejková, Dagmar [Autor, 25%] ; Košťál, Jaroslav [Autor, UKFFPVKEE, 25%] ; Ďurišová, Ľuba [Autor, SPUFAP31, 25%] ; Eliáš, Pavol [Autor, SPUFAP31, 25%]. – [angličtina]. – [OV 190]. – [ŠO 4190]. – [článok]. – [recenzované]. – DOI 10.33542/TJB2022-1-04. – SCO In: Thaiszia Journal of botany [textový dokument (print)] [elektronický dokument] . – Košice (Slovensko) : Univerzita Pavla Jozefa Šafárika v Košiciach. Celouniverzitné pracovisko UPJŠ. Botanická záhrada. – ISSN 1210-0420. – Roč. 32, č. 1 (2022), s. 55-65 [tlačená forma] [online] </t>
  </si>
  <si>
    <t xml:space="preserve">Young's modulus of illitic clay in the temperature region of quartz transition / Húlan, Tomáš [Autor, UKFFPVKFY, 25%] ; Štubňa, Igor [Autor, 25%] ; Kaljuvee, Tiit [Autor, 25%] ; Knapek, Michal [Autor, 25%]. – text. – [angličtina]. – [OV 091]. – [ŠO 1160]. – [článok]. – [recenzované]. – WOS CC ; SCO ; CCC In: Journal of Thermal Analysis and Calorimetry [textový dokument (print)] [elektronický dokument] : an International Forum for Thermal Studies. – Dordrecht (Holandsko) : Springer Nature. Springer International Publishing AG. – ISSN 1388-6150. – ISSN (online) 1588-2926. – Roč. 147, č. 14 (2022), s. 7701-7707 [tlačená forma] [online] </t>
  </si>
  <si>
    <t xml:space="preserve">Z tisícmetrovej výšky. Obrazy Španielska = From a thousand meters high. Images of Spain / Ćurković, Mirta [Autor, UKFFFAKRO, 100%]. – text. – [slovenčina]. – [OV 020]. – [ŠO 7320]. – [článok]. – [recenzované] In: Mladá veda [elektronický dokument] . – Prešov (Slovensko) : Vydavateľstvo Universum EU. – ISSN (online) 1339-3189. – Roč. 10, č. 5 (2022), s. 1-12 [online] </t>
  </si>
  <si>
    <t xml:space="preserve">Zlatý kalich grófky Františky Andrássyovej zo zbierkového fomdu SNM - Múzea Betliar a jeho materiálová analýza = Frances Andrássy ́s golden chalice from the SNM - Betliar Museum collection fund and its material analysis / Mátéová, Tímea [Autor, 25%] ; Illášová, Ľudmila [Autor, 25%] ; Štubňa, Ján [Autor, UKFFPVKGR, 25%] ; Tirpák, Ján [Autor, 25%]. – text. – [slovenčina]. – [OV 030]. – [ŠO 1217]. – [článok]. – [recenzované] In: Múzeum [textový dokument (print)] : Metodický , študijný a  informačný recenzovaný časopis pre zamestnancov múzeí a galérií. – Bratislava (Slovensko) : Slovenské národné múzeum. – ISSN 0027-5263. – Roč. 68, č. 2 (2022), s. 32-35 [tlačená forma] </t>
  </si>
  <si>
    <t xml:space="preserve">Značenije serijnosti i povtorenija muzykaľnogo i chudožestvennogo vyraženija v pedagogičeskoj srede / Kratochvil, Martin [Autor, UKFPFAKVV, 100%]. – text. – [ruština]. – [OV 010]. – [ŠO 7605]. – [článok]. – [recenzované]. – DOI 10.5937/ZRPFU2123187K In: Zbornik Radova [textový dokument (print)] [elektronický dokument] : Pedagoški fakultet u Užicu. – Užice (Srbsko) : Pedagoški fakultet. – ISSN 2560-550X. – ISSN (online) 2683-5649. – Roč. 24, č. 23 (2021), s. 187-206 [tlačená forma] [online] </t>
  </si>
  <si>
    <t xml:space="preserve">Zo súkromnej korešpondencie Tomáša Nádašdyho : určenie nástupníctva na českom tróne a zajatie predstaviteľov rodu Šlik = From the Private Correspondence of Nádasdy Tamás: Succession on the Czech Throne and Captivity of Representatives of the Schlik Family / Molnárová, Mária [Autor, UKFFFAKHI, 100%]. – text. – [slovenčina]. – [OV 030]. – [ŠO 7115]. – [článok]. – [recenzované]. – DOI 10.17846/SHN.2022.26.1.105-119. – SCO In: Studia Historica Nitriensia [textový dokument (print)] [elektronický dokument] . – Nitra (Slovensko) : Univerzita Konštantína Filozofa v Nitre. – ISSN 1338-7219. – ISSN (online) 2585-8661. – Roč. 26, č. 1 (2022), s. 105-119 [tlačená forma] [online] </t>
  </si>
  <si>
    <t xml:space="preserve">Žurnalisti a ich vnímanie sociálnych médií ako zdroja (dez)informácií / Kučerová, Lucia [Autor, UKFFFAKMR, 100%]. – text. – [slovenčina]. – [OV 020]. – [ŠO 7205]. – [článok]. – [recenzované] In: Dot.comm [elektronický dokument] : časopis pre teóriu, výskum a prax mediálnej a marketingovej komunikácie = journal for the theory, research and practice of media and marketing communication. – Bratislava (Slovensko) : Európska akadémia manažmentu marketingu a médií. – ISSN 1339-5181. – Roč. 9, č. 1 (2021), s. 61-71 [online] </t>
  </si>
  <si>
    <t>AAA - Vedecké monografie vydané v zahraničných vydavateľstvách</t>
  </si>
  <si>
    <t xml:space="preserve">Agility in sport [textový dokument (print)]  [monografia (do 2021)] / Šimonek, Jaromír [Autor, UKFPFAKTV, 50%] ; Horička, Pavol [Autor, UKFPFAKTV, 50%] ; Zemková, Erika [Recenzent] ; Mačura, Peter [Recenzent]. – 1. vyd. – Newcastle Upon Tyne (Veľká Británia) : Cambridge Scholars Publishing, 2020. – 180 s. [tlačená forma] : text, graf., tab., obr. – [angličtina]. – [OV 210]. – ISBN 978-1-5275-4096-5. – SIGN-UKO TV EXTV </t>
  </si>
  <si>
    <t xml:space="preserve">Analysis of changes in volume capacity of selected artificial water reservoirs of the Banská Štiavnica water management system [textový dokument (print)]  [monografia (do 2021)] / Kubinský, Daniel [Autor, 5%] ; Weis, Karol [Autor, UMBFP01, 35%] ; Fuska, Jakub [Autor, SPUFZK04, 35%] ; Petrovič, František [Autor, UKFFPVKEE, 25%] ; Hronček, Pavel [Recenzent] ; Sojka, Máriusz [Recenzent]. – 1. vyd. – Krakow (Poľsko) : House of the University of Agriculture, 2019. – 120 s. [tlačená forma] : text. – [angličtina]. – [OV 100]. – ISBN 978-83-64758-95-9 </t>
  </si>
  <si>
    <t xml:space="preserve">Andersencia [textový dokument (print)]  [monografia (do 2021)] / Čechová, Mariana [Autor, UKFFFAULK, 100%] ; Plesník, Ľubomír [Recenzent] ; Mikulášová, Alena [Recenzent]. – 1. vyd. – Praha (Česko) : Verbum, 2019. – 122 s. [tlačená forma] : text. – [slovenčina]. – [OV 020]. – ISBN 978-80-87800-59-1 </t>
  </si>
  <si>
    <t xml:space="preserve">Antológia textov (nielen) slovenských redakcií staroslovienčiny [textový dokument (print)]  [monografia (do 2021)] / Diweg-Pukanec, Martin [Autor, UKFFFASJL, 100%] ; Krško, Jaromír [Recenzent] ; Bánik, Tomáš [Recenzent]. – 1. vyd. – Brnno (Česko) : Tribun EU, 2019. – 236 s. [tlačená forma] : text. – [slovenčina]. – [OV 020]. – ISBN 978-80-263-1533-9 </t>
  </si>
  <si>
    <t xml:space="preserve">Aplikácia nástrojov hodnotenia kompetencií učiteľa [textový dokument (print)]  [monografia (do 2021)] / Szíjjártóová, Katarína [Autor, UKFPFAKPE, 3.25%] ; Baďová, Petra [Autor, UKFFFAULK, 3.225%] ; Boboňová, Ivana [Autor, UKFFPVKMA, 3.225%] ; Čeretková, Soňa [Autor, UKFFPVKMA, 3.225%] ; Ďurková, Simona [Autor, UKFFFAKAA, 3.225%] ; Ficzere, Anikó [Autor, UKFFFAKGE, 3.225%] ; Gadušová, Zdenka [Autor, UKFFFAKAA, 3.225%] ; Harťanská, Jana [Autor, UKFFFAKAA, 3.225%] ; Hašková, Alena [Autor, UKFPFAKTT, 3.225%] ; Hockicková, Beáta [Autor, UKFFFAKGE, 3.225%] ; Horváthová, Ivana [Autor, UKFFFAKAA, 3.225%] ; Jakubovská, Viera [Autor, UKFFFAKFI, 3.225%] ; Jonášková, Gabriela [Autor, UKFFFAKFI, 3.225%] ; Kramáreková, Hilda [Autor, UKFFPVKGR, 3.225%] ; Lalinská, Mária [Autor, UKFFFAKRO, 3.225%] ; Lomnický, Igor [Autor, UKFFFAKAE 06.2022, 3.225%] ; Magová, Lenka [Autor, UKFFFAKAE 06.2022, 3.225%] ; Malá, Eva [Autor, UKFPFAKLI, 3.225%] ; Markechová, Dagmar [Autor, UKFFPVKMA, 3.225%] ; Müglová, Daniela [Autor, UKFFFAKTR, 3.225%] ; Predanocyová, Ľubica [Autor, UKFFFAKFI, 3.225%] ; Sandanusová, Anna [Autor, UKFFPVKZA, 3.225%] ; Sládečková, Zuzana [Autor, UKFFFAKAE 06.2022, 3.225%] ; Stranovská, Eva [Autor, UKFFFAKGE, 3.225%] ; Stančeková, Svetlana [Autor, UKFFFAKRO, 3.225%] ; Šlosárová, Simona [Autor, UKFFFAKAE 06.2022, 3.225%] ; Švarbová, Eva [Autor, UKFFFAKRO, 3.225%] ; Tandlich, Tomáš [Autor, UKFFFAKHI, 3.225%] ; Tirpáková, Anna [Autor, UKFFPVKMA, 3.225%] ; Valovičová, Ľubomíra [Autor, UKFFPVKFY, 3.225%] ; Žilová, Ružena [Autor, UKFFFAKGE, 3.225%] ; Procházka, Miroslav [Recenzent] ; Petlák, Erich [Recenzent]. – 1. vyd. – Praha (Česko) : Verbum, 2018. – 215 s. [tlačená forma] : text. – [slovenčina]. – [OV 010]. – ISBN 978-80-87800-49-2 </t>
  </si>
  <si>
    <t xml:space="preserve">Application of continuous fast wavelet transform for signal processing [textový dokument (print)]  [monografia (do 2021)] / Ďuriš, Viliam [Autor, UKFFPVKMA, 34%] ; Semenov, Vladimir Ivanovich [Autor, 33%] ; Chumarov, Sergey Gennadevich [Autor, 33%] ; Kazakov, Sergey [Recenzent] ; Kitaev, Aleksander [Recenzent]. – 1. vyd. – London (Veľká Británia) : Sciemcee. Sciemcee Publishing, 2021. – 181 s. [tlačená forma] : text. – [angličtina]. – [OV 240]. – ISBN 978-1-9993071-9-6 </t>
  </si>
  <si>
    <t xml:space="preserve">Auteurs maghrébins éclairés par des mythes [textový dokument (print)]  [monografia (do 2021)] / Lefébvre, Jacques [Autor, 55%] ; Švarbová, Eva [Autor, UKFFFAKRO, 15%] ; Tardy, Stéphane [Autor, UKFFFAKRO, 15%] ; Lalinská, Mária [Autor, UKFFFAKRO, 15%] ; Fenclová, Marie [Recenzent] ; Truhlářová, Jana [Recenzent]. – 1. vyd. – Brusel (Belgicko) : Maison de la Francité ASBL, 2019. – 366 s. [tlačená forma] : text. – [francúzština]. – [OV 020]. – ISBN 978-2-9600185-1-6 </t>
  </si>
  <si>
    <t xml:space="preserve">Béna község történelme és földrajzi nevei [textový dokument (print)]  [monografia (do 2021)] = História a geografické názvy obce Belina / Angyal, Ladislav [Autor, UKFFSSUML, 100%] ; Bauko, Ján [Recenzent] ; Kovács Csíkány, Andrea [Recenzent]. – 1. vyd. – Béna (Maďarsko) : Bénai Községi Hivatal, 2019. – 190 s. [tlačená forma] : text. – [maďarčina]. – [OV 020]. – ISBN 978-80-570-0612-1 </t>
  </si>
  <si>
    <t xml:space="preserve">Bilingualism in Children [textový dokument (print)]  [monografia (do 2021)] : Language Differentiation and the Acquisition of Meaning / Hornáčková Klapicová, Edita [Autor, UKFFFAKTR, 100%] ; Ciprianová, Elena [Recenzent] ; Macák, Martin [Recenzent]. – 1. vyd. – Madrid (Španielsko) : Ediciones Xorki, 2018. – 84 s. [tlačená forma] : text. – [angličtina]. – [OV 020, 010]. – ISBN 978-84-948441-1-9 </t>
  </si>
  <si>
    <t xml:space="preserve">Committed literature [textový dokument (print)]  [monografia (do 2021)] : the novels of Ngugi wa Thiong’o / Klimková, Simona [Autor, UKFFFAKAA, 100%] ; Kušnír, Jaroslav [Recenzent] ; Hricková, Mária [Recenzent]. – 1. vyd. – Praha (Česko) : Verbum, 2019. – 224 s. [tlačená forma]. – [angličtina]. – [OV 020]. – ISBN 978-80-87800-58-4 </t>
  </si>
  <si>
    <t xml:space="preserve">Current Issues in the Slovak Mass Media [textový dokument (print)] [elektronický dokument]  [monografia (do 2021)] / Cillingová, Veronika [Autor, UKFFFAKZU, 25%] ; Bútorová, Eva [Autor, UKFFFAKZU, 25%] ; Nováčiková, Daša [Autor, UKFFFAKZU, 25%] ; Rožňová, Jitka [Autor, UKFFFAKZU, 25%]. – 1. vyd. – Berlín (Nemecko) : Peter Lang, 2019. – 105 s. [tlačená forma] [online] : text. – (Studies in Communication and Politics, ISSN 2197-1625 ; 11). – [angličtina]. – [OV 060]. – [recenzované]. – ISBN 978-3-631-80003-4. – DOI 10.3726/b16060. – SCO </t>
  </si>
  <si>
    <t xml:space="preserve">Čto esť i piť, čtoby pochudeť [textový dokument (print)]  [monografia (do 2021)] / Sirotkin, Alexander [Autor, UKFFPVKZA, 100%] ; Kolesárová, Adriana [Recenzent] ; Omelka, Radoslav [Recenzent]. – 1. vyd. – Moskva (Ruská federácia) : Prometej, 2020. – 214 s. [tlačená forma] : text, ilustr. – [ruština]. – [OV 130]. – ISBN 978-5-00172-097-3 </t>
  </si>
  <si>
    <t xml:space="preserve">Elder and Social Changes in Society [textový dokument (print)]  [monografia (do 2021)] : Reflection of Research / Anil, John [Autor, 2%] ; Bellová, Lucia [Autor, 2%] ; Domżał, Urszula Anna [Autor, 2%] ; Domżał, Zbigniew Kazimierz [Autor, 2%] ; Gergel, Milan [Autor, 3%] ; Gretkowski, Andrzej Ryszard [Autor, KURPESP, 15%] ; Kalesh, Sruthy P. [Autor, 2%] ; Kwiatkowska, Silvia [Autor, 2%] ; Lehoczká, Lýdia [Autor, UKFFSVURS, 3%] ; Lipiński, Stanisław [Autor, 4%] ; Lizy, P. J. [Autor, 2%] ; Sisíková, Katarína [Autor, KURPESP, 2%] ; Novotná, Alena [Autor, KURPESP, 40%] ; Venus, Joseph Mary [Autor, 2%] ; Žilová, Anna [Autor, KURPESP, 15%] ; Žilová, Veronika [Autor, 2%] ; Žilová, Anna [Zostavovateľ, editor, KURPESP, 33.334%] ; Gretkowski, Andrzej Ryszard [Zostavovateľ, editor, KURPESP, 33.333%] ; Novotná, Alena [Zostavovateľ, editor, KURPESP, 33.333%] ; Baloghová, Beáta [Recenzent] ; Dlugoš, František [Recenzent] ; Aulaytner, Julian [Recenzent]. – 1. vyd. – Milano (Taliansko) : EDUCatt, 2018. – 170 s. [tlačená forma]. – [angličtina]. – [OV 060]. – ISBN 978-88-9335-328-1 </t>
  </si>
  <si>
    <t xml:space="preserve">Emotional Engagement in Teaching English Vocabulary [textový dokument (print)]  [monografia (do 2021)] / Kamenická, Jana [Autor, UKFPFAKLI, 50%] ; Kováčiková, Elena [Autor, UKFPFAKLI, 50%] ; Bírová, Jana [Recenzent] ; Reid, Eva [Recenzent]. – 1. vyd. – Praha (Česko) : Verbum, 2019. – 138 s. [tlačená forma] : text. – [angličtina]. – [OV 010]. – ISBN 978-80-87800-51-5 </t>
  </si>
  <si>
    <t xml:space="preserve">English for Specific Purposes in Higher Education through Content and Language Integrated Learning [textový dokument (print)]  [monografia (do 2021)] / Kováčiková, Elena [Autor, UKFPFAKLI, 100%]. – 1. vyd. – Cambridge (Veľká Británia) : Cambridge Scholars Publishing, 2020. – 117 s. [tlačená forma] : text. – [angličtina]. – [OV 010]. – [recenzované]. – ISBN 978-1-5275-4701-8 </t>
  </si>
  <si>
    <t xml:space="preserve">English Language Education to Pupils with General Intellectual Giftedness [textový dokument (print)]  [monografia (do 2021)] / Reid, Eva [Autor, UKFPFAKLI, 100%]. – 1. vyd. – Berlín (Nemecko) : Peter Lang, 2020. – 224 s. [tlačená forma] : text. – [angličtina]. – [OV 020, 010]. – [recenzované]. – ISBN 9783631802113. – SCO </t>
  </si>
  <si>
    <t xml:space="preserve">Enzýmová aktivita Pinaceae vo vzťahu k ich životnému prostrediu [textový dokument (print)]  [monografia (do 2021)] / Boleček, Peter [Autor, UKFFPVKBG, 100%] ; Kuna, Roman [Recenzent] ; Kormuťák, Andrej [Recenzent]. – 1. vyd. – Praha (Česko) : Verbum, 2021. – 88 s. [tlačená forma]. – [slovenčina]. – [OV 130]. – ISBN 978-80-87800-88-1 </t>
  </si>
  <si>
    <t xml:space="preserve">Estilística [textový dokument (print)]  [monografia (do 2021)] : historias, conceptos, prácticas / Lampis, Mirko [Autor, UKFFFAKRO, 100%] ; Linares Alés, Francisco [Recenzent] ; Kučerková, Magda [Recenzent]. – 1. vyd. – Granada (Španielsko) : Comares, 2020. – 157 s. [tlačená forma] : text. – [španielčina]. – [OV 020]. – ISBN 978-84-9045-969-0 </t>
  </si>
  <si>
    <t xml:space="preserve">Existenciálne prvky Sørena Kierkegaarda v modernej americkej literatúre [textový dokument (print)]  [monografia (do 2021)] / Pavlíková, Martina [Autor, UKFFFAKZU, 100%] ; Hajko, Dalimír [Recenzent] ; Liguš, Ján [Recenzent]. – 1. vyd. – Toronto (Kanada) : University of Toronto, 2019. – 64 s. [tlačená forma] : text. – [slovenčina]. – [OV 020]. – ISBN 978-1-988129-05-1 </t>
  </si>
  <si>
    <t xml:space="preserve">Foreign Language Pronunciation, from Theory to Practice [textový dokument (print)]  [monografia (do 2021)] / Kráľová, Zdena [Autor, UKFPFAKLI, 49%] ; Nemčoková, Katarína [Autor, 27%] ; Datko, Juraj [Autor, UKFPFAKLI, 24%]. – 1. vyd. – Newcastle upon Tyne (Veľká Británia) : Cambridge Scholars Publishing, 2021. – 107 s. [tlačená forma] : text. – [angličtina]. – [OV 010]. – [recenzované]. – ISBN 978-1-5275-7371-0 </t>
  </si>
  <si>
    <t xml:space="preserve">Frazeologizmy "v dejstvii" [monografia (do 2021)] : semantiko-pragmatičeskij aspekt / Kalechyts, Alena [Autor, UKFFFAKRU, 100%] ; Kováčová, Zuzana [Recenzent] ; Tiščenko, Oleg Volodimirovič [Recenzent]. – 1. vyd. – Minsk (Bielorusko (predtým ako Bieloruská SSR)) : Kolorgrad, 2020. – 350 s. [tlačená forma] : text. – [bieloruština]. – [OV 020, 010]. – ISBN 978-985-596-671-6 </t>
  </si>
  <si>
    <t xml:space="preserve">Globalny stosunek do wiary młodzieży słowackiej w procesie przemian [textový dokument (print)]  [monografia (do 2021)] / Štefaňak, Ondrej [Autor, UKFFFAKSO, 100%] ; Mariański, Janusz [Recenzent] ; Swiatkiewicz, Wojciech  Krzysztof [Recenzent]. – 1. vyd. – Katovice (Poľsko) : Studio - NOA, 2018. – 144 s. [tlačená forma] : text. – [poľština]. – [OV 020]. – ISBN 978-83-60071-95-3 </t>
  </si>
  <si>
    <t xml:space="preserve">Herausforderungen der Globalisierung. Translationswesen in der Slowakei vor dem Hintergrund internationaler Kulturprozesse [textový dokument (print)]  [monografia (do 2021)] / Müglová, Daniela [Autor, UKFFFAKTR, 34%] ; Wrede, Oľga [Autor, UKFFFAKGE, 33%] ; Gromová, Edita [Autor, UKFFFAKTR, 33%] ; Rakšányiová, Jana [Recenzent] ; Borsuková, Hana [Recenzent]. – 1. vyd. – Hamburg (Nemecko) : Verlag Dr. Kovač, 2020. – 184 s. [tlačená forma] : text. – [nemčina]. – [OV 010, 020]. – ISBN 978-3-339-11902-5 </t>
  </si>
  <si>
    <t xml:space="preserve">Inquiries into Byzantine Philosophy [textový dokument (print)] [elektronický dokument]  [monografia (do 2021)] / Zozuľak, Ján [Autor, UKFFFAKFI, 100%]. – 1. vyd. – Berlin (Nemecko) : Peter Lang, 2018. – 244 s. [tlačená forma] [online] : text. – [angličtina]. – [OV 020]. – [recenzované]. – ISBN 978-3-631-74857-2. – ISBN (online) 978-3-631-76599-9 </t>
  </si>
  <si>
    <t xml:space="preserve">Intercultural Aspect in Translation and Reception of Precedent Phenomena (20. Studies in linguistics, anglophone Literatures and cultures) [textový dokument (print)]  [monografia (do 2021)] / Zahorák, Andrej [Autor, UKFFFAKTR, 100%] ; Hrdinová, Eva Maria [Recenzent] ; Sipko, Jozef [Recenzent]. – 1. vyd. – Berlín (Nemecko) : Peter Lang, 2019. – 132 s. [tlačená forma] [online] [CD-ROM] : text. – [angličtina]. – [OV 020]. – ISBN 978-3-631-78107-4. – ISBN (online) 978-3-631-78671-0. – ISSN 2364-7558. – DOI 10.3726/b15481 </t>
  </si>
  <si>
    <t xml:space="preserve">Interest of primary school pupils in technical activities and technical education [textový dokument (print)]  [monografia (do 2021)] / Pavelka, Jozef [Autor, PUPHUFMT, 36%] ; Honzíková, Jarmila [Autor, 12%] ; Ďuriš, Milan [Autor, UMBFP07, 12%] ; Tomková, Viera [Autor, UKFPFAKTT, 25%] ; Šoltés, Jaroslav [Autor, PUPHUFMT, 15%] ; Pavelka, Jozef [Zostavovateľ, editor, PUPHUFMT, 100%] ; Kožuchová, Mária [Recenzent] ; Hašková, Alena [Recenzent]. – 1. vyd. – Plzeň (Česko) : Západočeská univerzita v Plzni, 2019. – 272 s. [13,6 AH] [tlačená forma]. – [angličtina]. – [OV 010, 170]. – ISBN 978-80-261-0887-0. – SIGN-PU FHPV-19 103/19 </t>
  </si>
  <si>
    <t xml:space="preserve">Intergenerational relationships in Roma families [textový dokument (print)]  [monografia (do 2021)] / Selická, Denisa [Autor, UKFFFAKSO, 100%] ; Klimková, Simona [Prekladateľ, UKFFFAKAA, 100%] ; Kyuchukov, Hristo [Recenzent] ; Balvín, Jaroslav [Recenzent]. – 1. vyd. – Katovice (Poľsko) : Studio - NOA, 2018. – 150 s. [tlačená forma] : text. – [angličtina]. – [OV 060]. – ISBN 978-83-60071-99-1 </t>
  </si>
  <si>
    <t xml:space="preserve">Intervencia a prediktory čítania s porozumením [textový dokument (print)]  [monografia (do 2021)] / Stranovská, Eva [Autor, UKFFFAKGE, 50%] ; Ficzere, Anikó [Autor, UKFFSSKCR, 50%] ; Petlák, Erich [Recenzent] ; Hašková, Alena [Recenzent]. – 1. vyd. – Praha (Česko) : Verbum, 2020. – 226 s. [tlačená forma] : text, ilustr. – [slovenčina]. – [OV 010]. – ISBN 978-80-87800-77-5 </t>
  </si>
  <si>
    <t xml:space="preserve">Iný dramatik Rudolf Sloboda [textový dokument (print)]  [monografia (do 2021)] / Inštitorisová, Dagmar [Autor, UKFFFAKMR, 100%] ; Horák, Karol [Recenzent] ; Nvota, Juraj [Recenzent]. – 1. vyd. – Báčsky Petrovec (Srbsko) : Slovenské vydavateľské centrum, 2020. – 112 s. [tlačená forma] : text. – [slovenčina]. – [OV 020]. – ISBN 978-86-7103-549-1 </t>
  </si>
  <si>
    <t xml:space="preserve">Kompetencie učiteľa výchovy k zdraviu [textový dokument (print)]  [monografia (do 2021)] : vyhodnotenie vybraných aspektov životného štýlu učiteľov na Slovensku / Juríková, Tünde [Autor, UKFFSSUVP, 23%] ; Viczayová, Ildikó [Autor, UKFFSSUVP, 20%] ; Gadušová, Zdenka [Autor, UKFFFAKAA, 14%] ; Kontra, József [Autor, 1%] ; Matejovičová, Barbora [Autor, UKFFPVKZA, 14%] ; Sandanusová, Anna [Autor, UKFFPVKZA, 14%] ; Schlarmannová, Janka [Autor, UKFFPVKZA, 14%] ; Dytrtová, Radmila [Recenzent] ; Jedlička, Jaroslav [Recenzent]. – 1. vyd. – Praha (Česko) : Verbum, 2018. – 149 s. [tlačená forma] : text. – [slovenčina]. – [OV 010]. – ISBN 978-80-87800-39-3 </t>
  </si>
  <si>
    <t xml:space="preserve">Konstrukcii sociaľnoj samoidentifikacii i samoprezentacii govoriaščego [textový dokument (print)]  [monografia (do 2021)] : Očerki ob egocentričeskich sredstvach slovackogo jazyka / Sokolová, Jana [Autor, UKFFFAKRU, 100%] ; Kesselová, Jana [Recenzent] ; Kováčová, Zuzana [Recenzent]. – 1. vyd. – Saarbrücken (Nemecko) : Palmarium Academic Publishing, 2019. – 130 s. [tlačená forma] : text. – [ruština]. – [OV 020]. – ISBN 978-620-2-38404-9 </t>
  </si>
  <si>
    <t xml:space="preserve">Kultúrny potenciál Slovákov v Banáte [textový dokument (print)]  [monografia (do 2021)] / Čukan, Jaroslav [Autor, UKFFFAKMK, 25%] ; Kurpaš, Michal [Autor, UKFFFAKMK, 20%] ; Michalík, Boris [Autor, UKFFFAKMK, 25%] ; Pap, Miroslav [Autor, UKFFFAKMK, 15%] ; Žabenský, Marián [Autor, UKFFFAKMK, 15%] ; Kmeť, Miroslav [Recenzent] ; Sklabinská, Milina [Recenzent]. – 1. vyd. – Báčsky Petrovec (Srbsko) : Slovenské vydavateľské centrum, 2018. – 342 s. [tlačená forma] : text. – [slovenčina]. – [OV 030]. – ISBN 978-86-7103-510-1 </t>
  </si>
  <si>
    <t xml:space="preserve">Kultúrny potenciál Slovákov v Nadlaku [textový dokument (print)]  [monografia (do 2021)] / Čukan, Jaroslav [Autor, UKFFFAKMK, 25%] ; Michalík, Boris [Autor, UKFFFAKMK, 25%] ; Kurpaš, Michal [Autor, UKFFFAKMK, 25%] ; Pap, Miroslav [Autor, UKFFFAKMK, 15%] ; Ďurakov, Viktor [Autor, 10%] ; Kmeť, Miroslav [Recenzent] ; Vanko, Dušan [Recenzent]. – 1. vyd. – Nadlak (Rumunsko) : Vydavateľstvo - Editura Ivan Krasko, 2018. – 124 s. [tlačená forma] : text. – [slovenčina]. – [OV 030]. – ISBN 978-973-107-130-5 </t>
  </si>
  <si>
    <t xml:space="preserve">Kultúrny potenciál Slovákov v Rumunsku [textový dokument (print)]  [monografia (do 2021)] / Čukan, Jaroslav [Autor, UKFFFAKMK, 16%] ; Ďurakov, Viktor [Autor, UKFFFAKMK, 12%] ; Kurpaš, Michal [Autor, UKFFFAKMK, 16%] ; Letavajová, Silvia [Autor, UKFFFAKMK, 16%] ; Michalík, Boris [Autor, UKFFFAKMK, 16%] ; Zima, Roman [Autor, UKFFFAKMK, 12%] ; Žabenský, Marián [Autor, UKFFFAKMK, 12%] ; Kmeť, Miroslav [Recenzent] ; Beresecká, Janka [Recenzent]. – 1. vyd. – Nadlak (Rumunsko) : Vydavateľstvo - Editura Ivan Krasko, 2019. – 384 s. [tlačená forma] : text. – [slovenčina]. – [OV 020]. – ISBN 978-973-107-155-8 </t>
  </si>
  <si>
    <t xml:space="preserve">Kultúrny potenciál Slovákov v Srieme [textový dokument (print)]  [monografia (do 2021)] / Čukan, Jaroslav [Autor, UKFFFAKMK, 26%] ; Kurpaš, Michal [Autor, UKFFFAKMK, 24%] ; Michalík, Boris [Autor, UKFFFAKMK, 26%] ; Pap, Miroslav [Autor, UKFFFAKMK, 19%] ; Žabenský, Marián [Autor, UKFFFAKMK, 5%] ; Kmeť, Miroslav [Recenzent] ; Sklabinská, Milina [Recenzent]. – 1. vyd. – Báčsky Petrovec (Srbsko) : Slovenské vydavateľské centrum, 2018. – 254 s. [tlačená forma] : text. – [slovenčina]. – [OV 030]. – ISBN 978-86-7103-511-8 </t>
  </si>
  <si>
    <t xml:space="preserve">La esencia mágico-mítica y arquetípica de las obras escogidas de Miguel Ángel Asturias [textový dokument (print)]  [monografia (do 2021)] : el Gran Lengua desde la perspectiva de las investigaciones Eslovacas = The Magical, Mythical and Archetypal Essence of Selected Works of Miguel Ánge l Asturias. “El Gran Lengua” in the Context of Slovak Literary Investigation / Civáňová, Zuzana [Autor, UKFFFAKRO, 100%] ; Morales, Mario Roberto [Recenzent] ; Villagrán, Ariel Batres [Recenzent]. – 1. vyd. – Ciudad de Guatemala (Guatemala) : Editorial Cultura, 2019. – 103 s. [tlačená forma] : text. – [španielčina]. – [OV 020]. – ISBN 978-9929-774-30-8 </t>
  </si>
  <si>
    <t xml:space="preserve">La poesia antilirica: Edoardo Sanguineti, Adriano Spatola e Pier Paolo Pasolini tra gli anni Cinquanta e Sessanta [textový dokument (print)]  [monografia (do 2021)] / Gritti, Fabiano [Autor, UKFFFAKRO, 100%] ; Zaccarello, Michelangelo [Recenzent] ; Sorella, Antonio [Recenzent]. – 1. vyd. – Firenze (Taliansko) : Franco Cesati Editore, 2019. – 100 s. [tlačená forma] : text. – [taliančina]. – [OV 020]. – ISBN 978-88-7667-736-6 </t>
  </si>
  <si>
    <t xml:space="preserve">Labirynty Karola Horáka - twórcy teatralnego i literata [monografia (do 2021)] / Inštitorisová, Dagmar [Autor, UKFFFAKMR, 100%] ; Šebesta, Juraj [Recenzent] ; Šimon, Ladislav [Recenzent]. – 1. vyd. – Krakov (Poľsko) : Towarzystwo Slowaków w Polsce, 2018. – 144 s. [tlačená forma] : text. – [poľština]. – [OV 020]. – ISBN 978-83-8111-037-2 </t>
  </si>
  <si>
    <t xml:space="preserve">Machine Translation: Translation of the Future? [textový dokument (print)]  [monografia (do 2021)] : Machine Translation in the Context of the Slovak Language / Absolon, Jakub [Autor, UKFFFAKTR, 33%] ; Munková, Daša [Autor, UKFFFAKTR, 34%] ; Welnitzová, Katarína [Autor, UKFFFAKTR, 33%] ; Gadušová, Zdenka [Recenzent] ; Štefčík, Jozef [Recenzent]. – 1. vyd. – Praha (Česko) : Verbum, 2018. – 78 s. : text. – [angličtina]. – [OV 020]. – ISBN 978-80-87800-45-4 </t>
  </si>
  <si>
    <t xml:space="preserve">Medardo di Noyon [textový dokument (print)]  [monografia (do 2021)] : valori, perspettive e sfide / Pružinec, Tomáš [Autor, UKFFFAKFI, 100%] ; Tribout, Bertrand [Recenzent] ; Hegglin, Josef [Recenzent]. – 1. vyd. – Siena (Taliansko) : Edizioni Cantagalli, 2018. – 82 s. [tlačená forma] : text. – [taliančina]. – [OV 020]. – ISBN 978-88-6879-624-2 </t>
  </si>
  <si>
    <t xml:space="preserve">Mezi filosofií a teologií výchovy [textový dokument (print)]  [monografia (do 2021)] / Svobodová, Zuzana [Autor, 50%] ; Blaščíková, Andrea [Autor, UKFFFAKNS, 50%] ; Halík, Tomáš [Recenzent] ; Nemec, Rastislav [Recenzent]. – 1. vyd. – Praha (Česko) : Univerzita Karlova v Praze. Nakladatelství Karolinum, 2021. – 134 s. [tlačená forma] : text. – [čeština]. – [OV 010]. – ISBN 978-80-246-4902-3. – ISBN 978-80-246-4903-0 </t>
  </si>
  <si>
    <t xml:space="preserve">Milan Rastislav Štefánik v dramatickej tvorbe na Slovensku a v Čechách [textový dokument (print)]  [monografia (do 2021)] / Inštitorisová, Dagmar [Autor, UKFFFAKMR, 100%] ; Dudková, Jana [Recenzent] ; Kanis, Pavol [Recenzent]. – 1. vyd. – Bratislava (Slovensko) : Culture Positive ; Brno (Česko) : Stimul Group, 2019. – 160 s. [tlačená forma] : text. – [slovenčina]. – [OV 020]. – ISBN 978-80-971430-5-3. – ISBN 978-80-907470-0-5 </t>
  </si>
  <si>
    <t xml:space="preserve">Nádej umenia v dobe hyperestetiky [textový dokument (print)]  [monografia (do 2021)] : Antropologické aspekty súčasného umenia / Pariláková, Eva [Autor, UKFFFAULK, 100%] ; Mistrík, Erich [Recenzent] ; Kapsová, Eva [Recenzent]. – 1. vyd. – Červený Kostelec (Česko) : Nakladatelství Pavel Mervart, 2021. – 185 s. [tlačená forma] : text. – [slovenčina]. – [OV 020]. – ISBN 978-80-7465-473-2 </t>
  </si>
  <si>
    <t xml:space="preserve">Nástroje hodnotenia kompetencií učiteľa [textový dokument (print)]  [monografia (do 2021)] / Gadušová, Zdenka [Autor, UKFFFAKAA, 3.25%] ; Baďová, Petra [Autor, UKFFFAULK, 3.225%] ; Boboňová, Ivana [Autor, UKFFPVKMA, 3.225%] ; Čeretková, Soňa [Autor, UKFFPVKMA, 3.225%] ; Ďurková, Simona [Autor, UKFFFAKAA, 3.225%] ; Harťanská, Jana [Autor, UKFFFAKAA, 3.225%] ; Hašková, Alena [Autor, UKFPFAKTT, 3.225%] ; Hockicková, Beáta [Autor, UKFFFAKGE, 3.225%] ; Horváthová, Ivana [Autor, UKFFFAKAA, 3.225%] ; Chválová, Katarína [Autor, UKFFFAKRO, 3.225%] ; Jakubovská, Viera [Autor, UKFFFAKFI, 3.225%] ; Jonášková, Gabriela [Autor, UKFFFAKFI, 3.225%] ; Kramáreková, Hilda [Autor, UKFFPVKGR, 3.225%] ; Lalinská, Mária [Autor, UKFFFAKRO, 3.225%] ; Lomnický, Igor [Autor, UKFFFAKAE 06.2022, 3.225%] ; Magová, Lenka [Autor, UKFFFAKAE 06.2022, 3.225%] ; Malá, Eva [Autor, UKFPFAKLI, 3.225%] ; Markechová, Dagmar [Autor, UKFFPVKMA, 3.225%] ; Müglová, Daniela [Autor, UKFFFAKTR, 3.225%] ; Predanocyová, Ľubica [Autor, UKFFFAKFI, 3.225%] ; Sandanusová, Anna [Autor, UKFFPVKZA, 3.225%] ; Sládečková, Zuzana [Autor, UKFFFAKAE 06.2022, 3.225%] ; Stančeková, Svetlana [Autor, UKFFFAKRO, 3.225%] ; Stranovská, Eva [Autor, UKFFFAKGE, 3.225%] ; Szíjjártóová, Katarína [Autor, UKFPFAKPE, 3.225%] ; Šlosárová, Simona [Autor, UKFFFAKAE 06.2022, 3.225%] ; Švarbová, Eva [Autor, UKFFFAKRO, 3.225%] ; Tandlich, Tomáš [Autor, UKFFFAKHI, 3.225%] ; Tirpáková, Anna [Autor, UKFFPVKMA, 3.225%] ; Valovičová, Ľubomíra [Autor, UKFFPVKFY, 3.225%] ; Žilová, Ružena [Autor, UKFFFAKGE, 3.225%] ; Procházka, Miroslav [Recenzent] ; Petlák, Erich [Recenzent]. – 1. vyd. – Praha (Česko) : Verbum, 2019. – 197 s. [tlačená forma] : text. – [slovenčina]. – [OV 010]. – ISBN 978-80-87800-53-9 </t>
  </si>
  <si>
    <t xml:space="preserve">Notes on Discrete Mathematics [textový dokument (print)]  [monografia (do 2021)] / Ďuriš, Viliam [Autor, UKFFPVKMA, 50%] ; Lengyelfalusy, Tomáš [Autor, KŠDI, 50%] ; Vyklyuk, Yaroslav [Recenzent] ; Rüütmann, Tiia [Recenzent]. – 1. vyd. – Karlsruhe (Nemecko) : Ste-Con, 2019. – 163 s. [6,28 AH] : text. – [angličtina]. – [OV 240]. – ISBN 978-3-945862-33-9 </t>
  </si>
  <si>
    <t xml:space="preserve">Notes on Number Theory [textový dokument (print)]  [monografia (do 2021)] / Ďuriš, Viliam [Autor, UKFFPVKMA, 100%] ; Georgiev, Vladimir [Recenzent] ; Ulovec, Andreas [Recenzent]. – 1. vyd. – Praha (Česko) : Verbum, 2020. – 141 s. [tlačená forma] : text. – [angličtina]. – [OV 240]. – ISBN 978-80-87800-63-8 </t>
  </si>
  <si>
    <t xml:space="preserve">Nové prístupy vo vyučovaní slovenčiny ako cudzieho jazyka [textový dokument (print)]  [monografia (do 2021)] / Pavlová, Renáta [Autor, UKFFFAJZC, 100%] ; Glovňa, Juraj [Recenzent] ; Ježó Garančovská, Lenka [Recenzent]. – 1. vyd. – Nümbrecht (Nemecko) : Kirsch-Verlag, 2020. – 250 s. [tlačená forma] : text. – [slovenčina]. – [OV 010]. – ISBN 978-3-943906-48-6 </t>
  </si>
  <si>
    <t xml:space="preserve">Osobitosti prežitého násilia u žien so zdravotným postihnutím (vybrané aspekty sociálnych služieb a poradenstva) [textový dokument (print)]  [monografia (do 2021)] / Rác, Ivan [Autor, UKFFSVURS, 90%] ; Farkašová, Monika [Autor, 10%] ; Kwadrans, Lukasz [Recenzent] ; Tokolyová, Vlasta [Recenzent]. – 1. vyd. – Praha (Česko) : Hnutí R, 2018. – 87 s. [tlačená forma] : text. – [slovenčina]. – [OV 060]. – ISBN 978-80-86798-86-8 </t>
  </si>
  <si>
    <t xml:space="preserve">Postavenie a význam assessment centier pri znižovaní fluktuácie zamestnancov [textový dokument (print)]  [monografia (do 2021)] / Petrová, Gabriela [Autor, UKFPFAKPE, 50%] ; Zimanová, Radka [Autor, UKFPFAKPE, 50%] ; Müller De Morais, Marianna [Recenzent] ; Veteška, Jaroslav [Recenzent]. – 1. vyd. – Praha (Česko) : Česká andragogická společnost, 2018. – 72 s. [tlačená forma] : text. – (Česká a slovenská andragogika ; 18). – [slovenčina]. – [OV 060]. – ISBN 978-80-906894-6-6 </t>
  </si>
  <si>
    <t xml:space="preserve">Pragmatické a syntaktické aspekty porozumenia textov ranej novej hornej nemčiny zo Slovenska [textový dokument (print)]  [monografia (do 2021)] / Weiss, Ervín [Autor, UKFFFAKGE, 34%] ; Kretterová, Ľudmila [Autor, 33%] ; Szabó, Erzsébet [Autor, UKFFFAKGE, 33%] ; Müglová, Daniela [Recenzent] ; Mayerová, Erika [Recenzent]. – 1. vyd. – Praha (Česko) : Verbum, 2019. – 139 s. [tlačená forma]. – [nemčina]. – [OV 020]. – ISBN 978-80-87800-60-7 </t>
  </si>
  <si>
    <t xml:space="preserve">Problémové aspekty výučby biofyziky [textový dokument (print)]  [monografia (do 2021)] / Balázsiová, Zuzana [Autor, UKOLFULFB, 64%] ; Balázsi, Matej [Autor, 1%] ; Kosnáč, Daniel [Autor, UKOLFULFB, 7%] ; Kráľová, Eva [Autor, UKOLFULFB, 10%] ; Líšková, Miroslava [Autor, UKFFSVKOS, 12%] ; Mankovecká, Monika [Autor, UKFFSVKUM, 2%] ; Martauzová, Lenka [Autor, 2%] ; Kosnáčová, Helena [Autor, UKOLFULFB, 2%] ; Nodzynska, Malgorzata Krystyna [Recenzent] ; Brázdilová, Dana [Recenzent]. – 1. vyd. – Praha (Česko) : Evropská asociace pro fototerapii, 2019. – 142 s. [tlačená forma] : text. – [slovenčina]. – [OV 180]. – ISBN 978-80-87861-14-1. – SIGN-UKO LF ULFB/19 </t>
  </si>
  <si>
    <t xml:space="preserve">Profesionalizácia sociálnych služieb ako základný predpoklad plnenia ich inkluzívneho poslania [textový dokument (print)]  [monografia (do 2021)] / Lehoczká, Lýdia [Autor, UKFFSVURS, 100%] ; Marzec, Danuta [Recenzent] ; Maliňáková, Danka [Recenzent]. – 1. vyd. – Warszawa (Poľsko) : Ośrodek Wydawniczo-Poligraficzny “SIM”, 2019. – 73 s. [tlačená forma] : text. – [slovenčina]. – [OV 060]. – ISBN 978-83-64157-66-0 </t>
  </si>
  <si>
    <t xml:space="preserve">Prolegomena k pramotívu premeny [textový dokument (print)]  [monografia (do 2021)] / Danišová, Nikola [Autor, UKFFFAULK, 30%] ; Čechová, Mariana [Autor, UKFFFAULK, 70%] ; Biliński, Krzysztof [Recenzent] ; Maiello, Guiseppe [Recenzent]. – 1. vyd. – Praha (Česko) : Verbum, 2019. – 117 s. [tlačená forma] : text. – [slovenčina]. – [OV 020]. – ISBN 978-80-87800-52-2 </t>
  </si>
  <si>
    <t xml:space="preserve">Reflexia aktuálnych poznatkov o kompetenciách učiteľa [textový dokument (print)]  [monografia (do 2021)] / Sandanusová, Anna [Autor, UKFFPVKZA, 3.04%] ; Baďová, Petra [Autor, UKFFFAULK, 3.03%] ; Boboňová, Ivana [Autor, UKFFPVKMA, 3.03%] ; Čeretková, Soňa [Autor, UKFFPVKMA, 3.03%] ; Ďurková, Simona [Autor, UKFFFAKAA, 3.03%] ; Ficzere, Anikó [Autor, UKFFSSKCR, 3.03%] ; Gadušová, Zdenka [Autor, UKFFFAKAA, 3.03%] ; Harťanská, Jana [Autor, UKFFFAKAA, 3.03%] ; Hašková, Alena [Autor, UKFPFAKTT, 3.03%] ; Hockicková, Beáta [Autor, UKFFFAKGE, 3.03%] ; Horváthová, Božena [Autor, UKFPFAKLI, 3.03%] ; Jakubovská, Viera [Autor, UKFFFAKFI, 3.03%] ; Jonášková, Gabriela [Autor, UKFFFAKFI, 3.03%] ; Kramáreková, Hilda [Autor, UKFFPVKGR, 3.03%] ; Krejčová, Kristýna [Autor, 3.03%] ; Lalinská, Mária [Autor, UKFFFAKRO, 3.03%] ; Lomnický, Igor [Autor, UKFFFAKAE 06.2022, 3.03%] ; Magová, Lenka [Autor, UKFFFAKAE 06.2022, 3.03%] ; Malá, Eva [Autor, UKFPFAKLI, 3.03%] ; Markechová, Dagmar [Autor, UKFFPVKMA, 3.03%] ; Müglová, Daniela [Autor, UKFFFAKTR, 3.03%] ; Kumar Mistra, Pradeep [Autor, 3.03%] ; Predanocyová, Ľubica [Autor, UKFFFAKFI, 3.03%] ; Sládečková, Zuzana [Autor, UKFFFAKAE 06.2022, 3.03%] ; Stranovská, Eva [Autor, UKFFFAKGE, 3.03%] ; Szíjjártóová, Katarína [Autor, UKFPFAKPE, 3.03%] ; Stančeková, Svetlana [Autor, UKFFFAKRO, 3.03%] ; Šlosárová, Simona [Autor, UKFFFAKAE 06.2022, 3.03%] ; Švarbová, Eva [Autor, UKFFFAKRO, 3.03%] ; Tandlich, Tomáš [Autor, UKFFFAKHI, 3.03%] ; Tirpáková, Anna [Autor, UKFFPVKMA, 3.03%] ; Žilová, Ružena [Autor, UKFFFAKGE, 3.03%] ; Dytrtová, Radmila [Recenzent] ; Petlák, Erich [Recenzent]. – 1. vyd. – Praha (Česko) : Verbum, 2018. – 272 s. [tlačená forma] : text. – [slovenčina]. – [OV 010]. – ISBN 978-80-87800-48-5 </t>
  </si>
  <si>
    <t xml:space="preserve">Reflexia tela a telesnosti v kontexte súčasného umenia a digitálnych médií [textový dokument (print)]  [monografia (do 2021)] / Jakubovská, Viera [Autor, UKFFFAKFI, 30%] ; Waldnerová, Jana [Autor, UKFFFAKAA, 20%] ; Gáliková Tolnaiová, Sabína [Autor, UCMFMKKPHV, 25%] ; Jakubovská, Kristína [Autor, UKFFFAKKU, 15%] ; Al-ali, Jalal [Autor, UKFFFADE2, 10%] ; Adamka, Pavol [Recenzent] ; Keruľová, Marta [Recenzent]. – 1. vyd. – Boskovice (Česko) : František Šalé - Albert, 2018. – 141 s. [tlačená forma] : text. – [slovenčina]. – [OV 060, 020]. – ISBN 978-80-7326-295-2 </t>
  </si>
  <si>
    <t xml:space="preserve">Riflessioni sull'escatologia negli Scritti maggiori di Hugo Rahner [textový dokument (print)]  [monografia (do 2021)] / Hlad, Ľubomír [Autor, UKFFFAKNS, 50%] ; Judák, Viliam [Autor, UKORKCD, 50%] ; Nitrola, Antonio [Recenzent] ; Millás, José M. [Recenzent]. – 1. vyd. – Jihlava (Česko) : Vysoká škola aplikované psychologie, 2019. – 137 s. [tlačená forma] : text. – [taliančina]. – [OV 020]. – ISBN 978-80-87871-06-5. – SIGN-UKO RK 4/19 </t>
  </si>
  <si>
    <t xml:space="preserve">Roma ethnicity and culture [monografia (do 2021)] / Štrbová, Monika [Autor, UKFFFAKSO, 100%] ; Kyuchukov, Hristo [Recenzent] ; Balvín, Jaroslav [Recenzent]. – 1. vyd. – Katowice (Poľsko) : Studio - NOA, 2018. – 110 s. [tlačená forma] : text. – [angličtina]. – [OV 060]. – ISBN 978-83-60071-92-2 </t>
  </si>
  <si>
    <t xml:space="preserve">Selected Factors and Successfulness in the Process of Foreign Language Learning (49. Lingua : Fremdsprachenunterricht in Forschung und Praxis) [textový dokument (print)]  [monografia (do 2021)] / Stranovská, Eva [Autor, UKFFFAKGE, 50%] ; Hvozdíková, Silvia [Autor, UKFFFAKAA, 25%] ; Munková, Daša [Autor, UKFFFAKTR, 25%] ; Lojová, Gabriela [Recenzent] ; Gadušová, Zdenka [Recenzent]. – 1. vyd. – Hamburg (Nemecko) : Verlag Dr. Kovač, 2019. – 120 s. [tlačená forma] : text. – [angličtina]. – [OV 010]. – ISBN 978-3-339-10926-2. – ISSN 1614-5550 </t>
  </si>
  <si>
    <t xml:space="preserve">Skúmanie cudzojazyčných a metodických kompetencií učiteľa anglického jazyka a ich vplyvu na deti na predprimárnom stupni vzdelávania [textový dokument (print)]  [monografia (do 2021)] / Horváthová, Ivana [Autor, UKFFFAKAA, 100%] ; Hricková, Mária [Recenzent] ; Straková, Zuzana [Recenzent]. – 1. vyd. – Praha (Česko) : Verbum, 2021. – 160 s. [tlačená forma]. – [slovenčina]. – [OV 010]. – ISBN 978-80-87800-94-2 </t>
  </si>
  <si>
    <t xml:space="preserve">Slovak Mass Media in the  21st Century [textový dokument (print)] [elektronický dokument]  [monografia (do 2021)] : Current Challenges / Dobrotková, Miroslava [Autor, UKFFFAKZU, 25%] ; Bekmatov, Artur [Autor, 25%] ; Chlebcová Hečková, Andrea [Autor, UKFFFAKZU, 25%] ; Kuciak, Ján [Autor, 25%]. – 1. vyd. – Berlín (Nemecko) : Peter Lang, 2019. – 112 s. [tlačená forma] [online] : text. – (Studies in Communication and Politics, ISSN 2197-1625 ; 10). – [angličtina]. – [OV 060]. – [recenzované]. – ISBN 978-3-631-79634-4. – DOI 10.3726/b16059 </t>
  </si>
  <si>
    <t xml:space="preserve">Solving selected Mathematical tasks in Matlab® computing environment [textový dokument (print)]  [monografia (do 2021)] / Ďuriš, Viliam [Autor, UKFFPVKMA, 100%] ; Tirpáková, Anna [Recenzent] ; Chumarov, Sergey [Recenzent]. – 1. vyd. – Praha (Česko) : Verbum, 2020. – 210 s. [tlačená forma] : text. – [angličtina]. – [OV 240]. – ISBN 978-80-87800-68-3 </t>
  </si>
  <si>
    <t xml:space="preserve">Solving Timetable Problem with Constraint Satisfaction Method [textový dokument (print)]  [monografia (do 2021)] / Ďuriš, Viliam [Autor, UKFFPVKMA, 100%] ; Vyklyuk, Yaroslav [Recenzent] ; Moser, Daniela [Recenzent]. – 1. vyd. – Karlsruhe (Nemecko) : Ste-Con, 2020. – 80 s. [tlačená forma] : text. – [angličtina]. – [OV 240]. – ISBN 978-3-945862-35-3 </t>
  </si>
  <si>
    <t xml:space="preserve">Speciální ošetřovatelské intervence v intenzivním, dermatovenerologickém a gynekologickém ošetřovatelství [elektronický dokument]  [monografia (do 2021)] / Archalousová, Alexandra [Autor, UKFFSVKOS, 34%] ; Krištofová, Erika [Autor, UKFFSVKOS, 33%] ; Pavelová, Ľuboslava [Autor, UKFFSVKOS, 33%] ; Andraščíková, Štefánia [Recenzent] ; Šupínová, Mária [Recenzent]. – 1. vyd. – Plzeň (Česko) : Západočeská univerzita v Plzni, 2018. – 102 s. [CD-ROM] : text. – [čeština]. – [OV 180]. – ISBN 978-80-261-0821-4 </t>
  </si>
  <si>
    <t xml:space="preserve">Speciální ošetřovatelské intervence v porodnicko neonatologickém, pediatrickém a komunitním ošetřovatelství [elektronický dokument]  [monografia (do 2021)] / Archalousová, Alexandra [Autor, UKFFSVKOS, 34%] ; Krištofová, Erika [Autor, UKFFSVKOS, 33%] ; Pavelová, Ľuboslava [Autor, UKFFSVKOS, 33%] ; Eliašová, Anna [Recenzent] ; Repiská, Libuša [Recenzent]. – 1. vyd. – Plzeň (Česko) : Západočeská univerzita v Plzni, 2018. – 123 s. [CD-ROM] : text. – [čeština]. – [OV 180]. – ISBN 978-80-261-0824-5 </t>
  </si>
  <si>
    <t xml:space="preserve">Spiritual-Religious Literature Through the Lens of Comparative Imagology [textový dokument (print)]  [monografia (do 2021)] / Bárcziová, Žofia [Autor, UKFFSSUML, 25%] ; Gallik, Ján [Autor, UKFFSSUSJ, 25%] ; Hlavinová Tekeliová, Dominika [Autor, UKFFSSUSJ, 25%] ; Tkáč-Zabáková, Lenka [Autor, UKFFSSUSJ, 25%] ; Hricková, Mária [Recenzent] ; Pokrivčák, Anton [Recenzent]. – 1. vyd. – Brno (Česko) : Masaryk University Press, 2020. – 112 s. [tlačená forma] : text. – [angličtina]. – [OV 020]. – ISBN 978-80-210-9764-3. – SCO </t>
  </si>
  <si>
    <t xml:space="preserve">Špeciálne ošetrovateľské intervencie v geriatrickom, onkologickom a paliatívnom ošetrovateľstve [elektronický dokument]  [monografia (do 2021)] / Poledníková, Ľubica [Autor, UKFFSVKOS, 34%] ; Slamková, Alica [Autor, UKFFSVKOS, 33%] ; Spáčilová, Zuzana [Autor, UKFFSVKOS, 33%] ; Andraščíková, Štefánia [Recenzent] ; Archalousová, Alexandra [Recenzent]. – 1. vyd. – Plzeň (Česko) : Západočeská univerzita v Plzni, 2018. – 104 s. [CD-ROM] : text. – [slovenčina]. – [OV 180]. – ISBN 978-80-261-0823-8 </t>
  </si>
  <si>
    <t xml:space="preserve">Špeciálne ošetrovateľské intervencie v internom, neurologickom a psychiatrickom ošetrovateľstve [elektronický dokument]  [monografia (do 2021)] / Líšková, Miroslava [Autor, UKFFSVKOS, 34%] ; Solgajová, Andrea [Autor, UKFFSVKOS, 33%] ; Zrubcová, Dana [Autor, UKFFSVKOS, 33%] ; Libová, Ľubica [Recenzent] ; Laurinc, Milan [Recenzent]. – 1. vyd. – Plzeň (Česko) : Západočeská univerzita v Plzni, 2018. – 100 s. [CD-ROM] : text. – [slovenčina]. – [OV 180]. – ISBN 978-80-261-0822-1 </t>
  </si>
  <si>
    <t xml:space="preserve">Štrukturalizácia poznatkov o zlomkoch a niektoré jej špecifiká [textový dokument (print)]  [monografia (do 2021)] / Pavlovičová, Gabriela [Autor, UKFFPVKMA, 50%] ; Vargová, Lucia [Autor, UKFFPVKMA, 40%] ; Švecová, Valéria [Autor, UKFFPVKMA, 10%] ; Hanzel, Pavol [Recenzent] ; Mačutek, Ján [Recenzent]. – 1. vyd. – Ludenscheid (Nemecko) : RAM-Verlag, 2020. – 190 s. [tlačená forma] : text. – [slovenčina]. – [OV 010, 240]. – ISBN 978-3-942303-94-1 </t>
  </si>
  <si>
    <t xml:space="preserve">Talent in Sport [textový dokument (print)]  [monografia (do 2021)] : (selection, identification and development) / Šimonek, Jaromír [Autor, UKFPFAKTV, 50%] ; Židek, Radoslav [Autor, SPUFBP05, 50%] ; Horváth, Rudolf [Recenzent] ; Kasarda, Radovan [Recenzent]. – 1. vyd. – Ústí nad Labem (Česko) : Univerzita Jana Evangelisty Purkyně v Ústí nad Labem, 2019. – 102 s. [tlačená forma] : text. – [angličtina]. – [OV 210, 190, 010]. – ISBN 978-80-7561-188-8 </t>
  </si>
  <si>
    <t xml:space="preserve">Társadalom és névhasználat [textový dokument (print)]  [monografia (do 2021)] : Magyar névtani kutatások Szlovákiában / Bauko, Ján [Autor, UKFFSSUML, 100%] ; Juhász, Dezső [Recenzent] ; Sándorová, Anna [Recenzent]. – 1. vyd. – Budapešť (Maďarsko) : Magyar Nyelvtudományi Társaságot, 2019. – 230 s. [tlačená forma] : text. – [slovenčina, angličtina, maďarčina]. – [OV 020]. – ISBN 978-963-489-109-3 </t>
  </si>
  <si>
    <t xml:space="preserve">Teoretychni zasady vyvchennia konversii ta prefiksacii v anglijskij movi [textový dokument (print)]  [monografia (do 2021)] = Theoretical foundations of learning conversion and prefixation in English / Ruda, Olga [Autor, UKFFFAKAA, 100%] ; Pomirko, Roman [Recenzent] ; Kuprina, Tamara Vladimirovna [Recenzent]. – 1. vyd. – Ľvov (Ukrajina) : Prostir-M, 2018. – 278 s. [tlačená forma] : text. – [ukrajinčina]. – [OV 020]. – ISBN 978-617-7501-75-5 </t>
  </si>
  <si>
    <t xml:space="preserve">The City and Region Against the Backdrop of Totalitarianism [textový dokument (print)]  [monografia (do 2021)] : Images from the Life in the Slovak Republic (1939-1945), Illustrated by the City of Nitra and Its Surroundings / Palárik, Miroslav [Autor, UKFFFAKHI, 30%] ; Mikulášová, Alena [Autor, UKFFFAKHI, 30%] ; Hetényi, Martin [Autor, UKFFFAUKD, 23%] ; Arpáš, Róbert [Autor, UKFFFAKHI, 17%] ; Kamenec, Ivan [Recenzent] ; Rychlík, Jan [Recenzent]. – 1. vyd. – Berlín (Nemecko) : Peter Lang, 2018. – 280 s. [tlačená forma] : text. – (Studies in politics, security and society ; 17). – [angličtina]. – [OV 030]. – ISBN 978-3-631-74581-6. – ISBN (online) 978-3-631-74582-3. – ISBN (online) 978-3-631-74583-0. – ISBN (online) 978-3-631-74584-7. – DOI 10.3726/b13394 </t>
  </si>
  <si>
    <t xml:space="preserve">The Different Lifestyles of Roma Families [textový dokument (print)]  [monografia (do 2021)] / Šarvajcová, Marcela [Autor, UKFFFAKSO, 100%] ; Kyuchukov, Hristo [Recenzent] ; Balvín, Jaroslav [Recenzent]. – 1. vyd. – Katowice (Poľsko) : Studio - NOA, 2018. – 116 s. [tlačená forma] : text. – [angličtina]. – [OV 060]. – ISBN 978-83-60071-98-4 </t>
  </si>
  <si>
    <t xml:space="preserve">The Kiev Leaflets as Folia Glagolitica Zempliniensia [textový dokument (print)]  [monografia (do 2021)] / Diweg-Pukanec, Martin [Autor, UKFFFASJL, 100%] ; Kralčák, Ľubomír [Recenzent] ; Žeňuch, Peter [Recenzent]. – 1. vyd. – Londýn (Veľká Británia) : Cambridge Scholars Publishing, 2020. – 144 s. [tlačená forma] : text. – [angličtina]. – [OV 020]. – ISBN 978-1-5275-5952-3 </t>
  </si>
  <si>
    <t xml:space="preserve">The World behind the World [textový dokument (print)]  [monografia (do 2021)] : Intercultural Processes of European Civilization / Wiedermann, Egon [Autor, UKFFFAKMU, 80%] ; Vladár, Jozef [Autor, 20%]. – 1. vyd. – Berlin (Nemecko) : Peter Lang, 2020. – 199 s. [tlačená forma]. – [angličtina]. – [OV 030]. – [recenzované]. – ISBN 978-3-631-80262-5. – SCO </t>
  </si>
  <si>
    <t xml:space="preserve">Theoretisch-pragmatische Reflexionen zur interlingualen Übersetzung ausgewählter Textsorten des Strafprozessrechts [textový dokument (print)]  [monografia (do 2021)] : (Deutsch-Slowakisch) / Wrede, Oľga [Autor, UKFFFAKGE, 100%] ; Müglová, Daniela [Recenzent] ; Kučiš, Vlasta [Recenzent]. – 1. vyd. – Hamburg (Nemecko) : Verlag Dr. Kovač, 2020. – 394 s. [tlačená forma] : text. – [nemčina]. – [OV 010, 020]. – ISBN 978-3-339-12124-0 </t>
  </si>
  <si>
    <t xml:space="preserve">Tratado de semiótica escéptica [textový dokument (print)]  [monografia (do 2021)] / Lampis, Mirko [Autor, UKFFFAKRO, 100%] ; Alés, Francisco Linares [Recenzent] ; de la Torre, Edyta Waluch [Recenzent]. – 1. vyd. – Sevilla (Španielsko) : Alfar, 2018. – 182 s. : text. – [španielčina]. – [OV 020]. – ISBN 978-84-7898-752-8 </t>
  </si>
  <si>
    <t xml:space="preserve">Třetí vlna v kognitivně-behaviorální terapii [textový dokument (print)]  [monografia (do 2021)] : nové směry / Šlepecký, Miloš [Autor, UKFFSVKPV, 70%] ; Praško Pavlov, Ján [Autor, UKFFSVKPV, 10%] ; Kotianová, Antónia [Autor, UKFFSVKPV, 10%] ; Vyskočilová, Jana [Autor, 10%] ; Možný, Petr [Recenzent]. – 1. vyd. – Praha (Česko) : Portál, 2018. – 231 s. : text. – [čeština]. – [OV 060]. – ISBN 978-80-262-1340-6 </t>
  </si>
  <si>
    <t xml:space="preserve">Učiteľ a žiak v školskom systéme cez prizmu čitateľskej gramotnosti [textový dokument (print)]  [monografia (do 2021)] / Šarvajcová, Marcela [Autor, UKFFFAKSO, 34%] ; Štrbová, Monika [Autor, UKFFFAKSO, 33%] ; Selická, Denisa [Autor, UKFFFAKSO, 33%] ; Mareková, Hermína [Recenzent] ; Gallik, Ján [Recenzent]. – 1. vyd. – Praha (Česko) : Verbum, 2020. – 126 s. [tlačená forma] : text. – [slovenčina]. – [OV 010, 060]. – ISBN 978-80-87800-79-9 </t>
  </si>
  <si>
    <t xml:space="preserve">Volunteering  as a Multicultural Value for Community Social Care [textový dokument (print)]  [monografia (do 2021)] / Lehoczká, Lýdia [Autor, UKFFSVURS, 100%] ; Wagner, Iwona [Recenzent] ; Maliňáková, Danka [Recenzent]. – 1. vyd. – Warszawa (Poľsko) : Ośrodek Wydawniczo-Poligraficzny “SIM”, 2020. – 74 s. [tlačená forma] : text. – [angličtina]. – [OV 060]. – ISBN 978-83-64157-74-5 </t>
  </si>
  <si>
    <t xml:space="preserve">Výskum hodnotenia kompetencií učiteľa [monografia (do 2021)] / Stranovská, Eva [Autor, UKFFFAKGE, 3.125%] ; Baďová, Petra [Autor, UKFFFAULK, 3.125%] ; Boboňová, Ivana [Autor, 3.125%] ; Čeretková, Soňa [Autor, UKFFPVKMA, 3.125%] ; Ďurková, Simona [Autor, UKFFFAKAA, 3.125%] ; Gadušová, Zdenka [Autor, UKFFFAKAA, 3.125%] ; Harťanská, Jana [Autor, UKFFFAKAA, 3.125%] ; Hašková, Alena [Autor, UKFPFAKTT, 3.125%] ; Hockicková, Beáta [Autor, UKFFFAKGE, 3.125%] ; Horváthová, Ivana [Autor, UKFFFAKAA, 3.125%] ; Chválová, Katarína [Autor, UKFFFAKRO, 3.125%] ; Jakubovská, Viera [Autor, UKFFFAKFI, 3.125%] ; Jonášková, Gabriela [Autor, UKFFFAKFI, 3.125%] ; Kramáreková, Hilda [Autor, UKFFPVKGR, 3.125%] ; Labancová, Veronika [Autor, UKFFFAKRO, 3.125%] ; Lalinská, Mária [Autor, UKFFFAKRO, 3.125%] ; Lewandowska, Elwíra [Autor, 3.125%] ; Lomnický, Igor [Autor, UKFFFAKAE 06.2022, 3.125%] ; Magová, Lenka [Autor, UKFFFAKAE 06.2022, 3.125%] ; Malá, Eva [Autor, UKFPFAKLI, 3.125%] ; Markechová, Dagmar [Autor, UKFFPVKMA, 3.125%] ; Müglová, Daniela [Autor, UKFFFAKTR, 3.125%] ; Predanocyová, Ľubica [Autor, UKFFFAKFI, 3.125%] ; Sandanusová, Anna [Autor, UKFFPVKZA, 3.125%] ; Stančeková, Svetlana [Autor, UKFFFAKRO, 3.125%] ; Szíjjártóová, Katarína [Autor, UKFPFAKPE, 3.125%] ; Šovčíková, Petronela [Autor, UKFFPVKMA, 3.125%] ; Švarbová, Eva [Autor, UKFFFAKRO, 3.125%] ; Tandlich, Tomáš [Autor, UKFFFAKHI, 3.125%] ; Tirpáková, Anna [Autor, UKFFPVKMA, 3.125%] ; Valovičová, Ľubomíra [Autor, UKFFPVKFY, 3.125%] ; Žilová, Ružena [Autor, UKFFFAKGE, 3.125%] ; Petlák, Erich [Recenzent] ; Cimermanová, Ivana [Recenzent]. – 1. vyd. – Praha (Česko) : Verbum, 2018. – 373 s. [tlačená forma] : text. – [slovenčina]. – [OV 010]. – ISBN 978-80-87800-43-0 </t>
  </si>
  <si>
    <t xml:space="preserve">Wie irrt die Maschine? [textový dokument (print)]  [monografia (do 2021)] : Probleme der maschinellen Übersetzung / Bánik, Tomáš [Autor, UKFFFASJL, 20%] ; Benko, Ľubomír [Autor, UKFFPVKIN, 20%] ; Machová, Renáta [Autor, UKFFFAJZC, 20%] ; Munk, Michal [Autor, UKFFPVKIN, 20%] ; Munková, Daša [Autor, UKFFFAKTR, 20%] ; Müglová, Daniela [Recenzent]. – 1. vyd. – Hamburg (Nemecko) : Verlag Dr. Kovač, 2019. – 204 s. [tlačená forma] : text. – [nemčina]. – [OV 020]. – ISBN 978-3-339-10626-1 </t>
  </si>
  <si>
    <t xml:space="preserve">Writing Proficiency in English at the Primary School Level in Slovakia [textový dokument (print)]  [monografia (do 2021)] : Looking Back and Moving Forward / Burcl, Pavol [Autor, UKFFFAJZC, 100%]. – 1. vyd. – Berlín (Nemecko) : Peter Lang, 2020. – 191 s. [tlačená forma] : text. – [angličtina]. – [OV 010, 020]. – [recenzované]. – ISBN 978-3-631-73768-2. – SCO </t>
  </si>
  <si>
    <t xml:space="preserve">Zobor-vidék története [textový dokument (print)]  [monografia (do 2021)] = Dejiny Podzoboria / Pintérová, Beáta [Autor, UKFFFAKHI, 100%] ; Fehér, Sándor [Recenzent] ; Csuthy, András [Recenzent]. – 1. vyd. – Budapešť (Maďarsko) : Gondolat Kiadó, 2018. – 451 s. [tlačená forma] : text. – [slovenčina, maďarčina]. – [OV 030]. – ISBN 978-963-693-911-3 </t>
  </si>
  <si>
    <t>AAB - Vedecké monografie vydané v domácich vydavateľstvách</t>
  </si>
  <si>
    <t xml:space="preserve">A szlovákiai magyarok politikai identitása 1989-1990-ben [monografia (do 2021)] / Mészárosová, Zuzana [Autor, UKFFFAKPO, 100%] ; Kurucz, Milan [Recenzent] ; Popély, Árpád [Recenzent]. – 1. vyd. – Šamorín (Slovensko) : Fórum inštitút pre výskum menšín, 2020. – 240 s. [online] [tlačená forma] : text. – (Nostra Tempore ; 29). – [maďarčina]. – [OV 060]. – ISBN 978-80-89978-15-1 </t>
  </si>
  <si>
    <t xml:space="preserve">Agilita v športe [textový dokument (print)]  [monografia (do 2021)] / Šimonek, Jaromír [Autor, UKFPFAKTV, 50%] ; Horička, Pavol [Autor, UKFPFAKTV, 50%] ; Zemková, Erika [Recenzent] ; Mačura, Peter [Recenzent]. – 1. vyd. – Nitra (Slovensko) : Univerzita Konštantína Filozofa v Nitre, 2020. – 160 s. [tlačená forma] : text, graf., tab., obr. – [slovenčina]. – [OV 210]. – ISBN 978-80-558-1566-4. – SIGN-UKO TV EXTV </t>
  </si>
  <si>
    <t xml:space="preserve">Animal Biotechnology 3 [textový dokument (print)]  [monografia (do 2021)] / Strejček, František [Autor, UKFFPVKBG, 40%] ; Bauerová, Mária [Autor, UKFFPVKBG, 5%] ; Bartková, Alexandra [Autor, UKFFPVKBG, 5%] ; Benc, Michal [Autor, UKFFPVKZA, 5%] ; Besenfelder, Urban [Autor, 1%] ; Brem, Gottfried [Autor, 1%] ; Havlíček, Vítězslav [Autor, 1%] ; Hyttel, Poul [Autor, 1%] ; Laurinčík, Jozef [Autor, UKFFPVKZA, 13%] ; Martiniaková, Monika [Autor, UKFFPVKZA, 5%] ; Morovič, Martin [Autor, UKFFPVKZA, 5%] ; Murín, Matej [Autor, UKFFPVKBG, 5%] ; Niemann, Heiner [Autor, 1%] ; Omelka, Radoslav [Autor, UKFFPVKBG, 5%] ; Pendovski, Lazo [Autor, 1%] ; Petersen, Bjoem [Autor, 1%] ; Petkov, Stoyan [Autor, 1%] ; Rath, Detlef [Autor, 1%] ; Sandoe, Peter [Autor, 1%] ; Christiansen, Stine B. [Autor, 1%] ; Trandžík, Jozef [Autor, 1%] ; Strejček, František [Zostavovateľ, editor, UKFFPVKBG, 100%] ; Lukáč, Norbert [Recenzent] ; Massanyi, Peter [Recenzent]. – 1. vyd. – Nitra (Slovensko) : Univerzita Konštantína Filozofa v Nitre, 2019. – 157 s. [tlačená forma]. – [angličtina]. – [OV 130]. – ISBN 978-80-558-1336-3 </t>
  </si>
  <si>
    <t xml:space="preserve">Archetypálna estetika obydlí [textový dokument (print)]  [monografia (do 2021)] / Baďová, Petra [Autor, UKFFFAULK, 100%] ; Dadejík, Ondřej [Recenzent] ; Pariláková, Eva [Recenzent]. – 1. vyd. – Nitra (Slovensko) : Univerzita Konštantína Filozofa v Nitre, 2020. – 138 s. [tlačená forma] : text, ilustr., fotogr. – [slovenčina]. – [OV 020]. – ISBN 978-80-558-1594-7 </t>
  </si>
  <si>
    <t xml:space="preserve">Ausgewählte Aspekte zur Phonetik im Fach Deutsch als Fremdsprache [textový dokument (print)]  [monografia (do 2021)] / Chebenová, Viera [Autor, UKFFFAKGE, 50%] ; Molnárová, Andrea [Autor, UKFFFAKMK, 50%] ; Müglová, Daniela [Recenzent] ; Grežová, Ivana [Recenzent]. – 1. vyd. – Nitra (Slovensko) : Univerzita Konštantína Filozofa v Nitre, 2020. – 164 s. [tlačená forma] : text. – [slovenčina]. – [OV 010, 020]. – ISBN 978-80-558-1539-8 </t>
  </si>
  <si>
    <t xml:space="preserve">Babylon armád [textový dokument (print)]  [monografia (do 2021)] : boje medzi Ipľom a Hronom, zima 1944-1945 / Šteiner, Pavol [Autor, UKFFFAKMU, 100%] ; Chrastina, Peter [Recenzent] ; Klubert, Tomáš [Recenzent]. – 1. vyd. – Bratislava (Slovensko) : Magnet Press Slovakia, 2018. – 160 s. [tlačená forma]. – [slovenčina]. – [OV 030]. – ISBN 978-80-89169-44-3 </t>
  </si>
  <si>
    <t xml:space="preserve">Babylon armád (2) [textový dokument (print)]  [monografia (do 2021)] : boje medzi Hronom a Váhom, február - apríl 1945 / Šteiner, Pavol [Autor, UKFFFAKMU, 100%] ; Klubert, Tomáš [Recenzent] ; Chrastina, Peter [Recenzent]. – 1. vyd. – Bratislava (Slovensko) : Magnet Press Slovakia, 2019. – 184 s. [tlačená forma] : text. – [slovenčina]. – [OV 030, 060]. – ISBN 978-80-89169-65-8 </t>
  </si>
  <si>
    <t xml:space="preserve">Berďajev - Frank - Iľjin [monografia (do 2021)] : traja myslitelia ruskej personalistickej filozofie / Pružinec, Tomáš [Autor, UKFFFAKFI, 50%] ; Gallo, Ján [Autor, UKFFFAKRU, 50%] ; Feber, Jaromír [Recenzent] ; Rajský, Andrej [Recenzent]. – 1. vyd. – Nitra (Slovensko) : Univerzita Konštantína Filozofa v Nitre, 2018. – 104 s. [tlačená forma] : text. – [slovenčina]. – [OV 020]. – ISBN 978-80-558-1283-0 </t>
  </si>
  <si>
    <t xml:space="preserve">Bojná (3. poľnohospodárske náradie z hradiska Valy a jeho zázemia) [textový dokument (print)] [elektronický dokument]  [monografia (do 2021)] / Borzová, Zuzana [Autor, UKFFFAKAR, 60%] ; Pieta, Karol [Autor, 20%] ; Jakubčinová, Miriam [Autor, 20%] ; Poláček, Lubomír [Recenzent] ; Ruttkay, Matej [Recenzent]. – 1. vyd. – Nitra (Slovensko) : Slovenská akadémia vied. Pracoviská SAV. Archeologický ústav, 2020. – 151 s. [tlačená forma] [online] : text, ilustr., fotogr., mapy, obr. – [slovenčina]. – [OV 030]. – ISBN 978-80-8196-046-8 </t>
  </si>
  <si>
    <t xml:space="preserve">Bratislavskí hudobní nástrojári [textový dokument (print)]  [monografia (do 2021)] / Szórádová, Eva [Autor, UKFPFAKHU, 100%] ; Bartová, Jana [Recenzent] ; Bugalová, Edita [Recenzent]. – 1. vyd. – Nitra (Slovensko) : Univerzita Konštantína Filozofa v Nitre, 2019. – 290 s. [tlačená forma] : text. – [slovenčina]. – [OV 010]. – ISBN 978-80-558-1378-3 </t>
  </si>
  <si>
    <t xml:space="preserve">Celebrity v mediálnej a marketingovej komunikácii [textový dokument (print)]  [monografia (do 2021)] / Mikuláš, Peter [Autor, UKFFFAKMR, 100%] ; Ogonowska, Agnieszka [Recenzent] ; Fichnová, Katarína [Recenzent]. – 1. vyd. – Nitra (Slovensko) : Univerzita Konštantína Filozofa v Nitre, 2020. – 156 s. [tlačená forma]. – [slovenčina]. – [OV 020]. – ISBN 978-80-558-1573-2 </t>
  </si>
  <si>
    <t xml:space="preserve">Cesta do Compostely [textový dokument (print)]  [monografia (do 2021)] : legendy, história, skúsenosti / Kučerková, Magda [Autor, UKFFFAKRO, 50%] ; Knapík, Ján [Autor, KURTESPV, 50%] ; Černotová, Marta [Recenzent] ; Gritti, Fabiano [Recenzent]. – 1. vyd. – Košice (Slovensko) : Zachej.sk, 2018. – 304 s. [tlačená forma] : text. – [slovenčina]. – [OV 020]. – ISBN 978-80-89866-27-4 </t>
  </si>
  <si>
    <t xml:space="preserve">CLIL vo vyučovaní matematiky [textový dokument (print)]  [monografia (do 2021)] / Naštická, Zuzana [Autor, UKFFPVKMA, 40%] ; Šubová, Lenka [Autor, 30%] ; Páleníková, Kitti [Autor, UKFFPVKMA, 20%] ; Medová, Janka [Autor, UKFFPVKMA, 10%] ; Kováčiková, Elena [Recenzent] ; Vankúš, Peter [Recenzent]. – 1. vyd. – Nitra (Slovensko) : Univerzita Konštantína Filozofa v Nitre, 2018. – 114 s. [tlačená forma] : text. – (Prírodovedec ; 683). – [slovenčina]. – [OV 010]. – ISBN 978-80-558-1363-9 </t>
  </si>
  <si>
    <t xml:space="preserve">Common Home Publication. Migration and Development in Slovakia [textový dokument (print)]  [monografia (do 2021)] / Letavajová, Silvia [Autor, UKFFFAKMK, 60%] ; Divinský, Boris [Autor, 40%] ; Čukan, Jaroslav [Recenzent] ; Štefančík, Radoslav [Recenzent]. – 1. vyd. – Bratislava (Slovensko) : Caritas Slovakia, 2019. – 64 s. [tlačená forma] : text. – [angličtina]. – [OV 060]. – ISBN 978-80-967870-4-3 </t>
  </si>
  <si>
    <t xml:space="preserve">Creative tourism as a new tourism product in Slovakia. The theoretical and practical analysis of creative tourism: formation, importance, trends [textový dokument (print)]  [monografia (do 2021)] / Palenčíková, Zuzana [Autor, UKFFSSKCR, 75%] ; Csapó, János [Autor, UKFFSSKCR, 25%] ; Raffay, Zoltán [Recenzent] ; Janoušková, Eva [Recenzent]. – 1. vyd. – Nitra (Slovensko) : Univerzita Konštantína Filozofa v Nitre, 2021. – 135 s. [tlačená forma] : text. – [angličtina]. – [OV 080]. – ISBN 978-80-558-1676-0 </t>
  </si>
  <si>
    <t xml:space="preserve">Dalle origini a Petrarca [textový dokument (print)]  [monografia (do 2021)] : commento e traduzione dei testi scelti / Šavelová, Monika [Autor, UKFFFAKRO, 100%] ; Koprda, Pavol [Recenzent] ; Caputo, Rino [Recenzent]. – 1. vyd. – Nitra (Slovensko) : Univerzita Konštantína Filozofa v Nitre, 2021. – 374 s. [tlačená forma] : text. – [taliančina]. – [OV 020]. – ISBN 978-80-558-1657-9 </t>
  </si>
  <si>
    <t xml:space="preserve">Didaktiky spoločenskovedných predmetov občianska náuka a etická výchova [monografia (do 2021)] / Jonášková, Gabriela [Autor, UKFFFAKFI, 34%] ; Lomnický, Igor [Autor, UKFFFAKAE 06.2022, 33%] ; Predanocyová, Ľubica [Autor, UKFFFAKFI, 33%] ; Mura, Ladislav [Recenzent] ; Pechorčiaková-Svitačová, Eva [Recenzent]. – 1. vyd. – Nitra (Slovensko) : Univerzita Konštantína Filozofa v Nitre, 2018. – 131 s. : text. – [slovenčina]. – [OV 010]. – ISBN 978-80-558-1288-5 </t>
  </si>
  <si>
    <t xml:space="preserve">Digitálna gramotnosť učiteľov v kontexte ich profesijnej prípravy [textový dokument (print)]  [monografia (do 2021)] / Záhorec, Ján [Autor, UKOPDDPP, 65%] ; Hašková, Alena [Autor, UKFPFAKTT, 22%] ; Munk, Michal [Autor, UKFFPVKIN, 13%] ; Burgerová, Jana [Recenzent] ; Stoffová, Veronika [Recenzent]. – 1. vyd. – Bratislava (Slovensko) : Univerzita Komenského v Bratislave, 2020. – 225 s. [16,21 AH] [tlačená forma] : text, graf., tab. – [slovenčina]. – [OV 010]. – ISBN 978-80-223-4882-9. – SIGN-UKO PD DP/20 </t>
  </si>
  <si>
    <t xml:space="preserve">Digitálne trendy v súčasných humanitných vedách [monografia (do 2021)] / Debnár, Marek [Autor, UKFFFACHV, 40%] ; Gogora, Andrej [Autor, UKFFFACHV, 60%] ; Zumrík, Miroslav [Recenzent] ; Koprda, Tomáš [Recenzent]. – 1. vyd. – Nitra (Slovensko) : Univerzita Konštantína Filozofa v Nitre, 2019. – 130 s. [CD-ROM] : text. – [slovenčina]. – [OV 020]. – ISBN 978-80-558-1498-8 </t>
  </si>
  <si>
    <t xml:space="preserve">Duševné zdravie adolescentov [textový dokument (print)]  [monografia (do 2021)] : kognitívne a sociálne prediktory v kontexte škole / Popelková, Marta [Autor, UKFFSVKPV, 25%] ; Šeboková, Gabriela [Autor, UKFFSVKPV, 25%] ; Uhláriková, Jana [Autor, UKFFSVKPV, 25%] ; Zaťková, Marta [Autor, UKFFSVKPV, 25%] ; Salbolt, Vladimír [Recenzent] ; Rojková, Zuzana [Recenzent]. – 1. vyd. – Nitra (Slovensko) : Univerzita Konštantína Filozofa v Nitre, 2018. – 175 s. [tlačená forma] : text. – [slovenčina]. – [OV 060]. – ISBN 978-80-558-1349-3 </t>
  </si>
  <si>
    <t xml:space="preserve">Egyetemi hallgatók úszástudásának és fizikai képességeinek vizsgálata kilenc éves kísérleti program tükrében [textový dokument (print)]  [monografia (do 2021)] / Viczayová, Ildikó [Autor, UKFFSSUVP, 40%] ; Baráth, Ladislav [Autor, UKFFSSUVP, 40%] ; Kontra, József [Autor, 10%] ; Lászlo, Zita [Autor, 5%] ; Továri, Ferenc [Autor, 5%] ; Fritz, Péter [Recenzent] ; Szabó, Eszter [Recenzent]. – 1. vyd. – Nitra (Slovensko) : Univerzita Konštantína Filozofa v Nitre, 2021. – 270 s. [tlačená forma] : text. – [maďarčina]. – [OV 010]. – ISBN 978-80-558-1802-3 </t>
  </si>
  <si>
    <t xml:space="preserve">Ekológia pre zoológov [textový dokument (print)]  [monografia (do 2021)] / Krumpálová, Zuzana [Autor, UKFFPVKEE, 55%] ; Hulejová Sládkovičová, Veronika [Autor, UKOPRBZO, 15%] ; Mangová, Barbara [Autor, 15%] ; Krumpál, Miroslav [Autor, UKOPRBZO, 15%] ; Országh, Ivan [Recenzent] ; Hadrián Tuf, Ivan [Recenzent]. – 1. vyd. – Nitra (Slovensko) : Univerzita Konštantína Filozofa v Nitre, 2018. – 251 s. [15,53 AH] [tlačená forma] : text, fotogr., obr. – (Prírodovedec ; 686). – [slovenčina]. – [OV 100, 130]. – ISBN 978-80-558-1366-0. – SIGN-UKO PR 1040/18 </t>
  </si>
  <si>
    <t xml:space="preserve">Embryotechnology 2 [textový dokument (print)] [elektronický dokument]  [monografia (do 2021)] / Laurinčík, Jozef [Autor, UKFFPVKZA, 20%] ; Morovič, Martin [Autor, UKFFPVKZA, 20%] ; Benc, Michal [Autor, UKFFPVKZA, 15%] ; Strejček, František [Autor, UKFFPVKBG, 5%] ; Murín, Matej [Autor, UKFFPVKBG, 5%] ; Sirotkin, Alexander [Autor, UKFFPVKZA, 5%] ; Chrenek, Peter [Autor, SPUFBP01, 5%] ; Makarevich, Alexander V. [Autor, 5%] ; Luck, Martin R. [Autor, 5%] ; Vajta, Gábor [Autor, 5%] ; Pendovski, Lazo [Autor, 5%] ; Ostrup, Oľga [Autor, 5%] ; Massanyi, Peter [Recenzent] ; Trandžík, Jozef [Recenzent]. – 1. vyd. – Nitra (Slovensko) : Univerzita Konštantína Filozofa v Nitre. Fakulta prírodných vied, 2018. – 200 s. [tlačená forma] [online] : text. – [angličtina]. – [OV 130]. – ISBN 978-80-558-1337-0. – DOI 10.17846/2018-embryotechnology </t>
  </si>
  <si>
    <t xml:space="preserve">Environmentálna zodpovednosť a klimatické zmeny [textový dokument (print)]  [monografia (do 2021)] / Špirko, Dušan [Autor, UKFFFAKFI, 100%] ; Manda, Vladimír [Recenzent] ; Odlerová, Eva [Recenzent]. – 1. vyd. – Nitra (Slovensko) : Univerzita Konštantína Filozofa v Nitre, 2021. – 60 s. [3,65 AH] [tlačená forma] : text. – [slovenčina]. – [OV 020]. – ISBN 978-80-558-1671-5 </t>
  </si>
  <si>
    <t xml:space="preserve">Estetika naratívnych textov [textový dokument (print)]  [monografia (do 2021)] / Žiak, Peter [Autor, UKFFFAKTR, 100%] ; Štúr, Martin [Recenzent] ; Lastičová, Adriana [Recenzent]. – 1. vyd. – Nitra (Slovensko) : Univerzita Konštantína Filozofa v Nitre, 2021. – 167 s. [tlačená forma] : text. – [slovenčina]. – [OV 020]. – ISBN 978-80-558-1714-9 </t>
  </si>
  <si>
    <t xml:space="preserve">Eticko-výchovné a kultúrne stratégie slovesnej tvorby [elektronický dokument]  [monografia (do 2021)] / Lomnický, Igor [Autor, UKFFFAKAE 06.2022, 100%] ; Hajko, Dalimír [Recenzent] ; Predanocyová, Ľubica [Recenzent]. – 1. vyd. – Nitra (Slovensko) : Univerzita Konštantína Filozofa v Nitre, 2020. – 107 s. [CD-ROM] : text. – [slovenčina]. – [OV 010, 020]. – ISBN 978-80-558-1551-0 </t>
  </si>
  <si>
    <t xml:space="preserve">Etika rodiny [textový dokument (print)]  [monografia (do 2021)] : výchova detí v mediálnej dobe / Lesková, Andrea [Autor, UKFFFAKAE 06.2022, 100%] ; Hajko, Dalimír [Recenzent] ; Máhrik, Tibor [Recenzent]. – 1. vyd. – Nitra (Slovensko) : Univerzita Konštantína Filozofa v Nitre, 2021. – 151 s. [tlačená forma]. – [slovenčina]. – [OV 020]. – ISBN 978-80-558-1755-2 </t>
  </si>
  <si>
    <t xml:space="preserve">Eugen Fügedi - (Auto)portrét [textový dokument (print)]  [monografia (do 2021)] = Fügedi Jenő - (Ön)arckép / Récka, Adriana [Autor, UKFPFAKVV, 100%] ; Gero, Štefan [Recenzent] ; Szalai, Daniel [Recenzent]. – 1. vyd. – Nitra (Slovensko) : Univerzita Konštantína Filozofa v Nitre, 2020. – 73 s. [tlačená forma] : text. – [slovenčina, maďarčina]. – [OV 010]. – ISBN 978-80-558-1593-0 </t>
  </si>
  <si>
    <t xml:space="preserve">Európai identitás [textový dokument (print)]  [monografia (do 2021)] / Öllös, László [Autor, UKFFFAKPO, 100%] ; Lamplová, Zuzana [Recenzent] ; Szentandrási, Tibor [Recenzent]. – 1. vyd. – Šamorín (Slovensko) : Fórum inštitút pre výskum menšín, 2019. – 240 s. [tlačená forma] : text. – [maďarčina]. – [OV 060]. – ISBN 978-80-89978-09-0 </t>
  </si>
  <si>
    <t xml:space="preserve">Exekutívne funkcie a rizikové správanie dospievajúcich [textový dokument (print)]  [monografia (do 2021)] / Juhásová, Andrea [Autor, UKFPFAKAP, 50%] ; Gatial, Viktor [Autor, UKFPFAKAP, 50%] ; Pavelová, Ľuba [Recenzent] ; Lulei, Martin [Recenzent]. – 1. vyd. – Nitra (Slovensko) : Univerzita Konštantína Filozofa v Nitre, 2019. – 128 s. [tlačená forma] : text. – [slovenčina]. – [OV 010, 060]. – ISBN 978-80-558-1461-2 </t>
  </si>
  <si>
    <t xml:space="preserve">Extinct sacral objects in Slovakia discovered by non-destructive methods [elektronický dokument]  [monografia (do 2021)] / Tirpák, Ján [Autor, UKFFPVGMU, 100%]. – 1. vyd. – Nitra (Slovensko) : Univerzita Konštantína Filozofa v Nitre, 2020. – 181 s. [CD-ROM] : text. – (Prírodovedec ; 727). – [angličtina]. – [OV 092]. – [recenzované]. – ISBN 978-80-558-1636-4 </t>
  </si>
  <si>
    <t xml:space="preserve">Fenomén mesta  - v umení, brandingu a typografii [textový dokument (print)]  [monografia (do 2021)] : od obrazov minulosti k súčasnému vytváraniu obrazu mesta / Kapsová, Eva [Autor, UKFFFAULK, 80%] ; Huňady, Ján [Autor, 20%] ; Inštitorisová, Dagmar [Recenzent] ; Gero, Štefan [Recenzent] ; Zelinský, Miroslav [Recenzent]. – 1. vyd. – Bratislava (Slovensko) : Európska akadémia manažmentu marketingu a médií, 2020. – 166 s. [tlačená forma] : text, ilustr., fotogr. – [slovenčina]. – [OV 010]. – ISBN 978-80-973848-0-7 </t>
  </si>
  <si>
    <t xml:space="preserve">Film a škola v českom a slovenskom prostredí 1918-1950 [textový dokument (print)]  [monografia (do 2021)] / Kičková, Adriana [Autor, UKFFFAKHI, 100%] ; Chrastina, Peter [Recenzent] ; Marci, Ľudovít [Recenzent]. – 1. vyd. – Nitra (Slovensko) : Univerzita Konštantína Filozofa v Nitre, 2019. – 104 s. [tlačená forma] : text. – [slovenčina]. – [OV 010, 030]. – ISBN 978-80-558-1496-4 </t>
  </si>
  <si>
    <t xml:space="preserve">Folia glagolitica Zempliniensia [textový dokument (print)]  [monografia (do 2021)] : (Kyjevské listy a nárečie na užsko-zemplínskom pomedzí) / Diweg-Pukanec, Martin [Autor, UKFFFASJL, 100%] ; Kralčák, Ľubomír [Recenzent] ; Žeňuch, Peter [Recenzent]. – 1. vyd. – Nitra (Slovensko) : Univerzita Konštantína Filozofa v Nitre, 2018. – 166 s. [tlačená forma] : text. – [slovenčina]. – [OV 020]. – ISBN 978-80-558-1308-0 </t>
  </si>
  <si>
    <t xml:space="preserve">Fonologické uvedomovanie detí predškolského veku [textový dokument (print)]  [monografia (do 2021)] / Grofčíková, Soňa [Autor, UKFPFAKPE, 50%] ; Máčajová, Monika [Autor, UKFPFAKPE, 50%] ; Pokrivčáková, Silvia [Recenzent] ; Olšiak, Marcel [Recenzent]. – 1. vyd. – Nitra (Slovensko) : Univerzita Konštantína Filozofa v Nitre, 2019. – 196 s. [tlačená forma] : text. – [slovenčina]. – [OV 010]. – ISBN 978-80-558-1488-9 </t>
  </si>
  <si>
    <t xml:space="preserve">Geomorfologicko-vegetačné aspekty súčasného vývoja krajiny Vysokých Tatier [textový dokument (print)]  [monografia (do 2021)] / Celer, Slavomír [Autor, UKFFPVKEE, 34%] ; Piscová, Veronika [Autor, UKFFPVKEE, 33%] ; Hreško, Juraj [Autor, UKFFPVKEE, 33%] ; Novák, Ján [Recenzent] ; Diviaková, Andrea [Recenzent]. – 1. vyd. – Nitra (Slovensko) : Univerzita Konštantína Filozofa v Nitre, 2021. – 104 s. [tlačená forma]. – [slovenčina]. – [OV 100]. – ISBN 978-80-558-1686-9 </t>
  </si>
  <si>
    <t xml:space="preserve">Hermovo ucho &amp; PostmutArt (1999 - 2019) [textový dokument (print)]  [monografia (do 2021)] : 2 dekády oného umenia v Nitre / Fuják, Július [Autor, UKFFFAKKU, 60%] ; Pavelka, Ľubomír [Autor, 25%] ; Ondrejková, Dorota [Autor, 5%] ; Juhas, Jakub [Autor, 5%] ; Valková, Lucia [Autor, UKFFFAKKU, 5%] ; Zvara, Vladimír [Recenzent] ; Malíček, Juraj [Recenzent]. – 1. vyd. – Nitra (Slovensko) : Univerzita Konštantína Filozofa v Nitre, 2020. – 150 s. [tlačená forma] : text. – [slovenčina]. – [OV 020]. – ISBN 978-80-558-1523-7 </t>
  </si>
  <si>
    <t xml:space="preserve">Hodnota ekosystémov a ich služieb na Slovensku [textový dokument (print)]  [monografia (do 2021)] / Černecký, Ján [Autor, UKFFPVKEE, 80.2%] ; Gajdoš, Peter [Autor, 2.20%] ; Ďuricová, Viktória [Autor, UMBFP09, 2.20%] ; Špulerová, Jana [Autor, 2.20%] ; Černecká, Ľudmila [Autor, 2.20%] ; Švajda, Juraj [Autor, UMBFP09, 2.20%] ; Andráš, Peter [Autor, UMBFP04, 2.20%] ; Ulrych, Libor [Autor, 2.20%] ; Rybanič, Rastislav [Autor, 2.20%] ; Považan, Radoslav [Autor, 2.20%] ; Izakovičová, Zita [Recenzent] ; Mederly, Peter [Recenzent]. – 1. vyd. – Banská Bystrica (Slovensko) : Štátna ochrana prírody SR, 2020. – 166 s. [8,30 AH] [tlačená forma] : text, ilustr., fotogr. – [slovenčina]. – [OV 100]. – ISBN 978-80-8184-078-4 </t>
  </si>
  <si>
    <t xml:space="preserve">Hodnotenie fonologického uvedomovania detí predškolského veku [textový dokument (print)]  [monografia (do 2021)] / Máčajová, Monika [Autor, UKFPFAKPE, 100%] ; Portik, Milan [Recenzent] ; Gatial, Viktor [Recenzent]. – 1. vyd. – Nitra (Slovensko) : Univerzita Konštantína Filozofa v Nitre, 2019. – 181 s. [tlačená forma]. – [slovenčina]. – [OV 010]. – ISBN 978-80-558-1480-3 </t>
  </si>
  <si>
    <t xml:space="preserve">Hodnotenie vybraných aspektov rastu a fyziológie poľnohospodárskych plodín ovplyvnených iónmi olova, kadmia a arzénu [textový dokument (print)]  [monografia (do 2021)] / Piršelová, Beáta [Autor, UKFFPVKBG, 90%] ; Galuščáková, Ľudmila [Autor, UKFFPVKBG, 5%] ; Lengyelová, Libuša [Autor, UKFFPVKBG, 5%] ; Hegedűsová, Alžbeta [Recenzent] ; Juríková, Tünde [Recenzent]. – 1. vyd. – Nitra (Slovensko) : Univerzita Konštantína Filozofa v Nitre, 2018. – 99 s. [tlačená forma] : text. – (Prírodovedec ; 676). – [slovenčina]. – [OV 010]. – ISBN 978-80-558-1321-9 </t>
  </si>
  <si>
    <t xml:space="preserve">Hodnoty, túžby a obavy mládeže [monografia (do 2021)] / Štefaňak, Ondrej [Autor, UKFFFAKSO, 100%] ; Mariański, Janusz [Recenzent] ; Swiatkiewicz, Wojciech  Krzysztof [Recenzent]. – 1. vyd. – Nitra (Slovensko) : Univerzita Konštantína Filozofa v Nitre, 2018. – 150 s. [tlačená forma] : text. – [slovenčina]. – [OV 060]. – ISBN 978-80-558-1357-8 </t>
  </si>
  <si>
    <t xml:space="preserve">Hovoriaci v pragmaticko-sémantických a komunikačných súvislostiach [textový dokument (print)]  [monografia (do 2021)] / Sokolová, Jana [Autor, UKFFFAKRU, 100%] ; Ivanová, Martina [Recenzent] ; Vaňko, Juraj [Recenzent]. – 1. vyd. – Nitra (Slovensko) : Univerzita Konštantína Filozofa v Nitre, 2021. – 279 s. [tlačená forma] : text. – [slovenčina]. – [OV 020]. – ISBN 978-80-558-1750-7 </t>
  </si>
  <si>
    <t xml:space="preserve">Hudobné a tanečné tradície Hrušova [textový dokument (print)]  [monografia (do 2021)] / Ambrózová, Jana [Autor, UKFFFAKEF, 80%] ; Krausová, Agáta [Autor, UKFFFAKEF, 20%] ; Beňušková, Zuzana [Recenzent] ; Koštialová, Katarína [Recenzent]. – 1. vyd. – Hrušov (Slovensko) : Obecný úrad (Hrušov), 2019. – 328 s. [tlačená forma] : text. – [slovenčina]. – [OV 030]. – ISBN 978-80-570-1604-5 </t>
  </si>
  <si>
    <t xml:space="preserve">Husák [textový dokument (print)]  [monografia (do 2021)] : história a etnografia / Žeňuch, Vavrinec [Autor, UKFFFAKRU, 100%] ; Fedorčák, Peter [Recenzent] ; Pekár, Martin [Recenzent]. – 1. vyd. – Husák (Slovensko) : Obecný úrad Husák, 2018. – 194 s. [tlačená forma] : text. – [slovenčina]. – [OV 030]. – ISBN 978-80-973063-5-9 </t>
  </si>
  <si>
    <t xml:space="preserve">Ikonizácia pádu a vzostupu (v arcinaratívoch Popoluškinho typu) [textový dokument (print)]  [monografia (do 2021)] / Čechová, Mariana [Autor, UKFFFAULK, 100%] ; Urbanová, Svatava [Recenzent] ; Žeňuchová, Katarína [Recenzent]. – 1. vyd. – Bratislava (Slovensko) : Slovenská akadémia vied. Veda, vydavateľstvo Slovenskej akadémie vied, 2019. – 232 s. [tlačená forma] : text. – [slovenčina]. – [OV 020]. – ISBN 978-80-224-1793-8 </t>
  </si>
  <si>
    <t xml:space="preserve">Jozef Ciller [textový dokument (print)]  [monografia (do 2021)] : čítanie v mysli scénografa / Inštitorisová, Dagmar [Autor, UKFFFAKMR, 100%] ; Čanecký, Peter [Recenzent] ; Gero, Štefan [Recenzent]. – 1. vyd. – Bratislava (Slovensko) : Culture Positive, 2019. – 304 s. [tlačená forma] : text. – [slovenčina]. – [OV 020]. – ISBN 978-80-971430-6-0 </t>
  </si>
  <si>
    <t xml:space="preserve">Kachlice z Oponického hradu [textový dokument (print)]  [monografia (do 2021)] / Jančiová, Barbora [Autor, UKFFFAKAR, 55%] ; Repka, Dominik [Autor, UKFFFAKAR, 25%] ; Sater, Peter [Autor, 5%] ; Styk, Matej [Autor, UKFFFAKAR, 15%] ; Mácelová, Marta [Recenzent] ; Bielich, Mário [Recenzent]. – 1. vyd. – Nitra (Slovensko) : Apponiana, 2019. – 124 s. [tlačená forma] : text. – [slovenčina]. – [OV 030]. – ISBN 978-80-972904-1-2 </t>
  </si>
  <si>
    <t xml:space="preserve">Kariérové rozhodovanie adolescentov [textový dokument (print)]  [monografia (do 2021)] : osobnostné a emočné aspekty ťažkostí a stratégií kariérového rozhodovania / Pilárik, Ľubor [Autor, UKFFSVKPV, 100%] ; Sollárová, Eva [Recenzent] ; Čavojová, Vladimíra [Recenzent]. – 1. vyd. – Nitra (Slovensko) : Univerzita Konštantína Filozofa v Nitre, 2019. – 214 s. [tlačená forma] : text. – [slovenčina]. – [OV 060]. – ISBN 978-80-558-1375-2 </t>
  </si>
  <si>
    <t xml:space="preserve">Katalóg ekosystémových služieb Slovenska [textový dokument (print)]  [monografia (do 2021)] / Mederly, Peter [Autor, UKFFPVKEE, 20%] ; Černecký, Ján [Autor, UKFFPVKEE, 12%] ; Špulerová, Jana [Autor, 10%] ; Izakovičová, Zita [Autor, 6%] ; Jančovič, Martin [Autor, UKFFPVKEE, 5%] ; Ďuricová, Viktória [Autor, SPUFES20, 5%] ; Stašová, Simona [Autor, UKFFPVKEE, 4%] ; Hreško, Juraj [Autor, UKFFPVKEE, 6%] ; Petrovič, František [Autor, UKFFPVKEE, 4%] ; Štefunková, Dagmar [Autor, 3%] ; Šatalová, Barbora [Autor, 2%] ; Močko, Matej [Autor, UKFFPVKEE, 6%] ; Vrbičanová, Gréta [Autor, UKFFPVKEE, 5%] ; Kaisová, Dominika [Autor, UKFFPVKEE, 5%] ; Turanovičová, Martina [Autor, UKFFPVKEE, 3%] ; Laco, Ivan [Autor, UKFFPVKEE, 2%] ; Kováč, Tomáš [Autor, UKFFPVKGR, 2%] ; Miklós, László [Recenzent] ; Kolejka, Jaromír [Recenzent]. – 1. vyd. – Banská Bystrica (Slovensko) : Štátna ochrana prírody SR, 2019. – 215 s. [tlačená forma] : text. – [slovenčina]. – [OV 100]. – ISBN 978-80-8184-067-8 </t>
  </si>
  <si>
    <t xml:space="preserve">Kontúrkísérletek [textový dokument (print)]  [monografia (do 2021)] : A kortárs irodalmi mese vázlata / Petres Csizmadia, Gabriela [Autor, UKFFSSUML, 100%] ; Gődény, Andrea G. [Recenzent] ; Tóth, Anikó [Recenzent]. – 1. vyd. – 2021 (Slovensko) : Univerzita Konštantína Filozofa v Nitre, 2021. – 100 s. [tlačená forma] : text. – [maďarčina]. – [OV 020]. – ISBN 978-80-558-1675-3 </t>
  </si>
  <si>
    <t xml:space="preserve">Korona - Art - Media [textový dokument (print)]  [monografia (do 2021)] : digitálna konverzia marketingu umenia / Peniak, Jozef [Autor, UKFFFAKMR, 33%] ; Púchovská, Oľga [Autor, UKFFFAKMR, 34%] ; Štrbová, Edita [Autor, UKFFFAKMR, 33%] ; Ogonowska, Agnieszka [Recenzent] ; Gero, Štefan [Recenzent]. – 1. vyd. – Bratislava (Slovensko) : Európska akadémia manažmentu marketingu a médií, 2020. – 129 s. [tlačená forma] : text. – [slovenčina]. – [OV 060]. – ISBN 978-80-973848-1-4 </t>
  </si>
  <si>
    <t xml:space="preserve">Krátka správa o dlhej trase osamelého bežca [textový dokument (print)]  [monografia (do 2021)] : (poézia Ivana Štrpku) / Rédey, Zoltán [Autor, UKFFFAULK, 100%] ; Šrank, Jaroslav [Recenzent] ; Mikula, Valér [Recenzent]. – 1. vyd. – Levoča (Slovensko) : Vydavateľstvo Modrý Peter, 2019. – 264 s. [tlačená forma] : text. – [slovenčina]. – [OV 020]. – ISBN 978-80-89545-75-9 </t>
  </si>
  <si>
    <t xml:space="preserve">Literatúra ako dokument [textový dokument (print)]  [monografia (do 2021)] / Tobiašová, Gabriela [Autor, UKFFFASJL, 34%] ; Mitková, Natália [Autor, UKFFFASJL, 33%] ; Kolesík, Milan [Autor, UKFFFASJL, 33%] ; Prušková, Zora [Recenzent] ; Gallik, Ján [Recenzent]. – 1. vyd. – Nitra (Slovensko) : Univerzita Konštantína Filozofa v Nitre, 2021. – 139 s. [tlačená forma] : text. – [slovenčina]. – [OV 020]. – ISBN 978-80-558-1776-7 </t>
  </si>
  <si>
    <t xml:space="preserve">Manažment vzdelávania [textový dokument (print)]  [monografia (do 2021)] : teoretické empirické a praxeologické aspekty riadenia vzdelávacích inštitúcií / Pisoňová, Mária [Autor, UKFPFAKPE, 54.41%] ; Papcunová, Viera [Autor, UKFFPVUMI, 25.84%] ; Brečka, Peter [Autor, UKFPFAKTT, 13.33%] ; Selecký, Erik [Autor, UKFPFAKPE, 6.42%] ; Pisoňová, Mária [Zostavovateľ, editor, UKFPFAKPE, 100%] ; Horváth, Kinga [Recenzent] ; Plavčan, Peter [Recenzent] ; Tej, Juraj [Recenzent]. – 1. vyd. – Bratislava (Slovensko) : Wolters Kluwer. Wolters Kluwer SR, 2021. – 284 s. [tlačená forma] : text, graf., tab. – [slovenčina]. – [OV 010]. – ISBN 978-80-571-0382-0. – ISBN 978-80-571-0383-7 </t>
  </si>
  <si>
    <t xml:space="preserve">Manželstvo a rodina v ponímaní mládeže [textový dokument (print)]  [monografia (do 2021)] / Štefaňak, Ondrej [Autor, UKFFFAKSO, 100%] ; Mariański, Janusz [Recenzent] ; Swiatkiewicz, Wojciech  Krzysztof [Recenzent]. – 1. vyd. – Nitra (Slovensko) : Univerzita Konštantína Filozofa v Nitre, 2020. – 145 s. [tlačená forma] : text. – [slovenčina]. – [OV 020, 060]. – ISBN 978-80-558-1522-0 </t>
  </si>
  <si>
    <t xml:space="preserve">Marginálie k figúre šibala v arcinaratívoch [textový dokument (print)]  [monografia (do 2021)] : tematologicko-kultúrne súvislosti / Danišová, Nikola [Autor, UKFFFAULK, 100%] ; Maiello, Guiseppe [Recenzent] ; Janeček, Petr [Recenzent]. – 1. vyd. – Nitra (Slovensko) : Univerzita Konštantína Filozofa v Nitre, 2021. – 202 s. [tlačená forma]. – [slovenčina]. – [OV 020]. – ISBN 978-80-558-1807-8 </t>
  </si>
  <si>
    <t xml:space="preserve">Marginalizácia Rómov v kontexte ich života v totalite [textový dokument (print)]  [monografia (do 2021)] / Lehoczká, Lýdia [Autor, UKFFSVURS, 100%] ; Kolibová, Daniela [Recenzent] ; Gergel, Milan [Recenzent]. – 1. vyd. – Nitra (Slovensko) : Univerzita Konštantína Filozofa v Nitre, 2019. – 74 s. [tlačená forma] : text. – [slovenčina]. – [OV 060]. – ISBN 978-80-228-3173-4 </t>
  </si>
  <si>
    <t xml:space="preserve">Marián Žilík : Všetko je inak [textový dokument (print)]  [monografia (do 2021)] / Kapsová, Eva [Autor, UKFFFAULK, 100%] ; Récka, Adriana [Recenzent] ; Gero, Štefan [Recenzent]. – 1. vyd. – Nitra (Slovensko) : Nitrianska galéria, 2018. – 71 s. [tlačená forma] : text. – [slovenčina]. – [OV 020]. – ISBN 978-80-85746-81-5 </t>
  </si>
  <si>
    <t xml:space="preserve">Metamorfný motív v arcinaratívoch [textový dokument (print)]  [monografia (do 2021)] : mystérium premeny / Danišová, Nikola [Autor, UKFFFAULK, 100%] ; Maiello, Guiseppe [Recenzent] ; Biliński, Krzysztof [Recenzent]. – 1. vyd. – Nitra (Slovensko) : Univerzita Konštantína Filozofa v Nitre, 2020. – 188 s. [tlačená forma] : text. – [slovenčina]. – [OV 020]. – ISBN 978-80-558-1597-8 </t>
  </si>
  <si>
    <t xml:space="preserve">Metóda pojmového mapovania ako prostriedok hodnotenia v edukačnom procese [textový dokument (print)]  [monografia (do 2021)] / Kozárová, Nina [Autor, UKFPFAKPE, 100%] ; Petlák, Erich [Recenzent] ; Petrasová, Alica [Recenzent]. – 1. vyd. – Nitra (Slovensko) : Univerzita Konštantína Filozofa v Nitre, 2021. – 174 s. [tlačená forma] : text. – [slovenčina]. – [OV 010]. – ISBN 978-80-558-1743-9 </t>
  </si>
  <si>
    <t xml:space="preserve">Monitorovanie faktorov pracovného prostredia [textový dokument (print)]  [monografia (do 2021)] / Tureková, Ivana [Autor, UKFPFAKTT, 34%] ; Lukáčová, Danka [Autor, UKFPFAKTT, 33%] ; Bánesz, Gabriel [Autor, UKFPFAKTT, 33%] ; Marková, Iveta [Recenzent] ; Kozík, Tomáš [Recenzent]. – 1. vyd. – Nitra (Slovensko) : Univerzita Konštantína Filozofa v Nitre, 2018. – 169 s. [tlačená forma] : text. – [slovenčina]. – [OV 010]. – ISBN 978-80-558-1355-4 </t>
  </si>
  <si>
    <t xml:space="preserve">Morálna a občianska cnosť v modernom štáte [textový dokument (print)]  [monografia (do 2021)] / Blaščíková, Andrea [Autor, UKFFFAKNS, 100%] ; Kútny, Ivan [Recenzent] ; Vašek, Martin [Recenzent]. – 1. vyd. – Nitra (Slovensko) : Univerzita Konštantína Filozofa v Nitre, 2019. – 138 s. [tlačená forma] : text. – [slovenčina]. – [OV 020]. – ISBN 978-80-558-1466-7 </t>
  </si>
  <si>
    <t xml:space="preserve">Možnosti diagnostiky silovo-vytrvalostných schopností v boxe [textový dokument (print)]  [monografia (do 2021)] / Šiška, Ľuboslav [Autor, UKFPFAKTV, 100%] ; Broďáni, Jaroslav [Recenzent] ; Todorov, Svätoslav [Recenzent]. – 1. vyd. – Nitra (Slovensko) : Univerzita Konštantína Filozofa v Nitre, 2018. – 80 s. [tlačená forma] : text. – [slovenčina]. – [OV 210]. – ISBN 978-80-558-1350-9 </t>
  </si>
  <si>
    <t xml:space="preserve">Možnosti podpory detí na ceste ku gramotnosti [textový dokument (print)]  [monografia (do 2021)] / Kurincová, Viera [Autor, UKFPFAKPE, 34%] ; Marcineková, Tatiana [Autor, 33%] ; Žovinec, Erik [Autor, UKFPFAKPE, 33%] ; Seidler, Peter [Recenzent] ; Minová, Monika [Recenzent]. – 1. vyd. – Nitra (Slovensko) : Univerzita Konštantína Filozofa v Nitre, 2019. – 114 s. [tlačená forma] : text. – [slovenčina]. – [OV 010]. – ISBN 978-80-558-1479-7 </t>
  </si>
  <si>
    <t xml:space="preserve">Náboženstvo a médiá v súčasnej mediálnej kultúre [textový dokument (print)]  [monografia (do 2021)] / Moravčíková, Veronika [Autor, UKFFFAKKU, 50%] ; Skačan, Juraj [Autor, UKFFFAKFI, 50%] ; Hladký, Juraj [Recenzent] ; Kocina, Petr [Recenzent]. – 1. vyd. – Nitra (Slovensko) : Univerzita Konštantína Filozofa v Nitre, 2018. – 131 s. [tlačená forma] : text. – [slovenčina]. – [OV 020]. – ISBN 978-80-558-1340-0 </t>
  </si>
  <si>
    <t xml:space="preserve">Náš spoločný domov [textový dokument (print)]  [monografia (do 2021)] : migrácia a rozvoj na Slovensku / Letavajová, Silvia [Autor, UKFFFAKMK, 60%] ; Divinský, Boris [Autor, 40%] ; Čukan, Jaroslav [Recenzent] ; Štefančík, Radoslav [Recenzent]. – 1. vyd. – Bratislava (Slovensko) : Slovenská katolícka charita, 2019. – 64 s. [tlačená forma] : text. – [slovenčina]. – [OV 060]. – ISBN 978-80-967870-2-9 </t>
  </si>
  <si>
    <t xml:space="preserve">Novodobé migrácie vo verejnej, mediálnej a politickej diskusii [monografia (do 2021)] / Letavajová, Silvia [Autor, UKFFFAKMK, 40%] ; Chlebcová Hečková, Andrea [Autor, UKFFFAKZU, 26%] ; Krno, Svetozár [Autor, UKFFFAKPO, 18%] ; Bošelová, Miriama [Autor, UKFFFAKEF, 16%] ; Koštialová, Katarína [Recenzent] ; Brhlíková, Radoslava [Recenzent]. – 1. vyd. – Nitra (Slovensko) : Univerzita Konštantína Filozofa v Nitre, 2020. – 198 s. [tlačená forma] : text. – [slovenčina]. – [OV 060]. – ISBN 978-80-558-1631-9 </t>
  </si>
  <si>
    <t xml:space="preserve">Nyelvi előítélet és diszkrimináció a magyartanári értékelésben [textový dokument (print)]  [monografia (do 2021)] / Jánk, István [Autor, UKFFSSUML, 100%] ; Vančo, Ildikó [Recenzent] ; Domonkosi, Ágnes [Recenzent]. – 1. vyd. – Nitra (Slovensko) : Univerzita Konštantína Filozofa v Nitre, 2019. – 238 s. [tlačená forma] : text. – [maďarčina]. – [OV 010]. – ISBN 978-80-558-1428-5 </t>
  </si>
  <si>
    <t xml:space="preserve">Nyitragerencséri tájszótár [textový dokument (print)]  [monografia (do 2021)] : Sima Ferenc tájszóhagyatéka alapján / Sándorová, Anna [Autor, UKFFSSUML, 70%] ; Tóth, Katalin [Autor, 30%] ; Presinszky, Károly [Recenzent] ; Kiss, Jenő [Recenzent]. – 1. vyd. – Dunajská Streda (Slovensko) : Kalligram, 2020. – 288 s. [tlačená forma] : text. – [maďarčina]. – [OV 020]. – ISBN 978-80-8101-987-6 </t>
  </si>
  <si>
    <t xml:space="preserve">Obrana rastlín voči abiotickým stresovým faktorom na báze bielkovinových molekúl [textový dokument (print)]  [monografia (do 2021)] / Mészáros, Patrik [Autor, UKFFPVKBG, 100%] ; Hegedűsová, Alžbeta [Recenzent] ; Kuna, Roman [Recenzent]. – 1. vyd. – Nitra (Slovensko) : Univerzita Konštantína Filozofa v Nitre, 2020. – 74 s. [tlačená forma] : text. – (Prírodovedec ; 718). – [slovenčina]. – [OV 130]. – ISBN 978-80-558-1550-3 </t>
  </si>
  <si>
    <t xml:space="preserve">Osobnosti diplomacie Slovenskej republiky [textový dokument (print)]  [monografia (do 2021)] / Kočnerová, Mária [Autor, UKFFFAKPO, 34%] ; Himpánová, Monika [Autor, 33%] ; Brhlíková, Radoslava [Autor, UKFFFAKPO, 33%] ; Mészárosová, Zuzana [Recenzent] ; Pajtinka, Erik [Recenzent]. – 1. vyd. – Nitra (Slovensko) : Univerzita Konštantína Filozofa v Nitre, 2019. – 219 s. [tlačená forma] : text. – [slovenčina]. – [OV 060]. – ISBN 978-80-558-1394-3 </t>
  </si>
  <si>
    <t xml:space="preserve">Plavecká spôsobilosť a motorické schopnosti 7 - 8-ročných detí [textový dokument (print)]  [monografia (do 2021)] / Viczayová, Ildikó [Autor, UKFFSSUVP, 100%] ; Benčuriková, Ľubomíra [Recenzent] ; Baráth, Ladislav [Recenzent]. – 1. vyd. – Nitra (Slovensko) : Univerzita Konštantína Filozofa v Nitre. Fakulta stredoeurópskych štúdií, 2018. – 126 s. [tlačená forma] : text, graf., tab. – (Europica varietas ; 123). – [slovenčina]. – [OV 010, 210]. – ISBN 978-80-558-1323-3 </t>
  </si>
  <si>
    <t xml:space="preserve">Poetika mravoučné povídky „pro dítky a přátele jejich“ [textový dokument (print)]  [monografia (do 2021)] / Mikulášek, Alexej [Autor, UKFFSSUSJ, 100%] ; Zelenková, Hana [Recenzent] ; Gallik, Ján [Recenzent]. – 1. vyd. – Nitra (Slovensko) : Univerzita Konštantína Filozofa v Nitre, 2020. – 180 s. [tlačená forma] : text. – [čeština]. – [OV 020]. – ISBN 978-80-558-1625-8 </t>
  </si>
  <si>
    <t xml:space="preserve">Poézia Paľa Olivu [textový dokument (print)]  [monografia (do 2021)] / Zumríková Kekeliaková, Monika [Autor, UKFFFASJL, 100%] ; Zambor, Ján [Recenzent] ; Bokníková, Andrea [Recenzent] ; Hochel, Igor [Recenzent]. – 1. vyd. – Levoča (Slovensko) : Vydavateľstvo Modrý Peter, 2021. – 208 s. [tlačená forma] : text. – (Sivá brada ; 37). – [slovenčina]. – [OV 020]. – ISBN 978-80-8245-009-8 </t>
  </si>
  <si>
    <t xml:space="preserve">Politický branding [textový dokument (print)]  [monografia (do 2021)] : modely persuázie v politickom marketingu / Spálová, Lucia [Autor, UKFFFAKMR, 100%] ; Poláková, Eva [Recenzent] ; Mikuláš, Peter [Recenzent]. – 1. vyd. – Bratislava (Slovensko) : Európska akadémia manažmentu marketingu a médií, 2021. – 178 s. [tlačená forma] : text. – [slovenčina]. – [OV 060]. – ISBN 978-80-973848-2-1 </t>
  </si>
  <si>
    <t xml:space="preserve">Porovnávacia štúdia pohybových a zdravotných kompetencií vysokoškolákov [textový dokument (print)]  [monografia (do 2021)] / Viczayová, Ildikó [Autor, UKFFSSUVP, 25%, 2,50 AH] ; Baráth, Ladislav [Autor, UKFFSSUVP, 20%, 2 AH] ; Benčuriková, Ľubomíra [Autor, UKOTVKPP, 20%, 2 AH] ; Orban, Karol [Autor, AUBBFDUKFD, 18%, 1,80 AH] ; Juríková, Tünde [Autor, UKFFSSUVP, 15%, 1,50 AH] ; Lászlo, Zita [Autor, 1%, 0,10 AH] ; Kontra, József [Autor, 1%, 0,10 AH] ; Kalinková, Mária [Recenzent] ; Jedlička, Jaroslav [Recenzent]. – 1. vyd. – Nitra (Slovensko) : Univerzita Konštantína Filozofa v Nitre. Fakulta stredoeurópskych štúdií, 2020. – 200 s. [10 AH] [tlačená forma] : text, graf., tab. – [slovenčina]. – [OV 210, 010]. – ISBN 978-80-558-1634-0. – SIGN-UKO TV </t>
  </si>
  <si>
    <t xml:space="preserve">Poruchy príjmu potravy: kontext stresu a traumy [textový dokument (print)]  [monografia (do 2021)] / Zibrínová, Ľubica [Autor, PUPFIIPS, 50%] ; Šlepecký, Miloš [Autor, UKFFSVKPV, 10%] ; Baník, Gabriel [Autor, PUPFIIPS, 40%] ; Frankovský, Miroslav [Recenzent] ; Kentoš, Michal [Recenzent]. – 1. vyd. – Prešov (Slovensko) : Bookman, 2018. – 104 s. [tlačená forma] : text. – [slovenčina]. – [OV 060]. – ISBN 978-80-8165-328-5. – SIGN-PU FF 479/18 </t>
  </si>
  <si>
    <t xml:space="preserve">Positive Emotions in Teaching Foreign Language Vocabulary [textový dokument (print)]  [monografia (do 2021)] / Kamenická, Jana [Autor, UKFPFAKLI, 60%] ; Kráľová, Zdena [Autor, UKFPFAKLI, 40%] ; Bilá, Magdaléna [Recenzent] ; Malá, Eva [Recenzent]. – 1. vyd. – Nitra (Slovensko) : Univerzita Konštantína Filozofa v Nitre, 2021. – 174 s. [tlačená forma] : text. – [angličtina]. – [OV 010]. – ISBN 978-80-558-1729-3 </t>
  </si>
  <si>
    <t xml:space="preserve">Práca s chybou v edukačnom procese [textový dokument (print)]  [monografia (do 2021)] / Kozárová, Nina [Autor, UKFPFAKPE, 100%] ; Petlák, Erich [Recenzent] ; Říčan, Jaroslav [Recenzent]. – 1. vyd. – Nitra (Slovensko) : Univerzita Konštantína Filozofa v Nitre, 2019. – 90 s. [tlačená forma] : text. – [slovenčina]. – [OV 010]. – ISBN 978-80-558-1448-3 </t>
  </si>
  <si>
    <t xml:space="preserve">Práca s páchateľmi domáceho násilia [textový dokument (print)]  [monografia (do 2021)] / Rác, Ivan [Autor, UKFFSVURS, 100%] ; Kajanová, Alena [Recenzent] ; Raffajová, Alžbeta [Recenzent]. – 1. vyd. – Nitra (Slovensko) : Univerzita Konštantína Filozofa v Nitre, 2020. – 108 s. [tlačená forma] : text. – [slovenčina]. – [OV 060]. – ISBN 978-80-558-1556-5 </t>
  </si>
  <si>
    <t xml:space="preserve">Pracovná pamäť v simultánnom a konzekutívnom tlmočení [textový dokument (print)]  [monografia (do 2021)] / Hodáková, Soňa [Autor, UKFFFAKTR, 100%] ; Müglová, Daniela [Recenzent] ; Melicherčíková, Miroslava [Recenzent]. – 1. vyd. – Nitra (Slovensko) : Univerzita Konštantína Filozofa v Nitre, 2021. – 142 s. [tlačená forma]. – [slovenčina]. – [OV 020]. – ISBN 978-80-558-1751-4 </t>
  </si>
  <si>
    <t xml:space="preserve">Pragmatika (literárnej) mystifikácie [textový dokument (print)]  [monografia (do 2021)] / Boszorád, Martin [Autor, UKFFFAULK, 100%] ; Součková, Marta [Recenzent] ; Rédey, Zoltán [Recenzent]. – 1. vyd. – Nitra (Slovensko) : Univerzita Konštantína Filozofa v Nitre, 2021. – 180 s. [tlačená forma] : text. – [slovenčina]. – [OV 020]. – ISBN 978-80-558-1731-6 </t>
  </si>
  <si>
    <t xml:space="preserve">Premeny súčasnej spoločnosti [textový dokument (print)]  [monografia (do 2021)] : sociálno-etické dimenzie / Zozuľaková, Viera [Autor, UKFFFAKSO, 100%] ; Kuzior, Aleksandra [Recenzent] ; Špirko, Dušan [Recenzent]. – 1. vyd. – Nitra (Slovensko) : Univerzita Konštantína Filozofa v Nitre, 2021. – 180 s. [tlačená forma] : text. – [slovenčina]. – [OV 060]. – ISBN 978-80-558-1739-2 </t>
  </si>
  <si>
    <t xml:space="preserve">Prieniky dynamického psychoterapeutického prístupu do teórie a praxe sociálnej práce [textový dokument (print)]  [monografia (do 2021)] / Gabura, Ján [Autor, UKFFSVKSP, 50%] ; Mojtová, Martina [Autor, UKFFSVKSP, 50%] ; Labáth, Vladimír [Recenzent] ; Mydlíková, Eva [Recenzent]. – 1. vyd. – Nitra (Slovensko) : Univerzita Konštantína Filozofa v Nitre, 2020. – 176 s. [tlačená forma] : text. – [slovenčina]. – [OV 060]. – ISBN 978-80-558-1602-9 </t>
  </si>
  <si>
    <t xml:space="preserve">Psychologické, psychofyziologické a antropometrické koreláty srdcovocievnych ochorení [textový dokument (print)]  [monografia (do 2021)] / Šlepecký, Miloš [Autor, UKFFSVKPV, 9.1%] ; Kotianová, Antónia [Autor, UKFFSVKPV, 9.09%] ; Majerčák, Ivan [Autor, UPS51260, 9.09%] ; Praško Pavlov, Ján [Autor, UKFFSVKPV, 9.09%] ; Sollár, Tomáš [Autor, UKFFSVUAP, 9.09%] ; Tonhajzerová, Ingrid [Autor, UKOLJ160, 9.09%] ; Kotian, Michal [Autor, 9.09%] ; Chupáčová, Michaela [Autor, 9.09%] ; Popelková, Marta [Autor, UKFFSVKPV, 9.09%] ; Zaťková, Marta [Autor, UKFFSVKPV, 9.09%] ; Györgyová, Erika [Autor, 9.09%] ; Pilárik, Ľubor [Recenzent] ; Jandová, Katarína [Recenzent]. – 1. vyd. – Nitra (Slovensko) : Univerzita Konštantína Filozofa v Nitre, 2020. – 175 s. [tlačená forma] : text, graf., tab. – [slovenčina]. – [OV 180, 060]. – ISBN 978-80-558-1599-2. – sign UPJS MSEP 033770. – SIGN-UKO LJ838/20 </t>
  </si>
  <si>
    <t xml:space="preserve">Pustý hrad vo Zvolene - dejiny výskumu a obnovy kráľovského hradu 1992 - 2021 [textový dokument (print)]  [monografia (do 2021)] : Publikácia vydaná pri príležitosti 30. výročia archeologického výskumu a obnovy hradného areálu / Beljak, Ján [Autor, 49%] ; Beljak Pažinová, Noémi [Autor, UKFFFAKAR, 35%] ; Mázor, Martin [Autor, 16%] ; Maliniak, Pavol [Recenzent] ; Mácelová, Marta [Recenzent]. – 1. vyd. – Zvolen (Slovensko) : Mesto Zvolen, 2021. – 148 s. [tlačená forma] : text. – [slovenčina]. – [OV 030]. – ISBN 978-80-570-3645-6 </t>
  </si>
  <si>
    <t xml:space="preserve">Pustý hrad vo Zvolene a hrad Peťuša vo svetle aktuálnych výskumov [textový dokument (print)]  [monografia (do 2021)] / Beljak Pažinová, Noémi [Autor, UKFFFAKAR, 70%] ; Beljak, Ján [Autor, 28%] ; Šimkovic, Michal [Autor, 2%] ; Mácelová, Marta [Recenzent] ; Repka, Dominik [Recenzent]. – 1. vyd. – Zvolen (Slovensko) : Mesto Zvolen, 2018. – 100 s. [tlačená forma] : text. – [slovenčina]. – [OV 030]. – ISBN 978-80-570-0010-5 </t>
  </si>
  <si>
    <t xml:space="preserve">Rastliny na Chudnutie - pravda a mýty [textový dokument (print)]  [monografia (do 2021)] / Sirotkin, Alexander [Autor, UKFFPVKZA, 100%] ; Omelka, Radoslav [Recenzent] ; Kolesárová, Adriana [Recenzent]. – 1. vyd. – Nitra (Slovensko) : Univerzita Konštantína Filozofa v Nitre, 2019. – 139 s. [tlačená forma] : text. – [slovenčina]. – [OV 130]. – ISBN 978-80-558-1507-7 </t>
  </si>
  <si>
    <t xml:space="preserve">Religiozita mládeže v procese premien [textový dokument (print)]  [monografia (do 2021)] / Štefaňak, Ondrej [Autor, UKFFFAKSO, 100%] ; Mariański, Janusz [Recenzent] ; Swiatkiewicz, Wojciech  Krzysztof [Recenzent]. – 1. vyd. – Nitra (Slovensko) : Univerzita Konštantína Filozofa v Nitre, 2019. – 260 s. [tlačená forma] : text. – [slovenčina]. – [OV 060]. – ISBN 978-80-558-1417-9 </t>
  </si>
  <si>
    <t xml:space="preserve">Religiózny cestovný ruch v Nitrianskej diecéze [elektronický dokument] [textový dokument (print)]  [monografia (do 2021)] / Krogmann, Alfred [Autor, UKFFPVKGR, 34%] ; Kramáreková, Hilda [Autor, UKFFPVKGR, 33%] ; Petrikovičová, Lucia [Autor, UKFFPVKGR, 33%] ; Chalupa, Petr [Recenzent] ; Judák, Viliam [Recenzent]. – 1. vyd. – Nitra (Slovensko) : Univerzita Konštantína Filozofa v Nitre, 2020. – 96 s. [tlačená forma] : text, ilustr., fotogr. – (Prírodovedec ; 736). – [slovenčina]. – [OV 092]. – ISBN 978-80-558-1652-4 </t>
  </si>
  <si>
    <t xml:space="preserve">Rizikové prvky v systéme pôda-rastlina na príklade vybranej lokality [textový dokument (print)]  [monografia (do 2021)] / Feszterová, Melánia [Autor, UKFFPVKCH, 60%] ; Porubcová, Lýdia [Autor, UKFFPVKCH, 40%] ; Ondrišík, Peter [Recenzent] ; Lošák, Tomáš [Recenzent]. – 1. vyd. – Nitra (Slovensko) : Univerzita Konštantína Filozofa v Nitre, 2021. – 152 s. [tlačená forma] : text. – (Prírodovedec ; 764). – [slovenčina]. – [OV 120]. – ISBN 978-80-558-1817-7 </t>
  </si>
  <si>
    <t xml:space="preserve">Rizikové správanie dospievajúcich a výchovné štýly v rodine [textový dokument (print)]  [monografia (do 2021)] / Verešová, Marcela [Autor, UKFPFAKAP, 50%] ; Tomšik, Robert [Autor, UKFPFAKPE, 50%] ; Čerešník, Michal [Recenzent] ; Dolejš, Martin [Recenzent]. – 1. vyd. – Nitra (Slovensko) : Univerzita Konštantína Filozofa v Nitre, 2019. – 128 s. [tlačená forma] : text. – [slovenčina]. – [OV 010, 060]. – ISBN 978-80-558-1404-9. – ISBN (chybné) 988-80-558-1404-9 </t>
  </si>
  <si>
    <t xml:space="preserve">Rizikové správanie dospievajúcich v systéme vyššieho sekundárneho vzdelávania [textový dokument (print)]  [monografia (do 2021)] / Verešová, Marcela [Autor, UKFPFAKAP, 100%] ; Pavelová, Ľuba [Recenzent] ; Gatial, Viktor [Recenzent]. – 1. vyd. – Nitra (Slovensko) : Univerzita Konštantína Filozofa v Nitre, 2020. – 120 s. [tlačená forma] : text. – [slovenčina]. – [OV 010, 060]. – ISBN 978-80-558-1623-4 </t>
  </si>
  <si>
    <t xml:space="preserve">Rizikové správanie, blízke vzťahy a sebaregulácia dospievajúcich v systéme nižšieho sekundárneho vzdelávania [textový dokument (print)]  [monografia (do 2021)] / Čerešník, Michal [Autor, UKFPFAKAP, 100%] ; Verešová, Marcela [Recenzent] ; Dolejš, Martin [Recenzent]. – 1. vyd. – Nitra (Slovensko) : Univerzita Konštantína Filozofa v Nitre, 2019. – 83 s. [tlačená forma] : text. – [slovenčina]. – [OV 010]. – ISBN 978-80-558-1384-4 </t>
  </si>
  <si>
    <t xml:space="preserve">Rómsky historický kalendár 1918-2018 [textový dokument (print)]  [monografia (do 2021)] / Lužica, René [Autor, UKFFSVURS, 100%] ; Janas, Karol [Recenzent] ; Mušinka, Alexander [Recenzent]. – 1. vyd. – Nitra (Slovensko) : Univerzita Konštantína Filozofa v Nitre, 2020. – 146 s. [tlačená forma] : text. – [slovenčina]. – [OV 060]. – ISBN 978-80-558-1548-0 </t>
  </si>
  <si>
    <t xml:space="preserve">Rozvoj kritického myslenia vo vyučovaní psychológie [textový dokument (print)]  [monografia (do 2021)] / Tomšik, Robert [Autor, UKFPFAKAP, 100%] ; Süttö, Lucia [Recenzent] ; Lobotková, Alžbeta [Recenzent]. – 1. vyd. – Nitra (Slovensko) : Univerzita Konštantína Filozofa v Nitre, 2019. – 64 s. [tlačená forma] : text. – [slovenčina]. – [OV 060]. – ISBN 978-80-558-1386-8 </t>
  </si>
  <si>
    <t xml:space="preserve">Skúsenosti s interaktívnym vyučovaním na sekundárnom a terciárnom stupni vzdelávania [textový dokument (print)]  [monografia (do 2021)] / Beták, Norbert [Autor, UKFFSSKCR, 100%] ; Szőköl, István [Recenzent] ; Szabó, István [Recenzent]. – 1. vyd. – Nitra (Slovensko) : Univerzita Konštantína Filozofa v Nitre, 2019. – 150 s. [tlačená forma] : text. – [slovenčina]. – [OV 010]. – ISBN 978-80-558-1430-8 </t>
  </si>
  <si>
    <t xml:space="preserve">Slovenské židovstvo v tvorbe Antona Baláža [textový dokument (print)]  [monografia (do 2021)] / Adamická, Monika [Autor, UKFFSSUSJ, 100%] ; Gallik, Ján [Recenzent] ; Šuša, Ivan [Recenzent]. – 1. vyd. – Nitra (Slovensko) : Univerzita Konštantína Filozofa v Nitre, 2019. – 116 s. [tlačená forma] : text. – [slovenčina]. – [OV 020, 030]. – ISBN 978-80-558-1427-8 </t>
  </si>
  <si>
    <t xml:space="preserve">Slovenský dabing a titulkovanie v premenách času [textový dokument (print)]  [monografia (do 2021)] / Perez, Emília [Autor, UKFFFAKTR, 70%] ; Brezovská, Miroslava [Autor, 15%] ; Jánošíková, Zuzana [Autor, TUTPFKAJ, 15%] ; Müglová, Daniela [Recenzent] ; Biloveský, Vladimír [Recenzent]. – 1. vyd. – Nitra (Slovensko) : Univerzita Konštantína Filozofa v Nitre, 2021. – 123 s. [tlačená forma] : text. – [slovenčina]. – [OV 020]. – ISBN 978-80-558-1700-2. – TUTPFKAJ signatúra E087241 </t>
  </si>
  <si>
    <t xml:space="preserve">Sociálna práca s ohrozenými a dysfunkčnými rodinami [textový dokument (print)]  [monografia (do 2021)] / Minarovičová, Katarína [Autor, UKFFSVKSP, 100%] ; Mikloško, Jozef [Recenzent] ; Schavel, Milan [Recenzent]. – 1. vyd. – Nitra (Slovensko) : Univerzita Konštantína Filozofa v Nitre, 2018. – 90 s. [tlačená forma] : text. – [slovenčina]. – [OV 060]. – ISBN 978-80-558-1347-9 </t>
  </si>
  <si>
    <t xml:space="preserve">Sociálne intervencie v práci s dysfunkčnými rodinami [textový dokument (print)]  [monografia (do 2021)] / Minarovičová, Katarína [Autor, UKFFSVKSP, 100%] ; Mikloško, Jozef [Recenzent] ; Pavelová, Ľuboslava [Recenzent]. – 1. vyd. – Nitra (Slovensko) : Univerzita Konštantína Filozofa v Nitre, 2021. – 110 s. [tlačená forma] : text. – [slovenčina]. – [OV 020]. – ISBN 978-80-558-1798-9 </t>
  </si>
  <si>
    <t xml:space="preserve">Sociálne služby - denné centrá [textový dokument (print)]  [monografia (do 2021)] / Lehoczká, Lýdia [Autor, UKFFSVURS, 100%] ; Nowak, Barbara [Recenzent] ; Rusnáková, Jurina [Recenzent]. – 1. vyd. – Zvolen (Slovensko) : Technická univerzita vo Zvolene, 2018. – 66 s. [tlačená forma] : text. – [slovenčina]. – [OV 060]. – ISBN 978-80-228-3071-3 </t>
  </si>
  <si>
    <t xml:space="preserve">Sondáž nezávislej divadelnej kultúry na Slovensku [textový dokument (print)]  [monografia (do 2021)] / Ballay, Miroslav [Autor, UKFFFAKKU, 100%] ; Žilková, Marta [Recenzent] ; Pšenička, Martin [Recenzent]. – 1. vyd. – Nitra (Slovensko) : Univerzita Konštantína Filozofa v Nitre, 2020. – 302 s. [tlačená forma] : text. – [slovenčina]. – [OV 020]. – ISBN 978-80-558-1524-4 </t>
  </si>
  <si>
    <t xml:space="preserve">Sondáž nezávislej hudobnej kultúry na Slovensku [textový dokument (print)]  [monografia (do 2021)] / Fuják, Július [Autor, UKFFFAKKU, 100%] ; Martináková, Zuzana [Recenzent] ; Čierna, Alena [Recenzent]. – 1. vyd. – Nitra (Slovensko) : Univerzita Konštantína Filozofa v Nitre, 2021. – 236 s. [tlačená forma] : text. – (Navzdory). – [slovenčina]. – [OV 020]. – ISBN 978-80-558-1658-6 </t>
  </si>
  <si>
    <t xml:space="preserve">Stratégie výučby s podporou IKT v technickom vzdelávaní [textový dokument (print)]  [monografia (do 2021)] / Brečka, Peter [Autor, UKFPFAKTT, 50%] ; Valentová, Monika [Autor, UKFPFAKTT, 50%] ; Kozík, Tomáš [Recenzent] ; Hašková, Alena [Recenzent]. – 1. vyd. – Nitra (Slovensko) : Univerzita Konštantína Filozofa v Nitre, 2018. – 198 s. [tlačená forma] : text. – [slovenčina]. – [OV 010]. – ISBN 978-80-558-1299-1. – ISBN (online) 978-80-558-1300-4 </t>
  </si>
  <si>
    <t xml:space="preserve">Stredoveká sakrálna architektúra vo svetle archeogeofyzikálneho výskumu na Slovensku (4. diel) [textový dokument (print)]  [monografia (do 2021)] / Tirpák, Ján [Autor, UKFFPVGMU, 100%] ; Gajdoš, Vojtech [Recenzent] ; Šalkovský, Peter [Recenzent]. – 1. vyd. – Nitra (Slovensko) : Univerzita Konštantína Filozofa v Nitre, 2019. – 422 s. [CD-ROM]. – [slovenčina]. – [OV 092]. – ISBN 978-80-558-1450-6 </t>
  </si>
  <si>
    <t xml:space="preserve">Stredoveká sakrálna architektúra vo svetle archeogeofyzikálneho výskumu na Slovensku (3. diel) [textový dokument (print)]  [monografia (do 2021)] / Tirpák, Ján [Autor, UKFFPVGMU, 100%] ; Gajdoš, Vojtech [Recenzent] ; Šalkovský, Peter [Recenzent]. – 1. vyd. – Nitra (Slovensko) : Univerzita Konštantína Filozofa v Nitre, 2018. – 464 s. [tlačená forma] : text. – (Prírodovedec ; 669). – [slovenčina]. – [OV 092]. – ISBN 978-80-558-1282-3 </t>
  </si>
  <si>
    <t xml:space="preserve">Supervízia v pomáhajúcich profesiách [textový dokument (print)]  [monografia (do 2021)] / Gabura, Ján [Autor, UKFFSVKSP, 100%] ; Schavel, Milan [Recenzent] ; Mydlíková, Eva [Recenzent]. – 1. vyd. – Nitra (Slovensko) : Univerzita Konštantína Filozofa v Nitre, 2018. – 324 s. [tlačená forma] : text. – [slovenčina]. – [OV 060]. – ISBN 978-80-558-1260-1 </t>
  </si>
  <si>
    <t xml:space="preserve">Syndróm vyhorenia v kontexte činností pracovníkov oddelenia sociálnoprávnej ochrany detí a sociálnej kurately [textový dokument (print)]  [monografia (do 2021)] / Gažiková, Elena [Autor, UKFFSVKSP, 100%] ; Schavel, Milan [Recenzent] ; Lešková, Lýdia [Recenzent]. – 1. vyd. – Nitra (Slovensko) : Univerzita Konštantína Filozofa v Nitre, 2019. – 148 s. [tlačená forma] : text. – [slovenčina]. – [OV 060]. – ISBN 978-80-558-1420-9 </t>
  </si>
  <si>
    <t xml:space="preserve">Talent v športe [textový dokument (print)]  [monografia (do 2021)] : (vyhľadávanie, identifikácia a rozvoj) / Šimonek, Jaromír [Autor, UKFPFAKTV, 50%] ; Židek, Radoslav [Autor, SPUFBP05, 50%] ; Horváth, Rudolf [Recenzent] ; Kasarda, Radovan [Recenzent]. – 1. vyd. – Nitra (Slovensko) : Univerzita Konštantína Filozofa v Nitre, 2019. – 104 s. [tlačená forma] : text. – [slovenčina]. – [OV 210, 120]. – ISBN 978-80-558-1413-1 </t>
  </si>
  <si>
    <t xml:space="preserve">Teaching Strategies in the Context of Foreign Language Lessons [textový dokument (print)]  [monografia (do 2021)] / Horváthová, Božena [Autor, UKFPFAKLI, 25%] ; Reid, Eva [Autor, UKFPFAKLI, 25%] ; Kováčiková, Elena [Autor, UKFPFAKLI, 25%] ; Datko, Juraj [Autor, UKFPFAKLI, 25%] ; Klímová, Blanka [Recenzent] ; Chmelíková, Gabriela [Recenzent]. – 1. vyd. – Nitra (Slovensko) : Univerzita Konštantína Filozofa v Nitre, 2018. – 79 s. [tlačená forma] : text. – [angličtina]. – [OV 010]. – ISBN 978-80-558-1225-0 </t>
  </si>
  <si>
    <t xml:space="preserve">Technika a technológie v hudobnom vzdelávaní - východiská, stav, perspektívy [textový dokument (print)]  [monografia (do 2021)] / Brezina, Pavol [Autor, UKFPFAKHU, 100%] ; Smolík, Pavol [Recenzent] ; Ferková, Eva [Recenzent]. – 1. vyd. – Nitra (Slovensko) : Univerzita Konštantína Filozofa v Nitre, 2018. – 157 s. [tlačená forma] : text. – [slovenčina]. – [OV 010]. – ISBN 978-80-558-1339-4 </t>
  </si>
  <si>
    <t xml:space="preserve">Teoretické východiská a metódy práce s rodinou [textový dokument (print)]  [monografia (do 2021)] / Gabura, Ján [Autor, UKFFSVKSP, 50%] ; Gažiková, Elena [Autor, UKFFSVKSP, 50%] ; Schavel, Milan [Recenzent] ; Mydlíková, Eva [Recenzent]. – 1. vyd. – Nitra (Slovensko) : Univerzita Konštantína Filozofa v Nitre, 2021. – 392 s. [tlačená forma] : text. – [slovenčina]. – [OV 060]. – ISBN 978-80-558-1682-1 </t>
  </si>
  <si>
    <t xml:space="preserve">Úroveň ohybnosti u 10 - 15 ročných športovcov [textový dokument (print)]  [monografia (do 2021)] / Czaková, Natália [Autor, UKFPFAKTV, 80%] ; Divinec, Lenka [Autor, UKFPFAKTV, 20%] ; Kanásová, Janka [Recenzent] ; Hrnčár, Roman [Recenzent]. – 1. vyd. – Nitra (Slovensko) : Univerzita Konštantína Filozofa v Nitre, 2019. – 90 s. [tlačená forma]. – [slovenčina]. – [OV 210]. – ISBN 978-80-558-1491-9 </t>
  </si>
  <si>
    <t xml:space="preserve">V plnosti slávy [textový dokument (print)]  [monografia (do 2021)] / Judák, Viliam [Autor, UKORKCD, 78%] ; Hlad, Ľubomír [Autor, UKFFFAKNS, 22%] ; Šuráb, Marian [Recenzent] ; Argaláš, Dušan [Recenzent]. – 1. vyd. – Nitra (Slovensko) : Kňazský seminár sv. Gorazda, 2020. – 215 s. – [slovenčina]. – [OV 020]. – ISBN 978-80-89481-55-2. – SIGN-UKO RK 14/20 </t>
  </si>
  <si>
    <t xml:space="preserve">V sieti post-pravdy [textový dokument (print)]  [monografia (do 2021)] : nové digitálne médiá ako simulakrum reality / Olejárová, Andrea [Autor, UKFFFAKKU, 100%] ; Soukup, Václav [Recenzent] ; Malíčková, Michaela [Recenzent]. – 1. vyd. – Nitra (Slovensko) : Univerzita Konštantína Filozofa v Nitre, 2021. – 208 s. [tlačená forma] : text. – [slovenčina]. – [OV 020]. – ISBN 978-80-558-1825-2 </t>
  </si>
  <si>
    <t xml:space="preserve">Vplyv balančných cvičení na zmeny funkčných porúch pohybového systému u 10 - 11 ročných atlétov [textový dokument (print)]  [monografia (do 2021)] / Kanásová, Janka [Autor, UKFPFAKTV, 45%] ; Divinec, Lenka [Autor, UKFPFAKTV, 45%] ; Vasiľovský, Ivan [Autor, 10%] ; Bendíková, Elena [Recenzent] ; Halmová, Nora [Recenzent]. – 1. vyd. – Nitra (Slovensko) : Slovenská poľnohospodárska univerzita v Nitre, 2019. – 98 s. [tlačená forma] : text. – [slovenčina]. – [OV 010, 210]. – ISBN 978-80-558-1490-2 </t>
  </si>
  <si>
    <t xml:space="preserve">Vplyv výškového gradientu na spoločenstvá bĺch drobných cicavcov [textový dokument (print)]  [monografia (do 2021)] / Baláž, Ivan [Autor, UKFFPVKEE, 60%] ; Ševčík, Michal [Autor, UKFFPVKEE, 40%] ; Stanko, Michal [Recenzent] ; Urban, Peter [Recenzent]. – 1. vyd. – Nitra (Slovensko) : Univerzita Konštantína Filozofa v Nitre, 2021. – 114 s. [tlačená forma] : text. – (Prírodovedec ; 748). – [slovenčina]. – [OV 100]. – ISBN 978-80-558-1680-7 </t>
  </si>
  <si>
    <t xml:space="preserve">Vyhodnotenie konzumácie vybraných prírodných funkčných potravín stredoškolákov v Dunajskej Strede [textový dokument (print)]  [monografia (do 2021)] / Balla, Štefan [Autor, UKFFSSUVP, 48%] ; Juríková, Tünde [Autor, UKFFSSUVP, 48%] ; Mlček, Jiří [Autor, 2%] ; Borkovcová, Marie [Autor, 2%] ; Nedomová, Šárka [Recenzent] ; Fišera, Miroslav [Recenzent]. – 1. vyd. – Nitra (Slovensko) : Univerzita Konštantína Filozofa v Nitre, 2019. – 122 s. [tlačená forma] : text. – [slovenčina]. – [OV 010]. – ISBN 978-80-558-1487-2 </t>
  </si>
  <si>
    <t xml:space="preserve">Výchova v ponímaní mládeže - očakávania a skutočnosť [textový dokument (print)]  [monografia (do 2021)] / Štefaňak, Ondrej [Autor, UKFFFAKSO, 100%] ; Mariański, Janusz [Recenzent] ; Swiatkiewicz, Wojciech  Krzysztof [Recenzent]. – 1. vyd. – Nitra (Slovensko) : Univerzita Konštantína Filozofa v Nitre, 2021. – 138 s. [tlačená forma] : text, ilustr., tab. – [slovenčina]. – [OV 060]. – ISBN 978-80-558-1762-0 </t>
  </si>
  <si>
    <t xml:space="preserve">Výskum baníctva v okolí Nitrianskeho Pravna [textový dokument (print)]  [monografia (do 2021)] / Žabenský, Marián [Autor, UKFFFAKMK, 100%] ; Kližan, Erik [Recenzent] ; Čukan, Jaroslav [Recenzent]. – 1. vyd. – Nitra (Slovensko) : Univerzita Konštantína Filozofa v Nitre, 2021. – 117 s. [tlačená forma] : text. – [slovenčina]. – [OV 030]. – ISBN 978-80-558-1715-6 </t>
  </si>
  <si>
    <t xml:space="preserve">Vzdelávacie potreby zamestnancov v preseniorskom veku [textový dokument (print)]  [monografia (do 2021)] / Koricina, Michal [Autor, UKFPFAKPE, 100%] ; Balogová, Beáta [Recenzent] ; Krystoň, Miroslav [Recenzent]. – 1. vyd. – Nitra (Slovensko) : Univerzita Konštantína Filozofa v Nitre, 2020. – 104 s. [tlačená forma] : text. – [slovenčina]. – [OV 010]. – ISBN 978-80-558-1564-0 </t>
  </si>
  <si>
    <t xml:space="preserve">Vzdelávanie žien v penitenciárnych podmienkach [textový dokument (print)]  [monografia (do 2021)] / Temiaková, Dominika [Autor, UKFPFAKPE, 100%] ; Határ, Ctibor [Recenzent] ; Niklová, Miriam [Recenzent] ; Škoviera, Albín [Recenzent]. – 1. vyd. – Nitra (Slovensko) : Univerzita Konštantína Filozofa v Nitre, 2021. – 116 s. [tlačená forma] : text. – [slovenčina]. – [OV 010]. – ISBN 978-80-558-1713-2 </t>
  </si>
  <si>
    <t xml:space="preserve">Záhadný svet čísel [textový dokument (print)]  [monografia (do 2021)] : budovanie množiny reálnych čísel / Nagyová Lehocká, Zuzana [Autor, UKFFSSUVP, 100%] ; Árki, Zuzana [Recenzent] ; Tóth, Attila [Recenzent]. – 1. vyd. – Nitra (Slovensko) : Univerzita Konštantína Filozofa v Nitre, 2021. – 100 s. [tlačená forma] : text. – [slovenčina]. – [OV 010]. – ISBN 978-80-558-1730-9 </t>
  </si>
  <si>
    <t xml:space="preserve">Záujem žiakov základných škôl o technické činnosti a technické vzdelávanie [elektronický dokument]  [monografia (do 2021)] / Pavelka, Jozef [Autor, PUPHUFMT, 44%] ; Ďuriš, Milan [Autor, UMBFP07, 12%] ; Honzíková, Jarmila [Autor, 12%] ; Šoltés, Jaroslav [Autor, PUPHUFMT, 15%] ; Tomková, Viera [Autor, UKFPFAKTT, 17%] ; Kožuchová, Mária [Recenzent] ; Hašková, Alena [Recenzent]. – 2. dopl. vyd. – Prešov (Slovensko) : Prešovská univerzita v Prešove, 2020. – 270 s. [online] [DVD]. – [slovenčina]. – [OV 010]. – ISBN (online) 978-80-555-2579-2. – ISBN (online) 978-80-555-2547-1. – SIGN-PU FHPV-20 114/20 </t>
  </si>
  <si>
    <t xml:space="preserve">Zmiešané manželstvá (manželstvá s cudzincami) ako sociokultúrny fenomén [textový dokument (print)]  [monografia (do 2021)] / Letavajová, Silvia [Autor, UKFFFAKMK, 100%] ; Beňušková, Zuzana [Recenzent] ; Paríková, Magdaléna [Recenzent]. – 1. vyd. – Nitra (Slovensko) : Univerzita Konštantína Filozofa v Nitre, 2018. – 287 s. [tlačená forma] : text. – [slovenčina]. – [OV 030]. – ISBN 978-80-558-1353-0 </t>
  </si>
  <si>
    <t xml:space="preserve">Zväz Cigánov/Rómov a štátna moc na Slovensku v rokoch 1968 - 1989 [textový dokument (print)]  [monografia (do 2021)] / Lužica, René [Autor, UKFFSVURS, 100%] ; Kozubík, Michal [Recenzent] ; Janas, Karol [Recenzent]. – 1. vyd. – Nitra (Slovensko) : Univerzita Konštantína Filozofa v Nitre, 2021. – 104 s. [tlačená forma] : text. – [slovenčina]. – [OV 030]. – ISBN 978-80-558-1723-1 </t>
  </si>
  <si>
    <t>ABA - Štúdie charakteru vedeckej monografie v časopisoch a zborníkoch vydané v zahraničných vydavateľstvách</t>
  </si>
  <si>
    <t xml:space="preserve">Kultúrny potenciál Slovákov v Békešskej Čabe / Čukan, Jaroslav [Autor, UKFFFAKMK, 34%] ; Michalík, Boris [Autor, UKFFFAKMK, 33%] ; Pluhár, Tamás [Autor, UKFFFAKMK, 33%] ; Divičanová, Anna [Recenzent] ; Dudok, Miroslav [Recenzent]. – text. – [slovenčina]. – [OV 030]. – [príspevok] In: Kapitoly z minulosti a súčasnosti Slovákov v Békešskej Čabe [textový dokument (print)] / Kmeť, Miroslav [Zostavovateľ, editor] ; Tušková, Tünde [Zostavovateľ, editor] ; Uhrinová, Alžbeta [Zostavovateľ, editor]. – 1. vyd. – Békešská Čaba (Maďarsko) : Magyarországi Szlovákok Kutatóintézete, 2018. – ISBN 978-615-5330-11-7, s. 161-211 [3,11 AH] [tlačená forma] </t>
  </si>
  <si>
    <t xml:space="preserve">Le discours grammatical contextualisé du français de conception slovaque : Analyse de la période entre 1969 et 1992 / Švarbová, Eva [Autor, UKFFFAKRO, 100%]. – text. – [francúzština]. – [OV 020]. – [príspevok] In: Le discours grammatical contextualisé slovaque dans la description du francais (1918-2018) [textový dokument (print)] [elektronický dokument] / Puchovská, Zuzana [Zostavovateľ, editor] ; Orgoňová, Oľga [Recenzent] ; Pešek, Ondřej [Recenzent]. – 1. vyd. – Paríž (Francúzsko) : Éditions des archives contemporaines , 2021. – ISBN 9782813004161, s. 69-142 [tlačená forma] [online] </t>
  </si>
  <si>
    <t xml:space="preserve">Provisioning Ecosystems Services / Mederly, Peter [Korešpondenčný autor, UKFFPVKEE, 20%] ; Jančovič, Martin [Autor, UKFFPVKEE, 11.432%] ; Kaisová, Dominika [Autor, UKFFPVKEE, 11.428%] ; Vrbičanová, Gréta [Autor, UKFFPVKEE, 11.428%] ; Gusejnov, Simona [Autor, 11.428%] ; Močko, Matej [Autor, UKFFPVKEE, 11.428%] ; Laco, Ivan [Autor, UKFFPVKEE, 11.428%] ; Kováč, Tomáš [Autor, UKFFPVKGR, 11.428%]. – text. – [angličtina]. – [OV 100]. – [príspevok]. – DOI 10.1007/978-3-030-46508-7_3 In: A Catalogue of Ecosystem Services in Slovakia [textový dokument (print)] [elektronický dokument] : Benefits to Society / Mederly, Peter [Zostavovateľ, editor] ; Černecký, Ján [Zostavovateľ, editor]. – 1. vyd. – Cham (Švajčiarsko) : Springer Verlag, 2020. – ISBN 978-3-030-46507-0. – ISBN (online) 978-3-030-46508-7, s. 45-90 [3,18 AH] [tlačená forma] </t>
  </si>
  <si>
    <t xml:space="preserve">Regulatory Ecosystem Services and Supporting Ecosystem Functions / Černecký, Ján [Korešpondenčný autor, UKFFPVKEE, 14.29%] ; Špulerová, Jana [Autor, 14.285%] ; Ďuricová, Viktória [Autor, UMBFP09, 14.285%] ; Mederly, Peter [Autor, UKFFPVKEE, 14.285%] ; Jančovič, Martin [Autor, UKFFPVKEE, 14.285%] ; Hreško, Juraj [Autor, UKFFPVKEE, 14.285%] ; Močko, Matej [Autor, UKFFPVKEE, 14.285%]. – text. – [angličtina]. – [OV 100, 190]. – [príspevok]. – DOI 10.1007/978-3-030-46508-7_4 In: A Catalogue of Ecosystem Services in Slovakia [textový dokument (print)] [elektronický dokument] : Benefits to Society / Mederly, Peter [Zostavovateľ, editor] ; Černecký, Ján [Zostavovateľ, editor]. – 1. vyd. – Cham (Švajčiarsko) : Springer Verlag, 2020. – ISBN 978-3-030-46507-0. – ISBN (online) 978-3-030-46508-7, s. 91-184 [3,67 AH] [tlačená forma] </t>
  </si>
  <si>
    <t>ABB - Štúdie charakteru vedeckej monografie v časopisoch a zborníkoch vydané v domácich vydavateľstvách</t>
  </si>
  <si>
    <t xml:space="preserve">„Odstúpte! Odstúpte všetci tí, čo hatíte prúd nového slovenského života!“ Nitra a nitriansky región v období autonómie / Hetényi, Martin [Autor, UKFFFAUKD, 33%] ; Mikulášová, Alena [Autor, UKFFFAKHI, 34%] ; Palárik, Miroslav [Autor, UKFFFAKHI, 33%]. – text. – [slovenčina]. – [OV 030]. – [príspevok] In: Od demokracie k autoritárstvu. Ponitrie v období autonómie (1938 – 1939) [textový dokument (print)] [elektronický dokument] / Arpáš, Róbert [Zostavovateľ, editor] ; Ruman, Ladislav [Recenzent] ; Mičko, Peter [Recenzent]. – 1. vyd. – Nitra (Slovensko) : Univerzita Konštantína Filozofa v Nitre, 2021. – ISBN 978-80-558-1672-2, s. 39-92 [3,3 AH] [tlačená forma] [online] </t>
  </si>
  <si>
    <t xml:space="preserve">Economic and Socio-economic Situation in Nitra and in the Nitra District in the Period of Autonomy of Slovakia = Hospodárska a socioekonomická situácia v Nitre a v Nitrianskom okres v období autonómie Slovenska / Hasarová, Zuzana [Autor, UKFFFAKHI, 50%] ; Palárik, Miroslav [Autor, UKFFFAKHI, 50%] ; Tišliar, Pavol [Recenzent] ; Hetényi, Martin [Recenzent]. – text. – [angličtina]. – [OV 030]. – [článok]. – DOI 10.17846/SHN.2020.24.2.456-504. – SCO In: Studia Historica Nitriensia [textový dokument (print)] [elektronický dokument] . – Nitra (Slovensko) : Univerzita Konštantína Filozofa v Nitre. – ISSN 1338-7219. – ISSN (online) 2585-8661. – Roč. 24, č. 2 (2020), s. 456-504 [3,12 AH] [tlačená forma] [online] . – CiteScore: 0.4 ; SJR: 0.193 ; SNIP: 0.591 Scimago - Cultural studies - Q2, History - Q1, Museology - Q2 </t>
  </si>
  <si>
    <t xml:space="preserve">Hudobné nástrojárstvo / Szórádová, Eva [Autor, UKFPFAKHU, 100%]. – text. – [slovenčina]. – [OV 010]. – [kapitola] In: Hudobné dejiny Bratislavy [textový dokument (print)] : od stredoveku po rok 1918 / Bartová, Jana [Zostavovateľ, editor] ; Bugalová, Edita [Recenzent] ; Holčík, Štefan [Recenzent] ; Sehnal, Jiří [Recenzent]. – 1. vyd. – Bratislava (Slovensko) : Ars musica, 2020. – ISBN 978-80-971672-5-7, s. 322-369 [3,05 AH] [tlačená forma] </t>
  </si>
  <si>
    <t xml:space="preserve">Kauzalita cnosti ako cesty podľa Tomáša Akvinského / Blaščíková, Andrea [Autor, UKFFFAKNS, 100%] ; Hrehová, Helena [Recenzent] ; Farkaš, Pavol [Recenzent]. – text. – [slovenčina]. – [OV 010]. – [príspevok] In: Zmysel na ceste svedomia a cnosti [textový dokument (print)] / Kútny, Ivan [Zostavovateľ, editor]. – 1. vyd. – Trnava (Slovensko) : Vydavateľstvo Dobrá kniha, 2018. – ISBN 978-80-8191-147-7. – TUTTFKST signatúra E072956, s. 63-131 [tlačená forma] </t>
  </si>
  <si>
    <t xml:space="preserve">Majáles/juniáles v kultúrno-historickej retrospektíve a jeho aktuálna podoba v obci Liptovské Sliače / Jágerová, Margita [Autor, UKFFFAKEF, 100%] ; Večerková, Eva [Recenzent] ; Jakubíková, Kornélia [Recenzent]. – text. – [slovenčina]. – [OV 030]. – [príspevok] In: Kalendárna obyčajová kultúra vo vidieckom prostredí na začiatku 21. storočia [textový dokument (print)] : (vybrané problémy) / Jágerová, Margita [Zostavovateľ, editor]. – 1. vyd. – Nitra (Slovensko) : Univerzita Konštantína Filozofa v Nitre, 2018. – ISBN 978-80-558-1268-7, s. 70-147 [tlačená forma] </t>
  </si>
  <si>
    <t xml:space="preserve">Rastliny zaznamenané na území Floristického kurzu v Bardejove = Plants recorded in the area of the Floristic course held in the town of Bardejov / Dudáš, Matej [Autor, UPS14100, 40%] ; Eliáš, Pavol [Autor, SPUFAP31, 5%] ; Eliáš, Pavol [Autor, 5%] ; Grulich, Vít [Autor, 5%] ; Hrouda, Lubomír [Autor, 5%] ; Chrtek, Jindřich [Autor, 5%] ; Kĺč, Vladimír [Autor, 5%] ; Kochjarová, Judita [Autor, KF, 5%] ; Košťál, Jaroslav [Autor, UKFFPVKEE, 5%] ; Koutecký, Petr [Autor, 5%] ; Mereďa, Pavol [Autor, 5%] ; Prach, Karel [Autor, 5%] ; Valachovič, Milan [Autor, 5%]. – text. – [slovenčina]. – [OV 130, 190, 100]. – [ŠO 1610, 4190]. – [príspevok]. – sign UPJS SSEP 021655 In: Flóra okolia Bardejova [textový dokument (print)] : zborník výsledkov 10. Floristického kurzu SBS a ČBS v Bardejove 1.-7.7.2018 / Dudáš, Matej [Zostavovateľ, editor] ; Gojdičová, Ema [Zostavovateľ, editor] ; Mártonfi, Pavol [Recenzent] ; Májeková, Jana [Recenzent]. – 1. vyd. – Bratislava (Slovensko) : Slovenská akadémia vied. Slovenská botanická spoločnosť pri SAV, 2020. – (Bulletin Slovenskej botanickej spoločnosti, ISSN 1337-7043 ; Roč. 42, Suppl. 2). – ISSN 1337-7043. – sign UPJS SSEP 023103, s. 35-115 [tlačená forma] </t>
  </si>
  <si>
    <t xml:space="preserve">Služby poskytované na úrovni miest / Balážová, Eva [Autor, 28%] ; Papcunová, Viera [Autor, UKFFPVUMI, 63%] ; Pospišová, Lucia [Autor, SPUFES14, 9%]. – text. – [slovenčina]. – [OV 080, 060]. – [kapitola] In: Výkon kompetencií miest v SR [elektronický dokument] / Balážová, Eva [Autor] ; Papcunová, Viera [Autor] ; Pospišová, Lucia [Autor] ; Knežová, Jana [Autor] ; Rumanovská, Ľubica [Recenzent] ; Tej, Juraj [Recenzent]. – 1. vyd. – Nitra (Slovensko) : Slovenská poľnohospodárska univerzita v Nitre, 2020. – ISBN 978-80-552-2281-3, s. 10-118 [online] </t>
  </si>
  <si>
    <t xml:space="preserve">Súčasné spoločensko-kultúrne aktivity v obciach ako rámec tradičných obyčají (na príklade okresov Detva, Námestovo a Ružomberok) / Beňušková, Zuzana [Autor, UKFFFAKEF, 100%] ; Večerková, Eva [Recenzent] ; Jakubíková, Kornélia [Recenzent]. – text. – [slovenčina]. – [OV 030]. – [príspevok] In: Kalendárna obyčajová kultúra vo vidieckom prostredí na začiatku 21. storočia [textový dokument (print)] : (vybrané problémy) / Jágerová, Margita [Zostavovateľ, editor]. – 1. vyd. – Nitra (Slovensko) : Univerzita Konštantína Filozofa v Nitre, 2018. – ISBN 978-80-558-1268-7, s. 12-69 [3,21 AH] [tlačená forma] </t>
  </si>
  <si>
    <t xml:space="preserve">Výsledky výskumu modelových území / Švajda, Juraj [Autor, UMBFP09, 9%] ; Roháč, Ján [Autor, 7%] ; Hrnčiarová, Tatiana [Autor, 7%] ; Hreško, Juraj [Autor, UKFFPVKEE, 14%] ; Kenderessy, Pavol [Autor, 7%] ; Vlachovičová, Miriam [Autor, 7%] ; Špulerová, Jana [Autor, 7%] ; Piscová, Veronika [Autor, 7%] ; Dobrovodská, Marta [Autor, 7%] ; Slivinský, Ján [Autor, 7%] ; Kanka, Róbert [Autor, 7%] ; Topercer, Ján [Autor, UKOCSBZ, 7%] ; Považan, Radoslav [Autor, 7%] ; Kolejka, Jaromír [Recenzent] ; Petrovič, František [Recenzent]. – [slovenčina]. – [OV 100]. – [kapitola] In: Využívanie vysokohorskej krajiny a jeho dôsledky na zmenu prostredia [textový dokument (print)] : na príklade Tatier a Nízkych Tatier / Piscová, Veronika [Autor]. – 1. vyd. – Bratislava (Slovensko) : Slovenská akadémia vied. Veda, vydavateľstvo Slovenskej akadémie vied, 2018. – ISBN 978-80-224-1585-9, s. 97-226 [tlačená forma] </t>
  </si>
  <si>
    <t xml:space="preserve">Weapons from the early medieval cemetery od Ivanka Pri Dunaji-Farkasek in a wider context / Husár, Martin [Autor, UKFFFAUKD, 50%] ; Tamaškovič, Jakub [Autor, UKFFFAKAR, 50%]. – text. – [angličtina]. – [OV 030]. – [článok]. – [recenzované]. – DOI 10.17846/SHN.2020.24.2.249-293. – SCO In: Studia Historica Nitriensia [textový dokument (print)] [elektronický dokument] . – Nitra (Slovensko) : Univerzita Konštantína Filozofa v Nitre. – ISSN 1338-7219. – ISSN (online) 2585-8661. – Roč. 24, č. 2 (2020), 249-293 [3,21 AH] [tlačená forma] [online] . – CiteScore: 0.4 ; SJR: 0.193 ; SNIP: 0.591 Scimago - Cultural studies - Q2, History - Q1, Museology - Q2 </t>
  </si>
  <si>
    <t xml:space="preserve">Zvuková krajina a kalendárne obyčaje v priestore obce Telgárt / Ambrózová, Jana [Autor, UKFFFAKEF, 100%] ; Večerková, Eva [Recenzent] ; Jakubíková, Kornélia [Recenzent]. – text. – [slovenčina]. – [OV 030]. – [príspevok] In: Kalendárna obyčajová kultúra vo vidieckom prostredí na začiatku 21. storočia [textový dokument (print)] : (vybrané problémy) / Jágerová, Margita [Zostavovateľ, editor]. – 1. vyd. – Nitra (Slovensko) : Univerzita Konštantína Filozofa v Nitre, 2018. – ISBN 978-80-558-1268-7, s. 200-265 [3,18 AH] [tlačená forma] </t>
  </si>
  <si>
    <t>ABC - Kapitoly vo vedeckých monografiách v zahraničných vydavateľstvách</t>
  </si>
  <si>
    <t xml:space="preserve">Die unbefestigten Areale des Burgwalls von Mikulčice aus archäobotanischer Sicht / Látková, Michaela [Autor, 50%] ; Hajnalová, Mária [Autor, UKFFFAKAR, 50%]. – text. – [nemčina]. – [OV 030]. – [kapitola] In: Das Suburbium Des Burgwalls Von Mikulčice [textový dokument (print)] : Studien Zum Burgwall Von Mikulcice 9 / Hajnalová, Mária [Zostavovateľ, editor] ; Bierman, Felix [Recenzent] ; Boháčová, Ivana [Recenzent]. – 1. vyd. – Brno (Česko) : Akademie věd České republiky, 2019. – ISBN 978-80-86023-00-7. – ISSN 1804-1345, s. 389-436 [tlačená forma] </t>
  </si>
  <si>
    <t xml:space="preserve">Droga św. Jakuba = Way of St. James / Mróz, Franciszek [Autor, 35%] ; Mróz, Łukasz [Autor, 30%] ; Krogmann, Alfred [Autor, UKFFPVKGR, 35%]. – text, mapy, tab., obr. – [poľština]. – [OV 092]. – [kapitola]. – [recenzované] In: Atlas Wyszehradzki [textový dokument (print)] / Szymanowski, Maciej [Autor komentárov, sprievodného materiálu] ; Śleszyński, Przemysław [Zostavovateľ, editor] ; Czapiewski, Konrad [Zostavovateľ, editor]. – 1. vyd. – Warszawa (Poľsko) : Polskie towarzystwo geograficzne, 2021. – ISBN 978-83-958155-0-8, s. 154-161 [1,34 AH] [tlačená forma] </t>
  </si>
  <si>
    <t xml:space="preserve">La asfixiante (pseudo) cultura vs. la cultura y el arte independiente en la era de la globalización post-industrial./PS: Coronamatriz–transformación del capitalismo tardío / Fuják, Július [Autor, UKFFFAKKU, 100%]. – text. – [španielčina]. – [OV 020]. – [kapitola] In: Los estudios culturales sobre el arte independiente y la cultura [textový dokument (print)] : (Las perspectivas de investigación entre los siglos xx y xxi) / Fuják, Július [Zostavovateľ, editor] ; Štúr, Martin [Recenzent] ; Malíček, Juraj [Recenzent]. – 1. vyd. – Sevilla (Španielsko) : Ediciones Alfar, 2020. – ISBN 978-84-7898-875-4, s. 15-43 [1,7 AH] [tlačená forma] </t>
  </si>
  <si>
    <t xml:space="preserve">Ľudovít Štúr vs. Pop-Štúr, Cool-Štúr y Hip-Štúr : (Lo oficial y lo independiente en el contexto de la representación de un icono cultural y nacional) / Boszorád, Martin [Autor, UKFFFAULK, 100%]. – text. – [španielčina]. – [OV 020]. – [kapitola] In: Los estudios culturales sobre el arte independiente y la cultura [textový dokument (print)] : (Las perspectivas de investigación entre los siglos xx y xxi) / Fuják, Július [Zostavovateľ, editor] ; Štúr, Martin [Recenzent] ; Malíček, Juraj [Recenzent]. – 1. vyd. – Sevilla (Španielsko) : Ediciones Alfar, 2020. – ISBN 978-84-7898-875-4, s. 101-126 [1,7 AH] [tlačená forma] </t>
  </si>
  <si>
    <t xml:space="preserve">Relationality in the Education towards Virtue according to Thomas Aquinas / Blaščíková, Andrea [Autor, UKFFFAKNS, 100%]. – text. – [angličtina]. – [OV 010]. – [kapitola] In: Relationality in Education of Morality / Rajský, Andrej [Zostavovateľ, editor] ; Wiesenganger, Marek [Zostavovateľ, editor] ; Nemec, Rastislav [Recenzent] ; Prokešová, Miriam [Recenzent]. – 1. vyd. – Berlín (Nemecko) : Peter Lang, 2021. – (Spectrum Slovakia Series, ISSN 2195-1845 ; Volume 36). – ISBN 978-3-631-85264-4. – ISBN 978-80-224-1893-5. – ISBN 978-3-631-86096-0. – ISBN (online) 978-3-631-86094-6. – ISBN (online) 978-3-631-86095-3. – TUTPFKPS signatúra E087202, s. 51-67 [1,2 AH] [tlačená forma] </t>
  </si>
  <si>
    <t xml:space="preserve">To save or to spend? Students  ́attitude towards money / Štrbová, Monika [Autor, UKFFFAKSO, 40%] ; Zozuľaková, Viera [Autor, UKFFFAKSO, 40%] ; Swadżba, Urszula [Autor, 20%] ; Bylok, Felicjan [Recenzent] ; Walczak-Duraj, Danuta [Recenzent]. – text. – [angličtina]. – [OV 060]. – [kapitola] In: The economic awareness of the young generation of Visegrad countries : a comparative analysis / Swadżba, Urszula [Zostavovateľ, editor]. – 1. vyd. – Katowice (Poľsko) : Uniwersytet Ślaski w Katowicach. Wydawnictwo Uniwersytetu Ślaskiego, 2018. – ISBN 978-83-226-3384-7, s. 137-155 [1,23 AH] </t>
  </si>
  <si>
    <t xml:space="preserve">Využitie múzejno-pedagogických kompetencií odbornými profesiami na pôde múzeí: společenské vedy / Eliašová, Silvia [Autor, UKFFFAKMU, 50%] ; Palárik, Miroslav [Autor, UKFFFAKHI, 50%] ; Kačírek, Ľuboš [Recenzent] ; Douša, Pavel [Recenzent]. – text. – [slovenčina]. – [OV 030]. – [kapitola] In: Muzejní profese a veřejnost (2) [elektronický dokument] : reflexe edukačního fenoménu v současné muzejní praxi / Jagošová, Lucie [Zostavovateľ, editor] ; Kirsch, Otakar [Zostavovateľ, editor]. – 1. vyd. – Brno (Česko) : Masarykova univerzita, 2018. – ISBN 978-80-210-9485-7, s. 46-62 [1,13 AH] </t>
  </si>
  <si>
    <t>ABD - Kapitoly vo vedeckých monografiách vydané v domácich vydavateľstvách</t>
  </si>
  <si>
    <t xml:space="preserve">Aktualizácia etických aspektov v starovekých mýtoch : (grécke mýty v interpretácii Beaty Panákovej) / Gallik, Ján [Autor, UKFFSSUSJ, 100%]. – text. – [slovenčina]. – [OV 020]. – [kapitola] In: Text pre deti a mládež ako interpretačná úloha v didaktickom procese [textový dokument (print)] / Gallik, Ján [Autor] ; Vančo, Dominik [Autor] ; Zeleňáková, Hana [Autor] ; Žilková, Marta [Recenzent] ; Vitézová, Eva [Recenzent]. – 1. vyd. – Nitra (Slovensko) : Univerzita Konštantína Filozofa v Nitre, 2021. – ISBN 978-80-558-1735-4, s. 10-29 [1,16 AH] [tlačená forma] </t>
  </si>
  <si>
    <t xml:space="preserve">Cirkevné dejiny Tibavy do roku 1989 / Žeňuch, Vavrinec [Autor, UKFFFAKRU, 100%] ; Zubko, Peter [Recenzent] ; Hreha, Rastislav [Recenzent]. – [slovenčina]. – [OV 030]. – [kapitola] In: Tibava [textový dokument (print)] / Molnár, Tibor [Zostavovateľ, editor]. – 1. vyd. – Snina (Slovensko) : Elinor, 2018. – ISBN 978-80-970408-9-5, s. 143-164 [tlačená forma] </t>
  </si>
  <si>
    <t xml:space="preserve">Diskurzy o rodičovstve v odborných a popularizačných publikáciách / Hargašová, Lucia [Autor, 40%] ; Bianchi, Gabriel [Autor, 12%] ; Fusková, Jana [Autor, 12%] ; Lukšík, Ivan [Autor, 12%] ; Marková, Dagmar [Autor, UKFFFAKAE 06.2022, 12%] ; Popper, Miroslav [Autor, 12%]. – [slovenčina]. – [OV 060]. – [kapitola]. – SIGN-UKO FS21-0056 In: Analýza diskurzov o tradičných a alternatívnych rodičovstvách na Slovensku [textový dokument (print)] / Popper, Miroslav [Zostavovateľ, editor] ; Šeboková, Gabriela [Recenzent] ; Guráň, Peter [Recenzent]. – 1. vyd. – Bratislava (Slovensko) : Slovenská akadémia vied. Veda, vydavateľstvo Slovenskej akadémie vied ; Slovenská akadémia vied. Pracoviská SAV. Ústav výskumu sociálnej komunikácie, 2021. – ISBN 978-80-224-1881-2. – SIGN-UKO FS21-0054, s. 75-103 [tlačená forma] </t>
  </si>
  <si>
    <t xml:space="preserve">Etické dilemy profesionálneho rodičovstva / Mojtová, Martina [Autor, UKFFSVKSP, 100%]. – text. – [slovenčina]. – [OV 060]. – [kapitola] In: Potenciál zabezpečenia a výkonu profesionálneho rodičovstva [textový dokument (print)] / Gažiková, Elena [Autor] ; Mikloško, Jozef [Recenzent] ; Lešková, Lýdia [Recenzent]. – 1. vyd. – 2018 (Slovensko) : Univerzita Konštantína Filozofa v Nitre, 2018. – ISBN 978-80-558-1344-8, s. 154-178 [tlačená forma] </t>
  </si>
  <si>
    <t xml:space="preserve">Hudobná škola (Musikschule) a počiatky profesionálneho hudobného školstva / Szórádová, Eva [Autor, UKFPFAKHU, 100%]. – text. – [slovenčina]. – [OV 010]. – [kapitola] In: Hudobné dejiny Bratislavy [textový dokument (print)] : od stredoveku po rok 1918 / Bartová, Jana [Zostavovateľ, editor] ; Bugalová, Edita [Recenzent] ; Holčík, Štefan [Recenzent] ; Sehnal, Jiří [Recenzent]. – 1. vyd. – Bratislava (Slovensko) : Ars musica, 2020. – ISBN 978-80-971672-5-7, s. 212-231 [tlačená forma] </t>
  </si>
  <si>
    <t xml:space="preserve">Metodiky výskumu modelových území / Švajda, Juraj [Autor, UMBFP09, 12%] ; Roháč, Ján [Autor, 8%] ; Hreško, Juraj [Autor, UKFFPVKEE, 8%] ; Hrnčiarová, Tatiana [Autor, 8%] ; Špulerová, Jana [Autor, 8%] ; Kanka, Róbert [Autor, 8%] ; Piscová, Veronika [Autor, 8%] ; Topercer, Ján [Autor, UKOCSBZ, 8%] ; Vlachovičová, Miriam [Autor, 8%] ; Kalivoda, Henrik [Autor, 8%] ; Považan, Radoslav [Autor, 8%] ; Dobrovodská, Marta [Autor, 8%] ; Kolejka, Jaromír [Recenzent] ; Petrovič, František [Recenzent]. – text. – [slovenčina]. – [OV 100]. – [kapitola] In: Využívanie vysokohorskej krajiny a jeho dôsledky na zmenu prostredia [textový dokument (print)] : na príklade Tatier a Nízkych Tatier / Piscová, Veronika [Autor]. – 1. vyd. – Bratislava (Slovensko) : Slovenská akadémia vied. Veda, vydavateľstvo Slovenskej akadémie vied, 2018. – ISBN 978-80-224-1585-9, s. 64-96 [tlačená forma] </t>
  </si>
  <si>
    <t xml:space="preserve">Motivácia profesionálnych rodičov a sociálna opora / Krištofová, Erika [Autor, UKFFSVKOS, 100%]. – text. – [slovenčina]. – [OV 060]. – [kapitola] In: Potenciál zabezpečenia a výkonu profesionálneho rodičovstva [textový dokument (print)] / Gažiková, Elena [Autor] ; Mikloško, Jozef [Recenzent] ; Lešková, Lýdia [Recenzent]. – 1. vyd. – 2018 (Slovensko) : Univerzita Konštantína Filozofa v Nitre, 2018. – ISBN 978-80-558-1344-8, s. 32-75 [tlačená forma] </t>
  </si>
  <si>
    <t xml:space="preserve">Nototlačiarstvo, hudobné vydavateľstvo a publicistika / Szórádová, Eva [Autor, UKFPFAKHU, 100%]. – text. – [slovenčina]. – [OV 010]. – [kapitola] In: Hudobné dejiny Bratislavy [textový dokument (print)] : od stredoveku po rok 1918 / Bartová, Jana [Zostavovateľ, editor] ; Bugalová, Edita [Recenzent] ; Holčík, Štefan [Recenzent] ; Sehnal, Jiří [Recenzent]. – 1. vyd. – Bratislava (Slovensko) : Ars musica, 2020. – ISBN 978-80-971672-5-7, s. 232-247 [1,05 AH] [tlačená forma] </t>
  </si>
  <si>
    <t xml:space="preserve">Obnovovanie literárnej záhrady Frances Hodgson-Burnettovej : (Frances Hodgson-Burnett: Tajná záhrada) / Zeleňáková, Hana [Autor, UKFFFAULK, 100%]. – text. – [slovenčina]. – [OV 020]. – [kapitola] In: Text pre deti a mládež ako interpretačná úloha v didaktickom procese [textový dokument (print)] / Gallik, Ján [Autor] ; Vančo, Dominik [Autor] ; Zeleňáková, Hana [Autor] ; Žilková, Marta [Recenzent] ; Vitézová, Eva [Recenzent]. – 1. vyd. – Nitra (Slovensko) : Univerzita Konštantína Filozofa v Nitre, 2021. – ISBN 978-80-558-1735-4, s. 54-71 [1,23 AH] [tlačená forma] </t>
  </si>
  <si>
    <t xml:space="preserve">Organizačné zabezpečenie profesionálneho rodičovstva / Gažiková, Elena [Autor, UKFFSVKSP, 100%]. – text. – [slovenčina]. – [OV 060]. – [kapitola] In: Potenciál zabezpečenia a výkonu profesionálneho rodičovstva [textový dokument (print)] / Gažiková, Elena [Autor] ; Mikloško, Jozef [Recenzent] ; Lešková, Lýdia [Recenzent]. – 1. vyd. – 2018 (Slovensko) : Univerzita Konštantína Filozofa v Nitre, 2018. – ISBN 978-80-558-1344-8, s. 126-153 [tlačená forma] </t>
  </si>
  <si>
    <t xml:space="preserve">Osteoantropologický rozbor / Krošláková, Mária [Autor, 20%] ; Vondráková, Mária [Autor, UKFFPVKZA, 40%] ; Kolena, Branislav [Autor, UKFFPVKZA, 40%]. – text. – [slovenčina]. – [OV 030, 130]. – [kapitola] In: Ľudské kostrové pozostatky z Nitrianskeho hradu [textový dokument (print)] : (výskumy v rokoch 1988 – 2015) / Krošláková, Mária [Autor] ; Vondráková, Mária [Autor] ; Kolena, Branislav [Autor] ; Bednár, Peter [Autor] ; Borzová, Zuzana [Recenzent] ; Pavelková, Jaroslava [Recenzent]. – 1. vyd. – Nitra (Slovensko) : Slovenská akadémia vied. Pracoviská SAV. Archeologický ústav, 2019. – (Acta Interdisciplinaria Archaeologica ; 11). – ISBN 978-80-8196-024-6, s. 17-58 [tlačená forma] </t>
  </si>
  <si>
    <t xml:space="preserve">Pôsobnosť samosprávnych krajov vo vzťahu k pôsobnostiam miest / Papcunová, Viera [Autor, UKFFPVUMI, 48%] ; Balážová, Eva [Autor, 3%] ; Pospišová, Lucia [Autor, SPUFES14, 3%] ; Knežová, Jana [Autor, 46%]. – [slovenčina]. – [OV 080, 060]. – [kapitola] In: Výkon kompetencií miest v SR [elektronický dokument] / Balážová, Eva [Autor] ; Papcunová, Viera [Autor] ; Pospišová, Lucia [Autor] ; Knežová, Jana [Autor] ; Rumanovská, Ľubica [Recenzent] ; Tej, Juraj [Recenzent]. – 1. vyd. – Nitra (Slovensko) : Slovenská poľnohospodárska univerzita v Nitre, 2020. – ISBN 978-80-552-2281-3, s. 125-158 [online] </t>
  </si>
  <si>
    <t xml:space="preserve">Prínosy profesionálneho rodičovstva / Morávková, Silvia [Autor, UKFFSVKSP, 100%]. – text. – [slovenčina]. – [OV 060]. – [kapitola] In: Potenciál zabezpečenia a výkonu profesionálneho rodičovstva [textový dokument (print)] / Gažiková, Elena [Autor] ; Mikloško, Jozef [Recenzent] ; Lešková, Lýdia [Recenzent]. – 1. vyd. – 2018 (Slovensko) : Univerzita Konštantína Filozofa v Nitre, 2018. – ISBN 978-80-558-1344-8, s. 76-99 [tlačená forma] </t>
  </si>
  <si>
    <t xml:space="preserve">Prínosy v oblasti absolvovania prípravy a ďalšieho vzdelávania v súvislosti s výkonom profesionálneho rodičovstva / Minarovičová, Katarína [Autor, UKFFSVKSP, 100%]. – text. – [slovenčina]. – [OV 060]. – [kapitola] In: Potenciál zabezpečenia a výkonu profesionálneho rodičovstva [textový dokument (print)] / Gažiková, Elena [Autor] ; Mikloško, Jozef [Recenzent] ; Lešková, Lýdia [Recenzent]. – 1. vyd. – 2018 (Slovensko) : Univerzita Konštantína Filozofa v Nitre, 2018. – ISBN 978-80-558-1344-8, s. 179-207 [tlačená forma] </t>
  </si>
  <si>
    <t xml:space="preserve">Prírodné pomery modelových území / Piscová, Veronika [Autor, 16%] ; Hreško, Juraj [Autor, UKFFPVKEE, 14%] ; Borovský, Igor [Autor, 14%] ; Hurta, Vladimír [Autor, 14%] ; Izsóff, Martin [Autor, 14%] ; Topercer, Ján [Autor, UKOCSBZ, 14%] ; Špulerová, Jana [Autor, 14%] ; Kolejka, Jaromír [Recenzent] ; Petrovič, František [Recenzent]. – text. – [slovenčina]. – [OV 100]. – [kapitola] In: Využívanie vysokohorskej krajiny a jeho dôsledky na zmenu prostredia [textový dokument (print)] : na príklade Tatier a Nízkych Tatier / Piscová, Veronika [Autor]. – 1. vyd. – Bratislava (Slovensko) : Slovenská akadémia vied. Veda, vydavateľstvo Slovenskej akadémie vied, 2018. – ISBN 978-80-224-1585-9, s. 27-45 [1,23 AH] [tlačená forma] </t>
  </si>
  <si>
    <t xml:space="preserve">Profesionálne rodičovstvo / Šeboková, Gabriela [Autor, UKFFSVKPV, 100%]. – text. – [slovenčina]. – [OV 060]. – [kapitola] In: Potenciál zabezpečenia a výkonu profesionálneho rodičovstva [textový dokument (print)] / Gažiková, Elena [Autor] ; Mikloško, Jozef [Recenzent] ; Lešková, Lýdia [Recenzent]. – 1. vyd. – 2018 (Slovensko) : Univerzita Konštantína Filozofa v Nitre, 2018. – ISBN 978-80-558-1344-8, s. 8-32 [tlačená forma] </t>
  </si>
  <si>
    <t xml:space="preserve">Riziká profesionálneho rodičovstva / Fellnerová, Nikoleta [Autor, UKFFSVKSP, 100%]. – text. – [slovenčina]. – [OV 060]. – [kapitola] In: Potenciál zabezpečenia a výkonu profesionálneho rodičovstva [textový dokument (print)] / Gažiková, Elena [Autor] ; Mikloško, Jozef [Recenzent] ; Lešková, Lýdia [Recenzent]. – 1. vyd. – 2018 (Slovensko) : Univerzita Konštantína Filozofa v Nitre, 2018. – ISBN 978-80-558-1344-8, s. 100-125 [tlačená forma] </t>
  </si>
  <si>
    <t xml:space="preserve">Rodáci a ich miesto v hudobnej kultúre Bratislavy / Lengová, Jana [Autor, 44%] ; Szórádová, Eva [Autor, UKFPFAKHU, 39%] ; Bartová, Jana [Autor, 14%] ; Kačic, Ladislav [Autor, 3%]. – text. – [slovenčina]. – [OV 010, 020]. – [kapitola] In: Hudobné dejiny Bratislavy [textový dokument (print)] : od stredoveku po rok 1918 / Bartová, Jana [Zostavovateľ, editor] ; Bugalová, Edita [Recenzent] ; Holčík, Štefan [Recenzent] ; Sehnal, Jiří [Recenzent]. – 1. vyd. – Bratislava (Slovensko) : Ars musica, 2020. – ISBN 978-80-971672-5-7, s. 371-401 [2,04 AH] [tlačená forma] </t>
  </si>
  <si>
    <t xml:space="preserve">Sídlisko Vekerzugskej kultúry / Romsauer, Peter [Autor, UKFFFAKAR, 100%]. – text, obr. – [slovenčina]. – [OV 030]. – [kapitola] In: Chotín 7 (7) [textový dokument (print)] : Sídlisko z doby halštatskej, rímskej a stredoveku / Romsauer, Peter [Autor] ; Hečková, Janka [Autor] ; Repka, Dominik [Autor] ; Březinová, Gertrúda [Autor] ; Kuzmová, Klára [Autor] ; Miroššayová, Elena [Recenzent] ; Rajtár, Ján [Recenzent] ; Borzová, Zuzana [Recenzent]. – 1. vyd. – Nitra (Slovensko) : Univerzita Konštantína Filozofa v Nitre, 2019. – ISBN 978-80-558-1403-2, s. 19-48 [tlačená forma] </t>
  </si>
  <si>
    <t xml:space="preserve">Sídlisko z doby rímskej / Hečková, Janka [Autor, UKFFFAKHI, 40%] ; Repka, Dominik [Autor, UKFFFAKAR, 40%] ; Kuzmová, Klára [Autor, TUTFFKKA, 10%] ; Březinová, Gertrúda [Autor, 10%]. – text, obr. – [slovenčina]. – [OV 030]. – [kapitola]. – TUT ID E076825 In: Chotín 7 (7) [textový dokument (print)] : Sídlisko z doby halštatskej, rímskej a stredoveku / Romsauer, Peter [Autor] ; Hečková, Janka [Autor] ; Repka, Dominik [Autor] ; Březinová, Gertrúda [Autor] ; Kuzmová, Klára [Autor] ; Miroššayová, Elena [Recenzent] ; Rajtár, Ján [Recenzent] ; Borzová, Zuzana [Recenzent]. – 1. vyd. – Nitra (Slovensko) : Univerzita Konštantína Filozofa v Nitre, 2019. – ISBN 978-80-558-1403-2, s. 49-142 [tlačená forma] </t>
  </si>
  <si>
    <t xml:space="preserve">Supervízia v oblasti profesionálneho rodičovstva / Gabura, Ján [Autor, UKFFSVKSP, 100%]. – text. – [slovenčina]. – [OV 060]. – [kapitola] In: Potenciál zabezpečenia a výkonu profesionálneho rodičovstva [textový dokument (print)] / Gažiková, Elena [Autor] ; Mikloško, Jozef [Recenzent] ; Lešková, Lýdia [Recenzent]. – 1. vyd. – 2018 (Slovensko) : Univerzita Konštantína Filozofa v Nitre, 2018. – ISBN 978-80-558-1344-8, s. 208-230 [tlačená forma] </t>
  </si>
  <si>
    <t xml:space="preserve">Umelecká interpretácia ako princíp literárneho renovovania klasického textu : (Daniel Pastirčák: Slovo pred slovom. Proglas pre deti a ich rodičov) / Vančo, Dominik [Autor, UKFFFASJL, 100%]. – text. – [slovenčina]. – [OV 020]. – [kapitola] In: Text pre deti a mládež ako interpretačná úloha v didaktickom procese [textový dokument (print)] / Gallik, Ján [Autor] ; Vančo, Dominik [Autor] ; Zeleňáková, Hana [Autor] ; Žilková, Marta [Recenzent] ; Vitézová, Eva [Recenzent]. – 1. vyd. – Nitra (Slovensko) : Univerzita Konštantína Filozofa v Nitre, 2021. – ISBN 978-80-558-1735-4, s. 30-53 [tlačená forma] </t>
  </si>
  <si>
    <t xml:space="preserve">Vybrané aspekty právnej úpravy vzťahov kohabitujúcich osôb v partnerskom zväzku na Slovensku v kontexte aktuálnych ľudskoprávnych trendov / Kocina, Petr [Autor, UKFFFAKAE 06.2022, 100%] ; Šeboková, Gabriela [Recenzent] ; Guráň, Peter [Recenzent]. – text. – [slovenčina]. – [OV 020]. – [kapitola] In: Analýza diskurzov o tradičných a alternatívnych rodičovstvách na Slovensku [textový dokument (print)] / Popper, Miroslav [Zostavovateľ, editor]. – 1. vyd. – Bratislava (Slovensko) : Slovenská akadémia vied. Veda, vydavateľstvo Slovenskej akadémie vied ; Slovenská akadémia vied. Pracoviská SAV. Ústav výskumu sociálnej komunikácie, 2021. – ISBN 978-80-224-1881-2. – SIGN-UKO FS21-0054, s. 33-53 [1,23 AH] [tlačená forma] </t>
  </si>
  <si>
    <t>ACA - Vysokoškolské učebnice vydané v zahraničných vydavateľstvách</t>
  </si>
  <si>
    <t xml:space="preserve">Digitální komunikace a digitální marketing [textový dokument (print)]  [učebnica pre vysoké školy (do 2021)] : úvod do studia / Spálová, Lucia [Autor, UKFFFAKMR, 34%] ; Púchovská, Oľga [Autor, UKFFFAKMR, 33%] ; Szabóová, Veronika [Autor, UKFFFAKMR, 33%] ; Mikuláš, Peter [Recenzent] ; Palatková, Monika [Recenzent]. – 1. vyd. – Praha (Česko) : Vysoká škola mezinárodních a veřejných vztahů, 2020. – 119 s. [tlačená forma] : text. – [čeština]. – [OV 080]. – ISBN 978-80-7632-031-4 </t>
  </si>
  <si>
    <t xml:space="preserve">Chudoba a nízka mzda. Ich hranice a riziká na trhu práce [textový dokument (print)]  [učebnica pre vysoké školy (do 2021)] / Šarvajcová, Marcela [Autor, UKFFFAKSO, 100%] ; Kondrla, Peter [Recenzent] ; Gál, Ľubor [Recenzent]. – 1. vyd. – Katowice (Poľsko) : Studio - NOA, 2020. – 84 s. [tlačená forma] : text. – [slovenčina]. – [OV 060]. – ISBN 978-83-66055-14-8 </t>
  </si>
  <si>
    <t xml:space="preserve">Intervenčný program čítania s porozumením pre anglický jazyk [textový dokument (print)]  [učebnica pre vysoké školy (do 2021)] : úroveň B1 / Gadušová, Zdenka [Autor, UKFFFAKAA, 40%] ; Hricková, Mária [Autor, UKFFFAKAA, 22%] ; Hvozdíková, Silvia [Autor, UKFFFAKAA, 7%] ; Miššíková, Gabriela [Autor, UKFFFAKAA, 10%] ; Šafranko, Csilla [Autor, 7%] ; Havettová, Romana [Autor, 7%] ; Ďurišová, Simona [Autor, 7%] ; Petlák, Erich [Recenzent] ; Straková, Zuzana [Recenzent]. – 1. vyd. – Praha (Česko) : Verbum, 2020. – 186 s. [tlačená forma] : text. – [slovenčina]. – [OV 020, 010]. – ISBN 978-80-87800-74-4 </t>
  </si>
  <si>
    <t xml:space="preserve">Intervenčný program čítania s porozumením pre anglický jazyk [textový dokument (print)]  [učebnica pre vysoké školy (do 2021)] : úroveň A2 / Gadušová, Zdenka [Autor, UKFFFAKAA, 40%] ; Hricková, Mária [Autor, UKFFFAKAA, 20%] ; Harťanská, Jana [Autor, UKFFFAKAA, 6%] ; Hvozdíková, Silvia [Autor, UKFFFAKAA, 6%] ; Hučková, Jana [Autor, UKFFFAKMK, 6%] ; Miššíková, Gabriela [Autor, UKFFFAKAA, 10%] ; Szabó, Erzsébet [Autor, UKFFFAKGE, 6%] ; Vogelová, Zuzana [Autor, 6%] ; Petlák, Erich [Recenzent] ; Straková, Zuzana [Recenzent]. – 1. vyd. – Praha (Česko) : Verbum, 2020. – 244 s. [tlačená forma] : text. – [slovenčina]. – [OV 020, 010]. – ISBN 978-80-87800-73-7 </t>
  </si>
  <si>
    <t xml:space="preserve">Intervenčný program čítania s porozumením pre francúzsky jazyk [textový dokument (print)]  [učebnica pre vysoké školy (do 2021)] : úroveň A2 / Lalinská, Mária [Autor, UKFFFAKRO, 40%] ; Stranovská, Eva [Autor, UKFFFAKGE, 20%] ; Tardy, Stéphane [Autor, UKFFFAKRO, 20%] ; Žiak, Peter [Autor, UKFFFAKTR, 20%] ; Petlák, Erich [Recenzent] ; Puchovská, Zuzana [Recenzent]. – 1. vyd. – Praha (Česko) : Verbum, 2020. – 198 s. [tlačená forma] : text. – [slovenčina]. – [OV 010]. – ISBN 978-80-87800-71-3 </t>
  </si>
  <si>
    <t xml:space="preserve">Intervenčný program čítania s porozumením pre nemecký jazyk [textový dokument (print)]  [učebnica pre vysoké školy (do 2021)] : úroveň A2 / Hockicková, Beáta [Autor, UKFFFAKGE, 40%] ; Stranovská, Eva [Autor, UKFFFAKGE, 38%] ; Szabó, Erzsébet [Autor, UKFFFAKGE, 5%] ; Ficzere, Anikó [Autor, UKFFSSKCR, 5%] ; Stančeková, Svetlana [Autor, UKFFFAKRO, 5%] ; Weiss, Ervín [Autor, UKFFFAKGE, 7%] ; Petlák, Erich [Recenzent] ; Kolečáni Lenčová, Ivica [Recenzent]. – 1. vyd. – Praha (Česko) : Verbum, 2020. – 186 s. [tlačená forma] : text. – [slovenčina]. – [OV 010]. – ISBN 978-80-87800-72-0 </t>
  </si>
  <si>
    <t xml:space="preserve">Intervenčný program čítania s porozumením pre slovenský jazyk v nižšom sekundárnom vzdelávaní [textový dokument (print)]  [učebnica pre vysoké školy (do 2021)] / Kováčová, Zuzana [Autor, UKFFFASJL, 40%] ; Stranovská, Eva [Autor, UKFFFAKGE, 12%] ; Bodis, Martin [Autor, UKFFFASJL, 5%] ; Ficzere, Anikó [Autor, UKFFSSKCR, 8%] ; Gallik, Ján [Autor, UKFFSSUSJ, 10%] ; Hlavatá, Renáta [Autor, UKFFFASJL, 5%] ; Hrašková, Mariana [Autor, UKFFFASJL, 10%] ; Pavlová, Renáta [Autor, UKFFFAJZC, 10%] ; Petlák, Erich [Recenzent] ; Vitézová, Eva [Recenzent]. – 1. vyd. – Praha (Česko) : Verbum, 2020. – 186 s. [tlačená forma] : text. – [slovenčina]. – [OV 010]. – ISBN 978-80-87800-76-8 </t>
  </si>
  <si>
    <t xml:space="preserve">Intervenčný program čítania s porozumením pre slovenský jazyk v primárnom vzdelávaní [textový dokument (print)]  [učebnica pre vysoké školy (do 2021)] / Kováčová, Zuzana [Autor, UKFFFASJL, 40%] ; Stranovská, Eva [Autor, UKFFFAKGE, 12%] ; Bodis, Martin [Autor, UKFFFASJL, 5%] ; Ficzere, Anikó [Autor, UKFFSSKCR, 8%] ; Gallik, Ján [Autor, UKFFSSUSJ, 10%] ; Hlavatá, Renáta [Autor, UKFFFASJL, 5%] ; Hrašková, Mariana [Autor, UKFFFASJL, 10%] ; Pavlová, Renáta [Autor, UKFFFAJZC, 10%] ; Petlák, Erich [Recenzent] ; Vitézová, Eva [Recenzent]. – 1. vyd. – Praha (Česko) : Verbum, 2020. – 172 s. [tlačená forma] : text. – [slovenčina]. – [OV 010]. – ISBN 978-80-87800-75-1 </t>
  </si>
  <si>
    <t xml:space="preserve">Investigating Spoken English A Practical Guide to Phonetics and Phonology Using Praat [textový dokument (print)]  [učebnica pre vysoké školy (do 2021)] / Beňuš, Štefan [Autor, UKFFFAKAA, 100%]. – 1. vyd. – London (Veľká Británia) : Springer Nature. Palgrave Macmillan, 2021. – 272 s. [tlačená forma] : text. – [angličtina]. – [OV 020]. – [recenzované]. – ISBN 978-3-030-54348-8 </t>
  </si>
  <si>
    <t xml:space="preserve">Kompetencie učiteľa. Hodnotenie. Sebahodnotenie [textový dokument (print)]  [učebnica pre vysoké školy (do 2021)] / Gadušová, Zdenka [Autor, UKFFFAKAA, 3.25%] ; Baďová, Petra [Autor, UKFFFAULK, 3.225%] ; Boboňová, Ivana [Autor, UKFFPVKMA, 3.225%] ; Čeretková, Soňa [Autor, UKFFPVKMA, 3.225%] ; Ďurková, Simona [Autor, UKFFFAKAA, 3.225%] ; Harťanská, Jana [Autor, UKFFFAKAA, 3.225%] ; Hašková, Alena [Autor, UKFPFAKTT, 3.225%] ; Hockicková, Beáta [Autor, UKFFFAKGE, 3.225%] ; Horváthová, Ivana [Autor, UKFFFAKAA, 3.225%] ; Chválová, Katarína [Autor, UKFFFAKRO, 3.225%] ; Jakubovská, Viera [Autor, UKFFFAKFI, 3.225%] ; Jonášková, Gabriela [Autor, UKFFFAKFI, 3.225%] ; Kramáreková, Hilda [Autor, UKFFPVKGR, 3.225%] ; Lalinská, Mária [Autor, UKFFFAKRO, 3.225%] ; Lomnický, Igor [Autor, UKFFFAKAE 06.2022, 3.225%] ; Magová, Lenka [Autor, UKFFFAKAE 06.2022, 3.225%] ; Malá, Eva [Autor, UKFPFAKLI, 3.225%] ; Markechová, Dagmar [Autor, UKFFPVKMA, 3.225%] ; Müglová, Daniela [Autor, UKFFFAKTR, 3.225%] ; Predanocyová, Ľubica [Autor, UKFFFAKFI, 3.225%] ; Sandanusová, Anna [Autor, UKFFPVKZA, 3.225%] ; Sládečková, Zuzana [Autor, UKFFFAKAE 06.2022, 3.225%] ; Stančeková, Svetlana [Autor, UKFFFAKRO, 3.225%] ; Stranovská, Eva [Autor, UKFFFAKGE, 3.225%] ; Szíjjártóová, Katarína [Autor, UKFPFAKPE, 3.225%] ; Šlosárová, Simona [Autor, UKFFFAKAE 06.2022, 3.225%] ; Švarbová, Eva [Autor, UKFFFAKRO, 3.225%] ; Tandlich, Tomáš [Autor, UKFFFAKHI, 3.225%] ; Tirpáková, Anna [Autor, UKFFPVKMA, 3.225%] ; Valovičová, Ľubomíra [Autor, UKFFPVKFY, 3.225%] ; Žilová, Ružena [Autor, UKFFFAKGE, 3.225%] ; Procházka, Miroslav [Recenzent] ; Petlák, Erich [Recenzent]. – 1. vyd. – Praha (Česko) : Verbum, 2019. – 182 s. [tlačená forma] : text. – [slovenčina]. – [OV 010]. – ISBN 978-80-87800-54-6 </t>
  </si>
  <si>
    <t xml:space="preserve">Kreativnoje pismo (1) [textový dokument (print)]  [učebnica pre vysoké školy (do 2021)] : Časť 1. Toľko načinajem / Kalechyts, Alena [Autor, UKFFFAKRU, 50%] ; Makarowska, Oľga [Autor, 50%] ; Chysamova, G.G. [Recenzent] ; Nikolajenko, S.V. [Recenzent]. – 1. vyd. – Petrohrad (Ruská federácia) : Zlatoust, 2020. – 144 s. [tlačená forma] : text. – [ruština]. – [OV 010]. – ISBN 978-5-907123-69-4 </t>
  </si>
  <si>
    <t xml:space="preserve">Lehrbuch der slowakischen Sprache für Slawisten (1) [textový dokument (print)]  [učebnica pre vysoké školy (do 2021)] / Diweg-Pukanec, Martin [Autor, UKFFFAKSJ, 100%] ; Kirova, Marina [Recenzent] ; Krastanova, Vanya [Recenzent]. – 1. vyd. – Norderstedt (Nemecko) : BoD Verlag, 2021. – 126 s. [tlačená forma] : text. – [nemčina]. – [OV 020]. – ISBN 978-3-7543-3433-1 </t>
  </si>
  <si>
    <t xml:space="preserve">Mentor Training [textový dokument (print)]  [učebnica pre vysoké školy (do 2021)] : Materials and Tasks / Cindlerová, Ivona [Autor, 3.125%] ; Csehiová, Agáta [Autor, UJSPFKPP, 3.125%] ; Dukičin Vučković, Smiljana [Autor, 3.125%] ; Entlová, Gabriela [Autor, 3.125%] ; Gadušová, Zdenka [Autor, UKFFFAKAA, 3.125%] ; Gál, Gyöngyi [Autor, UJSPFKPP, 3.125%] ; Guziurová, Tereza [Autor, 3.125%] ; Hašková, Alena [Autor, UKFPFAKTT, 3.125%] ; Holečková, Lenka [Autor, 3.125%] ; Horváth, Kinga [Autor, UJSPFKPP, 3.125%] ; Ivanović Bibić, Ljubica [Autor, 3.125%] ; Jovanovic, Tamara [Autor, 3.125%] ; Klimszová, Slavomíra [Autor, 3.125%] ; Knezević, Ljiljana [Autor, 3.125%] ; Kovács, László [Autor, 3.125%] ; Krpálková-krelová, Katarína [Autor, 3.125%] ; Lomnický, Igor [Autor, UKFFFAKAE 06.2022, 3.125%] ; Malá, Eva [Autor, 3.125%] ; Mogyorósi, Zsolt [Autor, 3.125%] ; Olić Ninković, Stanislava [Autor, 3.125%] ; Pavera, Libor [Autor, 3.125%] ; Predanocyová, Ľubica [Autor, UKFFFAKFI, 3.125%] ; Radulović, Branka [Autor, 3.125%] ; Stojanović, Maja [Autor, 3.125%] ; Stranovská, Eva [Autor, UKFFFAKGE, 3.125%] ; Szarka, Katarína [Autor, UJSPFKCH, 3.125%] ; Šimonová, Ivana [Autor, 3.125%] ; Tóth-Bakos, Anita [Autor, UJSPFKPP, 3.125%] ; Török, Tamás [Autor, UJSPFKMJ, 3.125%] ; Trnová, Michaela [Autor, 3.125%] ; Vacinová, Tereza [Autor, 3.125%] ; Virág, Irén [Autor, 3.125%] ; Petlák, Erich [Recenzent] ; Vítečková, Miluše [Recenzent]. – 1. vyd. – Ostrava (Česko) : Ostravská univerzita, 2021. – 268 s. [online] : text. – [angličtina]. – [OV 010]. – ISBN 978-80-7599-294-9 </t>
  </si>
  <si>
    <t xml:space="preserve">Na ceste ku kvalite a inklúzii v strednej škole [textový dokument (print)]  [učebnica pre vysoké školy (do 2021)] / Bilčík, Alexander [Autor, KDOP, 50%] ; Balážová, Jana [Autor, UKFPFAKPE, 50%] ; Lengyelfalusy, Tomáš [Recenzent] ; Jedličková, Petra [Recenzent]. – 1. vyd. – Týn nad Vltavou (Česko) : Nová Forma, 2021. – 156 s. [8,35 AH] [tlačená forma] : text. – [slovenčina]. – [OV 010]. – ISBN 978-80-7612-323-6 </t>
  </si>
  <si>
    <t xml:space="preserve">Picture Books in English Language Teaching [textový dokument (print)]  [učebnica pre vysoké školy (do 2021)] / Hricková, Mária [Autor, UKFFFAKAA, 60%] ; Horváthová, Ivana [Autor, UKFFFAKAA, 40%] ; Bubíková, Šárka [Recenzent] ; Harťanská, Jana [Recenzent]. – 1. vyd. – Praha (Česko) : Verbum, 2020. – 164 s. [tlačená forma] : text. – [angličtina]. – [OV 020]. – ISBN 978-80-87800-78-2 </t>
  </si>
  <si>
    <t xml:space="preserve">Selected Topics in Children's and Juvenile Literature [textový dokument (print)]  [učebnica pre vysoké školy (do 2021)] / Štefančíková, Ivana [Autor, UKFPFAKLI, 100%] ; Hricková, Mária [Recenzent] ; Kaščáková, Janka [Recenzent]. – 1. vyd. – Hradec Králové (Česko) : Gaudeamus, 2019. – 119 s. [tlačená forma]. – [angličtina]. – [OV 010]. – ISBN 978-80-7435-754-1 </t>
  </si>
  <si>
    <t xml:space="preserve">Sučasna ukrajinska literaturna mova [textový dokument (print)]  [učebnica pre vysoké školy (do 2021)] : Fonetika. Hrafika. Morfolohija / Rudakova, Tetyana [Autor, UKFFFAKRU, 100%] ; Bodyk, Ostap [Recenzent] ; Horodenska, Kateryna [Recenzent]. – 1. vyd. – Kyjev (Ukrajina) : Vydavnyčyj Dim Dmytra Buraho, 2019. – 200 s. [tlačená forma] : text. – [ukrajinčina]. – [OV 020]. – ISBN 978-966-489-458-3 </t>
  </si>
  <si>
    <t xml:space="preserve">Szövegértő olvasást fejlesztő intervenciós program - magyar nyelv [textový dokument (print)]  [učebnica pre vysoké školy (do 2021)] / Vančo, Ildikó [Autor, UKFFSSUML, 90%] ; Stranovská, Eva [Autor, UKFFFAKGE, 10%] ; Csernicskó, István [Recenzent] ; Tódor, Erika Mária [Recenzent]. – 1. vyd. – Praha (Česko) : Verbum, 2020. – 181 s. [tlačená forma] : text. – [maďarčina]. – [OV 020]. – ISBN 978-80-87800-81-2 </t>
  </si>
  <si>
    <t xml:space="preserve">Ukrajinska mova jak inozemna [textový dokument (print)]  [učebnica pre vysoké školy (do 2021)] : teksty dlja čytannja / Rudakova, Tetyana [Autor, UKFFFAKRU, 55%] ; Karpenko, Svitlana [Autor, 11%] ; Buduhaj, Olha [Autor, 7%] ; Tymchuk, Inna [Autor, 5%] ; Pohorila, Svitlana [Autor, 4%] ; Rymar, Natalija [Autor, 3%] ; Chernobrov, Julija [Autor, 3%] ; Baran, Natalija [Autor, 5%] ; Jerko, Anastasija [Autor, 7%] ; Plivachuk, Kateryna [Recenzent] ; Ovdijchuk, Lilija [Recenzent]. – 1. vyd. – Kyjev (Ukrajina) : Vydavnyčyj Dim Dmytra Buraho, 2019. – 256 s. [tlačená forma] : text. – [ukrajinčina]. – [OV 020]. – ISBN 978-966-489-457-6 </t>
  </si>
  <si>
    <t>ACB - Vysokoškolské učebnice vydané v domácich vydavateľstvách</t>
  </si>
  <si>
    <t xml:space="preserve">A magyar nyelvtan oktatásának tantervi követelményrendszere Szlovákiában 2015-ig [textový dokument (print)]  [učebnica pre vysoké školy (do 2021)] / Vančo, Ildikó [Autor, UKFFSSUML, 100%] ; Kozmács, István [Recenzent] ; Tódor, Erika Mária [Recenzent]. – 1. vyd. – Nitra (Slovensko) : Univerzita Konštantína Filozofa v Nitre, 2021. – 196 s. [tlačená forma] : text. – [maďarčina]. – [OV 020]. – ISBN 978-80-558-1704-0 </t>
  </si>
  <si>
    <t xml:space="preserve">A matematika – informatika oktatásának elméleti és gyakorlati kézikönyve alsó tagozatos tanítók számára [textový dokument (print)]  [učebnica pre vysoké školy (do 2021)] / Nagyová Lehocká, Zuzana [Autor, UKFFSSUVP, 50%] ; Beták, Norbert [Autor, UKFFSSKCR, 50%] ; Szabó, Tibor [Recenzent] ; Budai, László [Recenzent]. – 1. vyd. – Nitra (Slovensko) : Univerzita Konštantína Filozofa v Nitre, 2021. – 180 s. [tlačená forma] : text, graf. – [maďarčina]. – [OV 010]. – ISBN 978-80-558-1851-1 </t>
  </si>
  <si>
    <t xml:space="preserve">Academic Writing [textový dokument (print)]  [učebnica pre vysoké školy (do 2021)] : Writing Research Papers in English for Slovak and Czech Students / Ruppel, Carl [Autor, 50%] ; Gajdáčová Veselá, Katerina [Autor, UKFPFAKLI, 50%] ; Klímová, Blanka [Recenzent] ; Datko, Juraj [Recenzent]. – 2. rozš. vyd. – Nitra (Slovensko) : Univerzita Konštantína Filozofa v Nitre, 2018. – 182 s. [tlačená forma] : text. – [angličtina]. – [OV 020]. – ISBN 978-80-558-1327-1 </t>
  </si>
  <si>
    <t xml:space="preserve">Algoritmy numerickej matematiky a optimalizácie [textový dokument (print)]  [učebnica pre vysoké školy (do 2021)] / Vozár, Martin [Autor, UKFFPVKIN, 100%] ; Ujháziová, Renáta [Recenzent] ; Hreus, Tomáš [Recenzent]. – 1. vyd. – Nitra (Slovensko) : Univerzita Konštantína Filozofa v Nitre, 2020. – 124 s. [tlačená forma] : text, obr. – [slovenčina]. – [OV 160]. – ISBN 978-80-558-1583-1 </t>
  </si>
  <si>
    <t xml:space="preserve">Android Application Development [textový dokument (print)]  [učebnica pre vysoké školy (do 2021)] / Skalka, Ján [Autor, UKFFPVKIN, 50%] ; Fodor, Kristián [Autor, UKFFPVKIN, 50%] ; Klimeš, Cyril [Recenzent] ; Drlík, Martin [Recenzent]. – 1. vyd. – Nitra (Slovensko) : Univerzita Konštantína Filozofa v Nitre, 2021. – 292 s. [tlačená forma] : text. – [angličtina]. – [OV 160]. – ISBN 978-80-558-1790-3 </t>
  </si>
  <si>
    <t xml:space="preserve">Archeológia pravekých domácností [textový dokument (print)]  [učebnica pre vysoké školy (do 2021)] / Niklová, Michaela [Autor, 50%] ; Beljak Pažinová, Noémi [Autor, UKFFFAKAR, 50%] ; Bujna, Jozef [Recenzent] ; Pavúk, Juraj [Recenzent]. – 1. vyd. – Nitra (Slovensko) : Univerzita Konštantína Filozofa v Nitre, 2018. – 162 s. [tlačená forma] : text. – [slovenčina]. – [OV 030]. – ISBN 978-80-558-1330-1 </t>
  </si>
  <si>
    <t xml:space="preserve">Archeomuzeológia na prahu nového milénia [textový dokument (print)]  [učebnica pre vysoké školy (do 2021)] / Gogová, Stanislava [Autor, UKFFFAKMU, 65%] ; Bešina, Daniel [Autor, UKFFFAKAR, 30%] ; Wiedermann, Egon [Autor, UKFFFAKMU, 5%] ; Chrastina, Peter [Recenzent] ; Šteiner, Pavol [Recenzent]. – 1. vyd. – Nitra (Slovensko) : Univerzita Konštantína Filozofa v Nitre, 2020. – 111 s. [tlačená forma] : text. – [slovenčina]. – [OV 030]. – ISBN 978-80-558-1532-9 </t>
  </si>
  <si>
    <t xml:space="preserve">Ausgewählte Kapitel der deutschen Grammatik 2 [textový dokument (print)]  [učebnica pre vysoké školy (do 2021)] : Seminarunterlagen für Studierende der Translationswissenschaft / Wrede, Oľga [Autor, UKFFFAKGE, 20%] ; Chebenová, Viera [Autor, UKFFFAKGE, 20%] ; Trošok, Roman [Autor, 20%] ; Žilová, Ružena [Autor, UKFFFAKGE, 20%] ; Weiss, Ervín [Autor, UKFFFAKGE, 20%] ; Müglová, Daniela [Recenzent] ; Borsuková, Hana [Recenzent]. – 1. vyd. – Nitra (Slovensko) : Univerzita Konštantína Filozofa v Nitre, 2018. – 358 s. [tlačená forma]. – [nemčina]. – [OV 020]. – ISBN 978-80-558-1275-5 </t>
  </si>
  <si>
    <t xml:space="preserve">Bioanalytické metódy v medicínskom výskume [textový dokument (print)]  [učebnica pre vysoké školy (do 2021)] : (časť Proteomika) / Morovič, Martin [Autor, UKFFPVKZA, 100%] ; Strejček, František [Recenzent] ; Boleček, Peter [Recenzent]. – 1. vyd. – Nitra (Slovensko) : Univerzita Konštantína Filozofa v Nitre, 2020. – 95 s. [tlačená forma] : text. – [slovenčina]. – [OV 130]. – ISBN 978-80-558-1515-2 </t>
  </si>
  <si>
    <t xml:space="preserve">Biológia dieťaťa predškolského a mladšieho školského veku [textový dokument (print)]  [učebnica pre vysoké školy (do 2021)] / Matejovičová, Barbora [Autor, UKFFPVKZA, 30%] ; Juríková, Tünde [Autor, UKFFSSUVP, 20%] ; Schlarmannová, Janka [Autor, UKFFPVKZA, 20%] ; Balla, Štefan [Autor, UKFFSSUVP, 10%] ; Viczayová, Ildikó [Autor, UKFFSSUVP, 10%] ; Kopecký, Miroslav [Autor, 10%] ; Vondráková, Mária [Recenzent] ; Jedlička, Jaroslav [Recenzent]. – 1. vyd. – Nitra (Slovensko) : Univerzita Konštantína Filozofa v Nitre, 2020. – 209 s. [tlačená forma] : text. – [slovenčina]. – [OV 010, 130]. – ISBN 978-80-558-1456-8 </t>
  </si>
  <si>
    <t xml:space="preserve">Biológia stresu rastlín [textový dokument (print)]  [učebnica pre vysoké školy (do 2021)] / Piršelová, Beáta [Autor, UKFFPVKBG, 57%] ; Mészáros, Patrik [Autor, UKFFPVKBG, 43%] ; Hegedűsová, Alžbeta [Recenzent] ; Juríková, Tünde [Recenzent]. – 1. vyd. – Nitra (Slovensko) : Univerzita Konštantína Filozofa v Nitre, 2019. – 135 s. [tlačená forma] : text. – [slovenčina]. – [OV 130]. – ISBN 978-80-558-1376-9 </t>
  </si>
  <si>
    <t xml:space="preserve">Business English [textový dokument (print)]  [učebnica pre vysoké školy (do 2021)] / Hučková, Jana [Autor, UKFFFAKMK, 100%] ; Gadušová, Zdenka [Recenzent] ; Jakabovičová, Johanna [Recenzent]. – 1. vyd. – Nitra (Slovensko) : Univerzita Konštantína Filozofa v Nitre, 2018. – 146 s. [tlačená forma] : text. – [slovenčina]. – [OV 020]. – ISBN 978-80-558-1333-2 </t>
  </si>
  <si>
    <t xml:space="preserve">C/C++ Advanced [textový dokument (print)]  [učebnica pre vysoké školy (do 2021)] / Rybička, Jiří [Autor, 20%] ; Michaličková, Viera [Autor, UKFFPVKIN, 16%] ; Rodriguez-del-Pino, Juan Carlos [Autor, 16%] ; González-Domínguez, José Daniel [Autor, 16%] ; Hernández-Figueroa, Zenón José [Autor, 16%] ; Przybyła-Kasperek, Małgorzata [Autor, 16%] ; Stolińska, Anna [Recenzent] ; Švec, Peter [Recenzent]. – 1. vyd. – Nitra (Slovensko) : Univerzita Konštantína Filozofa v Nitre, 2021. – 101 s. [tlačená forma] : text. – [angličtina]. – [OV 160]. – ISBN 978-80-558-1780-4 </t>
  </si>
  <si>
    <t xml:space="preserve">C/C++ Fundamentals [textový dokument (print)]  [učebnica pre vysoké školy (do 2021)] / Rybička, Jiří [Autor, 20%] ; Michaličková, Viera [Autor, UKFFPVKIN, 16%] ; Rodriguez-del-Pino, Juan Carlos [Autor, 16%] ; González-Domínguez, José Daniel [Autor, 16%] ; Hernández-Figueroa, Zenón José [Autor, 16%] ; Przybyła-Kasperek, Małgorzata [Autor, 16%] ; Stolińska, Anna [Recenzent] ; Švec, Peter [Recenzent]. – 1. vyd. – Nitra (Slovensko) : Univerzita Konštantína Filozofa v Nitre, 2021. – 186 s. [tlačená forma] : text. – [angličtina]. – [OV 160]. – ISBN 978-80-558-1779-8 </t>
  </si>
  <si>
    <t xml:space="preserve">C++ Specific [textový dokument (print)]  [učebnica pre vysoké školy (do 2021)] / Rybička, Jiří [Autor, 20%] ; Michaličková, Viera [Autor, UKFFPVKIN, 16%] ; Rodriguez-del-Pino, Juan Carlos [Autor, 16%] ; González-Domínguez, José Daniel [Autor, 16%] ; Hernández-Figueroa, Zenón José [Autor, 16%] ; Przybyła-Kasperek, Małgorzata [Autor, 16%] ; Stolińska, Anna [Recenzent] ; Švec, Peter [Recenzent]. – 1. vyd. – Nitra (Slovensko) : Univerzita Konštantína Filozofa v Nitre, 2021. – 117 s. [tlačená forma] : text. – [angličtina]. – [OV 160]. – ISBN 978-80-558-1781-1 </t>
  </si>
  <si>
    <t xml:space="preserve">Contrastive Phraseology [textový dokument (print)]  [učebnica pre vysoké školy (do 2021)] / Kálaziová, Ingrid [Autor, UKFFFAKAA, 75%] ; Gajdáčová Veselá, Katerina [Autor, UKFPFAKLI, 25%] ; Horváthová, Božena [Recenzent] ; Štefková, Jaroslava [Recenzent]. – 1. vyd. – Nitra (Slovensko) : Univerzita Konštantína Filozofa v Nitre, 2020. – 158 s. [tlačená forma] : text. – [angličtina]. – [OV 010, 020]. – ISBN 978-80-558-1609-8 </t>
  </si>
  <si>
    <t xml:space="preserve">CSS Fundamentals [textový dokument (print)]  [učebnica pre vysoké školy (do 2021)] / Wójcik, Katarzyna [Autor, 12%] ; Skalka, Ján [Autor, UKFFPVKIN, 11%] ; Benková, Lucia [Autor, UKFFPVKIN, 11%] ; Turčínek, Jan [Autor, 11%] ; Polak, Iwona [Autor, 11%] ; Hernández-Figueroa, Zenón José [Autor, 11%] ; González-Domínguez, José Daniel [Autor, 11%] ; Rodriguez-del-Pino, Juan Carlos [Autor, 11%] ; Francisti, Jan [Autor, UKFFPVKIN, 11%] ; Drlík, Martin [Recenzent] ; Klimeš, Cyril [Recenzent]. – 1. vyd. – Nitra (Slovensko) : Univerzita Konštantína Filozofa v Nitre, 2021. – 218 s. [tlačená forma]. – [angličtina]. – [OV 160]. – ISBN 978-80-558-1787-3 </t>
  </si>
  <si>
    <t xml:space="preserve">Cultural Specifics of Selected English-Speaking Countries [textový dokument (print)]  [učebnica pre vysoké školy (do 2021)] / Sándorová, Zuzana [Autor, UKFPFAKLI, 30%] ; Kálaziová, Ingrid [Autor, UKFFFAKAA, 20%] ; Ivenz, Petra [Autor, UKFPFAKLI, 20%] ; Reid, Eva [Autor, UKFPFAKLI, 10%] ; Hegedüs, Orsolya [Autor, UKFFSSUVP, 15%] ; Kenny, Niall [Autor, 5%] ; Horváthová, Božena [Recenzent] ; Luprichová, Jana [Recenzent]. – 1. vyd. – Nitra (Slovensko) : Univerzita Konštantína Filozofa v Nitre, 2021. – 352 s. [tlačená forma] : text. – [angličtina]. – [OV 010]. – ISBN 978-80-558-1833-7 </t>
  </si>
  <si>
    <t xml:space="preserve">Curso universitario de estilística de la lengua [textový dokument (print)]  [učebnica pre vysoké školy (do 2021)] / Lampis, Mirko [Autor, UKFFFAKRO, 100%] ; Waluch de la Torre, Edyta [Recenzent] ; Kučerková, Magda [Recenzent]. – 1. vyd. – Nitra (Slovensko) : Univerzita Konštantína Filozofa v Nitre, 2021. – 80 s. [tlačená forma] : text. – [španielčina]. – [OV 020]. – ISBN 978-80-558-1679-1 </t>
  </si>
  <si>
    <t xml:space="preserve">Čísla, ich postupnosti, súčty a konštrukcie [textový dokument (print)]  [učebnica pre vysoké školy (do 2021)] / Ďuriš, Viliam [Autor, UKFFPVKMA, 50%] ; Lengyelfalusy, Tomáš [Autor, 50%] ; Hanzel, Pavol [Recenzent] ; Jurečková, Mária [Recenzent]. – 1. vyd. – Dubnica nad Váhom (Slovensko) : Vysoká škola DTI, 2020. – 239 s. [tlačená forma] : text. – [slovenčina]. – [OV 240]. – ISBN 9788089732883 </t>
  </si>
  <si>
    <t xml:space="preserve">Dante, Boccaccio, Petrarca [textový dokument (print)]  [učebnica pre vysoké školy (do 2021)] / Šavelová, Monika [Autor, UKFFFAKRO, 100%] ; Caputo, Rino [Recenzent] ; Koprda, Pavol [Recenzent]. – 1. vyd. – Nitra (Slovensko) : Univerzita Konštantína Filozofa v Nitre, 2020. – 124 s. [tlačená forma] : text. – [taliančina]. – [OV 020]. – ISBN 978-80-558-1598-5 </t>
  </si>
  <si>
    <t xml:space="preserve">Data Mining (2) [textový dokument (print)]  [učebnica pre vysoké školy (do 2021)] / Benko, Ľubomír [Autor, UKFFPVKIN, 50%] ; Munk, Michal [Autor, UKFFPVKIN, 50%] ; Klimeš, Cyril [Recenzent] ; Stolińska, Anna [Recenzent]. – 1. vyd. – Nitra (Slovensko) : Univerzita Konštantína Filozofa v Nitre, 2021. – 131 s. [tlačená forma]. – [slovenčina]. – [OV 160]. – ISBN 978-80-558-1794-1 </t>
  </si>
  <si>
    <t xml:space="preserve">Data Mining [textový dokument (print)]  [učebnica pre vysoké školy (do 2021)] : modelovanie správania sa používateľov webu / Benko, Ľubomír [Autor, UKFFPVKIN, 50%] ; Munk, Michal [Autor, UKFFPVKIN, 50%] ; Herus, Tomas [Recenzent] ; Ujháziová, Renáta [Recenzent]. – 1. vyd. – Nitra (Slovensko) : Univerzita Konštantína Filozofa v Nitre, 2020. – 202 s. [tlačená forma]. – [slovenčina]. – [OV 160]. – ISBN 978-80-558-1575-6 </t>
  </si>
  <si>
    <t xml:space="preserve">Databases and SQL [textový dokument (print)]  [učebnica pre vysoké školy (do 2021)] / Turčínek, Pavel [Autor, 16%] ; Drlík, Martin [Autor, UKFFPVKIN, 12%] ; Skalka, Ján [Autor, UKFFPVKIN, 12%] ; Zielosko, Beata [Autor, 12%] ; Hernández-Figueroa, Zenón José [Autor, 12%] ; González-Domínguez, José Daniel [Autor, 12%] ; Rodriguez-del-Pino, Juan Carlos [Autor, 12%] ; Reichel, Jaroslav [Autor, UKFFPVKIN, 12%] ; Kapusta, Jozef [Recenzent] ; Kommers, Piet [Recenzent]. – 1. vyd. – Nitra (Slovensko) : Univerzita Konštantína Filozofa v Nitre, 2021. – 202 s. [tlačená forma]. – [slovenčina]. – [OV 160]. – ISBN 978-80-558-1782-8 </t>
  </si>
  <si>
    <t xml:space="preserve">Delovaja korrespondencija i dokumentacija [textový dokument (print)]  [učebnica pre vysoké školy (do 2021)] : Učebnoje posobije dľa izučajuščich russkij jazyk / Gallo, Ján [Autor, UKFFFAKRU, 50%] ; Iľjin, Denis [Autor, 50%] ; Iermachkova, Olga [Recenzent] ; Gajarský, Lukáš [Recenzent]. – 1. vyd. – Nitra (Slovensko) : Univerzita Konštantína Filozofa v Nitre, 2020. – 148 s. [tlačená forma] : text. – [ruština]. – [OV 020]. – ISBN 978-80-558-1613-5 </t>
  </si>
  <si>
    <t xml:space="preserve">Destinačný manažment [textový dokument (print)]  [učebnica pre vysoké školy (do 2021)] : texty k vybraným témam kurzu celoživotného vzdelávania / Hároniková, Marta [Autor, 16%] ; Jarábková, Jana [Autor, SPUFES16, 14%] ; Kühn, Ivan [Autor, 14%] ; Labošová, Anna [Autor, 14%] ; Palenčíková, Zuzana [Autor, UKFFSSKCR, 14%] ; Póčiková, Dana [Autor, 14%] ; Šabíková, Monika [Autor, 14%] ; Jacková, Silvia [Recenzent] ; Mazúchová, Lucia [Recenzent]. – 1 vyd. – Nitra (Slovensko) : Slovenská poľnohospodárska univerzita v Nitre, 2018. – 121 s. – [slovenčina]. – [OV 080]. – ISBN 978-80-552-1882-3 </t>
  </si>
  <si>
    <t xml:space="preserve">Dieťa a detstvo v sociálnych a výchovných súvislostiach [textový dokument (print)]  [učebnica pre vysoké školy (do 2021)] / Mendelová, Eleonóra [Autor, UKFPFAKPE, 50%] ; Pavličková, Alexandra [Autor, UKFPFAKPE, 50%] ; Danek, Ján [Recenzent] ; Grofčíková, Soňa [Recenzent]. – 1. vyd. – Nitra (Slovensko) : Univerzita Konštantína Filozofa v Nitre, 2020. – 160 s. [tlačená forma] : text. – [slovenčina]. – [OV 010]. – ISBN 978-80-558-1585-5 </t>
  </si>
  <si>
    <t xml:space="preserve">Edukácia slovenského jazyka a slohu z aspektu poznávacích procesov žiaka [textový dokument (print)]  [učebnica pre vysoké školy (do 2021)] / Kováčová, Zuzana [Autor, UKFFFASJL, 100%] ; Gallo, Ján [Recenzent] ; Kuzmová, Štefánia [Recenzent]. – 1. vyd. – Nitra (Slovensko) : Univerzita Konštantína Filozofa v Nitre, 2019. – 148 s. [tlačená forma] : text. – [slovenčina]. – [OV 010]. – ISBN 978-80-558-1484-1 </t>
  </si>
  <si>
    <t xml:space="preserve">Ekoetické princípy udržateľnej spoločnosti [textový dokument (print)]  [učebnica pre vysoké školy (do 2021)] / Zozuľaková, Viera [Autor, UKFFFAKSO, 100%]. – 1. vyd. – Nitra (Slovensko) : Univerzita Konštantína Filozofa v Nitre, 2021. – 88 s. [tlačená forma] : text. – [slovenčina]. – [OV 060]. – [recenzované]. – ISBN 978-80-558-1829-0 </t>
  </si>
  <si>
    <t xml:space="preserve">English for Slovak Traditional Culture [textový dokument (print)]  [učebnica pre vysoké školy (do 2021)] / Záhumenská, Lucia [Autor, UKFFFAKMK, 100%] ; Gadušová, Zdenka [Recenzent] ; Király, Katarína [Recenzent]. – 1. vyd. – Nitra (Slovensko) : Univerzita Konštantína Filozofa v Nitre, 2019. – 196 s. [tlačená forma] : text. – [angličtina]. – [OV 060]. – ISBN 978-80-558-1485-8 </t>
  </si>
  <si>
    <t xml:space="preserve">English Grammar and Vocabulary for Academic Writing [textový dokument (print)]  [učebnica pre vysoké školy (do 2021)] / Csalová, Oľga [Autor, UKFFFAJZC, 100%] ; Ruda, Olga [Recenzent] ; Timárová, Daniela [Recenzent]. – 1. vyd. – Nitra (Slovensko) : Univerzita Konštantína Filozofa v Nitre, 2018. – 118 s. [tlačená forma] : text. – [angličtina]. – [OV 020]. – ISBN 978-80-558-1373-8 </t>
  </si>
  <si>
    <t xml:space="preserve">Environmentálna geografia [textový dokument (print)]  [učebnica pre vysoké školy (do 2021)] / Oremusová, Daša [Autor, UKFFPVKGR, 27%] ; Kramáreková, Hilda [Autor, UKFFPVKGR, 26%] ; Nemčíková, Magdaléna [Autor, UKFFPVKGR, 27%] ; Vojtek, Matej [Autor, UKFFPVKGR, 5%] ; Huba, Mikuláš [Autor, REK, 15%] ; Nogová, Mária [Recenzent] ; Kancír, Ján [Recenzent]. – 1. vyd. – NItra (Slovensko) : Univerzita Konštantína Filozofa v Nitre, 2021. – 188 s. [tlačená forma] : text, ilustr., fotogr., mapy. – [slovenčina]. – [OV 092]. – ISBN 978-80-558-1820-7 </t>
  </si>
  <si>
    <t xml:space="preserve">Essentials of English Lexicology [textový dokument (print)]  [učebnica pre vysoké školy (do 2021)] / Gajdáčová Veselá, Katerina [Autor, UKFPFAKLI, 100%] ; Horváthová, Božena [Recenzent] ; Reid, Eva [Recenzent]. – 1. vyd. – Nitra (Slovensko) : Univerzita Konštantína Filozofa v Nitre, 2020. – 136 s. [tlačená forma] : text. – [angličtina]. – [OV 020, 010]. – ISBN 978-80-558-1440-7 </t>
  </si>
  <si>
    <t xml:space="preserve">Etická výchova - humanistická koncepcia formovania osobnosti [textový dokument (print)]  [učebnica pre vysoké školy (do 2021)] / Lomnický, Igor [Autor, UKFFFAKAE 06.2022, 60%] ; Sládečková, Zuzana [Autor, UKFFFAKAE 06.2022, 20%] ; Šlosárová, Simona [Autor, UKFFFAKAE 06.2022, 20%] ; Jonášková, Gabriela [Recenzent] ; Procházka, Miroslav [Recenzent]. – 1. vyd. – Nitra (Slovensko) : Univerzita Konštantína Filozofa v Nitre, 2020. – 84 s. [CD-ROM] : text. – [slovenčina]. – [OV 020]. – ISBN 978-80-558-1519-0 </t>
  </si>
  <si>
    <t xml:space="preserve">Frameworks for backend application development (NodeJS, Laravel) [elektronický dokument]  [učebnica pre vysoké školy (do 2021)] / Baran, Wojciech [Autor, 50%] ; Halvoník, Dominik [Autor, UKFFPVKIN, 50%] ; Kapusta, Jozef [Recenzent] ; Švec, Peter [Recenzent]. – 1. vyd. – Nitra (Slovensko) : Univerzita Konštantína Filozofa v Nitre, 2021. – 94 s. [tlačená forma] : text. – [angličtina]. – [OV 160]. – ISBN 978-80-558-1793-4 </t>
  </si>
  <si>
    <t xml:space="preserve">Frameworks for Frontend Application Development (jQuery, Angular, Vue) [textový dokument (print)]  [učebnica pre vysoké školy (do 2021)] / Kapusta, Jozef [Autor, UKFFPVKIN, 34%] ; Baran, Wojciech [Autor, 33%] ; Skalka, Ján [Autor, UKFFPVKIN, 33%] ; Drlík, Martin [Recenzent] ; Švec, Peter [Recenzent]. – 1. vyd. – Nitra (Slovensko) : Univerzita Konštantína Filozofa v Nitre, 2021. – 318 s. [tlačená forma] : text. – [angličtina]. – [OV 160]. – ISBN 978-80-558-1792-7 </t>
  </si>
  <si>
    <t xml:space="preserve">Gastronómia [učebnica pre vysoké školy (do 2021)] / Mazúchová, Ľudmila [Autor, UKFFSSKCR, 80%] ; Korbelová, Jana [Autor, 20%] ; Malachovský, Andrej [Recenzent] ; Palenčíková, Zuzana [Recenzent]. – 1. vyd. – Nitra (Slovensko) : Univerzita Konštantína Filozofa v Nitre, 2020. – 106 s. [tlačená forma] : text. – [slovenčina]. – [OV 080]. – ISBN 978-80-558-1545-9 </t>
  </si>
  <si>
    <t xml:space="preserve">Gastronómia v kontexte vývoja, vplyvov a trendov [textový dokument (print)]  [učebnica pre vysoké školy (do 2021)] / Kompasová, Katarína [Autor, UKFFFAKMK, 100%] ; Nagyová, Ľudmila [Recenzent] ; Michalík, Boris [Recenzent]. – 1. vyd. – Nitra (Slovensko) : Univerzita Konštantína Filozofa v Nitre, 2021. – 2021 s. [tlačená forma] : text. – [slovenčina]. – [OV 020]. – ISBN 978-80-558-1695-1 </t>
  </si>
  <si>
    <t xml:space="preserve">HTML Fundamentals [textový dokument (print)]  [učebnica pre vysoké školy (do 2021)] / Wójcik, Katarzyna [Autor, 19%] ; Kapusta, Jozef [Autor, UKFFPVKIN, 9%] ; Skalka, Ján [Autor, UKFFPVKIN, 9%] ; Benková, Lucia [Autor, UKFFPVKIN, 9%] ; Turčínek, Jan [Autor, 9%] ; Polak, Iwona [Autor, 9%] ; Hernández-Figueroa, Zenón José [Autor, 9%] ; González-Domínguez, José Daniel [Autor, 9%] ; Rodriguez-del-Pino, Juan Carlos [Autor, 9%] ; Francisti, Jan [Autor, UKFFPVKIN, 9%] ; Drlík, Martin [Recenzent] ; Klimeš, Cyril [Recenzent]. – 1. vyd. – Nitra (Slovensko) : Univerzita Konštantína Filozofa v Nitre, 2021. – 184 s. [tlačená forma]. – [angličtina]. – [OV 160]. – ISBN 978-80-558-1786-6 </t>
  </si>
  <si>
    <t xml:space="preserve">Chirurgia a ošetrovateľstvo [textový dokument (print)]  [učebnica pre vysoké školy (do 2021)] : vysokoškolská učebnica / Mesárošová, Jozefína [Autor, UKFFSVKOS, 50%] ; Korček, Jozef [Autor, UKFFSVKOS, 20%] ; Pavelová, Ľuboslava [Autor, UKFFSVKOS, 30%] ; Lohnert, Jozef [Recenzent] ; Slezáková, Zuzana [Recenzent]. – 1. vyd. – Nitra (Slovensko) : Univerzita Konštantína Filozofa v Nitre, 2018. – 174 s. [tlačená forma] : text. – [slovenčina]. – [OV 180]. – ISBN 978-80-558-1287-8 </t>
  </si>
  <si>
    <t xml:space="preserve">Informatika (2) [textový dokument (print)]  [učebnica pre vysoké školy (do 2021)] : algoritmické riešenie problémov (Lazarus) / Skalka, Ján [Autor, UKFFPVKIN, 100%] ; Lovászová, Gabriela [Recenzent] ; Kapusta, Jozef [Recenzent]. – 1. vyd. – Nitra (Slovensko) : Enigma Publishing, 2019. – 192 s. [tlačená forma] : text. – [slovenčina]. – [OV 160]. – ISBN 978-80-813308-3-4 </t>
  </si>
  <si>
    <t xml:space="preserve">Inovatívne metódy výchovy k zdraviu na 1. stupni základných škôl [elektronický dokument]  [učebnica pre vysoké školy (do 2021)] / Juríková, Tünde [Autor, UKFFSSUVP, 40%] ; Viczayová, Ildikó [Autor, UKFFSSUVP, 40%] ; Nagy, Kitti [Autor, 20%] ; Hegedűsová, Alžbeta [Recenzent] ; Baráth, Ladislav [Recenzent]. – 1. vyd. – Nitra (Slovensko) : Univerzita Konštantína Filozofa v Nitre, 2018. – 110 s. [CD-ROM] : text. – [slovenčina]. – [OV 010]. – ISBN 978-80-558-0825-3 </t>
  </si>
  <si>
    <t xml:space="preserve">Inteligentné monitorovacie a riadiace systémy [textový dokument (print)]  [učebnica pre vysoké školy (do 2021)] / Koprda, Štefan [Autor, UKFFPVKIN, 100%] ; Rozkopal, Tomáš [Recenzent] ; Hrubý, Dušan [Recenzent]. – 1. vyd. – Nitra (Slovensko) : Univerzita Konštantína Filozofa v Nitre, 2020. – 149 s. [tlačená forma] : text. – [slovenčina]. – [OV 160]. – ISBN 978-80-558-1579-4 </t>
  </si>
  <si>
    <t xml:space="preserve">Interdisciplinárna starostlivosť o ženu v séniu [textový dokument (print)]  [učebnica pre vysoké školy (do 2021)] / Poledníková, Ľubica [Autor, UKFFSVKOS, 50%] ; Kozel, Matúš [Autor, PUPFZFY, 50%] ; Eliašová, Anna [Recenzent] ; Archalousová, Alexandra [Recenzent]. – 1. vyd. – Prešov (Slovensko) : Prešovská univerzita v Prešove. Fakulta zdravotníckych odborov, 2021. – 104 s. [tlačená forma]. – [slovenčina]. – [OV 180]. – ISBN 978-80-555-2785-7. – SIGN-PU FZ-21 139/21 </t>
  </si>
  <si>
    <t xml:space="preserve">Intertextualita ako metóda porozumenia popkultúrnemu textu [textový dokument (print)]  [učebnica pre vysoké školy (do 2021)] / Malíčková, Michaela [Autor, UKFFFAULK, 100%] ; Ballay, Miroslav [Recenzent] ; Smiešková, Alena [Recenzent]. – 1. vyd. – Nitra (Slovensko) : Univerzita Konštantína Filozofa v Nitre, 2021. – 133 s. [tlačená forma] : text. – [slovenčina]. – [OV 020]. – ISBN 978-80-558-1688-3 </t>
  </si>
  <si>
    <t xml:space="preserve">Intervenčný program čítania s porozumením pre španielsky jazyk [textový dokument (print)]  [učebnica pre vysoké školy (do 2021)] : úroveň A2 / De Miguel Santos, César [Autor, UKFFFAKRO, 50%] ; Horníčková, Mária [Autor, UKFFFAKRO, 25%] ; Stranovská, Eva [Autor, UKFFFAKGE, 25%] ; Petlák, Erich [Recenzent] ; Lampis, Mirko [Recenzent]. – 1. vyd. – Nitra (Slovensko) : Univerzita Konštantína Filozofa v Nitre, 2021. – 179 s. [tlačená forma]. – [slovenčina]. – [OV 010]. – ISBN 978-80-558-1803-0 </t>
  </si>
  <si>
    <t xml:space="preserve">iOS – Swift Fundamentals [textový dokument (print)]  [učebnica pre vysoké školy (do 2021)] / Kunhart, Dalibor [Autor, 34%] ; Švec, Peter [Autor, UKFFPVKIN, 33%] ; Fodor, Kristián [Autor, UKFFPVKIN, 33%] ; Klimeš, Cyril [Recenzent] ; Skalka, Ján [Recenzent]. – 1. vyd. – Nitra (Slovensko) : Univerzita Konštantína Filozofa v Nitre, 2021. – 142 s. [tlačená forma] : text. – [angličtina]. – [OV 160]. – ISBN 978-80-558-1791-0 </t>
  </si>
  <si>
    <t xml:space="preserve">Java classes [učebnica pre vysoké školy (do 2021)] / Skalka, Ján [Autor, UKFFPVKIN, 19%] ; Benko, Ľubomír [Autor, UKFFPVKIN, 17%] ; Landa, Jaromír [Autor, 16%] ; Boryczka, Mariusz [Autor, 16%] ; Rodríguez-del-Pino, Juan Carlos [Autor, 16%] ; González Domínguez, José Daniel [Autor, 16%] ; Stolińska, Anna [Recenzent] ; Švec, Peter [Recenzent]. – 1. vyd. – Nitra (Slovensko) : Univerzita Konštantína Filozofa v Nitre, 2021. – 161 s. [tlačená forma] : text. – [slovenčina]. – [OV 160]. – ISBN 978-80-558-1778-1 </t>
  </si>
  <si>
    <t xml:space="preserve">Java Fundamentals [elektronický dokument]  [učebnica pre vysoké školy (do 2021)] / Skalka, Ján [Autor, UKFFPVKIN, 64%] ; Benko, Ľubomír [Autor, UKFFPVKIN, 32%] ; Boryczka, Mateusz [Autor, 1%] ; González Domínguez, José Daniel [Autor, 1%] ; Landa, Jaromír [Autor, 1%] ; Rodríguez-del-Pino, Juan Carlos [Autor, 1%] ; Drlík, Martin [Recenzent] ; Kapusta, Jozef [Recenzent]. – 1. vyd. – Nitra (Slovensko) : Univerzita Konštantína Filozofa v Nitre, 2020. – 300 s. [CD-ROM] : text, graf. – [slovenčina]. – [OV 010, 160]. – ISBN 978-80-558-1639-5 </t>
  </si>
  <si>
    <t xml:space="preserve">Javascript fundamentals [textový dokument (print)]  [učebnica pre vysoké školy (do 2021)] / Skalka, Ján [Autor, UKFFPVKIN, 12%] ; Kapusta, Jozef [Autor, UKFFPVKIN, 11%] ; Benko, Ľubomír [Autor, UKFFPVKIN, 11%] ; Nowakowski, Arkadiusz [Autor, 11%] ; Hernández-Figueroa, Zenón José [Autor, 11%] ; González Domínguez, José Daniel [Autor, 11%] ; Rodríguez-del-Pino, Juan Carlos [Autor, 11%] ; Francisti, Jan [Autor, UKFFPVKIN, 11%] ; Hála, Tomáš [Autor, 11%] ; Drlík, Martin [Recenzent] ; Klimeš, Cyril [Recenzent]. – 1. vyd. – Nitra (Slovensko) : Univerzita Konštantína Filozofa v Nitre, 2021. – 129 s. [tlačená forma]. – [slovenčina]. – [OV 160]. – ISBN 978-80-558-1788-0 </t>
  </si>
  <si>
    <t xml:space="preserve">Jazyk ako text [textový dokument (print)]  [učebnica pre vysoké školy (do 2021)] : vysokoškolský učebný materiál z praktickej štylistiky / Hlavatá, Renáta [Autor, UKFFFASJL, 40%] ; Kralčák, Ľubomír [Autor, UKFFFASJL, 30%] ; Glovňa, Juraj [Autor, UKFFFASJL, 10%] ; Rendárová, Mária [Autor, UKFFFAKSJ, 10%] ; Dudová, Katarína [Autor, UKFFFASJL, 10%] ; Magalová, Gabriela [Recenzent] ; Lomenčík, Július [Recenzent]. – 1. vyd. – Nitra (Slovensko) : Univerzita Konštantína Filozofa v Nitre, 2019. – 147 s. [tlačená forma] : text. – [slovenčina]. – [OV 020, 010]. – ISBN 978-80-558-1494-0 </t>
  </si>
  <si>
    <t xml:space="preserve">Kancelársky softvér (3) [elektronický dokument]  [učebnica pre vysoké školy (do 2021)] : Powerpoint / Skalka, Ján [Autor, UKFFPVKIN, 75%] ; Francisti, Jan [Autor, UKFFPVKIN, 25%] ; Kapusta, Jozef [Recenzent] ; Švec, Peter [Recenzent]. – 1. vyd. – Nitra (Slovensko) : Teacher.sk, 2019. – 100 s. [CD-ROM] : text. – [slovenčina]. – [OV 160]. – ISBN 978-80-972509-5-9 </t>
  </si>
  <si>
    <t xml:space="preserve">Kancelársky softvér 1 [elektronický dokument]  [učebnica pre vysoké školy (do 2021)] : Microsoft Word / Skalka, Ján [Autor, UKFFPVKIN, 70%] ; Francisti, Jan [Autor, UKFFPVKIN, 30%] ; Kapusta, Jozef [Recenzent] ; Švec, Peter [Recenzent]. – 1. vyd. – Nitra (Slovensko) : Teacher.sk, 2018. – 143 s. [7 AH] [online] : text. – [slovenčina]. – [OV 010]. – ISBN 978-80-972509-3-5 </t>
  </si>
  <si>
    <t xml:space="preserve">Kancelársky softvér 2 [elektronický dokument]  [učebnica pre vysoké školy (do 2021)] : Microsoft Excel / Skalka, Ján [Autor, UKFFPVKIN, 67%] ; Francisti, Jan [Autor, UKFFPVKIN, 33%] ; Kapusta, Jozef [Recenzent] ; Švec, Peter [Recenzent]. – 1. vyd. – Nitra (Slovensko) : Teacher.sk, 2018. – 126 s. [6 AH] [online] : text. – [slovenčina]. – [OV 010]. – ISBN 978-80-972509-4-2 </t>
  </si>
  <si>
    <t xml:space="preserve">Kapitoly z dejín Slovenska v stredoveku [textový dokument (print)]  [učebnica pre vysoké školy (do 2021)] / Ivanič, Peter [Autor, UKFFFAUKD, 80%] ; Pintérová, Beáta [Autor, UKFFFAKHI, 20%] ; Krafl, Pavel Otmar [Recenzent] ; Nemeš, Jaroslav [Recenzent]. – 1. vyd. – Nitra (Slovensko) : Univerzita Konštantína Filozofa v Nitre, 2020. – 140 s. [tlačená forma] : text. – [slovenčina]. – [OV 030]. – ISBN 978-80-558-1531-2 </t>
  </si>
  <si>
    <t xml:space="preserve">Kisebbségi oktatás a Kárpát-medence volt szocialista országaiban [textový dokument (print)]  [učebnica pre vysoké školy (do 2021)] / Vančo, Ildikó [Autor, UKFFSSUML, 100%] ; Kozmács, István [Recenzent] ; Kádár, Edit [Recenzent]. – 1. vyd. – Nitra (Slovensko) : Univerzita Konštantína Filozofa v Nitre, 2019. – 182 s. [tlačená forma] : text. – [maďarčina]. – [OV 020]. – ISBN 978-80-558-1511-4 </t>
  </si>
  <si>
    <t xml:space="preserve">Klinická propedeutika [textový dokument (print)]  [učebnica pre vysoké školy (do 2021)] : učebnica pre odbor ošetrovateľstvo / Hajaš, Gabriel [Autor, UKFFSVKOS, 34%] ; Solgajová, Andrea [Autor, UKFFSVKOS, 33%] ; Dokupiová, Adriana [Autor, 33%] ; Brozman, Miroslav [Recenzent] ; Minárik, Peter [Recenzent]. – 1. vyd. – Nitra (Slovensko) : Univerzita Konštantína Filozofa v Nitre, 2018. – 184 s. [tlačená forma] : text. – [slovenčina]. – [OV 180]. – ISBN 978-80-558-1259-5 </t>
  </si>
  <si>
    <t xml:space="preserve">Kompetencie, ciele, zručnosti a štandardy v náboženskej výchove [textový dokument (print)]  [učebnica pre vysoké školy (do 2021)] / Kondrla, Peter [Autor, UKFFFAKNS, 50%] ; Blaščíková, Andrea [Autor, UKFFFAKNS, 25%] ; Ďurková, Eva [Autor, UKFFFAKAE 06.2022, 25%] ; Maturkanič, Patrik [Recenzent] ; Hlad, Ľubomír [Recenzent]. – 1. vyd. – Nitra (Slovensko) : Univerzita Konštantína Filozofa v Nitre, 2021. – 121 s. [tlačená forma] : text. – [slovenčina]. – [OV 010]. – ISBN 978-80-558-1830-6 </t>
  </si>
  <si>
    <t xml:space="preserve">Koncepční modely, teorie a filozofie v ošetřovatelské péči [textový dokument (print)]  [učebnica pre vysoké školy (do 2021)] / Archalousová, Alexandra [Autor, UKFFSVKOS, 100%] ; Eliašová, Anna [Recenzent] ; Vörösová, Gabriela [Recenzent]. – 1. vyd. – Nitra (Slovensko) : Univerzita Konštantína Filozofa v Nitre, 2018. – 116 s. [tlačená forma] : text. – [slovenčina]. – [OV 180]. – ISBN 978-80-558-1346-2 </t>
  </si>
  <si>
    <t xml:space="preserve">Krajina - edukačný pohľad [textový dokument (print)]  [učebnica pre vysoké školy (do 2021)] : vysokoškolská učebnica = Landscape - educational view / Textbook / Récka, Adriana [Autor, UKFPFAKVV, 32%] ; Satková, Janka [Autor, UKFPFAKVV, 17%] ; Baus, Jozef [Autor, UKFPFAKVV, 11%] ; Steliga, Anna [Autor, 22%] ; Bieske-Matejak, Alicja [Autor, 10%] ; Bugajska-Bigos, Iwona [Autor, 8%] ; Gero, Štefan [Recenzent] ; Szalai, Daniel [Recenzent]. – 1. vyd. – Nitra (Slovensko) : Univerzita Konštantína Filozofa v Nitre, 2019. – 117 s. [tlačená forma] : text, ilustr. – [slovenčina]. – [OV 010]. – ISBN 978-80-558-1464-3 </t>
  </si>
  <si>
    <t xml:space="preserve">Kritické a tvorivé myslenie v príprave učiteľov biológie [textový dokument (print)]  [učebnica pre vysoké školy (do 2021)] / Sandanusová, Anna [Autor, UKFFPVKZA, 50%] ; Schlarmannová, Janka [Autor, UKFFPVKZA, 50%] ; Dytrtová, Radmila [Recenzent] ; Matejovičová, Barbora [Recenzent]. – 1. vyd. – Nitra (Slovensko) : Univerzita Konštantína Filozofa v Nitre, 2020. – 75 s. [tlačená forma] : text. – [slovenčina]. – [OV 010]. – ISBN 978-80-558-1637-1 </t>
  </si>
  <si>
    <t xml:space="preserve">Kritické a tvorivé myslenie v príprave učiteľov geografie [textový dokument (print)]  [učebnica pre vysoké školy (do 2021)] / Nemčíková, Magdaléna [Autor, UKFFPVKGR, 34%] ; Kramáreková, Hilda [Autor, UKFFPVKGR, 33%] ; Štubňa, Ján [Autor, UKFFPVKGR, 33%] ; Nogová, Mária [Recenzent] ; Kancír, Ján [Recenzent]. – 1. vyd. – Nitra (Slovensko) : Univerzita Konštantína Filozofa v Nitre, 2020. – 79 s. [tlačená forma] : text. – [slovenčina]. – [OV 010]. – ISBN 978-80-558-1653-1 </t>
  </si>
  <si>
    <t xml:space="preserve">Kultúra bezpečnosti v školskom prostredí (1) [textový dokument (print)]  [učebnica pre vysoké školy (do 2021)] / Tureková, Ivana [Autor, UKFPFAKTT, 34%] ; Marková, Iveta [Autor, ZUZFBIPŽI, 33%] ; Krištofiaková, Lucia [Autor, 33%, 3,51 AH] ; Hrmo, Roman [Zostavovateľ, editor, KDOP, 100%] ; Osvald, Anton [Recenzent] ; Zapletal, Ladislav [Recenzent]. – 1. vyd. – Nitra (Slovensko) : Univerzita Konštantína Filozofa v Nitre, 2020. – 162 s. [tlačená forma] : text. – [slovenčina]. – [OV 010, 170]. – ISBN 978-80-558-1563-3 </t>
  </si>
  <si>
    <t xml:space="preserve">Kultúrna pamäť v súčasnom divadle [textový dokument (print)]  [učebnica pre vysoké školy (do 2021)] : (príprava autorskej inscenácie zo života v totalite) / Ballay, Miroslav [Autor, UKFFFAKKU, 100%] ; Žilková, Marta [Recenzent] ; Eliašová, Silvia [Recenzent]. – 1. vyd. – Nitra (Slovensko) : Univerzita Konštantína Filozofa v Nitre, 2021. – 168 s. [tlačená forma] : text. – [slovenčina]. – [OV 060]. – ISBN 978-80-558-1698-2 </t>
  </si>
  <si>
    <t xml:space="preserve">Kužeľosečky [textový dokument (print)]  [učebnica pre vysoké školy (do 2021)] / Vallo, Dušan [Autor, UKFFPVKMA, 100%] ; Rumanová, Lucia [Recenzent] ; Vankúš, Peter [Recenzent]. – 1. vyd. – Nitra (Slovensko) : Univerzita Konštantína Filozofa v Nitre, 2018. – 67 s. [tlačená forma] : text. – [slovenčina]. – [OV 010]. – ISBN 978-80-558-1328-8 </t>
  </si>
  <si>
    <t xml:space="preserve">Kybernetika, kognitívne systémy a internet vecí [textový dokument (print)]  [učebnica pre vysoké školy (do 2021)] / Balogh, Zoltán [Autor, UKFFPVKIN, 100%] ; Jacko, Milan [Recenzent] ; Hrubý, Dušan [Recenzent]. – 1. vyd. – Nitra (Slovensko) : Univerzita Konštantína Filozofa v Nitre, 2020. – 172 s. [tlačená forma] : text. – [slovenčina]. – [OV 160]. – ISBN 978-80-558-1574-9 </t>
  </si>
  <si>
    <t xml:space="preserve">La letteratura italiana delle origini [textový dokument (print)]  [učebnica pre vysoké školy (do 2021)] / Šavelová, Monika [Autor, UKFFFAKRO, 100%] ; Caputo Lazzaro, Raffaele [Recenzent] ; Koprda, Pavol [Recenzent]. – 1. vyd. – Nitra (Slovensko) : Univerzita Konštantína Filozofa v Nitre, 2019. – 80 s. [tlačená forma]. – [taliančina]. – [OV 020]. – ISBN 978-80-558-1470-4 </t>
  </si>
  <si>
    <t xml:space="preserve">Laténska keramika ako predmet štúdia [textový dokument (print)]  [učebnica pre vysoké školy (do 2021)] / Repka, Dominik [Autor, UKFFFAKAR, 100%] ; Březinová, Gertrúda [Recenzent] ; Mangel, Tomáš [Recenzent]. – 1. vyd. – Nitra (Slovensko) : Univerzita Konštantína Filozofa v Nitre, 2020. – 200 s. [tlačená forma]. – [slovenčina]. – [OV 030]. – ISBN 978-80-558-1604-3 </t>
  </si>
  <si>
    <t xml:space="preserve">Legere [textový dokument (print)]  [učebnica pre vysoké školy (do 2021)] : Módszertani kézikönyv a modern irodalomtanításhoz / Petres Csizmadia, Gabriela [Autor, UKFFSSUML, 50%] ; Tóth, Anikó [Autor, UKFFSSUML, 50%] ; Kantár, Balazs [Recenzent] ; Brutovszky, Gabriella [Recenzent]. – 1. vyd. – Nitra (Slovensko) : Univerzita Konštantína Filozofa v Nitre, 2020. – 320 s. [tlačená forma] : text. – [maďarčina]. – [OV 010]. – ISBN 978-80-558-1622-7 </t>
  </si>
  <si>
    <t xml:space="preserve">Literárna publicistika (recenzistika) [textový dokument (print)]  [učebnica pre vysoké školy (do 2021)] : Učebnica pre študentov žurnalistiky / Debnár, Marek [Autor, UKFFFACHV, 100%] ; Rožňová, Jitka [Recenzent] ; Hajko, Dalimír [Recenzent]. – 1. vyd. – Nitra (Slovensko) : Univerzita Konštantína Filozofa v Nitre, 2021. – 72 s. [tlačená forma] : text. – [slovenčina]. – [OV 020]. – ISBN 978-80-558-1837-5 </t>
  </si>
  <si>
    <t xml:space="preserve">Literárne praktikum 2 [textový dokument (print)]  [učebnica pre vysoké školy (do 2021)] / Hrašková, Mariana [Autor, UKFFFASJL, 20%] ; Gallik, Ján [Autor, UKFFSSUSJ, 16%] ; Kaizerová, Petra [Autor, UKFFFASJL, 16%] ; Lauková, Silvia [Autor, UKFFFASJL, 16%] ; Tomovová, Eva [Autor, 8%] ; Vala, Jaroslav [Autor, 8%] ; Zeleňáková, Hana [Autor, UKFFFAULK, 16%] ; Nemcová, Jana [Recenzent] ; Vitézová, Eva [Recenzent]. – 1. vyd. – Nitra (Slovensko) : Univerzita Konštantína Filozofa v Nitre, 2021. – 162 s. [tlačená forma] : text. – [slovenčina]. – [OV 010]. – ISBN 978-80-558-1801-6 </t>
  </si>
  <si>
    <t xml:space="preserve">Literárne praktikum I [textový dokument (print)]  [učebnica pre vysoké školy (do 2021)] / Hrašková, Mariana [Autor, UKFFFASJL, 20%] ; Gallik, Ján [Autor, UKFFSSUSJ, 20%] ; Kaizerová, Petra [Autor, UKFFFASJL, 20%] ; Lauková, Silvia [Autor, UKFFFASJL, 20%] ; Zeleňáková, Hana [Autor, UKFFFAULK, 20%] ; Vitézová, Eva [Recenzent] ; Nemcová, Jana [Recenzent]. – 1. vyd. – Nitra (Slovensko) : Univerzita Konštantína Filozofa v Nitre, 2020. – 135 s. [tlačená forma] : text. – [slovenčina]. – [OV 020]. – ISBN 978-80-558-1616-6 </t>
  </si>
  <si>
    <t xml:space="preserve">Marketing 2 [textový dokument (print)]  [učebnica pre vysoké školy (do 2021)] / Nagyová, Ľudmila [Autor, SPUFEM16, 22%, 7,4 AH] ; Berčík, Jakub [Autor, SPUFEM16, 8%, 3,19 AH] ; Džupina, Milan [Autor, UKFFFAKMR, 6%, 2,02 AH] ; Hazuchová, Naďa [Autor, 5%, 1,6 AH] ; Holienčinová, Mária [Autor, SPUFEM16, 8%, 3,43 AH] ; Kádeková, Zdenka [Autor, SPUFEM16, 10%, 3,19 AH] ; Koprda, Tomáš [Autor, UKFFFAKMR, 6%, 1,71 AH] ; Košičiarová, Ingrida [Autor, SPUFEM16, 24%, 7,91 AH] ; Récky, Roman [Autor, SPUFEM16, 5%, 1,39 AH] ; Rybanská, Jana [Autor, SPUFEM16, 6%, 1,52 AH] ; Zaušková, Anna [Recenzent] ; Šimo, Dušan [Recenzent]. – 1. vyd. – Nitra (Slovensko) : Slovenská poľnohospodárska univerzita v Nitre, 2018. – 453 s. [tlačená forma] : text. – [slovenčina]. – [OV 080]. – ISBN 978-80-552-1943-1 </t>
  </si>
  <si>
    <t xml:space="preserve">Médiá - Migrácia - Spoločenská zodpovednosť: Prístupy ku komunikácii témy migrácie [elektronický dokument]  [učebnica pre vysoké školy (do 2021)] / Hodinková, Dana [Autor, UKFFFAKMR, 50%] ; Račeková, Ľubica [Autor, UKFFFAKZU, 20%] ; Szabóová, Veronika [Autor, UKFFFAKMR, 30%] ; Spálová, Lucia [Recenzent] ; Štrbová, Edita [Recenzent]. – 1. vyd. – Bratislava (Slovensko) : Európska akadémia manažmentu marketingu a médií, 2021. – 70 s. [tlačená forma] : text. – [slovenčina]. – [OV 060]. – ISBN 978-80-973848-3-8 </t>
  </si>
  <si>
    <t xml:space="preserve">Mediácia a probácia optikou teórie a právnej praxe [textový dokument (print)]  [učebnica pre vysoké školy (do 2021)] / Vanková, Katarína [Autor, UKFFSVURS, 100%] ; Galbavý, Ľudovít [Recenzent] ; Čavojská, Lucia [Recenzent] ; Candrák, Miloš [Recenzent]. – 1. vyd. – Nitra (Slovensko) : Univerzita Konštantína Filozofa v Nitre, 2021. – 178 s. [tlačená forma]. – [slovenčina]. – [OV 060]. – ISBN 978-80-558-1748-4 </t>
  </si>
  <si>
    <t xml:space="preserve">Mediácia v civilnom práve v službách človeka [textový dokument (print)]  [učebnica pre vysoké školy (do 2021)] / Vanková, Katarína [Autor, UKFFSVURS, 100%] ; Haburajová Ilavská, Lenka [Recenzent] ; Kováč, Ernest [Recenzent]. – 1. vyd. – Nitra (Slovensko) : OZ Sponka, 2018. – 106 s. [tlačená forma] : text. – [slovenčina]. – [OV 060]. – ISBN 978-80-570-0227-7 </t>
  </si>
  <si>
    <t xml:space="preserve">Megközelítési szempontok a populáris irodalom és kultúra tanulmányozásához [textový dokument (print)]  [učebnica pre vysoké školy (do 2021)] = Výskumné aspekty populárnej literatúry a kultúry / Benyovszky, Kristian [Autor, UKFFSSUML, 100%] ; Keserű, József [Recenzent] ; Hegedüs, Orsolya [Recenzent]. – 1. vyd. – Nitra (Slovensko) : Univerzita Konštantína Filozofa v Nitre, 2019. – 186 s. [tlačená forma] : text. – [maďarčina]. – [OV 020]. – ISBN 978-80-558-1399-8 </t>
  </si>
  <si>
    <t xml:space="preserve">Metaetika [textový dokument (print)]  [učebnica pre vysoké školy (do 2021)] : komparatívna analýza súčasných trendov / Máhrik, Tibor [Autor, UKFFFAKAE 06.2022, 100%] ; Hajko, Dalimír [Recenzent] ; Liguš, Ján [Recenzent]. – 1. vyd. – Bratislava (Slovensko) : Porta libri, 2018. – 119 s. [tlačená forma]. – [slovenčina]. – [OV 020]. – ISBN 978-80-8156-142-9 </t>
  </si>
  <si>
    <t xml:space="preserve">Metodika nonartificiálneho spevu [textový dokument (print)]  [učebnica pre vysoké školy (do 2021)] / Štrbák Pandiová, Iveta [Autor, UKFPFAKHU, 100%] ; Barilíková-Spišáková, Lenka [Recenzent] ; Gráfová, Božena [Recenzent]. – 1. vyd. – Nitra (Slovensko) : Univerzita Konštantína Filozofa v Nitre, 2019. – 145 s. [tlačená forma] : text. – [slovenčina]. – [OV 010]. – ISBN 978-80-558-1472-8 </t>
  </si>
  <si>
    <t xml:space="preserve">Metódy analýzy webového obsahu [textový dokument (print)]  [učebnica pre vysoké školy (do 2021)] : výstup národného projektu „IT Akadémia - vzdelávanie pre 21. storočie“ / Kapusta, Jozef [Autor, UKFFPVKIN, 100%] ; Ujháziová, Renáta [Recenzent] ; Hreus, Tomáš [Recenzent]. – 1. vyd. – Nitra (Slovensko) : Univerzita Konštantína Filozofa v Nitre, 2020. – 120 s. [tlačená forma] : text. – [slovenčina]. – [OV 160]. – ISBN 978-80-558-1578-7 </t>
  </si>
  <si>
    <t xml:space="preserve">Mikroskopické analýzy pohlavných a kmeňových buniek hydiny [textový dokument (print)]  [učebnica pre vysoké školy (do 2021)] / Chrenek, Peter [Autor, SPUFBP01, 20%] ; Kuželová, Lenka [Autor, 20%] ; Vašíček, Jaromír [Autor, 20%] ; Olexíková, Lucia [Autor, 20%] ; Svoradová, Andrea [Autor, UKFFPVKZA, 20%] ; Bulla, Jozef [Recenzent] ; Hanusová, Emília [Recenzent]. – 1. vyd. – Nitra (Slovensko) : Slovenská poľnohospodárska univerzita v Nitre, 2018. – 106 s. [tlačená forma] : text. – [slovenčina]. – [OV 120, 190]. – ISBN 978-80-552-1794-9 </t>
  </si>
  <si>
    <t xml:space="preserve">Morfologie  français (2. le verbe) [textový dokument (print)]  [učebnica pre vysoké školy (do 2021)] / Švarbová, Eva [Autor, UKFFFAKRO, 100%] ; Lalinská, Mária [Recenzent] ; Chovancová, Katarína [Recenzent]. – 1. vyd. – Nitra (Slovensko) : Univerzita Konštantína Filozofa v Nitre, 2020. – 140 s. [tlačená forma] : text. – [francúzština]. – [OV 010]. – ISBN 978-80-558-1513-8 </t>
  </si>
  <si>
    <t xml:space="preserve">Nanoetika [elektronický dokument]  [učebnica pre vysoké školy (do 2021)] : vysokoškolská učebnica / Máhrik, Tibor [Autor, UKFFFAKAE 06.2022, 100%] ; Hajko, Dalimír [Recenzent] ; Liguš, Ján [Recenzent]. – 1. vyd. – Nitra (Slovensko) : Univerzita Konštantína Filozofa v Nitre, 2018. – 65 s. [online] : text. – [slovenčina]. – [OV 020]. – ISBN 978-80-973156-1-0 </t>
  </si>
  <si>
    <t xml:space="preserve">Násilie páchané na ženách v intímnych partnerských vzťahoch 2 [textový dokument (print)]  [učebnica pre vysoké školy (do 2021)] / Pružinská, Jana [Autor, 20%] ; Juhásová, Andrea [Autor, UKFPFAKAP, 20%] ; Lessner Lištiaková, Ivana [Autor, 20%] ; Lulei, Martin [Autor, 20%] ; Malíková, Dáša [Autor, UKOPDSOC, 20%] ; Karkošková, Slávka [Recenzent] ; Bosá, Monika [Recenzent]. – 1. vyd. – Nitra (Slovensko) : Budúcnosť, 2019. – 88 s. [tlačená forma] : text. – [slovenčina]. – [OV 060]. – ISBN 978-80-972371-6-5 </t>
  </si>
  <si>
    <t xml:space="preserve">Neurónové siete [textový dokument (print)]  [učebnica pre vysoké školy (do 2021)] : národný výstup projektu "IT akadémia - vzdelávanie pre 21. storočie" / Kmeťová, Mária [Autor, UKFFPVKMA, 100%] ; Jacko, Milan [Recenzent] ; Habiballa, Hashim [Recenzent]. – 1. vyd. – Nitra (Slovensko) : Univerzita Konštantína Filozofa v Nitre, 2020. – 146 s. [tlačená forma] : text. – (Prírodovedec ; 733). – [slovenčina]. – [OV 240]. – ISBN 978-80-558-1584-8 </t>
  </si>
  <si>
    <t xml:space="preserve">Obnova krajiny a zelenej infraštruktúry v urbanizovanom prostredí [textový dokument (print)]  [učebnica pre vysoké školy (do 2021)] / Rózová, Zdenka [Autor, UKFFPVKEE, 30%] ; Feriancová, Ľubica [Autor, SPUFZK09, 16%] ; Tóth, Attila [Autor, SPUFZK09, 16%, 3,16 AH] ; Pástorová, Anna [Autor, 19%] ; Moravčík, Marek [Autor, UKFFPVKEE, 19%] ; Kristiánová, Katarína [Recenzent] ; Kucman, Gabriel [Recenzent]. – 1. vyd. – Nitra (Slovensko) : Univerzita Konštantína Filozofa v Nitre, 2020. – 258 s. [tlačená forma] : text. – (Prírodovedec ; 726). – [slovenčina]. – [OV 100, 190]. – ISBN 978-80-558-1605-0 </t>
  </si>
  <si>
    <t xml:space="preserve">Osnovy rečevogo etiketa i mežkuľturnoj kommunikacii: v 2-ch častjach [textový dokument (print)]  [učebnica pre vysoké školy (do 2021)] : Učebnoje posobije po russkomu jazyku dľa slovackich studentov / Kalechyts, Alena [Autor, UKFFFAKRU, 30%] ; Kalita, Inna [Autor, 20%] ; Kudrevatykh, Natalia [Autor, 15%] ; Makarowska, Oľga [Autor, 20%] ; Gallo, Ján [Autor, UKFFFAKRU, 15%] ; Petríková, Anna [Recenzent] ; Cingerová, Nina [Recenzent]. – 1. vyd. – Nitra (Slovensko) : Univerzita Konštantína Filozofa v Nitre, 2021. – 243 s. [tlačená forma]. – [ruština]. – [OV 020]. – ISBN 978-80-558-1809-2 </t>
  </si>
  <si>
    <t xml:space="preserve">Ošetrovateľská starostlivosť o rizikové a ohrozené skupiny v komunitnom ošetrovateľstve [textový dokument (print)]  [učebnica pre vysoké školy (do 2021)] / Pavelová, Ľuboslava [Autor, UKFFSVKOS, 100%] ; Šupínová, Mária [Recenzent] ; Repiská, Libuša [Recenzent]. – 1. vyd. – Nitra (Slovensko) : Univerzita Konštantína Filozofa v Nitre, 2019. – 146 s. [tlačená forma]. – [slovenčina]. – [OV 180]. – ISBN 978-80-558-1452-0 </t>
  </si>
  <si>
    <t xml:space="preserve">Ošetrovateľstvo a konceptuálne modely pre prax [textový dokument (print)]  [učebnica pre vysoké školy (do 2021)] / Slezáková, Zuzana [Autor, 50%] ; Solgajová, Andrea [Autor, UKFFSVKOS, 25%] ; Zrubcová, Dana [Autor, UKFFSVKOS, 25%] ; Vörösová, Gabriela [Recenzent] ; Libová, Ľubica [Recenzent]. – 1. vyd. – Nitra (Slovensko) : Univerzita Konštantína Filozofa v Nitre, 2020. – 152 s. [tlačená forma] : text. – [slovenčina]. – [OV 180]. – ISBN 978-80-558-1505-3. – SZU KIS 2020112610570287 </t>
  </si>
  <si>
    <t xml:space="preserve">Péče o ženu s osteoporózou z pohledu porodní asistentky a fyzioterapeuta [textový dokument (print)]  [učebnica pre vysoké školy (do 2021)] / Archalousová, Alexandra [Autor, UKFFSVKOS, 50%] ; Kozel, Matúš [Autor, PUPFZFY, 50%] ; Eliašová, Anna [Recenzent] ; Derňarová, Ľubica [Recenzent]. – 1. vyd. – Prešov (Slovensko) : Prešovská univerzita v Prešove. Fakulta zdravotníckych odborov, 2021. – 113 s. [tlačená forma]. – [slovenčina]. – [OV 180]. – ISBN 978-80-555-2784-0. – SIGN-PU FZ-21 140/21 </t>
  </si>
  <si>
    <t xml:space="preserve">Pedagogika tvorivosti [textový dokument (print)]  [učebnica pre vysoké školy (do 2021)] / Máčajová, Monika [Autor, UKFPFAKPE, 100%] ; Duchovičová, Jana [Recenzent] ; Petlák, Erich [Recenzent]. – 1. vyd. – Nitra (Slovensko) : Univerzita Konštantína Filozofa v Nitre, 2021. – 161 s. [tlačená forma] : text. – [slovenčina]. – [OV 010]. – ISBN 978-80-558-1772-9 </t>
  </si>
  <si>
    <t xml:space="preserve">Penitenciárna a postpenitenciárna spravodlivosť v teórii a praxi [textový dokument (print)]  [učebnica pre vysoké školy (do 2021)] / Vanková, Katarína [Autor, UKFFSVURS, 100%] ; Galbavý, Ľudovít [Recenzent] ; Čavojská, Lucia [Recenzent]. – 1. vyd. – Nitra (Slovensko) : Univerzita Konštantína Filozofa v Nitre, 2020. – 164 s. [tlačená forma] : text. – [slovenčina]. – [OV 060]. – ISBN 978-80-558-1557-2 </t>
  </si>
  <si>
    <t xml:space="preserve">PHP fundamentals [textový dokument (print)]  [učebnica pre vysoké školy (do 2021)] / Kapusta, Jozef [Autor, UKFFPVKIN, 12%] ; Benko, Ľubomír [Autor, UKFFPVKIN, 11%] ; Hernández-Figueroa, Zenón José [Autor, 11%] ; González Domínguez, José Daniel [Autor, 11%] ; Rodríguez-del-Pino, Juan Carlos [Autor, 11%] ; Skalka, Ján [Autor, UKFFPVKIN, 11%] ; Halvoník, Dominik [Autor, UKFFPVKIN, 11%] ; Nowakowski, Arkadiusz [Autor, 11%] ; Hála, Tomáš [Autor, 11%] ; Drlík, Martin [Recenzent] ; Klimeš, Cyril [Recenzent]. – 1. vyd. – Nitra (Slovensko) : Univerzita Konštantína Filozofa v Nitre, 2021. – 156 s. [tlačená forma] : text. – [slovenčina]. – [OV 160]. – ISBN 978-80-558-1789-7 </t>
  </si>
  <si>
    <t xml:space="preserve">Podnikateľské minimum [textový dokument (print)]  [učebnica pre vysoké školy (do 2021)] / Korenková, Marcela [Autor, UKFFPVUMI, 100%] ; Papcunová, Viera [Recenzent] ; Pekarčíková, Jozefína [Recenzent]. – 1. vyd. – Nitra (Slovensko) : Univerzita Konštantína Filozofa v Nitre, 2018. – 121 s. [tlačená forma] : text. – [slovenčina]. – [OV 080]. – ISBN 978-80-558-1298-4 </t>
  </si>
  <si>
    <t xml:space="preserve">Pohyb a zdravie [textový dokument (print)]  [učebnica pre vysoké školy (do 2021)] / Baráth, Ladislav [Autor, UKFFSSUVP, 100%] ; Kalinková, Mária [Recenzent] ; Jedlička, Jaroslav [Recenzent]. – 1. vyd. – Nitra (Slovensko) : Univerzita Konštantína Filozofa v Nitre, 2021. – 118 s. [tlačená forma] : text. – [slovenčina]. – [OV 010]. – ISBN 978-80-558-1849-8 </t>
  </si>
  <si>
    <t xml:space="preserve">Postpenitenciárna starostlivosť v kontexte sociálnej práce a sociálnych službieb [textový dokument (print)]  [učebnica pre vysoké školy (do 2021)] / Vanková, Katarína [Autor, UKFFSVURS, 100%] ; Jusko, Peter [Recenzent] ; Galbavý, Ľudovít [Recenzent]. – 1. vyd. – Nitra (Slovensko) : Univerzita Konštantína Filozofa v Nitre, 2019. – 124 s. [tlačená forma]. – [slovenčina]. – [OV 060]. – ISBN 978-80-558-1453-7 </t>
  </si>
  <si>
    <t xml:space="preserve">Practical Guideline for Automated Programming Assignments Writing [textový dokument (print)]  [učebnica pre vysoké školy (do 2021)] / González-Domínguez, José Daniel [Autor, 25%] ; Hernández-Figueroa, Zenón José [Autor, 25%] ; Rodriguez-del-Pino, Juan Carlos [Autor, 25%] ; Skalka, Ján [Autor, UKFFPVKIN, 25%] ; Stolińska, Anna [Recenzent] ; Junas, Dušan [Recenzent]. – 1. vyd. – Nitra (Slovensko) : Univerzita Konštantína Filozofa v Nitre, 2021. – 154 s. [tlačená forma] : text. – [angličtina]. – [OV 160]. – ISBN 978-80-558-1795-8 </t>
  </si>
  <si>
    <t xml:space="preserve">Princípy počítačových sietí [textový dokument (print)]  [učebnica pre vysoké školy (do 2021)] / Švec, Peter [Autor, UKFFPVKIN, 70%] ; Reichel, Jaroslav [Autor, UKFFPVKIN, 25%] ; Kuna, Peter [Autor, 5%] ; Masár, Juraj [Recenzent] ; Skalka, Ján [Recenzent]. – 1. vyd. – Nitra (Slovensko) : Univerzita Konštantína Filozofa v Nitre, 2020. – 196 s. [tlačená forma] : text. – [slovenčina]. – [OV 160]. – ISBN 978-80-558-1582-4 </t>
  </si>
  <si>
    <t xml:space="preserve">Profesijná andragogika [textový dokument (print)]  [učebnica pre vysoké školy (do 2021)] / Temiaková, Dominika [Autor, UKFPFAKPE, 30%] ; Petrová, Gabriela [Autor, UKFPFAKPE, 30%] ; Pančíková, Viktória [Autor, 30%] ; Valicová, Michaela [Autor, 10%] ; Pirohová, Ivana [Recenzent] ; Malach, Josef [Recenzent]. – 1. vyd. – Nitra (Slovensko) : Univerzita Konštantína Filozofa v Nitre, 2020. – 260 s. [tlačená forma] : text. – [slovenčina]. – [OV 010]. – ISBN 978-80-558-1561-9 </t>
  </si>
  <si>
    <t xml:space="preserve">Programovanie aplikácií so senzormi [textový dokument (print)]  [učebnica pre vysoké školy (do 2021)] : výstup národného projektu „IT Akadémia – vzdelávanie pre 21. storočie“ / Skalka, Ján [Autor, UKFFPVKIN, 100%] ; Gálová, Nikola [Recenzent] ; Drlík, Martin [Recenzent]. – 1. vyd. – Nitra (Slovensko) : Univerzita Konštantína Filozofa v Nitre, 2020. – 254 s. [tlačená forma] : text. – [slovenčina]. – [OV 160]. – ISBN 978-80-558-1581-7 </t>
  </si>
  <si>
    <t xml:space="preserve">Projektový manažment - teória a prax projektov EŠIF [textový dokument (print)]  [učebnica pre vysoké školy (do 2021)] / Fiľa, Milan [Autor, UKFFPVUMI, 66%] ; Papcunová, Viera [Autor, UKFFPVUMI, 34%] ; Šimák, Ladislav [Recenzent] ; Poláček, Miroslav [Recenzent]. – 1. vyd. – Nitra (Slovensko) : Univerzita Konštantína Filozofa v Nitre, 2018. – 158 s. [tlačená forma]. – [slovenčina]. – [OV 080]. – ISBN 978-80-558-1270-0 </t>
  </si>
  <si>
    <t xml:space="preserve">Python Classes [textový dokument (print)]  [učebnica pre vysoké školy (do 2021)] / Hernández-Figueroa, Zenón José [Autor, 20%] ; González-Domínguez, José Daniel [Autor, 16%] ; Rodriguez-del-Pino, Juan Carlos [Autor, 16%] ; Michaličková, Viera [Autor, UKFFPVKIN, 16%] ; Přichystal, Jan [Autor, 16%] ; Chromiński, Kornel [Autor, 16%] ; Kapusta, Jozef [Recenzent] ; Švec, Peter [Recenzent]. – 1. vyd. – Nitra (Slovensko) : Univerzita Konštantína Filozofa v Nitre, 2021. – 117 s. [tlačená forma] : text. – [angličtina]. – [OV 160]. – ISBN 978-80-558-1785-9 </t>
  </si>
  <si>
    <t xml:space="preserve">Python fundamentals [textový dokument (print)]  [učebnica pre vysoké školy (do 2021)] / Chromiński, Kornel [Autor, 19%] ; Benko, Ľubomír [Autor, UKFFPVKIN, 17%] ; Hernández-Figueroa, Zenón José [Autor, 16%] ; González Domínguez, José Daniel [Autor, 16%] ; Rodríguez-del-Pino, Juan Carlos [Autor, 16%] ; Přichystal, Jan [Autor, 16%] ; Kapusta, Jozef [Recenzent] ; Švec, Peter [Recenzent]. – 1. vyd. – Nitra (Slovensko) : Univerzita Konštantína Filozofa v Nitre, 2021. – 148 s. [tlačená forma]. – [slovenčina]. – [OV 160]. – ISBN 978-80-558-1783-5 </t>
  </si>
  <si>
    <t xml:space="preserve">Python Intermediate [textový dokument (print)]  [učebnica pre vysoké školy (do 2021)] / Michaličková, Viera [Autor, UKFFPVKIN, 20%] ; Hernández-Figueroa, Zenón José [Autor, 16%] ; González-Domínguez, José Daniel [Autor, 16%] ; Rodriguez-del-Pino, Juan Carlos [Autor, 16%] ; Přichystal, Jan [Autor, 16%] ; Chromiński, Kornel [Autor, 16%] ; Kapusta, Jozef [Recenzent] ; Švec, Peter [Recenzent]. – 1. vyd. – Nitra (Slovensko) : Univerzita Konštantína Filozofa v Nitre, 2021. – 167 s. [tlačená forma] : text. – [angličtina]. – [OV 160]. – ISBN 978-80-558-1784-2 </t>
  </si>
  <si>
    <t xml:space="preserve">Python pre teenagerov – údajové štruktúry [textový dokument (print)]  [učebnica pre vysoké školy (do 2021)] / Michaličková, Viera [Autor, UKFFPVKIN, 100%] ; Lovászová, Gabriela [Recenzent] ; Skalka, Ján [Recenzent]. – 1. vyd. – Nitra (Slovensko) : Univerzita Konštantína Filozofa v Nitre, 2021. – 156 s. [tlačená forma]. – [slovenčina]. – [OV 010]. – ISBN 978-80-558-1641-8 </t>
  </si>
  <si>
    <t xml:space="preserve">Realizácia počítačových systémov [textový dokument (print)]  [učebnica pre vysoké školy (do 2021)] / Magdin, Martin [Autor, UKFFPVKIN, 100%] ; Mikušík, Vladimír [Recenzent] ; Brečka, Peter [Recenzent]. – 1. vyd. – Nitra (Slovensko) : Univerzita Konštantína Filozofa v Nitre, 2020. – 164 s. [tlačená forma] : text. – [slovenčina]. – [OV 160]. – ISBN 978-80-558-1580-0 </t>
  </si>
  <si>
    <t xml:space="preserve">Režisér v akcii [textový dokument (print)]  [učebnica pre vysoké školy (do 2021)] : ABC réžie v hudobnom divadle / Smolík, Pavol [Autor, UKFPFAKHU, 100%] ; Kollárová, Dana [Recenzent] ; Kákoš, Martin [Recenzent]. – 1. vyd. – Nitra (Slovensko) : Univerzita Konštantína Filozofa v Nitre, 2021. – 116 s. [tlačená forma]. – [slovenčina]. – [OV 010]. – ISBN 978-80-558-1770-5 </t>
  </si>
  <si>
    <t xml:space="preserve">Rozvoj gramotnosti na základnej škole ISCED 1 [textový dokument (print)]  [učebnica pre vysoké školy (do 2021)] / Bodis, Martin [Autor, UKFFFASJL, 100%] ; Vitézová, Eva [Recenzent] ; Hajduk, Ľudovít [Recenzent]. – 1. vyd. – Nitra (Slovensko) : Univerzita Konštantína Filozofa v Nitre, 2019. – 198 s. [tlačená forma] : text. – [slovenčina]. – [OV 010]. – ISBN 978-80-558-1493-3 </t>
  </si>
  <si>
    <t xml:space="preserve">Slovenský filmový pop [textový dokument (print)]  [učebnica pre vysoké školy (do 2021)] / Malíček, Juraj [Autor, UKFFFAULK, 20%] ; Malíčková, Michaela [Autor, UKFFFAULK, 20%] ; Boszorád, Martin [Autor, UKFFFAULK, 20%] ; Gyarfáš, František [Autor, 20%] ; Bébarová, Jana [Autor, 20%] ; Gindl-Tatárová, Zuzana [Recenzent] ; Kasarda, Martin [Recenzent]. – 1. vyd. – Nitra (Slovensko) : Univerzita Konštantína Filozofa v Nitre, 2021. – 175 s. [tlačená forma] : text. – [slovenčina]. – [OV 020]. – ISBN 978-80-558-1769-9 </t>
  </si>
  <si>
    <t xml:space="preserve">Sociálna práca a sociálne služby ako vedné disciplíny (teória a výskum) [textový dokument (print)]  [učebnica pre vysoké školy (do 2021)] / Rác, Ivan [Autor, UKFFSVURS, 50%] ; Lehoczká, Lýdia [Autor, UKFFSVURS, 50%] ; Lužica, René [Recenzent] ; Gejdoš, Miroslav [Recenzent]. – 1. vyd. – Nitra (Slovensko) : Univerzita Konštantína Filozofa v Nitre, 2020. – 70 s. [tlačená forma] : text. – [slovenčina]. – [OV 060]. – ISBN 978-80-558-1555-8 </t>
  </si>
  <si>
    <t xml:space="preserve">Sociálna práca s osobami so zdravotným znevýhodnením [textový dokument (print)]  [učebnica pre vysoké školy (do 2021)] / Morávková, Silvia [Autor, UKFFSVKSP, 34%] ; Šimonová, Veronika [Autor, UKFFSVKSP, 33%] ; Mojtová, Martina [Autor, UKFFSVKSP, 33%] ; Gabura, Ján [Recenzent] ; Dávideková, Mária [Recenzent]. – 1. vyd. – Nitra (Slovensko) : Univerzita Konštantína Filozofa v Nitre, 2021. – 100 s. [tlačená forma] : text. – [slovenčina]. – [OV 060]. – ISBN 978-80-558-1702-6 </t>
  </si>
  <si>
    <t xml:space="preserve">Sociálne poradenstvo [textový dokument (print)]  [učebnica pre vysoké školy (do 2021)] / Novotná, Alena [Autor, KURPESP, 40%] ; Gabura, Ján [Autor, UKFFSVKSP, 9%] ; Žilová, Anna [Autor, KURPESP, 6%] ; Machalová, Mária [Autor, PUPPRKASP, 6%] ; Šrobárová, Soňa [Autor, KURPESP, 8%] ; Markovič, Daniel [Autor, KURPESP, 6%] ; Holíková, Barbora [Autor, 17%] ; Bartíková, Andrea [Autor, 8%] ; Gretkowski, Andrzej Ryszard [Recenzent] ; Lipiński, Stanisław [Recenzent] ; Vansáč, Peter [Recenzent]. – 1. vyd. – Ružomberok (Slovensko) : Katolícka univerzita v Ružomberku. VERBUM - vydavateľstvo KU, 2020. – 114 s. [tlačená forma]. – [slovenčina]. – [OV 060]. – ISBN 978-80-561-0785-0 </t>
  </si>
  <si>
    <t xml:space="preserve">Sociálnoprávna ochrana detí a sociálna kuratela (2) [textový dokument (print)]  [učebnica pre vysoké školy (do 2021)] / Gažiková, Elena [Autor, UKFFSVKSP, 100%] ; Lešková, Lýdia [Recenzent] ; Minarovičová, Katarína [Recenzent]. – 1. vyd. – Nitra (Slovensko) : Univerzita Konštantína Filozofa v Nitre, 2019. – 116 s. [tlačená forma] : text. – [slovenčina]. – [OV 060]. – ISBN 978-80-558-1476-6 </t>
  </si>
  <si>
    <t xml:space="preserve">Sondy do dejín slovenskej filozofie 1 [textový dokument (print)]  [učebnica pre vysoké školy (do 2021)] / Jonášková, Gabriela [Autor, UKFFFAKFI, 100%] ; Predanocyová, Ľubica [Recenzent] ; Pechočiaková Svitačová, Eva [Recenzent]. – 1. vyd. – Nitra (Slovensko) : Univerzita Konštantína Filozofa v Nitre, 2021. – 136 s. [tlačená forma] : text. – [slovenčina]. – [OV 020]. – ISBN 978-80-558-1846-7 </t>
  </si>
  <si>
    <t xml:space="preserve">Stratégie kritického a tvorivého myslenia v príprave učiteľov chémie [textový dokument (print)]  [učebnica pre vysoké školy (do 2021)] / Jenisová, Zita [Autor, UKFFPVKCH, 60%] ; Lednický, Lukáš [Autor, UKFFFAKAA, 10%] ; Tokárová, Barbora [Autor, UKFFPVKCH, 30%] ; Brestenská, Beáta [Recenzent] ; Musilová, Janette [Recenzent]. – 1. vyd. – Nitra (Slovensko) : Univerzita Konštantína Filozofa v Nitre, 2021. – 127 s. [online] [CD-ROM] : text. – [slovenčina]. – [OV 010, 120]. – ISBN 978-80-558-1588-6. – ISBN (online) 978-80-558-1587-9 </t>
  </si>
  <si>
    <t xml:space="preserve">Stratégie kritického a tvorivého myslenia v príprave učiteľov informatiky [textový dokument (print)]  [učebnica pre vysoké školy (do 2021)] / Lovászová, Gabriela [Autor, UKFFPVKIN, 60%] ; Klimová, Nika [Autor, UKFFPVKIN, 40%] ; Stoffová, Veronika [Recenzent] ; Czakóová, Krisztina [Recenzent]. – 1. vyd. – Nitra (Slovensko) : Univerzita Konštantína Filozofa v Nitre, 2019. – 62 s. [tlačená forma] : text. – [slovenčina]. – [OV 010, 160]. – ISBN 978-80-558-1499-5 </t>
  </si>
  <si>
    <t xml:space="preserve">Stratégie rozvoja kritického myslenia vo vyučovaní PEDAGOGIKY [textový dokument (print)] [elektronický dokument]  [učebnica pre vysoké školy (do 2021)] / Kozárová, Nina [Autor, UKFPFAKPE, 50%] ; Gunišová, Denisa [Autor, UKFPFAKPE, 50%] ; Petlák, Erich [Recenzent] ; Grznárová, Katarína [Recenzent]. – 1. vyd. – Nitra (Slovensko) : Univerzita Konštantína Filozofa v Nitre, 2020. – 195 s. [tlačená forma] [online] : text. – [slovenčina]. – [OV 010]. – ISBN 978-80-558-1518-3. – ISBN (online) 978-80-558-1520-6 </t>
  </si>
  <si>
    <t xml:space="preserve">Szlovákiai magyar nyelvjárási hangoskönyv (2) [textový dokument (print)]  [učebnica pre vysoké školy (do 2021)] : a dél-szlovákiai magyar beszélt nyelv hangfelvételeivel szinkronizált szövegek = Nárečová audiokniha z južného Slovenska 2. Texty synchronizované s audio nahrávkami maďarského hovoreného jazyka z južného Slovenska / Presinszky, Károly [Autor, UKFFSSUML, 100%] ; Sándorová, Anna [Recenzent] ; Fruzsina, Sára Vargha [Recenzent]. – 1. vyd. – Nitra (Slovensko) : Univerzita Konštantína Filozofa v Nitre, 2020. – 76 s. [tlačená forma] : text. – [maďarčina]. – [OV 020, 010]. – ISBN 978-80-558-1655-5 </t>
  </si>
  <si>
    <t xml:space="preserve">Szlovákiai magyar nyelvjárási hangoskönyv 3 [textový dokument (print)]  [učebnica pre vysoké školy (do 2021)] : texty synchronizované s audio nahrávkami maďarského hovoreného jazyka z južného Slovenska = Nárečová audiokniha z južného Slovenska 3 / Presinszky, Károly [Autor, UKFFSSUML, 100%] ; Sándorová, Anna [Recenzent] ; Vargha, Fruzsina Sára [Recenzent]. – 1. vyd. – Nitra (Slovensko) : Univerzita Konštantína Filozofa v Nitre, 2021. – 54 s. [3,24 AH] [tlačená forma]. – [maďarčina]. – [OV 020]. – ISBN 978-80-558-1738-5 </t>
  </si>
  <si>
    <t xml:space="preserve">Teória množín a teoretická aritmetika [textový dokument (print)]  [učebnica pre vysoké školy (do 2021)] / Vrábel, Peter [Autor, UKFFPVKMA, 100%] ; Tirpáková, Anna [Recenzent] ; Solčan, Štefan [Recenzent]. – 1. vyd. – Nitra (Slovensko) : Univerzita Konštantína Filozofa v Nitre, 2018. – 149 s. [tlačená forma] : text. – [slovenčina]. – [OV 240]. – ISBN 978-80-558-1332-5 </t>
  </si>
  <si>
    <t xml:space="preserve">The Collection of Practical Assignments for Students Software Projects [textový dokument (print)]  [učebnica pre vysoké školy (do 2021)] / Benko, Ľubomír [Autor, UKFFPVKIN, 10%] ; González-Domínguez, José Daniel [Autor, 10%] ; Hernández-Figueroa, Zenón José [Autor, 10%] ; Jakúbek, Tomáš [Autor, 10%] ; Kapusta, Jozef [Autor, UKFFPVKIN, 10%] ; Landa, Jaromír [Autor, 10%] ; Rodriguez-del-Pino, Juan Carlos [Autor, 10%] ; Skalka, Ján [Autor, UKFFPVKIN, 10%] ; Švec, Peter [Autor, UKFFPVKIN, 10%] ; Turčínek, Pavel [Autor, 10%] ; Stolińska, Anna [Recenzent] ; Junas, Dušan [Recenzent]. – 1. vyd. – Nitra (Slovensko) : Univerzita Konštantína Filozofa v Nitre, 2021. – 210 s. [tlačená forma] : text. – [angličtina]. – [OV 160]. – ISBN 978-80-558-1796-5 </t>
  </si>
  <si>
    <t xml:space="preserve">Toxikologická biológia živočíchov a človeka [textový dokument (print)]  [učebnica pre vysoké školy (do 2021)] / Martiniaková, Monika [Autor, UKFFPVKZA, 10%] ; Babosová, Ramona [Autor, UKFFPVKZA, 10%] ; Omelka, Radoslav [Autor, UKFFPVKBG, 10%] ; Adamkovičová, Mária [Autor, UKFFPVKBG, 10%] ; Hlisníková, Henrieta [Autor, UKFFPVKZA, 10%] ; Ďúranová, Hana [Autor, SPUPRA15, 10%] ; Račanská, Michaela [Autor, 10%] ; Greń, Agnieszka [Autor, 10%] ; Formicki, Grzegorz [Autor, 10%] ; Bauerová, Mária [Autor, 10%] ; Capcarová, Marcela [Recenzent] ; Fančovičová, Jana [Recenzent]. – 1. vyd. – Nitra (Slovensko) : Univerzita Konštantína Filozofa v Nitre, 2018. – 159 s. [tlačená forma] : text. – [slovenčina]. – [OV 130]. – ISBN 978-80-558-1331-8 </t>
  </si>
  <si>
    <t xml:space="preserve">Trois espaces de littérature en français: Québec, Maghreb, Belgique [textový dokument (print)]  [učebnica pre vysoké školy (do 2021)] : Propositions pédagogiques / Lalinská, Mária [Autor, UKFFFAKRO, 25%] ; Švarbová, Eva [Autor, UKFFFAKRO, 25%] ; Rybárová, Silvia [Autor, UKFFFAKRO, 25%] ; Tardy, Stéphane [Autor, UKFFFAKRO, 25%] ; Tureková, Andrea [Recenzent] ; Rizeková, Iveta [Recenzent]. – 1. vyd. – Nitra (Slovensko) : Univerzita Konštantína Filozofa v Nitre, 2020. – 153 s. [tlačená forma] : text. – [francúzština]. – [OV 010, 020]. – ISBN 978-80-558-1469-8 </t>
  </si>
  <si>
    <t xml:space="preserve">Tvorivá interpretácia vo výtvarnej edukácii [elektronický dokument]  [učebnica pre vysoké školy (do 2021)] : vysokoškolská učebnica odborovej didaktiky / Satková, Janka [Autor, UKFPFAKVV, 60%] ; Récka, Adriana [Autor, UKFPFAKVV, 40%] ; Gero, Štefan [Recenzent] ; Szalai, Daniel [Recenzent]. – 1. vyd. – Nitra (Slovensko) : Univerzita Konštantína Filozofa v Nitre, 2020. – 90 s. [online] : text. – [slovenčina]. – [OV 010]. – ISBN 978-80-558-1533-6 </t>
  </si>
  <si>
    <t xml:space="preserve">Tvorivé a kritické myslenie v príprave učiteľov etickej výchovy [elektronický dokument]  [učebnica pre vysoké školy (do 2021)] / Lomnický, Igor [Autor, UKFFFAKAE 06.2022, 40%] ; Lesková, Andrea [Autor, UKFFFAKAE 06.2022, 30%] ; Magová, Lenka [Autor, UKFFFAKAE 06.2022, 30%] ; Predanocyová, Ľubica [Recenzent] ; Pechočiaková Svitačová, Eva [Recenzent]. – 1. vyd. – Nitra (Slovensko) : Univerzita Konštantína Filozofa v Nitre, 2019. – 85 s. [CD-ROM] : text. – [slovenčina]. – [OV 020, 010]. – ISBN 978-80-558-1460-5 </t>
  </si>
  <si>
    <t xml:space="preserve">Tvorivé a kritické myslenie v príprave učiteľov občianskej náuky [elektronický dokument]  [učebnica pre vysoké školy (do 2021)] / Predanocyová, Ľubica [Autor, UKFFFAKFI, 50%] ; Jonášková, Gabriela [Autor, UKFFFAKFI, 50%] ; Lomnický, Igor [Recenzent] ; Pechočiaková Svitačová, Eva [Recenzent]. – 1. vyd. – 2020 (Slovensko) : Univerzita Konštantína Filozofa v Nitre, 2020. – 120 s. [CD-ROM] : text. – [slovenčina]. – [OV 010]. – ISBN 978-80-558-1482-7 </t>
  </si>
  <si>
    <t xml:space="preserve">Übungsbuch zur deutschen Aussprache [učebnica pre vysoké školy (do 2021)] / Chebenová, Viera [Autor, UKFFFAKGE, 50%] ; Molnárová, Andrea [Autor, UKFFFAKMK, 50%] ; Müglová, Daniela [Recenzent] ; Trošková, Ľudmila [Recenzent]. – 1. vyd. – Nitra (Slovensko) : Univerzita Konštantína Filozofa v Nitre, 2018. – 294 s. [tlačená forma] : text. – [nemčina]. – [OV 020]. – ISBN 978-80-558-1271-7 </t>
  </si>
  <si>
    <t xml:space="preserve">Umelecká literatúra v predprimárnom vzdelávaní [textový dokument (print)]  [učebnica pre vysoké školy (do 2021)] / Lauková, Silvia [Autor, UKFFFASJL, 33%] ; Kaizerová, Petra [Autor, UKFFFASJL, 33%] ; Hrašková, Mariana [Autor, UKFFFASJL, 34%] ; Vitézová, Eva [Recenzent] ; Naščák, Peter [Recenzent]. – 1. vyd. – Nitra (Slovensko) : Univerzita Konštantína Filozofa v Nitre, 2021. – 339 s. [tlačená forma] : text. – [slovenčina]. – [OV 020]. – ISBN 978-80-558-1808-5 </t>
  </si>
  <si>
    <t xml:space="preserve">Umenie a kultúra (vademékum pre učiteľov) [textový dokument (print)]  [učebnica pre vysoké školy (do 2021)] / Jakubovská, Viera [Autor, UKFFFAKFI, 100%] ; Jonášková, Gabriela [Recenzent] ; Pechočiaková Svitačová, Eva [Recenzent]. – 1. vyd. – Nitra (Slovensko) : Univerzita Konštantína Filozofa v Nitre, 2021. – 131 s. [tlačená forma] : text. – [slovenčina]. – [OV 020]. – ISBN 978-80-558-1845-0 </t>
  </si>
  <si>
    <t xml:space="preserve">Úvod do metodológie výskumu pre pomáhajúce profesie [textový dokument (print)]  [učebnica pre vysoké školy (do 2021)] / Tomšik, Robert [Autor, UKFPFAKAP, 100%] ; Dolejš, Martin [Recenzent] ; Temiaková, Dominika [Recenzent]. – 1. vyd. – Nitra (Slovensko) : Univerzita Konštantína Filozofa v Nitre, 2019. – 159 s. [tlačená forma] : text. – [slovenčina]. – [OV 060]. – ISBN 978-80-558-1385-1 </t>
  </si>
  <si>
    <t xml:space="preserve">Úvod do problematiky mediálnych produktov [textový dokument (print)]  [učebnica pre vysoké školy (do 2021)] / Mikuláš, Peter [Autor, UKFFFAKMR, 100%] ; Wojciechowski, Łukasz Pawel [Recenzent] ; Szabó, Peter [Recenzent]. – 1. vyd. – Bratislava (Slovensko) : Európska akadémia manažmentu marketingu a médií, 2020. – 102 s. [tlačená forma] : text. – [slovenčina]. – [OV 060]. – ISBN 978-80-972116-9-1 </t>
  </si>
  <si>
    <t xml:space="preserve">Úvod do sociológie náboženstva [textový dokument (print)]  [učebnica pre vysoké školy (do 2021)] / Štefaňak, Ondrej [Autor, UKFFFAKSO, 100%] ; Mariański, Janusz [Recenzent] ; Swiatkiewicz, Wojciech  Krzysztof [Recenzent]. – 1. vyd. – Nitra (Slovensko) : Univerzita Konštantína Filozofa v Nitre, 2021. – 129 s. [tlačená forma] : text. – [slovenčina]. – [OV 060]. – ISBN 978-80-558-1694-4 </t>
  </si>
  <si>
    <t xml:space="preserve">Verejné zdravie a výživa [textový dokument (print)]  [učebnica pre vysoké školy (do 2021)] / Líšková, Miroslava [Autor, UKFFSVKOS, 50%] ; Poledníková, Ľubica [Autor, UKFFSVKOS, 50%] ; Líšková, Anna [Recenzent] ; Minárik, Peter [Recenzent]. – 1. vyd. – Nitra (Slovensko) : Univerzita Konštantína Filozofa v Nitre, 2021. – 188 s. [tlačená forma] : text. – [slovenčina]. – [OV 180]. – ISBN 978-80-558-1764-4 </t>
  </si>
  <si>
    <t xml:space="preserve">Vidiecky cestovný ruch a jeho perspektívy [elektronický dokument]  [učebnica pre vysoké školy (do 2021)] / Jarábková, Jana [Autor, SPUFES16, 72%, 11,78 AH] ; Malachovský, Andrej [Autor, UMBEF01, 13%, 2,03 AH] ; Palenčíková, Zuzana [Autor, UKFFSSKCR, 15%, 2,39 AH] ; Papcunová, Viera [Recenzent] ; Palšová, Lucia [Recenzent]. – 1. vyd. – Nitra (Slovensko) : Slovenská poľnohospodárska univerzita v Nitre, 2021. – 215 s. [online] : text. – [slovenčina]. – [OV 190, 080]. – ISBN 978-80-552-2322-3. – DOI 10.15414/2021.9788055223223 </t>
  </si>
  <si>
    <t xml:space="preserve">Vnútorné prostredie budov [učebnica pre vysoké školy (do 2021)] : vysokoškolské učebné texty / Tureková, Ivana [Autor, UKFPFAKTT, 50%] ; Marková, Iveta [Autor, UMBFP04, 50%] ; Lukáčová, Danka [Recenzent] ; Zelený, Ján [Recenzent]. – 1. vyd. – Nitra (Slovensko) : Univerzita Konštantína Filozofa v Nitre, 2018. – 160 s. [7,50 AH] [tlačená forma] : text. – [slovenčina]. – [OV 010, 170]. – ISBN 978-80-558-1313-4 </t>
  </si>
  <si>
    <t xml:space="preserve">Voľný čas a výchova mimo vyučovania [textový dokument (print)]  [učebnica pre vysoké školy (do 2021)] : vysokoškolská učebnica / Kollárová, Dana [Autor, UKFPFAKPE, 50%] ; Pavličková, Alexandra [Autor, UKFPFAKPE, 50%] ; Danek, Ján [Recenzent] ; Seidler, Peter [Recenzent]. – 1. vyd. – Nitra (Slovensko) : Univerzita Konštantína Filozofa v Nitre, 2018. – 128 s. [tlačená forma] : text. – [slovenčina]. – [OV 010]. – ISBN 978-80-558-1329-5 </t>
  </si>
  <si>
    <t xml:space="preserve">Vvedenije v delovoje obščenije [textový dokument (print)]  [učebnica pre vysoké školy (do 2021)] : Posobije po russkomu jazyku kak inostrannomu / Gallo, Ján [Autor, UKFFFAKRU, 30%] ; Makarowska, Oľga [Autor, 50%] ; Kalita, Inna [Autor, 20%] ; Grigorjanová, Tatjana [Recenzent] ; Petríková, Anna [Recenzent]. – 1. vyd. – Nitra (Slovensko) : Univerzita Konštantína Filozofa v Nitre, 2020. – 244 s. [tlačená forma] : text. – [ruština]. – [OV 020]. – ISBN 978-80-558-1612-8 </t>
  </si>
  <si>
    <t xml:space="preserve">Vybrané kapitoly z dátovej vedy 1 [textový dokument (print)]  [učebnica pre vysoké školy (do 2021)] / Pecuchová, Janka [Autor, UKFFPVKIN, 25%] ; Nagy, Kitti [Autor, UKFFPVKIN, 25%] ; Benková, Lucia [Autor, UKFFPVKIN, 25%] ; Fodor, Kristián [Autor, UKFFPVKIN, 25%] ; Munk, Michal [Recenzent] ; Kapusta, Jozef [Recenzent]. – 1. vyd. – Nitra (Slovensko) : Univerzita Konštantína Filozofa v Nitre, 2021. – 182 s. [tlačená forma] : text. – [slovenčina]. – [OV 160]. – ISBN 978-80-558-1839-9 </t>
  </si>
  <si>
    <t xml:space="preserve">Vybrané kapitoly z public relations [textový dokument (print)]  [učebnica pre vysoké školy (do 2021)] : vysokoškolské učebné texty pre študentov nemarketingových odborov / Rožňová, Jitka [Autor, UKFFFAKZU, 100%] ; Štoll, Martin [Recenzent] ; Bútorová, Eva [Recenzent]. – 1. vyd. – Nitra (Slovensko) : Univerzita Konštantína Filozofa v Nitre, 2018. – 84 s. [tlačená forma] : text. – [slovenčina]. – [OV 060]. – ISBN 978-80-558-1289-2 </t>
  </si>
  <si>
    <t xml:space="preserve">Vybrané kapitoly z regionálnej kultúry (pre kulturológiu a príbuzné disciplíny) [textový dokument (print)]  [učebnica pre vysoké školy (do 2021)] : Vysokoškolská učebnica / Jakubovská, Kristína [Autor, UKFFFAKKU, 100%] ; Lenovský, Ladislav [Recenzent] ; Kompasová, Katarína [Recenzent]. – 1. vyd. – Nitra (Slovensko) : Univerzita Konštantína Filozofa v Nitre, 2021. – 98 s. [tlačená forma] : text. – [slovenčina]. – [OV 010]. – ISBN 978-80-558-1684-5. – ISBN (online) 978-80-558-1685-2 </t>
  </si>
  <si>
    <t xml:space="preserve">Vybrané témy analýzy dát a vývoja softvéru v doméne Learning Analytics [textový dokument (print)]  [učebnica pre vysoké školy (do 2021)] / Drlík, Martin [Autor, UKFFPVKIN, 100%] ; Kapusta, Jozef [Recenzent] ; Tulipán, Ján [Recenzent]. – 1. vyd. – Nitra (Slovensko) : Univerzita Konštantína Filozofa v Nitre, 2020. – 184 s. [tlačená forma] : text. – [slovenčina]. – [OV 160]. – ISBN 978-80-558-1577-0 </t>
  </si>
  <si>
    <t xml:space="preserve">Výchova k manželstvu a rodičovstvu (vybrané témy pre učiteľov) [učebnica pre vysoké školy (do 2021)] / Matejovičová, Barbora [Autor, UKFFPVKZA, 50%] ; Svoradová, Andrea [Autor, UKFFPVKZA, 50%] ; Schlarmannová, Janka [Recenzent] ; Kopecký, Miroslav [Recenzent]. – 1. vyd. – Nitra (Slovensko) : Univerzita Konštantína Filozofa v Nitre, 2018. – 137 s. [tlačená forma] : text. – [slovenčina]. – [OV 010]. – ISBN 978-80-558-1318-9 </t>
  </si>
  <si>
    <t xml:space="preserve">Výchova k zdraviu a zdravému životnému štýlu v predprimárnom a primárnom vzdelávaní - edukačné aktivity [textový dokument (print)]  [učebnica pre vysoké školy (do 2021)] / Juríková, Tünde [Autor, UKFFSSUVP, 40%] ; Fatrcová Šramková, Katarína [Autor, 40%] ; Balla, Štefan [Autor, UKFFSSUVP, 10%] ; Szekeres, Ladislav [Autor, UKFFSSUVP, 10%] ; Jedlička, Jaroslav [Recenzent] ; Sandanusová, Anna [Recenzent]. – 1. vyd. – Nitra (Slovensko) : Univerzita Konštantína Filozofa v Nitre, 2021. – 92 s. [tlačená forma] : text, obr. – [slovenčina]. – [OV 010, 130]. – ISBN 978-80-558-1838-2 </t>
  </si>
  <si>
    <t xml:space="preserve">Výchovné problémy a výchovné poradenstvo [textový dokument (print)]  [učebnica pre vysoké školy (do 2021)] / Hollá, Katarína [Autor, UKFPFAKPE, 100%] ; Jedličková, Petra [Recenzent] ; Müller De Morais, Marianna [Recenzent]. – 1. vyd. – Nitra (Slovensko) : Univerzita Konštantína Filozofa v Nitre, 2020. – 178 s. [tlačená forma]. – [slovenčina]. – [OV 010]. – ISBN 978-80-558-1627-2 </t>
  </si>
  <si>
    <t xml:space="preserve">Výtvarné vnímanie a vyjadrovanie (1) [textový dokument (print)]  [učebnica pre vysoké školy (do 2021)] / Kratochvil, Martin [Autor, UKFPFAKVV, 100%] ; Gero, Štefan [Recenzent] ; Kapsová, Eva [Recenzent]. – 1. vyd. – Nitra (Slovensko) : Univerzita Konštantína Filozofa v Nitre, 2019. – 203 s. [tlačená forma] : text. – [slovenčina]. – [OV 010]. – ISBN 978-80-558-1412-4 </t>
  </si>
  <si>
    <t xml:space="preserve">Výživa detí [textový dokument (print)]  [učebnica pre vysoké školy (do 2021)] / Juríková, Tünde [Autor, UKFFSSUVP, 45%] ; Fatrcová Šramková, Katarína [Autor, 45%] ; Mlček, Jiří [Autor, 10%] ; Capcarová, Marcela [Recenzent] ; Jedlička, Jaroslav [Recenzent]. – 1. vyd. – Nitra (Slovensko) : Univerzita Konštantína Filozofa v Nitre, 2021. – 142 s. [tlačená forma] : text. – (Europica varietas ; 156). – [slovenčina]. – [OV 010, 130]. – ISBN 978-80-558-1835-1 </t>
  </si>
  <si>
    <t xml:space="preserve">Základy (kresťanskej) filozofie [textový dokument (print)]  [učebnica pre vysoké školy (do 2021)] / Kondrla, Peter [Autor, UKFFFAKNS, 100%] ; Hlad, Ľubomír [Recenzent] ; Maturkanič, Patrik [Recenzent]. – 1. vyd. – Nitra (Slovensko) : Univerzita Konštantína Filozofa v Nitre, 2021. – 83 s. [tlačená forma] : text. – [slovenčina]. – [OV 010]. – ISBN 978-80-558-1709-5 </t>
  </si>
  <si>
    <t xml:space="preserve">Základy editorstva 1 [textový dokument (print)]  [učebnica pre vysoké školy (do 2021)] : vysokoškolské učebné texty pre odbor editorstvo a vydavateľská prax / Rácová, Veronika [Autor, UKFFFASJL, 90%] ; Hovančáková, Paulína [Autor, 10%] ; Součková, Marta [Recenzent] ; Hochel, Igor [Recenzent]. – 1. vyd. – Nitra (Slovensko) : Univerzita Konštantína Filozofa v Nitre, 2021. – 155 s. [tlačená forma] : text. – [slovenčina]. – [OV 020]. – ISBN 978-80-558-1689-0 </t>
  </si>
  <si>
    <t xml:space="preserve">Základy elektrotechniky [textový dokument (print)]  [učebnica pre vysoké školy (do 2021)] / Depešová, Jana [Autor, UKFPFAKTT, 40%] ; Lukáčová, Danka [Autor, UKFPFAKTT, 40%] ; Elšík, Marek [Autor, 20%] ; Bánesz, Gabriel [Recenzent] ; Serafín, Čestmír [Recenzent]. – 1. vyd. – Nitra (Slovensko) : Univerzita Konštantína Filozofa v Nitre, 2020. – 133 s. [tlačená forma] : text, tab. – [slovenčina]. – [OV 010]. – ISBN 978-80-558-1483-4 </t>
  </si>
  <si>
    <t xml:space="preserve">Základy kariérového poradenstva pre učiteľov a iné pomáhajúce profesie [textový dokument (print)]  [učebnica pre vysoké školy (do 2021)] / Gatial, Viktor [Autor, UKFPFAKAP, 100%] ; Verešová, Marcela [Recenzent] ; Žovinec, Erik [Recenzent]. – 1. vyd. – Nitra (Slovensko) : Univerzita Konštantína Filozofa v Nitre, 2020. – 170 s. [tlačená forma] : text. – [slovenčina]. – [OV 010]. – ISBN 978-80-558-1546-6 </t>
  </si>
  <si>
    <t xml:space="preserve">Základy matematiky 2 [textový dokument (print)]  [učebnica pre vysoké školy (do 2021)] / Páleníková, Kitti [Autor, UKFFPVKMA, 40%] ; Záhorská, Júlia [Autor, UKFFPVKMA, 30%] ; Vargová, Michaela [Autor, UKOMFKDMFI, 20%] ; Rumanová, Lucia [Autor, UKFFPVKMA, 10%] ; Koreňová, Lilla [Recenzent] ; Medová, Janka [Recenzent] ; Vallo, Dušan [Recenzent] ; Varga, Marek [Recenzent]. – 1. vyd. – Nitra (Slovensko) : Univerzita Konštantína Filozofa v Nitre, 2020. – 276 s. [tlačená forma] : text. – (Prírodovedec ; 725). – [slovenčina]. – [OV 010, 240]. – ISBN 978-80-558-1606-7. – SIGN-UKO MF20-0559 </t>
  </si>
  <si>
    <t xml:space="preserve">Základy programovania BBC micro [textový dokument (print)]  [učebnica pre vysoké školy (do 2021)] : bit v MicroPythone / Cápay, Martin [Autor, UKFFPVKIN, 100%] ; Kvassay, Marcel [Recenzent] ; Jacko, Milan [Recenzent]. – 1. vyd. – Nitra (Slovensko) : Univerzita Konštantína Filozofa v Nitre, 2020. – 80 s. [tlačená forma] : text, tab. – [slovenčina]. – [OV 160]. – ISBN 978-80-558-1576-3 </t>
  </si>
  <si>
    <t xml:space="preserve">Zásady bezpečnej práce, chemické látky a likvidácia odpadov [textový dokument (print)]  [učebnica pre vysoké školy (do 2021)] / Feszterová, Melánia [Autor, UKFFPVKCH, 100%] ; Machatová, Zuzana [Recenzent] ; Bulla, Róbert [Recenzent]. – 1. vyd. – Nitra (Slovensko) : Univerzita Konštantína Filozofa v Nitre, 2018. – 152 s. [tlačená forma] : text. – [slovenčina]. – [OV 120]. – ISBN 978-80-558-1365-3 </t>
  </si>
  <si>
    <t xml:space="preserve">Zbierka riešených úloh v jazyku Java [textový dokument (print)]  [učebnica pre vysoké školy (do 2021)] / Skalka, Ján [Autor, UKFFPVKIN, 75%] ; Benko, Ľubomír [Autor, UKFFPVKIN, 25%] ; Kapusta, Jozef [Recenzent] ; Drlík, Martin [Recenzent]. – 1. vyd. – Nitra (Slovensko) : Teacher.sk, 2019. – 100 s. [tlačená forma] : text, tab. – [slovenčina]. – [OV 160]. – ISBN 978-80-972509-6-6 </t>
  </si>
  <si>
    <t xml:space="preserve">Zbierka riešených úloh v jazyku Pascal [textový dokument (print)]  [učebnica pre vysoké školy (do 2021)] / Skalka, Ján [Autor, UKFFPVKIN, 90%] ; Rozkošný, Peter [Autor, UKFFPVKIN, 5%] ; Snovák, Matej [Autor, UKFFPVKIN, 5%] ; Kapusta, Jozef [Recenzent] ; Drlík, Martin [Recenzent]. – 1. vyd. – Nitra (Slovensko) : Teacher.sk, 2018. – 92 s. [tlačená forma] : text. – [slovenčina]. – [OV 010]. – ISBN 978-80-972509-2-8 </t>
  </si>
  <si>
    <t xml:space="preserve">Zbierka riešených úloh v jazyku Python [textový dokument (print)]  [učebnica pre vysoké školy (do 2021)] / Benko, Ľubomír [Autor, UKFFPVKIN, 90%] ; Skalka, Ján [Autor, UKFFPVKIN, 10%] ; Kapusta, Jozef [Recenzent] ; Drlík, Martin [Recenzent]. – 1. vyd. – Nitra (Slovensko) : Teacher.sk, 2018. – 88 s. [tlačená forma] : text. – [slovenčina]. – [OV 010]. – ISBN 978-80-972509-1-1 </t>
  </si>
  <si>
    <t xml:space="preserve">Zdravotnícke právo pre študentov so zameraním na ošetrovateľstvo a urgentnú zdravotnú starostlivosť [textový dokument (print)]  [učebnica pre vysoké školy (do 2021)] / Pavlíková, Barbara [Autor, UKFFSVKSP, 100%] ; Líšková, Miroslava [Recenzent] ; Mankovecká, Monika [Recenzent]. – 1. vyd. – Nitra (Slovensko) : Univerzita Konštantína Filozofa v Nitre, 2018. – 144 s. [tlačená forma] : text. – [slovenčina]. – [OV 180]. – ISBN 978-80-558-1286-1 </t>
  </si>
  <si>
    <t xml:space="preserve">Zdravoveda [textový dokument (print)]  [učebnica pre vysoké školy (do 2021)] : pre učiteľov predprimárneho  a primárneho vzdelávania / Juríková, Tünde [Autor, UKFFSSUVP, 20%] ; Matejovičová, Barbora [Autor, UKFFPVKZA, 15%] ; Fatrcová Šramková, Katarína [Autor, SPUFAP16, 15%] ; Schwarzová, Marianna [Autor, 6%] ; Szekeres, Ladislav [Autor, UKFFSSUVP, 6%] ; Balla, Štefan [Autor, UKFFSSUVP, 6%] ; Baráth, Ladislav [Autor, UKFFSSUVP, 6%] ; Mezeyová, Ivana [Autor, 6%] ; Kopecký, Miroslav [Autor, 5%] ; Mlček, Jiří [Autor, 5%] ; Sochor, Jiří [Autor, 5%] ; Kárpáti, Andrea [Autor, UKFFSSUVP, 5%] ; Vondráková, Mária [Recenzent] ; Darázsová, Katarína [Recenzent]. – 1. vyd. – Nitra (Slovensko) : Univerzita Konštantína Filozofa v Nitre, 2021. – 263 s. [tlačená forma]. – [slovenčina]. – [OV 010, 130]. – ISBN 978-80-558-1621-0 </t>
  </si>
  <si>
    <t>ACD - Kapitoly vo vysokoškolských učebniciach vydané v domácich vydavateľstvách</t>
  </si>
  <si>
    <t xml:space="preserve">Edukácia detí a žiakov s mentálnym postihnutím / Žovinec, Erik [Autor, UKFPFAKPE, 100%]. – text. – [slovenčina]. – [OV 010]. – [kapitola] In: Špeciálna pedagogika 2 [textový dokument (print)] : kompendium súčasnej špeciálnej pedagogiky podľa užšieho zamerania pre špeciálnych pedagógov, liečebných pedagógov a logopédov / Žovinec, Erik [Autor] ; Jedličková, Petra [Autor] ; Debnárová Grznárová, Monika [Autor] ; Duchovičová, Jana [Autor] ; Koleňáková, Rebeka Štefánia [Autor] ; Hošová, Dominika [Autor] ; Beliková, Vladimíra [Autor] ; Žovinec, Erik [Zostavovateľ, editor] ; Seidler, Peter [Recenzent] ; Lechta, Viktor [Recenzent]. – 1. vyd. – Nitra (Slovensko) : Univerzita Konštantína Filozofa v Nitre, 2019. – ISBN 978-80-558-1379-0, s. 17-37 [tlačená forma] </t>
  </si>
  <si>
    <t xml:space="preserve">Edukácia detí a žiakov s poruchou autistického spektra / Jedličková, Petra [Autor, UKFPFAKPE, 100%]. – text. – [slovenčina]. – [OV 010]. – [kapitola] In: Špeciálna pedagogika 2 [textový dokument (print)] : kompendium súčasnej špeciálnej pedagogiky podľa užšieho zamerania pre špeciálnych pedagógov, liečebných pedagógov a logopédov / Žovinec, Erik [Autor] ; Jedličková, Petra [Autor] ; Debnárová Grznárová, Monika [Autor] ; Duchovičová, Jana [Autor] ; Koleňáková, Rebeka Štefánia [Autor] ; Hošová, Dominika [Autor] ; Beliková, Vladimíra [Autor] ; Žovinec, Erik [Zostavovateľ, editor] ; Seidler, Peter [Recenzent] ; Lechta, Viktor [Recenzent]. – 1. vyd. – Nitra (Slovensko) : Univerzita Konštantína Filozofa v Nitre, 2019. – ISBN 978-80-558-1379-0, s. 181-199 [1,05 AH] [tlačená forma] </t>
  </si>
  <si>
    <t xml:space="preserve">Edukácia detí a žiakov s telesným postihnutím, chorých a zdravotne oslabených / Žovinec, Erik [Autor, UKFPFAKPE, 50%] ; Poláčková, Vladimíra [Autor, UKFPFAKPE, 50%]. – text. – [slovenčina]. – [OV 010]. – [kapitola] In: Špeciálna pedagogika 2 [textový dokument (print)] : kompendium súčasnej špeciálnej pedagogiky podľa užšieho zamerania pre špeciálnych pedagógov, liečebných pedagógov a logopédov / Žovinec, Erik [Autor] ; Jedličková, Petra [Autor] ; Debnárová Grznárová, Monika [Autor] ; Duchovičová, Jana [Autor] ; Koleňáková, Rebeka Štefánia [Autor] ; Hošová, Dominika [Autor] ; Beliková, Vladimíra [Autor] ; Žovinec, Erik [Zostavovateľ, editor] ; Seidler, Peter [Recenzent] ; Lechta, Viktor [Recenzent]. – 1. vyd. – Nitra (Slovensko) : Univerzita Konštantína Filozofa v Nitre, 2019. – ISBN 978-80-558-1379-0, s. 163-180 [1,18 AH] [tlačená forma] </t>
  </si>
  <si>
    <t xml:space="preserve">Edukácia detí a žiakov so sluchovým postihnutím / Poláčková, Vladimíra [Autor, UKFPFAKPE, 100%]. – text. – [slovenčina]. – [OV 010]. – [kapitola] In: Špeciálna pedagogika 2 [textový dokument (print)] : kompendium súčasnej špeciálnej pedagogiky podľa užšieho zamerania pre špeciálnych pedagógov, liečebných pedagógov a logopédov / Žovinec, Erik [Autor] ; Jedličková, Petra [Autor] ; Debnárová Grznárová, Monika [Autor] ; Duchovičová, Jana [Autor] ; Koleňáková, Rebeka Štefánia [Autor] ; Hošová, Dominika [Autor] ; Beliková, Vladimíra [Autor] ; Žovinec, Erik [Zostavovateľ, editor] ; Seidler, Peter [Recenzent] ; Lechta, Viktor [Recenzent]. – 1. vyd. – Nitra (Slovensko) : Univerzita Konštantína Filozofa v Nitre, 2019. – ISBN 978-80-558-1379-0, s. 148-163 [1,2 AH] [tlačená forma] </t>
  </si>
  <si>
    <t xml:space="preserve">Edukácia detí a žiakov so špecifickými poruchami učenia / Žovinec, Erik [Autor, UKFPFAKPE, 100%]. – text. – [slovenčina]. – [OV 010]. – [kapitola] In: Špeciálna pedagogika 2 [textový dokument (print)] : kompendium súčasnej špeciálnej pedagogiky podľa užšieho zamerania pre špeciálnych pedagógov, liečebných pedagógov a logopédov / Žovinec, Erik [Autor] ; Jedličková, Petra [Autor] ; Debnárová Grznárová, Monika [Autor] ; Duchovičová, Jana [Autor] ; Koleňáková, Rebeka Štefánia [Autor] ; Hošová, Dominika [Autor] ; Beliková, Vladimíra [Autor] ; Žovinec, Erik [Zostavovateľ, editor] ; Seidler, Peter [Recenzent] ; Lechta, Viktor [Recenzent]. – 1. vyd. – Nitra (Slovensko) : Univerzita Konštantína Filozofa v Nitre, 2019. – ISBN 978-80-558-1379-0, s. 38-79 [tlačená forma] </t>
  </si>
  <si>
    <t xml:space="preserve">Lexikológia / Lalinská, Mária [Autor, UKFFFAKRO, 100%]. – text. – [slovenčina]. – [OV 020, 010]. – [kapitola] In: Webové korpusy Aranea [textový dokument (print)] : učebnica pre učiteľov cudzích jazykov, prekladateľov, tlmočníkov, filológov a študentov filologických odborov / Mudrochová, Radka [Recenzent] ; Levická, Jana [Recenzent]. – 1. vyd. – Bratislava (Slovensko) : Univerzita Komenského v Bratislave, 2019. – ISBN 978-80-223-4663-4, s. 68-96 [tlačená forma] </t>
  </si>
  <si>
    <t xml:space="preserve">Logopédia a edukácia žiakov s narušenými komunikačnými schopnosťami / Žovinec, Erik [Autor, UKFPFAKPE, 100%]. – text. – [slovenčina]. – [OV 010]. – [kapitola] In: Špeciálna pedagogika 2 [textový dokument (print)] : kompendium súčasnej špeciálnej pedagogiky podľa užšieho zamerania pre špeciálnych pedagógov, liečebných pedagógov a logopédov / Žovinec, Erik [Autor] ; Jedličková, Petra [Autor] ; Debnárová Grznárová, Monika [Autor] ; Duchovičová, Jana [Autor] ; Koleňáková, Rebeka Štefánia [Autor] ; Hošová, Dominika [Autor] ; Beliková, Vladimíra [Autor] ; Žovinec, Erik [Zostavovateľ, editor] ; Seidler, Peter [Recenzent] ; Lechta, Viktor [Recenzent]. – 1. vyd. – Nitra (Slovensko) : Univerzita Konštantína Filozofa v Nitre, 2019. – ISBN 978-80-558-1379-0, s. 80-110 [tlačená forma] </t>
  </si>
  <si>
    <t xml:space="preserve">Popkultúra ako generačná pamäť : recepcia popkultúrneho artefaktu akomnemotechnika rozpamätávania sa / Malíček, Juraj [Autor, UKFFFAULK, 100%]. – text. – [slovenčina]. – [OV 020]. – [kapitola] In: Iniciačné kapitoly z populárnej kultúry [textový dokument (print)] / [bez zostavovateľa] [Zostavovateľ, editor] ; Kasarda, Martin [Recenzent] ; Kovalčik, Jozef [Recenzent]. – 1. vyd. – Nitra (Slovensko) : Univerzita Konštantína Filozofa v Nitre, 2021. – ISBN 978-80-558-1662-3, s. 43-64 [tlačená forma] </t>
  </si>
  <si>
    <t xml:space="preserve">Popkultúrne umelecké dielo ako existenciálna výpoveď : televízny seriál Sons of anarchy v interpretácii / Boszorád, Martin [Autor, UKFFFAULK, 100%]. – text. – [slovenčina]. – [OV 020]. – [kapitola] In: Iniciačné kapitoly z populárnej kultúry [textový dokument (print)] / [bez zostavovateľa] [Zostavovateľ, editor] ; Kasarda, Martin [Recenzent] ; Kovalčik, Jozef [Recenzent]. – 1. vyd. – Nitra (Slovensko) : Univerzita Konštantína Filozofa v Nitre, 2021. – ISBN 978-80-558-1662-3, s. 15-42 [tlačená forma] </t>
  </si>
  <si>
    <t xml:space="preserve">Populárna kultúra ako pole formovania (možných) sociálnych identít / Brezňan, Peter [Autor, UKFFFAULK, 100%]. – text. – [slovenčina]. – [OV 020]. – [kapitola] In: Iniciačné kapitoly z populárnej kultúry [textový dokument (print)] / [bez zostavovateľa] [Zostavovateľ, editor] ; Kasarda, Martin [Recenzent] ; Kovalčik, Jozef [Recenzent]. – 1. vyd. – Nitra (Slovensko) : Univerzita Konštantína Filozofa v Nitre, 2021. – ISBN 978-80-558-1662-3, s. 65-96 [tlačená forma] </t>
  </si>
  <si>
    <t xml:space="preserve">Predpoklady pre kognitívno behaviorálnu terapiu / Zaťková, Marta [Autor, UKFFSVKPV, 50%] ; Popelková, Marta [Autor, UKFFSVKPV, 50%] ; Štefarová, Iveta [Recenzent] ; Jurišová, Erika [Recenzent]. – text. – [slovenčina]. – [OV 060]. – [kapitola] In: Princípy a metódy kognitívno behaviorálnej terapie [textový dokument (print)] / Praško Pavlov, Ján [Autor]. – 1. vyd. – Nitra (Slovensko) : Univerzita Konštantína Filozofa v Nitre, 2018. – ISBN 978-80-558-1348-6, s. 109-129 </t>
  </si>
  <si>
    <t xml:space="preserve">Problematika nadania v špeciálnej pedagogike / Duchovičová, Jana [Autor, UKFPFAKPE, 33.334%] ; Hošová, Dominika [Autor, UKFPFAKPE, 33.333%] ; Koleňáková, Rebeka Štefánia [Autor, UKFPFAKPE, 33.333%]. – text. – [slovenčina]. – [OV 010]. – [kapitola] In: Špeciálna pedagogika 2 [textový dokument (print)] : kompendium súčasnej špeciálnej pedagogiky podľa užšieho zamerania pre špeciálnych pedagógov, liečebných pedagógov a logopédov / Žovinec, Erik [Autor] ; Jedličková, Petra [Autor] ; Debnárová Grznárová, Monika [Autor] ; Duchovičová, Jana [Autor] ; Koleňáková, Rebeka Štefánia [Autor] ; Hošová, Dominika [Autor] ; Beliková, Vladimíra [Autor] ; Žovinec, Erik [Zostavovateľ, editor] ; Seidler, Peter [Recenzent] ; Lechta, Viktor [Recenzent]. – 1. vyd. – Nitra (Slovensko) : Univerzita Konštantína Filozofa v Nitre, 2019. – ISBN 978-80-558-1379-0, s. 212-232 [tlačená forma] </t>
  </si>
  <si>
    <t xml:space="preserve">Technické vzdelávanie / Depešová, Jana [Autor, UKFPFAKTT, 100%]. – [slovenčina]. – [OV 010]. – [kapitola] In: Tvorivé a kritické myslenie v príprave vyučujúcich v technickom vzdelávaní [elektronický dokument] : vysokoškolská učebnica / [bez zostavovateľa] [Zostavovateľ, editor] ; Lukáčová, Daniela [Recenzent] ; Kozík, Tomáš [Recenzent]. – 1. vyd. – Nitra (Slovensko) : Univerzita Konštantína Filozofa v Nitre, 2019. – ISBN 978-80-558-1463-6, s. 7-22 [1,08 AH] [CD-ROM] </t>
  </si>
  <si>
    <t xml:space="preserve">Uplatňovanie stratégií kritického a tvorivého myslenia v technických predmetoch / Valentová, Monika [Autor, UKFPFAKTT, 50%] ; Brečka, Peter [Autor, UKFPFAKTT, 50%]. – [slovenčina]. – [OV 010]. – [kapitola] In: Tvorivé a kritické myslenie v príprave vyučujúcich v technickom vzdelávaní [elektronický dokument] : vysokoškolská učebnica / [bez zostavovateľa] [Zostavovateľ, editor] ; Lukáčová, Daniela [Recenzent] ; Kozík, Tomáš [Recenzent]. – 1. vyd. – Nitra (Slovensko) : Univerzita Konštantína Filozofa v Nitre, 2019. – ISBN 978-80-558-1463-6, s. 23-43 [CD-ROM] </t>
  </si>
  <si>
    <t xml:space="preserve">Videoklip ako skratka k popkultúrnej skúsenosti / Malíčková, Michaela [Autor, UKFFFAULK, 100%]. – text. – [slovenčina]. – [OV 020]. – [kapitola] In: Iniciačné kapitoly z populárnej kultúry [textový dokument (print)] / [bez zostavovateľa] [Zostavovateľ, editor] ; Kasarda, Martin [Recenzent] ; Kovalčik, Jozef [Recenzent]. – 1. vyd. – Nitra (Slovensko) : Univerzita Konštantína Filozofa v Nitre, 2021. – ISBN 978-80-558-1662-3, s. 97-119 [tlačená forma] </t>
  </si>
  <si>
    <t xml:space="preserve">Výučbové stratégie v pracovnej výchove / Valentová, Monika [Autor, UKFPFAKTT, 50%] ; Brečka, Peter [Autor, UKFPFAKTT, 50%]. – [slovenčina]. – [OV 010]. – [kapitola] In: Tvorivé a kritické myslenie v príprave vyučujúcich v technickom vzdelávaní [elektronický dokument] : vysokoškolská učebnica / [bez zostavovateľa] [Zostavovateľ, editor] ; Lukáčová, Daniela [Recenzent] ; Kozík, Tomáš [Recenzent]. – 1. vyd. – Nitra (Slovensko) : Univerzita Konštantína Filozofa v Nitre, 2019. – ISBN 978-80-558-1463-6, s. 44-62 [1,07 AH] [CD-ROM] </t>
  </si>
  <si>
    <t xml:space="preserve">Výučbové stratégie v technike / Valentová, Monika [Autor, UKFPFAKTT, 50%] ; Brečka, Peter [Autor, UKFPFAKTT, 50%]. – [slovenčina]. – [OV 010]. – [kapitola] In: Tvorivé a kritické myslenie v príprave vyučujúcich v technickom vzdelávaní [elektronický dokument] : vysokoškolská učebnica / [bez zostavovateľa] [Zostavovateľ, editor] ; Lukáčová, Daniela [Recenzent] ; Kozík, Tomáš [Recenzent]. – 1. vyd. – Nitra (Slovensko) : Univerzita Konštantína Filozofa v Nitre, 2019. – ISBN 978-80-558-1463-6, s. 63-83 [CD-ROM] </t>
  </si>
  <si>
    <t xml:space="preserve">Základné črty KBT / Šlepecký, Miloš [Autor, UKFFSVKPV, 35%] ; Zaťková, Marta [Autor, UKFFSVKPV, 30%] ; Popelková, Marta [Autor, UKFFSVKPV, 35%] ; Štefarová, Iveta [Recenzent] ; Jurišová, Erika [Recenzent]. – text. – [slovenčina]. – [OV 060]. – [kapitola] In: Princípy a metódy kognitívno behaviorálnej terapie [textový dokument (print)] / Praško Pavlov, Ján [Autor]. – 1. vyd. – Nitra (Slovensko) : Univerzita Konštantína Filozofa v Nitre, 2018. – ISBN 978-80-558-1348-6, s. 9-108 </t>
  </si>
  <si>
    <t>ADC - Vedecké práce v zahraničných karentovaných časopisoch</t>
  </si>
  <si>
    <t xml:space="preserve">"Surely it will come again ...". Flood threat appraisal, mitigation strategies and protection motivation in Czech communities endangered by floods / Andráško, Ivan [Autor, UKFFPVKEE, 60%] ; Dolak Klemensová, Kamila [Autor, 10%] ; Dolak, Lukáš [Autor, 10%] ; Trojan, Jakub [Autor, 10%] ; Fiedor, David [Autor, 10%]. – text. – [angličtina]. – [OV 100]. – [článok]. – WOS CC ; SCO ; CCC In: Moravian Geographical Reports [textový dokument (print)] [elektronický dokument] . – Brno (Česko) : Akademie věd České republiky. Ústav geoniky AV ČR. – ISSN 1210-8812. – ISSN (online) 2199-6202. – Roč. 28, č. 3 (2020), 170-186 [tlačená forma] [online] . – IF: 2,250 ; SNIP: 1,365 ; SJR: 0,601 ; CiteScore: 3,7 ; AIS: 0.498 AIS - Geography - Q4 JIF - Geography - Q3 Scimago - Earth and planetary sciences (miscellaneous) - Q2, Geography, planning and development - Q1 </t>
  </si>
  <si>
    <t xml:space="preserve">(Dis) integrated valuation - Assessing the information gaps in ecosystem service appraisals for governance support / Barton, David N. [Autor, 2.728%] ; Kelemen, Eszter [Autor, 2.702%] ; Dick, Jan [Autor, 2.702%] ; Martin-Lopéz, Berta [Autor, 2.702%] ; Goméz-Baggethun, Erik [Autor, 2.702%] ; Mederly, Peter [Autor, UKFFPVKEE, 2.702%]. – text. – [angličtina]. – [OV 100]. – [článok]. – DOI 10.1016/j.ecoser.2017.10.021. – WOS CC ; SCO ; CCC In: Ecosystem Services [elektronický dokument] : Science, Policy and Practice. – Amsterdam (Holandsko) : Elsevier. – ISSN (online) 2212-0416. – č. 29 (2018), s. 529-541 [online] . – SJR: 2,151 ; CiteScore: 9,2 ; SNIP: 1,94 ; IF: 5.572 JIF - Ecology - Q1, Environmental sciences - Q1, Environmental studies - Q1 Scimago - Agricultural and biological sciences (miscellaneous) - Q1, Ecology - Q1, Geography, planning and development - Q1, Global and planetary change - Q1, Management, monitoring, policy and law - Q1, Nature and landscape conservation - Q1 </t>
  </si>
  <si>
    <t xml:space="preserve">A Case of Intersexuality in a Pig: Histological View / Makovický, Pavol [Korešpondenčný autor, UJSPFKBIO, 40%] ; Sirotkin, Alexander [Autor, UKFFPVKZA, 30%] ; Makovický, Peter [Autor, 30%]. – text. – [angličtina]. – [OV 130]. – [článok]. – WOS CC ; SCO ; CCC In: The International Journal of Applied Research in Veterinary Medicine [textový dokument (print)] . – ISSN 1542-2666. – ISSN (online) 1559-470X. – Roč. 19, č. 1 (2021), s. 6-10 [tlačená forma] . – CiteScore: 0,5 ; IF: 0.086 ; SJR: 0,14 ; SNIP: 0,163 ; AIS: 0.052 AIS - Veterinary sciences - Q4 JIF - Veterinary sciences - Q4 Scimago - Veterinary (miscellaneous) - Q4 </t>
  </si>
  <si>
    <t xml:space="preserve">A comparison among fuzzy multi-criteria decision making, bivariate, multivariate and machine learning models in landslide susceptibility mapping / Quoc Bao Pham [Autor, 24%] ; Achour, Yacine [Autor, 24%] ; Ali, Sk Ajim [Autor, 2%] ; Parvin, Farhana [Autor, 2%] ; Vojtek, Matej [Autor, UKFFPVKGR, 20%] ; Vojteková, Jana [Autor, UKFFPVKGR, 20%] ; Al-Ansari, Nadhir [Autor, 2%] ; Achu, A. L. [Autor, 2%] ; Costache, Romulus [Autor, 2%] ; Khedher, Khaled Mohamed [Autor, 1%] ; Duong Tran Anh [Autor, 1%]. – text. – [angličtina]. – [OV 050]. – [článok]. – DOI 10.1080/19475705.2021.1944330. – WOS CC ; SCO ; CCC In: Geomatics, Natural Hazards &amp; Risk [textový dokument (print)] . – ISSN 1947-5705. – ISSN (online) 1947-5713. – Roč. 12, č. 1 (2021), 1741-1777 [tlačená forma] . – CiteScore: 5,8 ; IF: 3.922 ; SJR: 0,764 ; SNIP: 1,354 ; AIS: 0.699 AIS - Geosciences, multidisciplinary - Q3, Meteorology &amp; atmospheric sciences - Q3, Water resources - Q2 JIF - Geosciences, multidisciplinary - Q2, Meteorology &amp; atmospheric sciences - Q2, Water resources - Q2 Scimago - Earth and planetary sciences (miscellaneous) - Q1, Environmental science (miscellaneous) - Q1 </t>
  </si>
  <si>
    <t xml:space="preserve">A cross-linguistic analysis of the temporal dynamics of turn-taking cues using machine learning as a descriptive tool / Brusco, Pablo [Korešpondenčný autor, 25%] ; Vidal, Jazmín [Autor, 25%] ; Beňuš, Štefan [Autor, UKFFFAKAA, 25%] ; Gravano, Augustin [Autor, 25%]. – text. – [angličtina]. – [OV 020]. – [článok]. – DOI 10.1016/j.specom.2020.09.004. – WOS CC ; SCO ; CCC In: Speech Communication [textový dokument (print)] : an interdisciplinary journal : a publication of the European Association for Signal Processing (EURASIP) and of the International Speech Communication Association (ISCA). – Amsterdam (Holandsko) : Elsevier. North-Holland. – ISSN 0167-6393. – ISSN (online) 1872-7182. – Roč. 125 (2020), 24-40 [tlačená forma] . – SJR: 0,459 ; CiteScore: 4,8 ; SNIP: 1,587 ; IF: 2.017 ; AIS: 0.715 AIS - Acoustics - Q2, Computer science, interdisciplinary applications - Q2 JIF - Acoustics - Q2, Computer science, interdisciplinary applications - Q3 Scimago - Communication - Q2, Computer science applications - Q2, Computer vision and pattern recognition - Q2, Language and linguistics - Q1, Linguistics and language - Q1, Modeling and simulation - Q2, Software - Q2 </t>
  </si>
  <si>
    <t xml:space="preserve">A detailed identification of erosionally endangered agricultural land in Slovakia (case study of Nitra Upland) / Petrikovičová, Lucia [Korešpondenčný autor, UKFFPVKGR, 70%] ; Rampašeková, Zuzana [Autor, UKFFPVKGR, 20%] ; Sobocká, Jaroslava [Autor, 10%]. – text. – [angličtina]. – [OV 100, 130]. – [článok]. – DOI 10.3390/SU12124863. – WOS CC ; SCO ; CCC In: Sustainability [elektronický dokument] . – Bazilej (Švajčiarsko) : Multidisciplinary Digital Publishing Institute. – ISSN (online) 2071-1050. – Roč. 12, č. 12 (2020), s. 1-14 [online] . – IF: 3,251 ; SNIP: 1,242 ; SJR: 0,612 ; CiteScore: 3,90 ; AIS: 0.462 AIS - Environmental sciences - Q3, Environmental studies - Q4, Green &amp; sustainable science &amp; technology - Q4 JIF - Environmental sciences - Q2, Environmental studies - Q2, Green &amp; sustainable science &amp; technology - Q3 Scimago - Energy engineering and power technology - Q2, Environmental science (miscellaneous) - Q2, Geography, planning and development - Q1, Management, monitoring, policy and law - Q2, Renewable energy, sustainability and the environment - Q2 </t>
  </si>
  <si>
    <t xml:space="preserve">A new approach to the registration of buildings towards 3D land and property management in Slovakia / Raškovič, Vladimír [Autor, 40%] ; Muchová, Zlatica [Autor, SPUFZK05, 40%] ; Petrovič, František [Autor, UKFFPVKEE, 20%]. – [angličtina]. – [OV 050, 100]. – [článok]. – DOI 10.3390/su11174652. – WOS CC ; SCO ; CCC In: Sustainability [elektronický dokument] . – Bazilej (Švajčiarsko) : Multidisciplinary Digital Publishing Institute. – ISSN (online) 2071-1050. – Roč. 11, č. 17 (2019), art. no. 4652  , s. 1-8 [online] . – IF: 2,576 ; SNIP: 1,165 ; SJR: 0,581 ; CiteScore: 3,20 JIF - Environmental sciences - Q2, Environmental studies - Q2, Green &amp; sustainable science &amp; technology - Q3 Scimago - Energy engineering and power technology - Q2, Environmental science (miscellaneous) - Q2, Geography, planning and development - Q2, Management, monitoring, policy and law - Q2, Renewable energy, sustainability and the environment - Q2 </t>
  </si>
  <si>
    <t xml:space="preserve">A Switch between Antioxidant and Prooxidant Properties of the Phenolic Compounds Myricetin, Morin, 3',4'-Dihydroxyflavone, Taxifolin and 4-Hydroxy-Coumarin in the Presence of Copper(II) Ions: A Spectroscopic, Absorption Titration and DNA Damage Study. / Jomová, Klaudia [Autor, UKFFPVKCH, 25%] ; Hudecová, Lenka [Autor, UKFFPVKCH, 20%] ; Lauro, Peter [Autor, UKFFPVKCH, 20%] ; Šimunková, Miriama [Autor, 045210, 25%] ; Alwasel, Saleh Hamad Amad [Autor, 1%] ; Alhazza, Ibrahim M. [Autor, 1%] ; Valko, Marián [Autor, 045210, 8%]. – text. – [angličtina]. – [OV 120]. – [článok]. – DOI 10.3390/molecules24234335. – WOS CC ; SCO ; CCC In: Molecules [elektronický dokument] : a Journal of Synthetic Chemistry and Natural Product Chemistry. – Bazilej (Švajčiarsko) : Multidisciplinary Digital Publishing Institute. – ISSN (online) 1420-3049. – Roč. 24, č. 23 (2019), s. 1-8 [online] . – IF: 3.267 ; CiteScore: 4,1 ; SJR: 0,698 ; SNIP: 1,150 JIF - Biochemistry &amp; molecular biology - Q2, Chemistry, multidisciplinary - Q2 Scimago - Analytical chemistry - Q2, Chemistry (miscellaneous) - Q2, Drug discovery - Q2, Medicine (miscellaneous) - Q2, Molecular medicine - Q3, Organic chemistry - Q2, Pharmaceutical science - Q1, Physical and theoretical chemistry - Q2 </t>
  </si>
  <si>
    <t xml:space="preserve">Abatement of the stimulatory effect of copper nanoparticles supported on titania on ovarian cell functions by some plants and phytochemicals / Sirotkin, Alexander [Korešpondenčný autor, UKFFPVKZA, 25%] ; Radošová, Monika [Autor, UKFFPVKZA, 15%] ; Tarko, Adam [Autor, UKFFPVKZA, 15%] ; Fabová, Zuzana [Autor, UKFFPVKZA, 15%] ; Martin-Garcia, Iris [Autor, 15%] ; Alonso, Francisco [Korešpondenčný autor, 15%]. – text. – [angličtina]. – [OV 200, 120]. – [článok]. – DOI 10.3390/nano10091859. – WOS CC ; SCO ; CCC In: Nanomaterials [elektronický dokument] . – Bazilej (Švajčiarsko) : Multidisciplinary Digital Publishing Institute. – ISSN (online) 2079-4991. – Roč. 10, č. 9 (2020), Art. no. 1859 1-14 [online] . – IF: 5,076 ; SJR: 0,919 ; CiteScore: 5,4 ; SNIP: 1,129 ; AIS: 0.756 AIS - Chemistry, multidisciplinary - Q2, Materials science, multidisciplinary - Q2, Nanoscience &amp; nanotechnology - Q2, Physics, applied - Q2 JIF - Chemistry, multidisciplinary - Q2, Materials science, multidisciplinary - Q2, Nanoscience &amp; nanotechnology - Q2, Physics, applied - Q1 Scimago - Chemical engineering (miscellaneous) - Q1, Materials science (miscellaneous) - Q1 </t>
  </si>
  <si>
    <t xml:space="preserve">Acceler-possibilities of using acceler-ated ated electron beam for testing engine oil media / Stodola, Jiří [Autor, 33.334%] ; Porubská, Mária [Autor, UKFFPVKCH, 33.333%] ; Hybler, Peter [Autor, SZUFVZUVVPLUTN, 33.333%]. – text. – [angličtina]. – [OV 120]. – [článok]. – WOS CC ; SCO ; CCC In: Chemické listy [textový dokument (print)] [elektronický dokument] : časopis Asociace českých chemických společností. – Praha (Česko) : Česká společnost chemická. – ISSN 0009-2770. – ISSN (online) 1803-2389. – ISSN (online) 1213-7103. – Roč. 112, č. 11 (2018), 784-789 [CD-ROM] [tlačená forma] [online] . – IF: 0,311 ; SJR: 0,149 ; CiteScore: 0,6 ; SNIP: 0,178 JIF - Chemistry, multidisciplinary - Q4 Scimago - Chemistry (miscellaneous) - Q4 </t>
  </si>
  <si>
    <t xml:space="preserve">Acrylamide impairs ovarian function by promoting apoptosis and affecting reproductive hormone release, steroidogenesis and autophagy-related genes: An in vivo study / Aldawood, Nouf [Autor, 20%] ; Alrezaki, Abdulkarem [Autor, 20%] ; Alanazi, Shamsa [Autor, 20%] ; Amor, Nabil [Autor, 10%] ; Alwasel, Saleh Hamad Amad [Autor, 10%] ; Sirotkin, Alexander [Autor, UKFFPVKZA, 10%] ; Harrath, Abdel Halim [Korešpondenčný autor, 10%]. – text. – [angličtina]. – [OV 100]. – [článok]. – WOS CC ; SCO ; CCC In: Ecotoxicology and Environmental Safety [textový dokument (print)] [elektronický dokument] . – San Diego (USA) : Elsevier. Academic Press. – ISSN 0147-6513. – ISSN (online) 1090-2414. – č. 197 (2020), Art. no. 110595 10595-10595 [tlačená forma] [online] . – IF: 6.291 ; SJR: 1,377 ; CiteScore: 8,2 ; SNIP: 1,522 ; AIS: 0.907 AIS - Environmental sciences - Q2, Toxicology - Q1 JIF - Environmental sciences - Q1, Toxicology - Q1 Scimago - Health, toxicology and mutagenesis - Q1, Medicine (miscellaneous) - Q1, Pollution - Q1, Public health, environmental and occupational health - Q1 </t>
  </si>
  <si>
    <t xml:space="preserve">Adaptive neuro-fuzzy inference system coupled with shuffled frog leaping algorithm for predicting river streamflow time series / Mohammadi, Babak [Autor, 20%] ; Nguyen Thi Thuy Linh [Autor, 20%] ; Pham, Quoc Bao [Korešpondenčný autor, 15%] ; Ahmed, Ali Najah [Autor, 15%] ; Vojteková, Jana [Autor, UKFFPVKGR, 15%] ; Guan, Yiqing [Autor, 5%] ; Abba, S.L. [Autor, 5%] ; El-Shafied, Ahmed [Autor, 5%]. – text. – [angličtina]. – [OV 050]. – [článok]. – DOI 10.1080/02626667.2020.1758703. – WOS CC ; SCO ; CCC In: Hydrological Sciences Journal [textový dokument (print)] [elektronický dokument] . – Abingdon (Veľká Británia) : Taylor &amp; Francis Group. – ISSN 0262-6667. – ISSN (online) 2150-3435. – Roč. 65, č. 10 (2020), s. 1-12 [tlačená forma] [online] . – IF: 3.787 ; SNIP: 1.191 ; SJR: 0,952 ; CiteScore: 4,7 ; AIS: 0.680 AIS - Water resources - Q2 JIF - Water resources - Q1 Scimago - Water science and technology - Q1 </t>
  </si>
  <si>
    <t xml:space="preserve">Advancing urban green infrastructure through participatory integrated planning: A case from Slovakia / Vaňo, Simeon [Autor, UKFFPVKEE, 33%] ; Stahl, Olafson [Autor, 33%] ; Mederly, Peter [Autor, UKFFPVKEE, 34%]. – text. – [angličtina]. – [OV 100]. – [článok]. – DOI 10.1016/j.ufug.2020.126957. – WOS CC ; SCO ; CCC In: Urban forestry &amp; urban greening [textový dokument (print)] [elektronický dokument] . – Mníchov (Nemecko) : Elsevier. – ISSN 1618-8667. – č. 58 (2021), s. 1-15 [tlačená forma] [online] . – CiteScore: 7,7 ; IF: 5.766 ; SJR: 1,233 ; SNIP: 1,724 ; AIS: 0.902 AIS - Environmental studies - Q2, Forestry - Q1, Urban studies - Q3 JIF - Environmental studies - Q1, Forestry - Q1, Urban studies - Q1 Scimago - Ecology - Q1, Forestry - Q1, Soil science - Q1 </t>
  </si>
  <si>
    <t xml:space="preserve">Affective Interpersonal Touch in Close Relationships: A Cross-Cultural Perspective / Sorokowska, Agnieszka [Korešpondenčný autor, 1.06%] ; Saluja, Supreet [Autor, 0.97%] ; Sorokowski, Piotr [Autor, 0.97%] ; Frąckowiak, Tomasz [Autor, 0.97%] ; Karwowski, Maciej [Autor, 0.97%] ; Halamová, Mária [Autor, UKFFSVKPV, 0.97%] ; Zaťková, Marta [Autor, UKFFSVKPV, 0.97%] ; Prokop, Pavol [Autor, UKOPREEM, 0.97%]. – text, tab., obr. – [angličtina]. – [OV 180, 100]. – [článok]. – [recenzované]. – DOI 10.1177/0146167220988373. – SIGN-UKO PR 782/21. – WOS CC ; SCO ; CCC In: Personality and social psychology bulletin [textový dokument (print)] [elektronický dokument] . – Thousand Oaks (USA) : SAGE Publications. – ISSN 0146-1672. – ISSN (online) 1552-7433. – Roč. 47, č. 12 (2021), s. 1705-1721 [tlačená forma] [online] . – CiteScore: 7,1 ; IF: 4.560 ; SJR: 2,273 ; SNIP: 2,567 ; AIS: 2.069 AIS - Psychology, social - Q1 JIF - Psychology, social - Q2 Scimago - Social psychology - Q1 </t>
  </si>
  <si>
    <t xml:space="preserve">Aldehyde dehydrogenase in fresh primordial germ cells as a marker of cell 'stemness' / Svoradová, Andrea [Autor, UKFFPVKZA, 30%] ; Vašíček, Jaromír [Autor, 30%] ; Ostró, Alexander [Autor, UPS51381, 10%] ; Chrenek, Peter [Autor, SPUFBP01, 30%]. – text. – [angličtina]. – [OV 130, 180]. – [článok]. – DOI 10.1017/S0967199418000631. – sign UPJS MSEP 030931. – SCO ; CCC In: Zygote [textový dokument (print)] [elektronický dokument] . – New York (USA) : Cambridge University Press. – ISSN 0967-1994. – ISSN (online) 1469-8730. – Roč. 27, č. 1 (2019), s. 46-48 [tlačená forma] [online] . – IF: 1.257 ; SJR: 0,435 ; CiteScore: 2,6 ; SNIP: 0,6 JIF - Cell biology - Q4, Developmental biology - Q4, Reproductive biology - Q4 Scimago - Cell biology - Q4, Developmental biology - Q4 </t>
  </si>
  <si>
    <t xml:space="preserve">Allelopathic interactions of invasive black locust (Robinia pseudoacacia L.) with secondary aliens: the physiological background / Ferus, Peter [Autor, 30%] ; Bošiaková, Dominika [Autor, UKFFPVKBG, 20%] ; Konôpková, Jana [Autor, 10%] ; Hoťka, Peter [Autor, 10%] ; Kósa, Gejza [Autor, 10%] ; Melnykova, Natalia [Autor, 10%] ; Kots, Sergiy [Autor, 10%]. – text. – [angličtina]. – [OV 130, 190, 100]. – [článok]. – WOS CC ; SCO ; CCC In: Acta Physiologiae Plantarum [textový dokument (print)] [elektronický dokument] : Polish Academy of Sciences, Committee of Plant Physiology Genetics and Breeding. – Krakov (Poľsko) : Polska Akademia Nauk. – ISSN 0137-5881. – ISSN (online) 1861-1664. – Roč. 41, č. 11 (2019), s. 182-192 [tlačená forma] [online] . – IF: 1.76 ; SJR: 0,611 ; CiteScore: 3,4 ; SNIP: 0,906 JIF - Plant sciences - Q2 Scimago - Agronomy and crop science - Q2, Physiology - Q3, Plant science - Q2 </t>
  </si>
  <si>
    <t xml:space="preserve">Allelopathic potential of Juglans nigra L. to control the invasive tree-of-heaven (Ailanthus altissima (Mill.) Swingle) / Ferus, Peter [Autor, 35%] ; Menčík, Karol [Autor, UKFFPVKBG, 35%] ; Konôpková, Jana [Autor, 30%]. – text. – [angličtina]. – [OV 190, 130]. – [článok]. – WOS CC ; SCO ; CCC In: Allelopathy Journal [textový dokument (print)] : official publication of the International Allelopathy Foundation. – Hisar (India) : International Allelopathy Foundation. – ISSN 0971-4693. – ISSN (online) 0973-5046. – Roč. 49, č. 2 (2020), 177-188 [tlačená forma] . – SJR: 0,248 ; CiteScore: 1,8 ; SNIP: 0,378 ; IF: 0.962 ; AIS: 0.131 AIS - Agronomy - Q4 JIF - Agronomy - Q4 Scimago - Agronomy and crop science - Q3, Plant science - Q3 </t>
  </si>
  <si>
    <t xml:space="preserve">An empirical study of the effect of acoustic-prosodic entrainment on the perceived trustworthiness of conversational avatars / Gálvez, Ramiro H. [Korešpondenčný autor, 50%] ; Gravano, Augustin [Autor, 10%] ; Beňuš, Štefan [Autor, UKFFFAKAA, 10%] ; Levitan, Rivka [Autor, 10%] ; Trnka, Marian [Autor, 10%] ; Hirschberg, Julia [Autor, 10%]. – text. – [angličtina]. – [OV 020]. – [článok]. – DOI 10.1016/j.specom.2020.07.007. – WOS CC ; SCO ; CCC In: Speech Communication [textový dokument (print)] : an interdisciplinary journal : a publication of the European Association for Signal Processing (EURASIP) and of the International Speech Communication Association (ISCA). – Amsterdam (Holandsko) : Elsevier. North-Holland. – ISSN 0167-6393. – ISSN (online) 1872-7182. – Roč. 124 (2020), 46-67 [tlačená forma] . – SJR: 0,459 ; CiteScore: 4,8 ; SNIP: 1,587 ; IF: 2.017 ; AIS: 0.715 AIS - Acoustics - Q2, Computer science, interdisciplinary applications - Q2 JIF - Acoustics - Q2, Computer science, interdisciplinary applications - Q3 Scimago - Communication - Q2, Computer science applications - Q2, Computer vision and pattern recognition - Q2, Language and linguistics - Q1, Linguistics and language - Q1, Modeling and simulation - Q2, Software - Q2 </t>
  </si>
  <si>
    <t xml:space="preserve">Analysis and experimental evaluation of the Needleman-Wunsch algorithm for trajectory comparison / Čavojský, Maroš [Korešpondenčný autor, 035000, 34%] ; Drozda, Martin [Autor, 035000, 33%] ; Balogh, Zoltán [Autor, UKFFPVKIN, 33%]. – text. – [angličtina]. – [OV 160]. – [článok]. – DOI 10.1016/j.eswa.2020.114068. – WOS CC ; SCO ; CCC In: Expert Systems with Applications [textový dokument (print)] [elektronický dokument] : An International Journal. – Oxford (Veľká Británia) : Elsevier. Pergamon Press. – ISSN 0957-4174. – ISSN (online) 1873-6793. – č. 165 (2021), s. 1-12 [tlačená forma] [online] . – CiteScore: 12,2 ; IF: 8.665 ; SJR: 2,07 ; SNIP: 2,985 ; AIS: 1.239 AIS - Computer science, artificial intelligence - Q2, Engineering, electrical &amp; electronic - Q1, Operations research &amp; management science - Q1 JIF - Computer science, artificial intelligence - Q1, Engineering, electrical &amp; electronic - Q1, Operations research &amp; management science - Q1 Scimago - Artificial intelligence - Q1, Computer science applications - Q1, Engineering (miscellaneous) - Q1 </t>
  </si>
  <si>
    <t xml:space="preserve">Analysis of Edit Operations for Post-editing Systems / Kapusta, Jozef [Korešpondenčný autor, UKFFPVKIN, 25%] ; Benko, Ľubomír [Autor, UKFFPVKIN, 25%] ; Munková, Daša [Autor, UKFFFAKTR, 25%] ; Munk, Michal [Autor, UKFFPVKIN, 25%]. – text. – [angličtina]. – [OV 160]. – [článok]. – DOI 10.1007/s44196-021-00048-3. – WOS CC ; SCO ; CCC In: International journal of computational intelligence systems [textový dokument (print)] [elektronický dokument] . – Paríž (Francúzsko) : Atlantis Press. – ISSN 1875-6883. – ISSN 1875-6891. – Roč. 14, č. 1 (2021), s. 1-12 [tlačená forma] [online] . – CiteScore: 3,4 ; IF: 2.259 ; SJR: 0,492 ; SNIP: 0,915 ; AIS: 0.328 AIS - Computer science, artificial intelligence - Q4, Computer science, interdisciplinary applications - Q4 JIF - Computer science, artificial intelligence - Q3, Computer science, interdisciplinary applications - Q3 Scimago - Computational mathematics - Q3, Computer science (miscellaneous) - Q2 </t>
  </si>
  <si>
    <t xml:space="preserve">Analysis of factors influencing students' access to mathematics education in the form of MOOC / Gonda, Dalibor [Korešpondenčný autor, ZUZFHVKPŠ, 25%] ; Ďuriš, Viliam [Autor, UKFFPVKMA, 25%] ; Pavlovičová, Gabriela [Autor, UKFFPVKMA, 25%] ; Tirpáková, Anna [Autor, UKFFPVKMA, 25%]. – text. – [angličtina]. – [OV 240]. – [článok]. – DOI 10.3390/MATH8081229. – WOS CC ; SCO ; CCC In: Mathematics [elektronický dokument] . – Bazilej (Švajčiarsko) : Multidisciplinary Digital Publishing Institute. – ISSN (online) 2227-7390. – Roč. 8, č. 8 (2020), s. 1-12 [online] . – SJR: 0.495 ; CiteScore: 2.2 ; SNIP: 1.290 ; IF: 2.258 ; AIS: 0.354 AIS - Mathematics - Q4 JIF - Mathematics - Q1 Scimago - Mathematics (miscellaneous) - Q2 </t>
  </si>
  <si>
    <t xml:space="preserve">Analysis of hazard rate of municipalities in Slovakia in terms of COVID-19 / Petrovič, František [Autor, UKFFPVKEE, 40%] ; Vilinová, Katarína [Autor, UKFFPVKGR, 40%] ; Hilbert, Radovan [Autor, KPO, 20%]. – text. – [angličtina]. – [OV 230, 100]. – [článok]. – DOI 10.3390/ijerph18179082. – WOS CC ; SCO ; CCC In: International journal of environmental research and public health [elektronický dokument] [textový dokument (print)] : open access journal. – Basel (Švajčiarsko) : Multidisciplinary Digital Publishing Institute. – ISSN 1661-7827. – ISSN (online) 1660-4601. – Roč. 18, č. 17 (2021), art. no. 9082 , s. [1-12] [online] [tlačená forma] . – IF: 4,614 ; SNIP: 1,440 ; SJR: 0,814 ; CiteScore: 4,50 ; AIS: 0.866 AIS - Environmental sciences - Q2, Public, environmental &amp; occupational health - Q2 JIF - Environmental sciences - Q2, Public, environmental &amp; occupational health - Q1 Scimago - Health, toxicology and mutagenesis - Q1, Pollution - Q2, Public health, environmental and occupational health - Q2 </t>
  </si>
  <si>
    <t xml:space="preserve">Analysis of hygrothermal microclimatic (Htm) parameters in specific food storage environments in Slovakia / Marková, Iveta [Autor, ZUZFBIPŽI, 45%] ; Tureková, Ivana [Autor, UKFPFAKTT, 45%] ; Jaďuďová, Jana [Autor, 5%] ; Hroncová, Emília [Autor, 5%]. – text. – [angličtina]. – [OV 010, 100]. – [článok]. – DOI 10.3390/ijerph17062092. – WOS CC ; SCO ; CCC In: International journal of environmental research and public health [elektronický dokument] [textový dokument (print)] : open access journal. – Basel (Švajčiarsko) : Multidisciplinary Digital Publishing Institute. – ISSN 1661-7827. – ISSN (online) 1660-4601. – Roč. 17, č. 6 (2020), s. 1-15 [online] [tlačená forma] . – IF: 3,390 ; SNIP: 1,356 ; SJR: 0,747 ; CiteScore: 3,40 ; AIS: 0.770 AIS - Environmental sciences - Q2, Public, environmental &amp; occupational health - Q3 JIF - Environmental sciences - Q2, Public, environmental &amp; occupational health - Q1 Scimago - Health, toxicology and mutagenesis - Q2, Pollution - Q2, Public health, environmental and occupational health - Q2 </t>
  </si>
  <si>
    <t xml:space="preserve">Analysis of Natural Materials' Adsorption Efficiency Relating Co(II) Using Atomic Absorption Spectroscopy: Laboratory Experiment / Porubská, Mária [Autor, UKFFPVKCH, 40%] ; Jomová, Klaudia [Autor, UKFFPVKCH, 20%] ; Braniša, Jana [Korešpondenčný autor, UKFFPVKCH, 40%]. – text, tab. – [angličtina]. – [OV 120, 010]. – [článok]. – DOI 10.1021/acs.jchemed.0c00210. – WOS CC ; SCO ; CCC In: Journal of Chemical Education [textový dokument (print)] [elektronický dokument] . – Easton (USA) : American Chemical Society. – ISSN 0021-9584. – ISSN (online) 1938-1328. – Roč. 98, č. 2 (2021), s. 626-632 [tlačená forma] [online] . – CiteScore: 4,8 ; IF: 3.208 ; SJR: 0,504 ; SNIP: 1,258 ; AIS: 0.318 AIS - Chemistry, multidisciplinary - Q3, Education, scientific disciplines - Q3 JIF - Chemistry, multidisciplinary - Q3, Education, scientific disciplines - Q2 Scimago - Chemistry (miscellaneous) - Q2, Education - Q2 </t>
  </si>
  <si>
    <t xml:space="preserve">Analysis of ownership data from consolidated land threatened by water erosion in the Vlára Basin, Slovakia / Pagáč Mokrá, Alexandra [Autor, SPUFZK05, 25%] ; Pagáč, Jakub [Autor, SPUPRA15, 25%] ; Muchová, Zlatica [Autor, SPUFZK05, 25%] ; Petrovič, František [Autor, UKFFPVKEE, 25%]. – text. – [angličtina]. – [OV 100, 190]. – [článok]. – [recenzované]. – DOI 10.3390/su13010051. – WOS CC ; SCO ; CCC In: Sustainability [elektronický dokument] . – Bazilej (Švajčiarsko) : Multidisciplinary Digital Publishing Institute. – ISSN (online) 2071-1050. – Roč. 13, č. 1 (2021), art. no. 51, s. 1-15 [online] . – IF: 3,889 ; SNIP: 1,310 ; SJR: 0,664 ; CiteScore: 5,00 ; AIS: 0.516 AIS - Environmental sciences - Q3, Environmental studies - Q4, Green &amp; sustainable science &amp; technology - Q4 JIF - Environmental sciences - Q2, Environmental studies - Q2, Green &amp; sustainable science &amp; technology - Q3 Scimago - Energy engineering and power technology - Q2, Environmental science (miscellaneous) - Q2, Geography, planning and development - Q1, Management, monitoring, policy and law - Q2, Renewable energy, sustainability and the environment - Q2 </t>
  </si>
  <si>
    <t xml:space="preserve">Analysis of the Static Behavior of a Single Tree on a Finite Element Model / Moravčík, Ľuboš [Autor, SPUFZK09, 35%] ; Vincúr, Radko [Korešpondenčný autor, SPUFZK09, 35%] ; Rózová, Zdenka [Autor, UKFFPVKEE, 30%]. – text. – [angličtina]. – [OV 100, 190]. – [článok]. – DOI 10.3390/plants10071284. – WOS CC ; SCO ; CCC In: Plants-Basel [elektronický dokument] . – Bazilej (Švajčiarsko) : Multidisciplinary Digital Publishing Institute. – ISSN (online) 2223-7747. – Roč. 10, č. 7 (2021), s. 1-13 [online] . – IF: 4.658 ; CiteScore: 3,6 ; SJR: 0,765 ; SNIP: 1,347 ; AIS: 0.654 AIS - Plant sciences - Q2 JIF - Plant sciences - Q1 Scimago - Ecology - Q2, Ecology, evolution, behavior and systematics - Q1, Plant science - Q1 </t>
  </si>
  <si>
    <t xml:space="preserve">Analysis of thermo-physical properties of materials suitable for thermal stabilization of superconducting tapes for high-voltage superconducting fault current limiters / Pekarčíková, Marcela [Autor, M1000, 50%] ; Drienovský, Marián [Autor, M1000, 10%] ; Krajčovič, Jozef [Autor, M1000, 10%] ; Mišík, Jozef [Autor, M1000, 15%] ; Húlan, Tomáš [Autor, UKFFPVKFY, 5%] ; Bošák, Ondrej [Autor, M1000, 5%] ; Vojenčiak, Michal [Autor, 3%] ; Cuninková, Eva [Autor, M1000, 2%] ; Conference on Calorimetry and Thermal Analysis of the Polish Society of Calorimetry and Thermal Analysis, 13 [02.09.2018-06.09.2018, Zakopane, Poľsko]. – [angličtina]. – [OV 110, 120]. – [článok z podujatia]. – DOI 10.1007/s10973-019-08309-2. – WOS CC ; SCO ; CCC In: Journal of Thermal Analysis and Calorimetry [textový dokument (print)] [elektronický dokument] : an International Forum for Thermal Studies. – Dordrecht (Holandsko) : Springer Nature. Springer International Publishing AG. – ISSN 1388-6150. – ISSN (online) 1588-2926. – Roč. 138, č. 6 (2019), s. 4375-4383 [tlačená forma] [online] . – IF: 2,731 ; SJR: 0,415 ; CiteScore: 4,3 ; SNIP: 1,078 JIF - Chemistry, analytical - Q2, Chemistry, physical - Q3, Thermodynamics - Q2 Scimago - Condensed matter physics - Q3, Physical and theoretical chemistry - Q3 </t>
  </si>
  <si>
    <t xml:space="preserve">Antagonistic impact of acrylamide and ethanol on biochemical and morphological parameters consistent with bone health in mice / Martiniaková, Monika [Korešpondenčný autor, UKFFPVKZA, 25%] ; Šarocká, Anna [Autor, UKFFPVKZA, 15%] ; Kováčová, Veronika [Autor, UKFFPVKZA, 15%] ; Kapusta, Edyta [Autor, 5%] ; Goz, Zofia [Autor, 5%] ; Greń, Agnieszka [Autor, 5%] ; Formicki, Grzegorz [Autor, 5%] ; Omelka, Radoslav [Autor, UKFFPVKBG, 25%]. – text. – [angličtina]. – [OV 190, 200, 130]. – [článok]. – DOI 10.3390/ani10101835. – WOS CC ; SCO ; CCC In: Animals [elektronický dokument] : an Open Access Journal from MDPI. – Bazilej (Švajčiarsko) : Molecular Diversity Preservation International. – ISSN (online) 2076-2615. – Roč. 10, č. 10 (2020), 1-11 [online] . – SJR: 0,584 ; CiteScore: 1,8 ; SNIP: 1,159 ; IF: 2.752 ; AIS: 0.458 AIS - Agriculture, dairy &amp; animal science - Q2, Veterinary sciences - Q2 JIF - Agriculture, dairy &amp; animal science - Q1, Veterinary sciences - Q1 Scimago - Animal science and zoology - Q2, Veterinary (miscellaneous) - Q1 </t>
  </si>
  <si>
    <t xml:space="preserve">Antimicrobial and antifungal activities of bifunctional copper(II) complexes with non-steroidal anti-inflammatory drugs, flufenamic, mefenamic and tolfenamic acids and 1,10-phenanthroline / Hudecová, Lenka [Autor, UKFFPVKCH, 25%] ; Jomová, Klaudia [Autor, UKFFPVKCH, 25%] ; Lauro, Peter [Autor, UKFFPVKCH, 15%] ; Šimunková, Miriama [Autor, 10%] ; Alwasel, Saleh Hamad Amad [Autor, 2%] ; Alhazza, Ibrahim M. [Autor, 3%] ; Moncoľ, Ján [Autor, 10%] ; Valko, Marián [Autor, 10%]. – text. – [angličtina]. – [OV 120, 010]. – [článok]. – DOI 10.1515/chem-2020-0180. – WOS CC ; SCO ; CCC In: Open Chemistry [elektronický dokument] . – Berlín (Nemecko) : De Gruyter. – ISSN (online) 2391-5420. – Roč. 18, č. 1 (2020), 1444-1451 [online] . – IF: 1,554 ; SJR: 0,271 ; CiteScore: 1,7 ; SNIP: 0,642 ; AIS: 0.254 AIS - Chemistry, multidisciplinary - Q3 JIF - Chemistry, multidisciplinary - Q3 Scimago - Chemistry (miscellaneous) - Q3, Materials chemistry - Q3 </t>
  </si>
  <si>
    <t xml:space="preserve">Antioxidant vs. Prooxidant properties of the flavonoid, kaempferol, in the presence of cu(ii) ions: A ros-scavenging activity, fenton reaction and dna damage study / Šimunková, Miriama [Autor, 25%] ; Barbieriková, Zuzana [Autor, 10%] ; Jomová, Klaudia [Autor, UKFFPVKCH, 27%] ; Hudecová, Lenka [Autor, UKFFPVKCH, 13%] ; Lauro, Peter [Autor, UKFFPVKCH, 12%] ; Alwasel, Saleh Hamad Amad [Autor, 1%] ; Alhazza, Ibrahim M. [Autor, 1%] ; Rhodes, Christopher J. [Autor, 1%] ; Valko, Marián [Autor, 045210, 10%]. – text. – [angličtina]. – [OV 120]. – [článok]. – DOI 10.3390/ijms22041619. – WOS CC ; SCO ; CCC In: International journal of molecular sciences [textový dokument (print)] [elektronický dokument] : open access journal. – Bazilej (Švajčiarsko) : Multidisciplinary Digital Publishing Institute. – ISSN 1661-6596. – ISSN (online) 1422-0067. – Roč. 22, č. 4 (2021), art. no. 1619, s. 1-17 [online] [tlačená forma] . – IF: 6,208 ; SNIP: 1.401 ; SJR: 1,176 ; CiteScore: 6.9 ; AIS: 1.064 AIS - Biochemistry &amp; molecular biology - Q2, Chemistry, multidisciplinary - Q2 JIF - Biochemistry &amp; molecular biology - Q1, Chemistry, multidisciplinary - Q2 Scimago - Catalysis - Q2, Computer science applications - Q1, Inorganic chemistry - Q1, Medicine (miscellaneous) - Q1, Molecular biology - Q2, Organic chemistry - Q1, Physical and theoretical chemistry - Q1, Spectroscopy - Q1 </t>
  </si>
  <si>
    <t xml:space="preserve">Apoptosis signal-regulating kinase (ASK1) and transcription factor tumor suppressor protein TP53 suppress rabbit ovarian granulosa cell functions. / Sirotkin, Alexander [Autor, UKFFPVKZA, 40%] ; Petrák, Juraj [Autor, 40%] ; Alwasel, Saleh Hamad Amad [Autor, 10%] ; Harrath, Abdel Halim [Autor, 10%]. – [angličtina]. – [OV 190, 130]. – [článok]. – DOI 10.1016/j.anireprosci.2019.03.018. – WOS CC ; SCO ; CCC In: Animal Reproduction Science [textový dokument (print)] [elektronický dokument] : an International Journal. – Amsterdam (Holandsko) : Elsevier. – ISSN 0378-4320. – ISSN (online) 1873-2232. – č. 204 (2019), 140-151 [tlačená forma] [online] . – SJR: 0,66 ; CiteScore: 3 ; SNIP: 1,028 ; IF: 1.660 JIF - Agriculture, dairy &amp; animal science - Q2, Reproductive biology - Q4 Scimago - Animal science and zoology - Q1, Endocrinology - Q3, Food animals - Q2, Medicine (miscellaneous) - Q2 </t>
  </si>
  <si>
    <t xml:space="preserve">Apoptosis signal-regulating kinase controls porcine ovarian granulosa cell functions and their response to ghrelin / Sirotkin, Alexander [Autor, UKFFPVKZA, 80%] ; Benčo, Andrej [Autor, 5%] ; Kotwica, Jan [Autor, 5%] ; Alwasel, Saleh Hamad Amad [Autor, 5%] ; Harrath, Abdel Halim [Autor, 5%]. – [angličtina]. – [OV 130, 180]. – [článok]. – DOI 10.23812/19-96. – WOS CC ; SCO ; CCC In: Journal of biological regulators and homeostatic agents [textový dokument (print)] . – ISSN 0393-974X. – ISSN (online) 1724-6083. – Roč. 33, č. 5 (2019), 1479-1483 [tlačená forma] . – SJR: 0,395 ; CiteScore: 2,6 ; SNIP: 0,492 ; IF: 1.506 JIF - Endocrinology &amp; metabolism - Q4, Immunology - Q4, Medicine, research &amp; experimental - Q4, Physiology - Q4 Scimago - Cancer research - Q4, Endocrinology - Q4, Endocrinology, diabetes and metabolism - Q3, Immunology - Q4, Immunology and allergy - Q3, Oncology - Q3, Physiology - Q4, Physiology (medical) - Q3 </t>
  </si>
  <si>
    <t xml:space="preserve">Application Experiences Using IoT Devices in Education / Francisti, Jan [Autor, UKFFPVKIN, 25%] ; Balogh, Zoltán [Korešpondenčný autor, UKFFPVKIN, 25%] ; Reichel, Jaroslav [Autor, UKFFPVKIN, 17%] ; Magdin, Martin [Autor, UKFFPVKIN, 16%] ; Koprda, Štefan [Autor, UKFFPVKIN, 15%] ; Molnár, György [Autor, 2%]. – text. – [angličtina]. – [OV 160]. – [článok]. – WOS CC ; SCO ; CCC In: Applied sciences [elektronický dokument] . – Bazilej (Švajčiarsko) : Multidisciplinary Digital Publishing Institute. – ISSN (online) 2076-3417. – Roč. 10, č. 20 (2020), Art. no. 7286, s. 7286-7286 [online] . – IF: 2,679 ; SNIP: 1,068 ; SJR: 0,435 ; CiteScore: 3,00 ; AIS: 0.409 AIS - Chemistry, multidisciplinary - Q3, Engineering, multidisciplinary - Q3, Materials science, multidisciplinary - Q3, Physics, applied - Q3 JIF - Chemistry, multidisciplinary - Q3, Engineering, multidisciplinary - Q2, Materials science, multidisciplinary - Q3, Physics, applied - Q2 Scimago - Computer science applications - Q2, Engineering (miscellaneous) - Q2, Fluid flow and transfer processes - Q2, Instrumentation - Q2, Materials science (miscellaneous) - Q2, Process chemistry and technology - Q2 </t>
  </si>
  <si>
    <t xml:space="preserve">Application of entropy weighting method for urban flood hazard mapping / Malekinezhad, Hossein [Autor, 20%] ; Sepehri, Mehdi [Autor, 15%] ; Pham, Quoc Bao [Autor, 15%] ; Hesseini, Seyed Zeynalabedin [Autor, 10%] ; Meshram, Sarita Gajbhiye [Autor, 10%] ; Vojtek, Matej [Autor, UKFFPVKGR, 15%] ; Vojteková, Jana [Autor, UKFFPVKGR, 15%]. – text. – [angličtina]. – [OV 100]. – [článok]. – DOI 10.1007/s11600-021-00586-6. – WOS CC ; SCO ; CCC In: Acta Geophysica [textový dokument (print)] . – Varšava (Poľsko) : Springer Nature. Springer International Publishing AG. – ISSN 1895-6572. – ISSN (online) 1895-7455. – Roč. 69, č. 1 (2021), s. 1-13 [tlačená forma] . – CiteScore: 3,4 ; IF: 2.293 ; SJR: 0,462 ; SNIP: 0,946 ; AIS: 0.379 AIS - Geochemistry &amp; geophysics - Q3 JIF - Geochemistry &amp; geophysics - Q3 Scimago - Geophysics - Q2 </t>
  </si>
  <si>
    <t xml:space="preserve">Archipelago-Metaphor in Philosophy and Philology by J. G. Hamann / Horyna, Břetislav [Autor, UKFFFAKFI, 100%]. – text. – [čeština]. – [OV 020]. – [článok]. – WOS CC ; SCO ; CCC In: Filosofický časopis [textový dokument (print)] [elektronický dokument] . – Praha (Česko) : Akademie věd České republiky. Filosofický ústav AV ČR. – ISSN 0015-1831. – ISSN (online) 2570-9232. – Roč. 68, č. 6 (2020), s. 887-905 [tlačená forma] [online] . – SJR: 0,117 ; CiteScore: 0,2 ; SNIP: 0,033 ; AIS: 0.031 AIS - Philosophy - Q4 Scimago - Religious studies - Q3 </t>
  </si>
  <si>
    <t xml:space="preserve">Aspects of Illness and Death among Roma—Have They Changed after More than Two Hundred Years? / Kozubík, Michal [Autor, UKFFSVKSP, 79%] ; van Dijk, Jitse Pieter [Autor, 1%] ; Fiľakovská, Daniela [Autor, 20%]. – text. – [angličtina]. – [OV 060, 180]. – [článok]. – DOI 10.3390/ijerph16234796. – sign UPJS MSEP 032008. – WOS CC ; SCO ; CCC In: International journal of environmental research and public health [elektronický dokument] [textový dokument (print)] : open access journal. – Basel (Švajčiarsko) : Multidisciplinary Digital Publishing Institute. – ISSN 1661-7827. – ISSN (online) 1660-4601. – Roč. 16, č. 23 (2019), art. no. 4796, s. 1-11 [online] [tlačená forma] . – IF: 2,849 ; SNIP: 1,248 ; SJR: 0,739 ; CiteScore: 3,00 JIF - Environmental sciences - Q2, Public, environmental &amp; occupational health - Q1 Scimago - Health, toxicology and mutagenesis - Q2, Pollution - Q2, Public health, environmental and occupational health - Q2 </t>
  </si>
  <si>
    <t xml:space="preserve">Assessing the effect of interspecies oocyte nucleolar material dosage on embryonic development / Benc, Michal [Autor, UKFFPVKZA, 65%] ; Martinková, Stanislava [Autor, 3%] ; Rychtárová, Jana [Autor, 2%] ; Fulka, Josef [Autor, 5%] ; Bartková, Alexandra [Autor, UKFFPVKBG, 5%] ; Fulka, Helena [Autor, 10%] ; Laurinčík, Jozef [Autor, UKFFPVKZA, 10%]. – [angličtina]. – [OV 200, 130]. – [článok]. – DOI 10.1016/j.theriogenology.2020.06.001. – WOS CC ; SCO ; CCC In: Theriogenology [textový dokument (print)] [elektronický dokument] : an International Journal of Animal Reproduction. – Amsterdam (Holandsko) : Elsevier. – ISSN 0093-691X. – ISSN (online) 1879-3231. – č. 155 (2020), 17-24 [tlačená forma] [online] . – IF: 2.74 ; SJR: 0,816 ; CiteScore: 4,2 ; SNIP: 1,354 ; AIS: 0.517 AIS - Reproductive biology - Q4, Veterinary sciences - Q2 JIF - Reproductive biology - Q3, Veterinary sciences - Q1 Scimago - Animal science and zoology - Q1, Equine - Q1, Food animals - Q1, Small animals - Q1 </t>
  </si>
  <si>
    <t xml:space="preserve">Assessing the essential pre-conditions of an authentic sustainability curriculum / Lengyel, Attila [Autor, 16.67%] ; Szőke, Szilvia [Autor, 16.666%] ; Kovács, Sándor [Autor, 16.666%] ; Dávid, Lóránt Dénes [Autor, UKFFSSKCR, 16.666%] ; Bácsné Bába, Éva [Autor, 16.666%] ; Müller, Anetta [Autor, 16.666%]. – text. – [angličtina]. – [OV 080]. – [článok]. – DOI 10.1108/IJSHE-09-2018-0150. – WOS CC ; SCO ; CCC In: International Journal of Sustainability in Higher Education [textový dokument (print)] [elektronický dokument] . – Veľká Británia : Emerald Group Publishing. – ISSN 1467-6370. – ISSN (online) 1758-6739. – Roč. 20, č. 2 (2019), 309-340 [online] [tlačená forma] . – SJR: 0,635 ; CiteScore: 3,2 ; SNIP: 1,329 ; IF: 2.000 JIF - Education &amp; educational research - Q2, Green &amp; sustainable science &amp; technology - Q4 Scimago - Education - Q2, Human factors and ergonomics - Q2 </t>
  </si>
  <si>
    <t xml:space="preserve">Assessment of Genetic Diversity of Edible Honeysuckle Monitored through RAPD in Relative to Bioactive Substances / Cehula, Marcela [Autor, UKFFPVKBG, 16%] ; Mlček, Jiří [Korešpondenčný autor, 12%] ; Juríková, Tünde [Autor, UKFFSSUVP, 12%] ; Žiarovská, Jana [Autor, SPUFAP04, 12%] ; Paulen, Oleg [Autor, SPUFZK06, 12%] ; Dokoupil, Libor [Autor, 12%] ; Adámková, Anna [Autor, 12%] ; Babosová, Ramona [Autor, UKFFPVKZA, 12%]. – text. – [angličtina]. – [OV 190, 130]. – [článok]. – WOS CC ; SCO ; CCC In: Agronomy-Basel [elektronický dokument] . – Bazilej (Švajčiarsko) : Multidisciplinary Digital Publishing Institute. – ISSN (online) 2073-4395. – Roč. 10, č. 6 (2020), s. 1-11 [online] . – IF: 3,417 ; SNIP: 1,331 ; SJR: 0,707 ; CiteScore: 2,6 ; AIS: 0.519 AIS - Agronomy - Q2, Plant sciences - Q2 JIF - Agronomy - Q1, Plant sciences - Q1 Scimago - Agronomy and crop science - Q1 </t>
  </si>
  <si>
    <t xml:space="preserve">Assessment of landscape retention water capacity and hydrological balance in traditional agricultural landscape (Model area Liptovská Teplička settlements, Slovakia) / Krnáčová, Zdena [Autor, 20%] ; Kenderessy, Pavol [Autor, 20%] ; Hreško, Juraj [Autor, UKFFPVKEE, 20%] ; Kubinský, Daniel [Autor, 20%] ; Dobrovodská, Marta [Autor, 20%]. – text. – [angličtina]. – [OV 100]. – [článok]. – DOI 10.3390/w12123591. – WOS CC ; SCO ; CCC In: Water [elektronický dokument] . – Bazilej (Švajčiarsko) : Multidisciplinary Digital Publishing Institute. – ISSN (online) 2073-4441. – Roč. 12, č. 12 (2020), Art. no. 3591, s. 1-14 [online] . – IF: 3,103 ; SNIP: 1,179 ; SJR: 0,718 ; CiteScore: 3,7 ; AIS: 0.499 AIS - Environmental sciences - Q3, Water resources - Q3 JIF - Environmental sciences - Q2, Water resources - Q2 Scimago - Aquatic science - Q2, Biochemistry - Q3, Geography, planning and development - Q1, Water science and technology - Q2 </t>
  </si>
  <si>
    <t xml:space="preserve">Assessment of landslide susceptibility at a local spatial scale applying the multi-criteria analysis and GIS: a case study from Slovakia / Vojteková, Jana [Autor, UKFFPVKGR, 50%] ; Vojtek, Matej [Korešpondenčný autor, UKFFPVKGR, 50%]. – text. – [angličtina]. – [OV 050]. – [článok]. – WOS CC ; SCO ; CCC In: Geomatics, Natural Hazards &amp; Risk [textový dokument (print)] . – ISSN 1947-5705. – ISSN (online) 1947-5713. – Roč. 11, č. 1 (2020), 131-148 [tlačená forma] . – IF: 3.528 ; SJR: 0,899 ; SNIP: 1,595 ; CiteScore: 6,2 ; AIS: 0.724 AIS - Geosciences, multidisciplinary - Q3, Meteorology &amp; atmospheric sciences - Q3, Water resources - Q2 JIF - Geosciences, multidisciplinary - Q2, Meteorology &amp; atmospheric sciences - Q2, Water resources - Q2 Scimago - Earth and planetary sciences (miscellaneous) - Q1, Environmental science (miscellaneous) - Q1 </t>
  </si>
  <si>
    <t xml:space="preserve">Assessment of the biocultural value of traditional agricultural landscape on a plot-by-plot level: case studies from Slovakia / Dobrovodská, Marta [Autor, 30%] ; Kanka, Róbert [Autor, 10%] ; David, Stanislav [Autor, UKFFPVKEE, 10%] ; Kollár, Jozef [Autor, 10%] ; Špulerová, Jana [Autor, 5%] ; Štefunková, Dagmar [Autor, 5%] ; Mojses, Matej [Autor, 5%] ; Petrovič, František [Autor, UKFFPVKEE, 5%] ; Krištín, Anton [Autor, 5%] ; Stašiov, Slavomír [Autor, KBVE, 5%] ; Halada, Ľuboš [Autor, 5%] ; Gajdoš, Peter [Autor, 5%]. – text. – [angličtina]. – [OV 100]. – [článok]. – DOI 10.1007/s10531-019-01784-x. – WOS CC ; SCO ; CCC In: Biodiversity and Conservation [textový dokument (print)] . – ISSN 0960-3115. – ISSN (online) 1572-9710. – Roč. 28, č. 10 (2019), s. 2615-2645 [tlačená forma] . – SJR: 1,092 ; CiteScore: 4,9 ; SNIP: 1,241 ; IF: 2.935 JIF - Biodiversity conservation - Q1, Ecology - Q2, Environmental sciences - Q2 Scimago - Ecology - Q1, Ecology, evolution, behavior and systematics - Q1, Nature and landscape conservation - Q1 </t>
  </si>
  <si>
    <t xml:space="preserve">Association between consumer practices and phthalate exposure in children and their parents from Slovakia / Hlisníková, Henrieta [Autor, UKFFPVKZA, 25%] ; Šidlovská, Miroslava [Autor, UKFFPVKZA, 25%] ; Kolena, Branislav [Autor, UKFFPVKZA, 25%] ; Petrovičová, Ida [Autor, UKFFPVKZA, 25%]. – text. – [angličtina]. – [OV 130, 100]. – [článok]. – DOI 10.15244/pjoes/85948. – SCO ; CCC In: Polish Journal of Environmental Studies [textový dokument (print)] [elektronický dokument] . – Olsztyn (Poľsko) : Hard. – ISSN 1230-1485. – ISSN (online) 2083-5906. – Roč. 28, č. 3 (2019), 1195-1202 [tlačená forma] [online] . – IF: 1,383 ; CiteScore: 2,3 ; SJR: 0,366 ; SNIP: 0,689 JIF - Environmental sciences - Q4 Scimago - Environmental chemistry - Q3, Environmental science (miscellaneous) - Q2 </t>
  </si>
  <si>
    <t xml:space="preserve">Assortative mating and the evolution of desirability covariation / Conroy-Beam, Daniel [Autor, 0.988%] ; Roney, James R. [Autor, 0.892%] ; Lukaszewski, Aaron W. [Autor, 0.892%] ; Buss, David M. [Autor, 0.892%] ; Asao, Kelly [Autor, 0.892%] ; Prokop, Pavol [Autor, UKOPREEF, 0.892%] ; Zaťková, Marta [Autor, UKFFSVKPV, 0.892%]. – text, graf. – [angličtina]. – [OV 100]. – [článok]. – SIGN-UKO PR 332/19. – WOS CC ; SCO ; CCC In: Evolution and Human Behavior [textový dokument (print)] . – New York (USA) : Elsevier. Elsevier Science. – ISSN 1090-5138. – Roč. 40, č. 5 (2019), s. 479-491 [tlačená forma] . – SJR: 1,91 ; CiteScore: 6,3 ; SNIP: 1,627 ; IF: 3.067 JIF - Behavioral sciences - Q1, Psychology, biological - Q1, Social sciences, biomedical - Q1 Scimago - Arts and humanities (miscellaneous) - Q1, Ecology, evolution, behavior and systematics - Q1, Experimental and cognitive psychology - Q1 </t>
  </si>
  <si>
    <t xml:space="preserve">Automated assessment and microlearning units as predictors of at-risk students and students' outcomes in the introductory programming courses / Skalka, Ján [Korešpondenčný autor, UKFFPVKIN, 50%] ; Drlík, Martin [Autor, UKFFPVKIN, 50%]. – text. – [angličtina]. – [OV 160]. – [článok]. – DOI 10.3390/app10134566. – WOS CC ; SCO ; CCC In: Applied sciences [elektronický dokument] . – Bazilej (Švajčiarsko) : Multidisciplinary Digital Publishing Institute. – ISSN (online) 2076-3417. – Roč. 10, č. 13 (2020), Art. no. 4566, s. 1-24 [online] . – IF: 2,679 ; SNIP: 1,068 ; SJR: 0,435 ; CiteScore: 3,00 ; AIS: 0.409 AIS - Chemistry, multidisciplinary - Q3, Engineering, multidisciplinary - Q3, Materials science, multidisciplinary - Q3, Physics, applied - Q3 JIF - Chemistry, multidisciplinary - Q3, Engineering, multidisciplinary - Q2, Materials science, multidisciplinary - Q3, Physics, applied - Q2 Scimago - Computer science applications - Q2, Engineering (miscellaneous) - Q2, Fluid flow and transfer processes - Q2, Instrumentation - Q2, Materials science (miscellaneous) - Q2, Process chemistry and technology - Q2 </t>
  </si>
  <si>
    <t xml:space="preserve">Automatic bird species recognition based on birds vocalization / Šťastný, Jiří [Autor, 34%] ; Munk, Michal [Autor, UKFFPVKIN, 33%] ; Juránek, Luboš [Autor, 33%]. – text. – [slovenčina]. – [OV 160]. – [článok]. – DOI 10.1186/s13636-018-0143-7. – WOS CC ; SCO ; CCC In: EURASIP Journal on Audio, Speech, and Music Processing [textový dokument (print)] . – ISSN 1687-4714. – ISSN (online) 1687-4722. – 2018, art. no. 19 19-19 [tlačená forma] . – SJR: 0,296 ; CiteScore: 3,3 ; SNIP: 1,003 ; IF: 1.244 JIF - Acoustics - Q3, Engineering, electrical &amp; electronic - Q3 Scimago - Acoustics and ultrasonics - Q3, Electrical and electronic engineering - Q2 </t>
  </si>
  <si>
    <t xml:space="preserve">Automatic detection and classification of emotional states in virtual reality and standard environments (LCD): comparing valence and arousal of induced emotions / Magdin, Martin [Autor, UKFFPVKIN, 44%] ; Balogh, Zoltán [Korešpondenčný autor, UKFFPVKIN, 20%] ; Reichel, Jaroslav [Autor, UKFFPVKIN, 20%] ; Francisti, Jan [Autor, UKFFPVKIN, 8%] ; Koprda, Štefan [Autor, UKFFPVKIN, 7%] ; Gyorgy, Molnar [Autor, 1%]. – text. – [angličtina]. – [OV 160]. – [článok]. – DOI 10.1007/s10055-021-00506-5. – WOS CC ; SCO ; CCC In: Virtual Reality [textový dokument (print)] [elektronický dokument] . – London (Veľká Británia) : Springer Nature. Springer. – ISSN 1359-4338. – ISSN (online) 1434-9957. – Roč. 26, č. 1 (2021), s. 1-13 [tlačená forma] [online] . – CiteScore: 7,8 ; IF: 4.697 ; SJR: 1,009 ; SNIP: 2,633 ; AIS: 0.989 AIS - Computer science, interdisciplinary applications - Q2, Computer science, software engineering - Q1, Imaging science &amp; photographic technology - Q2 JIF - Computer science, interdisciplinary applications - Q2, Computer science, software engineering - Q1, Imaging science &amp; photographic technology - Q2 Scimago - Computer graphics and computer-aided design - Q1, Human-computer interaction - Q2, Software - Q2 </t>
  </si>
  <si>
    <t xml:space="preserve">Basil seeds as a source of antioxidants affected by fortification with selenium / Mezeyová, Ivana [Autor, 40%] ; Hegedűsová, Alžbeta [Autor, SPUFZK10, 25%] ; Hegedűs, Ondrej [Autor, UJSPFKCH, 5%] ; Vargová, Andrea [Autor, UJSPFKCH, 5%] ; Timoracká, Mária [Autor, 5%] ; Šlosár, Miroslav [Autor, 5%] ; Andrejiová, Alena [Autor, 5%] ; Juríková, Tünde [Autor, UKFFSSUVP, 5%] ; Mezey, Ján [Autor, SPUFZK06, 5%]. – text. – [angličtina]. – [OV 190, 010]. – [článok]. – DOI 10.2478/fhort-2020-0002. – WOS CC ; SCO ; CCC In: Folia horticulturae [textový dokument (print)] [elektronický dokument] . – Krakov, Poľsko (Poľsko) : Polish Society of Horticultural Science. – ISSN 0867-1761. – ISSN (online) 2083-5965. – Roč. 32, č. 1 (2020), s. 1-10 [tlačená forma] [online] . – IF: 1.873 ; SJR: 0,473 ; CiteScore: 2,6 ; SNIP: 1,09 ; AIS: 0.247 AIS - Horticulture - Q3 JIF - Horticulture - Q2 Scimago - Horticulture - Q2 </t>
  </si>
  <si>
    <t xml:space="preserve">Bee Bread Can Alleviate Lipid Abnormalities and Impaired Bone Morphology in Obese Zucker Diabetic Rats / Martiniaková, Monika [Autor, UKFFPVKZA, 20%] ; Blahová, Jana [Autor, UKFFPVKBG, 20%] ; Kováčová, Veronika [Autor, UKFFPVKZA, 10%] ; Bábiková, Martina [Autor, UKFFPVKBG, 10%] ; Mondočková, Vladimíra [Autor, UKFFPVKBG, 10%] ; Kalafová, Anna [Autor, 5%] ; Capcarová, Marcela [Autor, 5%] ; Omelka, Radoslav [Autor, UKFFPVKBG, 20%]. – text. – [angličtina]. – [OV 130, 190]. – [článok]. – DOI 10.3390/molecules26092616. – WOS CC ; SCO ; CCC In: Molecules [elektronický dokument] : a Journal of Synthetic Chemistry and Natural Product Chemistry. – Bazilej (Švajčiarsko) : Multidisciplinary Digital Publishing Institute. – ISSN (online) 1420-3049. – Roč. 26, č. 9 (2021), art. no. 2616, s. 1-13 [online] . – IF: 4.927 ; CiteScore: 5,9 ; SJR: 0,705 ; SNIP: 1,267 ; AIS: 0.671 AIS - Biochemistry &amp; molecular biology - Q3, Chemistry, multidisciplinary - Q2 JIF - Biochemistry &amp; molecular biology - Q2, Chemistry, multidisciplinary - Q2 Scimago - Analytical chemistry - Q2, Chemistry (miscellaneous) - Q2, Drug discovery - Q2, Medicine (miscellaneous) - Q2, Molecular medicine - Q3, Organic chemistry - Q2, Pharmaceutical science - Q1, Physical and theoretical chemistry - Q2 </t>
  </si>
  <si>
    <t xml:space="preserve">Behavior of a PCM at Varying Heating Rates: Experimental and Theoretical Study with an Aim at Temperature Moderation in Radionuclide Concrete Encasements [Správanie PCM pri rôznych rýchlostiach ohrevu: Experimentálna a teoretická štúdia s cieľom na zmenu teploty v rádionuklidoch betónových obálkach] / Medveď, Igor [Autor, 010240 01.2021, 50%] ; Trník, Anton [Autor, UKFFPVKFY, 50%]. – text. – [angličtina]. – [OV 091]. – [článok]. – DOI 10.1007/s10765-018-2408-x. – WOS CC ; SCO ; CCC In: International Journal of Thermophysics [textový dokument (print)] : Journal of Thermophysical Properties and Thermophysics and Its Applications. – New York (USA) : Springer Nature. Springer International Publishing AG. – ISSN 0195-928X. – ISSN (online) 1572-9567. – Roč. 39, č. 7 (2018), s. 1-8 [tlačená forma] . – SJR: 0,343 ; CiteScore: 1,7 ; SNIP: 0,671 ; IF: 0.853 JIF - Chemistry, physical - Q4, Mechanics - Q4, Physics, applied - Q4, Thermodynamics - Q4 Scimago - Condensed matter physics - Q3 </t>
  </si>
  <si>
    <t xml:space="preserve">Bioactive compounds, antioxidant activity, and biological effects of European cranberry (vaccinium oxycoccos) / Juríková, Tünde [Autor, UKFFSSUVP, 20%] ; Škrovánková, Soňa [Autor, 20%] ; Mlček, Jiří [Autor, 20%] ; Balla, Štefan [Autor, UKFFSSUVP, 20%] ; Snopek, Lukáš [Autor, 20%]. – text. – [angličtina]. – [OV 010]. – [článok]. – DOI 10.3390/molecules24010024. – WOS CC ; SCO ; CCC In: Molecules [elektronický dokument] : a Journal of Synthetic Chemistry and Natural Product Chemistry. – Bazilej (Švajčiarsko) : Multidisciplinary Digital Publishing Institute. – ISSN (online) 1420-3049. – Roč. 24, č. 1 (2019), s. 1-21 [online] . – IF: 3.267 ; CiteScore: 4,1 ; SJR: 0,698 ; SNIP: 1,150 JIF - Biochemistry &amp; molecular biology - Q2, Chemistry, multidisciplinary - Q2 Scimago - Analytical chemistry - Q2, Chemistry (miscellaneous) - Q2, Drug discovery - Q2, Medicine (miscellaneous) - Q2, Molecular medicine - Q3, Organic chemistry - Q2, Pharmaceutical science - Q1, Physical and theoretical chemistry - Q2 </t>
  </si>
  <si>
    <t xml:space="preserve">Biometric analysis of cranial and somatic features in the pannonian root vole / Baláž, Ivan [Korešpondenčný autor, UKFFPVKEE, 40%] ; Tulis, Filip [Autor, UKFFPVKEE, 30%] ; Ševčík, Michal [Autor, UKFFPVKEE, 30%]. – text. – [angličtina]. – [OV 100]. – [článok]. – DOI 10.3390/ani11020576. – WOS CC ; SCO ; CCC In: Animals [elektronický dokument] : an Open Access Journal from MDPI. – Bazilej (Švajčiarsko) : Molecular Diversity Preservation International. – ISSN (online) 2076-2615. – Roč. 11, č. 2 (2021), 1-15 [online] . – CiteScore: 2,7 ; IF: 3.231 ; SJR: 0,61 ; SNIP: 1,13 ; AIS: 0.459 AIS - Agriculture, dairy &amp; animal science - Q1, Veterinary sciences - Q2 JIF - Agriculture, dairy &amp; animal science - Q1, Veterinary sciences - Q1 Scimago - Animal science and zoology - Q1, Veterinary (miscellaneous) - Q1 </t>
  </si>
  <si>
    <t xml:space="preserve">Bone Microstructure of Mice After Prolonged Taurine Treatment / Martiniaková, Monika [Autor, UKFFPVKZA, 20%] ; Šarocká, Anna [Autor, UKFFPVKZA, 20%] ; Babosová, Ramona [Autor, UKFFPVKZA, 20%] ; Galbavý, Drahomír [Autor, 5%] ; Kapusta, Edyta [Autor, 5%] ; Goc, Zofia [Autor, 5%] ; Formicki, Grzegorz [Autor, 5%] ; Omelka, Radoslav [Autor, UKFFPVKBG, 20%]. – text. – [angličtina]. – [OV 130, 180]. – [článok]. – WOS CC ; SCO ; CCC In: Physiological research [textový dokument (print)] [elektronický dokument] . – Praha (Česko) : Akademie věd České republiky. Fyziologický ústav AV ČR. – ISSN 0862-8408. – ISSN (online) 1802-9973. – Roč. 68, č. 3 (2019), 519-523 [tlačená forma] [online] . – IF: 1,655 ; SJR: 0,651 ; SNIP: 0,729 ; CiteScore: 2,90 JIF - Physiology - Q4 Scimago - Medicine (miscellaneous) - Q2, Physiology - Q3 </t>
  </si>
  <si>
    <t xml:space="preserve">Breeding performance of the White-throated Dipper (Cinclus cinclus) under different temperature conditions / Baláž, Michal [Autor, 25%] ; Hrčková, Lucia [Autor, UKOPRBZO, 25%] ; Tulis, Filip [Autor, UKFFPVKEE, 25%] ; Balážová, Mária [Autor, 25%]. – text, tab., obr. – [angličtina]. – [OV 100, 130]. – [článok]. – SIGN-UKO PR 592/21. – WOS CC ; SCO ; CCC In: Ornis Fennica [textový dokument (print)] : Journal of BirdLife Finland. – Helsinki (Fínsko) : BirdLife Suomi. – ISSN 0030-5685. – Roč. 98, č. 2 (2021), 74-80 [tlačená forma] [online] . – CiteScore: 2 ; IF: 1.027 ; SJR: 0,408 ; SNIP: 0,707 ; AIS: 0.273 AIS - Ornithology - Q3 JIF - Ornithology - Q3 Scimago - Animal science and zoology - Q2 </t>
  </si>
  <si>
    <t xml:space="preserve">Brief history of Slovak children's literature until 1960 / Vitézová, Eva [Autor, TUTPFSJL, 50%] ; Waldnerová, Jana [Autor, UKFFFAKAA, 50%]. – [angličtina]. – [OV 020]. – [článok]. – TUTPFSJL signatúra E075840. – WOS CC ; SCO ; CCC In: History of Education &amp; Children's Literature [textový dokument (print)] . – ISSN 1971-1093. – ISSN (online) 1971-1131. – Roč. 14, č. 1 (2019), s. 499-512 [tlačená forma] . – SJR: 0,165 ; CiteScore: 0,1 ; SNIP: 0,259 Scimago - Education - Q4, History and philosophy of science - Q3 </t>
  </si>
  <si>
    <t xml:space="preserve">Buckwheat, rooibos, and vitex extracts can mitigate adverse effects of xylene on ovarian cells in vitro / Sirotkin, Alexander [Korešpondenčný autor, UKFFPVKZA, 20%] ; Macejková, Martina [Autor, 16%] ; Tarko, Adam [Autor, UKFFPVKZA, 16%] ; Fabová, Zuzana [Autor, UKFFPVKZA, 16%] ; Alwasel, Saleh Hamad Amad [Autor, 16%] ; Harrath, Abdel Halim [Autor, 16%]. – text. – [angličtina]. – [OV 190]. – [článok]. – DOI 10.1007/s11356-020-11082-7. – WOS CC ; SCO ; CCC In: Environmental Science and Pollution Research [elektronický dokument] [textový dokument (print)] . – Heidelberg (Nemecko) : Springer Nature. Springer International Publishing AG. – ISSN 0944-1344. – ISSN (online) 1614-7499. – Roč. 28, č. 1 (2021), s. 7431-7439 [tlačená forma] [online] . – CiteScore: 6,6 ; IF: 5.190 ; SJR: 0,831 ; SNIP: 1,154 ; AIS: 0.584 AIS - Environmental sciences - Q3 JIF - Environmental sciences - Q2 Scimago - Environmental chemistry - Q2, Health, toxicology and mutagenesis - Q1, Medicine (miscellaneous) - Q2, Pollution - Q2 </t>
  </si>
  <si>
    <t xml:space="preserve">cAMP response element-binding protein 1 controls porcine ovarian cell proliferation, apoptosis, and FSH and insulin-like growth factor 1 response / Sirotkin, Alexander [Autor, UKFFPVKZA, 60%] ; Benčo, Andrej [Autor, 5%] ; Tandlmajerová, Alžbeta [Autor, 5%] ; Lauková, Michaela [Autor, 040250, 5%] ; Vašíček, Dušan [Autor, 5%] ; Laurinčík, Jozef [Autor, UKFFPVKZA, 5%] ; Kornhauser, Jon [Autor, 5%] ; Alwasel, Saleh Hamad Amad [Autor, 5%] ; Harrath, Abdel Halim [Autor, 5%]. – text. – [angličtina]. – [OV 120]. – [článok]. – WOS CC ; SCO ; CCC In: Reproduction, Fertility and Development [textový dokument (print)] : the official journal of the Fertility Society of Australia and of the Australian Society for Reproduction Biology. – Collingwood (Austrália) : Commonwealth Scientific and Industrial Research Organisation CSIRO. – ISSN 1031-3613. – ISSN (online) 1448-5990. – Roč. 30, č. 8 (2018), s. 1145-1153 [tlačená forma] . – SJR: 0,716 ; CiteScore: 3,6 ; SNIP: 0,769 ; IF: 1.723 JIF - Developmental biology - Q3, Reproductive biology - Q4, Zoology - Q1 Scimago - Animal science and zoology - Q1, Biotechnology - Q2, Developmental biology - Q3, Endocrinology - Q3, Genetics - Q3, Molecular biology - Q3, Reproductive medicine - Q2 </t>
  </si>
  <si>
    <t xml:space="preserve">Can we understand non-tourism as a form of sustainable tourism? The role of lifestyle and motivations behind non-traveling based on the Hungarian example / Dávid, Lóránt Dénes [Autor, UKFFSSKCR, 40%] ; Csapó, János [Korešpondenčný autor, UKFFSSKCR, 40%] ; Nagy, Ákos [Korešpondenčný autor, 10%] ; Törőcsik, Mária [Korešpondenčný autor, 10%]. – text. – [angličtina]. – [OV 080]. – [článok]. – DOI 10.3390/SU12187353. – WOS CC ; SCO ; CCC In: Sustainability [elektronický dokument] . – Bazilej (Švajčiarsko) : Multidisciplinary Digital Publishing Institute. – ISSN (online) 2071-1050. – Roč. 12, č. 18 (2020), s. 2-18 [online] . – IF: 3,251 ; SNIP: 1,242 ; SJR: 0,612 ; CiteScore: 3,90 ; AIS: 0.462 AIS - Environmental sciences - Q3, Environmental studies - Q4, Green &amp; sustainable science &amp; technology - Q4 JIF - Environmental sciences - Q2, Environmental studies - Q2, Green &amp; sustainable science &amp; technology - Q3 Scimago - Energy engineering and power technology - Q2, Environmental science (miscellaneous) - Q2, Geography, planning and development - Q1, Management, monitoring, policy and law - Q2, Renewable energy, sustainability and the environment - Q2 </t>
  </si>
  <si>
    <t xml:space="preserve">Can xylene and quercetin directly affect basic ovarian cell functions? / Tarko, Adam [Autor, UKFFPVKZA, 25%] ; Štochmaľová, Aneta [Autor, UKFFPVKZA, 25%] ; Hrabovszká, Sandra [Autor, 5%] ; Vachanová, Adriana [Autor, 5%] ; Harrath, Abdel Halim [Autor, 5%] ; Alwasel, Saleh Hamad Amad [Autor, 5%] ; Grossmann, Roland [Autor, 5%] ; Sirotkin, Alexander [Autor, UKFFPVKZA, 25%]. – text. – [angličtina]. – [OV 130]. – [článok]. – DOI 10.1016/j.rvsc.2018.07.010. – WOS CC ; SCO ; CCC In: Research in Veterinary Science [textový dokument (print)] [elektronický dokument] : a journal of the British Veterinary Association. – Oxford (Veľká Británia) : Elsevier. Elsevier Science. – ISSN 0034-5288. – ISSN (online) 1532-2661. – č. 119 (2018), s. 308-312 [tlačená forma] [online] . – IF: 1,751 ; SJR: 0,548 ; CiteScore: 3 ; SNIP: 0,927 JIF - Veterinary sciences - Q1 Scimago - Veterinary (miscellaneous) - Q2 </t>
  </si>
  <si>
    <t xml:space="preserve">Case study of the integration of digital competencies into teacher preparation / Záhorec, Ján [Autor, UKOPDDPP, 27%] ; Hašková, Alena [Autor, UKFPFAKTT, 27%] ; Poliaková, Adriana [Autor, UKOPDPED, 23%] ; Munk, Michal [Autor, UKFFPVKIN, 23%]. – text. – [angličtina]. – [OV 010, 160]. – [článok]. – DOI 10.3390/su1311640. – SIGN-UKO PD DP,PE/21. – WOS CC ; SCO ; CCC In: Sustainability [elektronický dokument] . – Bazilej (Švajčiarsko) : Multidisciplinary Digital Publishing Institute. – ISSN (online) 2071-1050. – Roč. 13, č. 11 (2021), art.no. 6402, s. 1-28 [online] . – IF: 3,889 ; SNIP: 1,310 ; SJR: 0,664 ; CiteScore: 5,00 ; AIS: 0.516 AIS - Environmental sciences - Q3, Environmental studies - Q4, Green &amp; sustainable science &amp; technology - Q4 JIF - Environmental sciences - Q2, Environmental studies - Q2, Green &amp; sustainable science &amp; technology - Q3 Scimago - Energy engineering and power technology - Q2, Environmental science (miscellaneous) - Q2, Geography, planning and development - Q1, Management, monitoring, policy and law - Q2, Renewable energy, sustainability and the environment - Q2 </t>
  </si>
  <si>
    <t xml:space="preserve">Catchworks: a historical water‐distribution system on mountain meadows in central Slovakia / Slámová, Martina [Autor, KPTK, 25%] ; Hreško, Juraj [Autor, UKFFPVKEE, 25%] ; Petrovič, František [Autor, UKFFPVKEE, 25%] ; Grežo, Henrich [Autor, UKFFPVKEE, 25%]. – text. – [angličtina]. – [OV 100]. – [článok]. – DOI 10.3390/su13031107. – WOS CC ; SCO ; CCC In: Sustainability [elektronický dokument] . – Bazilej (Švajčiarsko) : Multidisciplinary Digital Publishing Institute. – ISSN (online) 2071-1050. – Roč. 13, č. 3 (2021), art. no. 1107 1-25 [online] . – IF: 3,889 ; SNIP: 1,310 ; SJR: 0,664 ; CiteScore: 5,00 ; AIS: 0.516 AIS - Environmental sciences - Q3, Environmental studies - Q4, Green &amp; sustainable science &amp; technology - Q4 JIF - Environmental sciences - Q2, Environmental studies - Q2, Green &amp; sustainable science &amp; technology - Q3 Scimago - Energy engineering and power technology - Q2, Environmental science (miscellaneous) - Q2, Geography, planning and development - Q1, Management, monitoring, policy and law - Q2, Renewable energy, sustainability and the environment - Q2 </t>
  </si>
  <si>
    <t xml:space="preserve">CER 1 gene polymorphism in postmenopausal Roma and non-Roma Slovak women in connection with osteoporosis / Mydlárová Blaščáková, Marta [Autor, PUPHUBI, 60%] ; Mydlár, Jozef [Autor, 5%] ; Tomková, Z. [Autor, 2%] ; Hudáková, R. [Autor, 2%] ; Poráčová, Janka [Autor, PUPHUBI, 5%] ; Hricová, Katarína [Autor, 4%] ; Zigová, Michaela [Autor, PUPHUBI, 4%] ; Petrejčíková, Eva [Autor, PUPHUBI, 4%] ; Omelka, Radoslav [Autor, UKFFPVKBG, 3%] ; Bauerová, Mária [Autor, UKFFPVKBG, 3%] ; Buriková, Andrea [Autor, PUPHUBI, 3%] ; Vašková, Janka [Autor, UPS51010, 5%]. – text. – [angličtina]. – [OV 130, 180]. – [článok]. – DOI 10.26355/eurrev_202111_27236. – sign UPJS MSEP 033933. – SIGN-PU FHPV-21 243/21. – WOS CC ; SCO ; CCC In: European Review for Medical and Pharmacological Sciences [textový dokument (print)] [elektronický dokument] . – Rím (Taliansko) : Verduci Editore Srl. – ISSN 1128-3602. – ISSN (online) 2284-0729. – Roč. 25, č. 22 (2021), 6881-6893 [tlačená forma] [online] . – CiteScore: 6 ; IF: 3.784 ; SJR: 0,658 ; SNIP: 0,725 ; AIS: 0.532 AIS - Pharmacology &amp; pharmacy - Q3 JIF - Pharmacology &amp; pharmacy - Q2 Scimago - Medicine (miscellaneous) - Q2, Pharmacology (medical) - Q2 </t>
  </si>
  <si>
    <t xml:space="preserve">Cold atmospheric pressure plasma (CAP) as a new tool for the management of vulva cancer and vulvar premalignant lesions in gynaecological oncology / Žúbor, Pavol [Korešpondenčný autor, 6%] ; Wang, Yun [Autor, 6%] ; Mazuráková, Alena [Autor, UKOLJ120, 6%] ; Samec, Marek [Autor, UKOLJ120, 6%] ; Koklesová, Lenka [Autor, UKOLJ120, 6%] ; Danková, Zuzana [Autor, UKOLJ110, 6%] ; Dorum, Anne [Autor, 6%] ; Kajo, Karol [Autor, 6%] ; Dvorská, Dana [Autor, UKOLJ110, 6%] ; Lučanský, Vincent [Autor, UKOLJ110, 6%] ; Malicherová, Bibiana [Autor, UKOLJ110, 5%] ; Kašubová, Ivana [Autor, UKOLJ110, 5%] ; Bujňák, Ján [Autor, 5%] ; Mlynček, Miloš [Autor, UKFFSVKOS, 5%] ; Dussan, Carlos Alberto [Autor, 5%] ; Kubatka, Peter [Autor, UKOLJ120, 5%] ; Büsselberg, Dietrich [Autor, 5%] ; Golubnitschaja, Olga [Autor, 5%]. – text. – [angličtina]. – [OV 180]. – [článok]. – DOI 10.3390/ijms21217988. – SIGN-UKO LJ502/20. – SCIE ; WOS CC ; SCO ; CCC In: International journal of molecular sciences [textový dokument (print)] [elektronický dokument] : open access journal. – Bazilej (Švajčiarsko) : Multidisciplinary Digital Publishing Institute. – ISSN 1661-6596. – ISSN (online) 1422-0067. – Roč. 21, č. 21 (2020), art.no.7988, s. [1-44] [online] [tlačená forma] . – IF: 5,924 ; SNIP: 1,441 ; SJR: 1,455 ; CiteScore: 6,00 ; AIS: 1.123 AIS - Biochemistry &amp; molecular biology - Q2, Chemistry, multidisciplinary - Q2 JIF - Biochemistry &amp; molecular biology - Q1, Chemistry, multidisciplinary - Q2 Scimago - Catalysis - Q2, Computer science applications - Q1, Inorganic chemistry - Q1, Medicine (miscellaneous) - Q1, Molecular biology - Q2, Organic chemistry - Q1, Physical and theoretical chemistry - Q1, Spectroscopy - Q1 </t>
  </si>
  <si>
    <t xml:space="preserve">Colchicine Extract Suicidal Lethal Poisoning Confirmation Using High-Resolution Accurate Mass Spectrometry: A Case Study / Schreiber, Ľudovít [Autor, UKOPRCAL, 30%] ; Morovič, Martin [Autor, UKFFPVKZA, 30%] ; Špacayová, Katarína [Autor, 10%] ; Halko, Radoslav [Autor, UKOPRCAL, 30%]. – text, obr. – [angličtina]. – [OV 130, 120, 180]. – [článok]. – DOI 10.1111/1556-4029.13977. – SIGN-UKO PR 148/19. – WOS CC ; SCO ; CCC In: Journal of Forensic Sciences [textový dokument (print)] [elektronický dokument] . – Hoboken (USA) : John Wiley &amp; Sons. – ISSN 0022-1198. – ISSN (online) 1556-4029. – Roč. 64, č. 4 (2019), s. 1274-1280 [tlačená forma] . – IF: 1.441 ; SJR: 0,623 ; CiteScore: 2,8 ; SNIP: 0,967 JIF - Medicine, legal - Q2 Scimago - Genetics - Q3, Pathology and forensic medicine - Q2 </t>
  </si>
  <si>
    <t xml:space="preserve">Communists spoke differently: An analysis of Czechoslovak and Czech annual presidential speeches / Kubát, Miroslav [Autor, 34%] ; Mačutek, Ján [Autor, UKFFPVKMA, 33%] ; Čech, Radek [Autor, 33%]. – text. – [angličtina]. – [OV 240]. – [článok]. – DOI 10.1093/llc/fqz089. – WOS CC ; SCO ; CCC In: Digital Scholarship in the Humanities [textový dokument (print)] : Journal of the Alliance of Digital Humanities Organizations. – ISSN 2055-7671. – ISSN (online) 2055-768X. – Roč. 36, č. 1 (2021), s. 138-152 [tlačená forma] . – CiteScore: 2,2 ; IF: 1.299 ; SJR: 0,422 ; SNIP: 1,296 ; AIS: 0.539 AIS - Humanities, multidisciplinary - Q1, Linguistics - Q3 JIF - Linguistics - Q3 Scimago - Computer science applications - Q3, Information systems - Q3, Linguistics and language - Q1 </t>
  </si>
  <si>
    <t xml:space="preserve">Community structure of epigeic arthropods in barley  (Hordeum vulgare L.) soils / Langraf, Vladimír [Autor, UKFFPVKZA, 65%] ; Petrovičová, Kornélia [Autor, SPUFAP26, 30%] ; Schlarmannová, Janka [Autor, UKFFPVKZA, 5%]. – text. – [angličtina]. – [OV 190, 130]. – [ŠO 7605]. – [článok]. – DOI 10.5424/sjar/2021194-18576. – WOS CC ; SCO ; CCC In: Spanish Journal of Agricultural Research [textový dokument (print)] . – ISSN 2171-9292. – Roč. 19, č. 4 (2021), art. no. e0304, s. 1-10 [tlačená forma] . – CiteScore: 1,9 ; IF: 1.233 ; SJR: 0,291 ; SNIP: 0,65 ; AIS: 0.250 AIS - Agriculture, multidisciplinary - Q3 JIF - Agriculture, multidisciplinary - Q3 Scimago - Agronomy and crop science - Q3 </t>
  </si>
  <si>
    <t xml:space="preserve">Comparative Analysis of Private Labels - Private Labels from the Point of View of a Millennial Customer in Slovakia, Czech Republic and Hungary / Košičiarová, Ingrida [Autor, 20%] ; Kádeková, Zdenka [Korešpondenčný autor, 20%] ; Džupina, Milan [Autor, UKFFFAKMR, 20%] ; Kubicová, Ľubica [Autor, 20%] ; Dvořák, Marek [Autor, 20%]. – text. – [angličtina]. – [OV 060, 190]. – [článok]. – DOI 10.3390/su12239822. – WOS CC ; SCO ; CCC In: Sustainability [elektronický dokument] . – Bazilej (Švajčiarsko) : Multidisciplinary Digital Publishing Institute. – ISSN (online) 2071-1050. – Roč. 12, č. 23 (2020), s. 1-19 [online] . – IF: 3,251 ; SNIP: 1,242 ; SJR: 0,612 ; CiteScore: 3,90 ; AIS: 0.462 AIS - Environmental sciences - Q3, Environmental studies - Q4, Green &amp; sustainable science &amp; technology - Q4 JIF - Environmental sciences - Q2, Environmental studies - Q2, Green &amp; sustainable science &amp; technology - Q3 Scimago - Energy engineering and power technology - Q2, Environmental science (miscellaneous) - Q2, Geography, planning and development - Q1, Management, monitoring, policy and law - Q2, Renewable energy, sustainability and the environment - Q2 </t>
  </si>
  <si>
    <t xml:space="preserve">Comparison of CORINE land cover data with national statistics and the possibility to record this data on a local scale-case studies from Slovakia / Falťan, Vladimír [Autor, 35%] ; Petrovič, František [Korešpondenčný autor, UKFFPVKEE, 15%] ; Oťaheľ, Ján [Autor, PUPHUGG, 14%] ; Feranec, Ján [Autor, 10%] ; Druga, Michal [Autor, 8%] ; Hruška, Matej [Autor, UKOPRZFG, 8%] ; Nováček, Jozef [Autor, 4%] ; Solár, Vladimír [Autor, PUPHUGG, 4%] ; Mechurová, Veronika [Autor, 2%]. – text, graf., obr. – [angličtina]. – [OV 100, 092]. – [článok]. – DOI 10.3390/rs12152484. – SIGN-UKO PR 157/20. – SIGN-PU FHPV-20 106/20. – SCIE ; SSCI ; WOS CC ; SCO ; CCC In: Remote Sensing [elektronický dokument] . – Bazilej (Švajčiarsko) : Molecular Diversity Preservation International. – ISSN (online) 2072-4292. – Roč. 12, č. 15 (2020), art. no. 2484, s. [1-20] [online] . – IF: 4,848 ; SNIP: 1,708 ; SJR: 1,285 ; CiteScore: 6,6 ; AIS: 0.933 AIS - Environmental sciences - Q2, Geosciences, multidisciplinary - Q2, Imaging science &amp; photographic technology - Q2, Remote sensing - Q2 JIF - Environmental sciences - Q2, Geosciences, multidisciplinary - Q1, Imaging science &amp; photographic technology - Q2, Remote sensing - Q2 Scimago - Earth and planetary sciences (miscellaneous) - Q1 </t>
  </si>
  <si>
    <t xml:space="preserve">Comparison of Global and Continental Land Cover Products for Selected Study Areas in South Central and Eastern European Region / Manakos, Ioannis [Autor, 4.366%] ; Tomaszewska, Monika [Autor, 4.347%] ; Gkinis, Ioannis [Autor, 4.347%] ; Brovkina, Olga [Autor, 4.347%] ; Filchev, Lachezar [Autor, 4.347%] ; Genc, Levent [Autor, 4.347%] ; Gitas, Ioannis Z. [Autor, 4.347%] ; Halabuk, Andrej [Autor, 4.347%] ; Inalpulat, Melis [Autor, 4.347%] ; Irimescu, Anisoara [Autor, 4.347%] ; Jelev, Georgi [Autor, 4.347%] ; Karantzalos, Konstantinos [Autor, 4.347%] ; Katagis, Thomas [Autor, 4.347%] ; Kupková, Lucie [Autor, 4.347%] ; Lavreniuk, Mykola [Autor, 4.347%] ; Mesaros, Minucer [Autor, 4.347%] ; Mihailescu, Denis [Autor, 4.347%] ; Nita, Mihai [Autor, 4.347%] ; Rusňák, Tomáš [Autor, UKFFPVKEE, 4.347%] ; Štych, Přemysl [Autor, 4.347%] ; Zemek, Frantisek [Autor, 4.347%] ; Albrechtová, Jana [Autor, 4.347%] ; Campbell, Petya [Autor, 4.347%]. – text. – [angličtina]. – [OV 100]. – [článok]. – DOI 10.3390/rs10121967. – WOS CC ; SCO ; CCC In: Remote Sensing [elektronický dokument] . – Bazilej (Švajčiarsko) : Molecular Diversity Preservation International. – ISSN (online) 2072-4292. – Roč. 10, č. 12 (2018), s. 1-57 [online] . – IF: 4.118 ; SJR: 1.430 ; CiteScore: 5,6 ; SNIP: 1,94 JIF - Remote sensing - Q1 Scimago - Earth and planetary sciences (miscellaneous) - Q1 </t>
  </si>
  <si>
    <t xml:space="preserve">Comparison of human, machine and Post-Editing Translation from Slovak into German by means of automatic Evaluation / Munková, Daša [Autor, UKFFFAKTR, 33.334%] ; Wrede, Oľga [Autor, UKFFFAKGE, 33.333%] ; Absolon, Jakub [Autor, UKFFFAKTR, 33.333%]. – text. – [angličtina]. – [OV 020]. – [článok]. – WOS CC ; SCO ; CCC In: Zeitschrift für Slawistik [textový dokument (print)] [elektronický dokument] . – Berlin (Nemecko) : De Gruyter. – ISSN 0044-3506. – ISSN (online) 2196-7016. – Roč. 64, č. 2 (2019), 231-261 [tlačená forma] [online] . – SJR: 0,108 ; CiteScore: 0,3 ; SNIP: 0,297 Scimago - Cultural studies - Q3, Language and linguistics - Q3, Linguistics and language - Q3, Literature and literary theory - Q2 </t>
  </si>
  <si>
    <t xml:space="preserve">Comparison of multi-criteria-analytical hierarchy process and machine learning-boosted tree models for regional flood susceptibility mapping: a case study from Slovakia / Vojtek, Matej [Autor, UKFFPVKGR, 70%] ; Vojteková, Jana [Autor, UKFFPVKGR, 20%] ; Costache, Romulus [Autor, 2%] ; Pham, Quoc Bao [Autor, 2%] ; Lee, Sunmin [Autor, 2%] ; Arshad, Arfan [Autor, 1%] ; Sahoo, Satiprasad [Autor, 1%] ; Linh, Nguyen Thi Thuy [Autor, 1%] ; Anh, Duong Tran [Autor, 1%]. – text. – [angličtina]. – [OV 050]. – [článok]. – DOI 10.1080/19475705.2021.1912835. – WOS CC ; SCO ; CCC In: Geomatics, Natural Hazards &amp; Risk [textový dokument (print)] . – ISSN 1947-5705. – ISSN (online) 1947-5713. – Roč. 12, č. 1 (2021), 1153-1180 [tlačená forma] . – CiteScore: 5,8 ; IF: 3.922 ; SJR: 0,764 ; SNIP: 1,354 ; AIS: 0.699 AIS - Geosciences, multidisciplinary - Q3, Meteorology &amp; atmospheric sciences - Q3, Water resources - Q2 JIF - Geosciences, multidisciplinary - Q2, Meteorology &amp; atmospheric sciences - Q2, Water resources - Q2 Scimago - Earth and planetary sciences (miscellaneous) - Q1, Environmental science (miscellaneous) - Q1 </t>
  </si>
  <si>
    <t xml:space="preserve">Comparison of the effects of synthetic and plant-derived mTOR regulators on healthy human ovarian cells / Sirotkin, Alexander [Autor, UKFFPVKZA, 12.5%] ; Adamcová, Erika [Autor, 12.5%] ; Rotili, Dante [Autor, 12.5%] ; Mai, Antonello [Autor, 12.5%] ; Mlynček, Miloš [Autor, UKFFSVKOS, 12.5%] ; Mansour, Lamjed [Autor, 12.5%] ; Alwasel, Saleh Hamad Amad [Autor, 12.5%] ; Harrath, Abdel Halim [Autor, 12.5%]. – text. – [angličtina]. – [OV 130, 180]. – [článok]. – DOI 10.1016/j.ejphar.2019.03.048. – WOS CC ; SCO ; CCC In: European Journal of Pharmacology [textový dokument (print)] [elektronický dokument] . – Amsterdam (Holandsko) : Elsevier. – ISSN 0014-2999. – ISSN (online) 1879-0712. – 2019, s. 70-78 [tlačená forma] [online] . – IF: 3,263 ; SNIP: 0.957 ; SJR: 0.988 ; CiteScore: 5.5 JIF - Pharmacology &amp; pharmacy - Q2 Scimago - Pharmacology - Q1 </t>
  </si>
  <si>
    <t xml:space="preserve">Comparison of the new plane source method to the step wise transient method for thermal conductivity and diffusivity measurement / Malinarič, Svetozár [Autor, UKFFPVKFY, 80%] ; Elkholy, Ahmed [Autor, 20%]. – text. – [angličtina]. – [OV 091]. – [článok]. – DOI 10.1016/j.ijthermalsci.2021.106901. – WOS CC ; SCO ; CCC In: International Journal of Thermal Sciences [textový dokument (print)] : Founded as Revue Générale de Thermique in 1962. – Amsterdam (Holandsko) : Elsevier. – ISSN 1290-0729. – č. 164 (2021), s. 1-10 [tlačená forma] . – CiteScore: 7,3 ; IF: 4.779 ; SJR: 1,132 ; SNIP: 1,714 ; AIS: 0.809 AIS - Engineering, mechanical - Q1, Thermodynamics - Q1 JIF - Engineering, mechanical - Q1, Thermodynamics - Q1 Scimago - Condensed matter physics - Q1, Engineering (miscellaneous) - Q1 </t>
  </si>
  <si>
    <t xml:space="preserve">Composite heat sink material for superconducting tape in fault current limiter applications / Pekarčíková, Marcela [Autor, M1000, 50%] ; Mišík, Jozef [Autor, M1000, 12%] ; Drienovský, Marián [Autor, M1000, 8%] ; Krajčovič, Jozef [Autor, M1000, 8%] ; Vojenčiak, Michal [Autor, 5%] ; Búran, Marek [Autor, 036000, 8%] ; Mošať, Marek [Autor, 036000, 2%] ; Húlan, Tomáš [Autor, UKFFPVKFY, 2%] ; Skarba, Michal [Autor, MTF STU, 2%] ; Gömöry, Fedor [Autor, 1%] ; Cuninková, Eva [Autor, M1000, 2%]. – [angličtina]. – [OV 110]. – [článok]. – DOI 10.3390/MA13081832. – WOS CC ; SCO ; CCC In: Materials [elektronický dokument] . – Bazilej (Švajčiarsko) : Multidisciplinary Digital Publishing Institute. – ISSN (online) 1996-1944. – Roč. 13, č. 8 (2020), s. 1-16 [online] . – IF: 3,623 ; SNIP: 1,261 ; SJR: 0,682 ; CiteScore: 4,2 ; AIS: 0.595 AIS - Chemistry, physical - Q3, Materials science, multidisciplinary - Q2, Metallurgy &amp; metallurgical engineering - Q1, Physics, applied - Q2, Physics, condensed matter - Q2 JIF - Chemistry, physical - Q2, Materials science, multidisciplinary - Q2, Metallurgy &amp; metallurgical engineering - Q1, Physics, applied - Q2, Physics, condensed matter - Q2 Scimago - Condensed matter physics - Q2, Materials science (miscellaneous) - Q2 </t>
  </si>
  <si>
    <t xml:space="preserve">Conceptual framework for programming skills development based on microlearning and automated source code evaluation in virtual learning environment / Skalka, Ján [Autor, UKFFPVKIN, 30%] ; Drlík, Martin [Autor, UKFFPVKIN, 25%] ; Benko, Ľubomír [Autor, UKFFPVKIN, 7%] ; Kapusta, Jozef [Autor, UKFFPVKIN, 15%] ; Pino del, Juan Carlos Rodríguez [Autor, 2%] ; Smyrnova-Trybulska, Eugenia [Autor, 2%] ; Stolińska, Anna [Autor, 2%] ; Švec, Peter [Autor, UKFFPVKIN, 15%] ; Turčínek, Pavel [Autor, 2%]. – text. – [angličtina]. – [OV 160]. – [článok]. – DOI 10.3390/su13063293. – WOS CC ; SCO ; CCC In: Sustainability [elektronický dokument] . – Bazilej (Švajčiarsko) : Multidisciplinary Digital Publishing Institute. – ISSN (online) 2071-1050. – Roč. 13, č. 6 (2021), s. 1-30 [online] . – IF: 3,889 ; SNIP: 1,310 ; SJR: 0,664 ; CiteScore: 5,00 ; AIS: 0.516 AIS - Environmental sciences - Q3, Environmental studies - Q4, Green &amp; sustainable science &amp; technology - Q4 JIF - Environmental sciences - Q2, Environmental studies - Q2, Green &amp; sustainable science &amp; technology - Q3 Scimago - Energy engineering and power technology - Q2, Environmental science (miscellaneous) - Q2, Geography, planning and development - Q1, Management, monitoring, policy and law - Q2, Renewable energy, sustainability and the environment - Q2 </t>
  </si>
  <si>
    <t xml:space="preserve">Consumer perception of modern and traditional forms of advertising / Korenková, Marcela [Autor, UKFFPVUMI, 35%] ; Maroš, Milan [Korešpondenčný autor, UKFFPVUMI, 35%] ; Levický, Michal [Autor, UKFFPVUMI, 15%] ; Fiľa, Milan [Autor, UKFFPVUMI, 15%]. – text. – [angličtina]. – [OV 060]. – [článok]. – DOI 10.3390/su12239996. – WOS CC ; SCO ; CCC In: Sustainability [elektronický dokument] . – Bazilej (Švajčiarsko) : Multidisciplinary Digital Publishing Institute. – ISSN (online) 2071-1050. – Roč. 12, č. 23 (2020), 1-25 [online] . – IF: 3,251 ; SNIP: 1,242 ; SJR: 0,612 ; CiteScore: 3,90 ; AIS: 0.462 AIS - Environmental sciences - Q3, Environmental studies - Q4, Green &amp; sustainable science &amp; technology - Q4 JIF - Environmental sciences - Q2, Environmental studies - Q2, Green &amp; sustainable science &amp; technology - Q3 Scimago - Energy engineering and power technology - Q2, Environmental science (miscellaneous) - Q2, Geography, planning and development - Q1, Management, monitoring, policy and law - Q2, Renewable energy, sustainability and the environment - Q2 </t>
  </si>
  <si>
    <t xml:space="preserve">Contemplative insight as an opinion conflict and a search for meaning in the context of innovative elements of the revolution industry 4.0 / Chudy, Stefan [Autor, 20%] ; Neumeister, Pavel [Autor, 20%] ; Koribska, Iva [Autor, 20%] ; Strouhal, Martin [Autor, 20%] ; Selická, Denisa [Autor, UKFFFAKSO, 20%]. – text. – [angličtina]. – [OV 060]. – [článok]. – DOI 10.1007/s10639-020-10279-0. – WOS CC ; SCO ; CCC In: Education and Information Technologies [textový dokument (print)] : The Official Journal of the IFIP Technical Committee on Education. – New York (USA) : Kluwer Academic Publishers. – ISSN 1360-2357. – ISSN (online) 1573-7608. – Roč. 25, č. 5 (2020), s. 1-10 [tlačená forma] . – SJR: 0,919 ; CiteScore: 5,4 ; SNIP: 1,964 ; IF: 2.917 ; AIS: 0.563 AIS - Education &amp; educational research - Q3 JIF - Education &amp; educational research - Q2 Scimago - E-learning - Q1, Education - Q1, Library and information sciences - Q1 </t>
  </si>
  <si>
    <t xml:space="preserve">Contrasting Computational Models of Mate Preference Integration Across 45 Countries / Conroy-Beam, Daniel [Autor, 0.996%] ; Buss, David M. [Autor, 0.934%] ; Asao, Kelly [Autor, 0.934%] ; Sorokowska, Agnieszka [Autor, 0.934%] ; Sorokowski, Piotr [Autor, 0.934%] ; Sarmány Schuller, Ivan [Autor, UKFFSVKPV, 0.934%] ; Zaťková, Marta [Autor, UKFFSVKPV, 0.934%] ; Prokop, Pavol [Autor, UKOPREEF, 0.934%]. – text, graf., tab. – [angličtina]. – [OV 060, 100]. – [článok]. – DOI 10.1038/s41598-019-52748-8. – SIGN-UKO PR 1123/19. – WOS CC ; SCO ; CCC In: Scientific Reports [elektronický dokument] [textový dokument (print)] . – Londýn (Veľká Británia) : Springer Nature. Nature Publishing Group. – ISSN (online) 2045-2322. – Roč. 9, č. 15. november (2019), Art. no. 16885, s. [1-13] [online] [tlačená forma] . – IF: 3,998 ; SNIP: 1,365 ; SJR: 1,341 ; CiteScore: 7,20 JIF - Multidisciplinary sciences - Q1 Scimago - Multidisciplinary - Q1 </t>
  </si>
  <si>
    <t xml:space="preserve">Contribution of red wine consumption to human health protection / Snopek, Lukáš [Autor, 2%] ; Mlček, Jiří [Autor, 2%] ; Sochorová, Lenka [Autor, 2%] ; Baroň, Mojmír [Autor, 2%] ; Hlaváčová, Irena [Autor, 2%] ; Juríková, Tünde [Autor, UKFFSSUVP, 84%] ; Kizek, René [Autor, 2%] ; Sedláčková, Eva [Autor, 2%] ; Sochor, Jiří [Autor, 2%]. – text. – [angličtina]. – [OV 010]. – [článok]. – DOI 10.3390/molecules23071684. – WOS CC ; SCO ; CCC In: Molecules [elektronický dokument] : a Journal of Synthetic Chemistry and Natural Product Chemistry. – Bazilej (Švajčiarsko) : Multidisciplinary Digital Publishing Institute. – ISSN (online) 1420-3049. – Roč. 23, č. 7 (2018), s. 1-16 [online] . – IF: 3,060 ; SJR: 0.757 ; CiteScore: 4,1 ; SNIP: 1,217 JIF - Biochemistry &amp; molecular biology - Q2, Chemistry, multidisciplinary - Q2 Scimago - Analytical chemistry - Q2, Chemistry (miscellaneous) - Q1, Drug discovery - Q2, Medicine (miscellaneous) - Q2, Molecular medicine - Q3, Organic chemistry - Q2, Pharmaceutical science - Q1, Physical and theoretical chemistry - Q2 </t>
  </si>
  <si>
    <t xml:space="preserve">Copyright in Czech Literature at the Turn of the Twentieth Century: Jirasek's Quarrel Over Psohlavci / Zelenka, Miloš [Autor, UKFFSSUSJ, 100%]. – text. – [angličtina]. – [OV 020]. – [článok]. – WOS CC ; SCO ; CCC In: Primerjalna književnost [textový dokument (print)] [elektronický dokument] . – Ľublana (Slovinsko) : Slovene Comparative Literature Association. – ISSN 0351-1189. – ISSN (online) 2591-1805. – Roč. 43, č. 2 (2020), 171-187 [tlačená forma] [online] . – SJR: 0,139 ; CiteScore: 0,2 ; SNIP: 0,183 ; AIS: 0.039 AIS - Literature, slavic - Q4 Scimago - Literature and literary theory - Q1 </t>
  </si>
  <si>
    <t xml:space="preserve">Cornelian cherry pulp has beneficial impact on dyslipidemia and reduced bone quality in zucker diabetic fatty rats / Omelka, Radoslav [Korešpondenčný autor, UKFFPVKBG, 20%] ; Blahová, Jana [Autor, UKFFPVKBG, 20%] ; Kováčová, Veronika [Autor, UKFFPVKZA, 10%] ; Bábiková, Martina [Autor, UKFFPVKBG, 10%] ; Mondočková, Vladimíra [Autor, UKFFPVKBG, 10%] ; Kalafová, Anna [Autor, SPUFBP03, 5%] ; Capcarová, Marcela [Autor, SPUFBP03, 5%] ; Martiniaková, Monika [Autor, UKFFPVKZA, 20%]. – text. – [angličtina]. – [OV 190, 200, 130]. – [článok]. – DOI 10.3390/ani10122435. – WOS CC ; SCO ; CCC In: Animals [elektronický dokument] : an Open Access Journal from MDPI. – Bazilej (Švajčiarsko) : Molecular Diversity Preservation International. – ISSN (online) 2076-2615. – Roč. 10, č. 12 (2020), art. no. 2435 1-12 [online] . – SJR: 0,584 ; CiteScore: 1,8 ; SNIP: 1,159 ; IF: 2.752 ; AIS: 0.458 AIS - Agriculture, dairy &amp; animal science - Q2, Veterinary sciences - Q2 JIF - Agriculture, dairy &amp; animal science - Q1, Veterinary sciences - Q1 Scimago - Animal science and zoology - Q2, Veterinary (miscellaneous) - Q1 </t>
  </si>
  <si>
    <t xml:space="preserve">Cow body condition affects the hormonal release of ovarian cells and their responses to gonadotropic and metabolic hormones / Sirotkin, Alexander [Autor, UKFFPVKZA, 20%] ; Makarevich, Alexander V. [Autor, 16%] ; Kubovičová, Elena [Autor, 16%] ; Laurinčík, Jozef [Autor, 16%] ; Alwasel, Saleh Hamad Amad [Autor, 16%] ; Harrath, Abdel Halim [Autor, 16%]. – [angličtina]. – [OV 130]. – [článok]. – DOI 10.1016/j.theriogenology.2018.01.006. – WOS CC ; SCO ; CCC In: Theriogenology [textový dokument (print)] [elektronický dokument] : an International Journal of Animal Reproduction. – Amsterdam (Holandsko) : Elsevier. – ISSN 0093-691X. – ISSN (online) 1879-3231. – č. 110 (2018), s. 142-147 [tlačená forma] [online] . – SJR: 0,905 ; CiteScore: 3,7 ; SNIP: 1,343 ; IF: 2.299 JIF - Reproductive biology - Q3, Veterinary sciences - Q1 Scimago - Animal science and zoology - Q1, Equine - Q1, Food animals - Q1, Small animals - Q1 </t>
  </si>
  <si>
    <t xml:space="preserve">Cre-mediated marker gene removal for production of biosafe commercial oilseed rape / Boszorádová, Eva [Autor, 25%] ; Matušíková, Ildikó [Autor, UCMFPVKCHR, 20%] ; Libantová, Jana [Autor, 20%] ; Zimová, Mária [Autor, UKFFPVKBG, 5%] ; Moravčíková, Jana [Autor, UCMFPVKBTE, 30%]. – text. – [angličtina]. – [OV 130]. – [článok]. – DOI 10.1007/s11738-019-2865-2. – WOS CC ; SCO ; CCC In: Acta Physiologiae Plantarum [textový dokument (print)] [elektronický dokument] : Polish Academy of Sciences, Committee of Plant Physiology Genetics and Breeding. – Krakov (Poľsko) : Polska Akademia Nauk. – ISSN 0137-5881. – ISSN (online) 1861-1664. – Roč. 41, č. 6 (2019), s. 1-8 [tlačená forma] [online] . – IF: 1.76 ; SJR: 0,611 ; CiteScore: 3,4 ; SNIP: 0,906 JIF - Plant sciences - Q2 Scimago - Agronomy and crop science - Q2, Physiology - Q3, Plant science - Q2 </t>
  </si>
  <si>
    <t xml:space="preserve">Cryopreservation of chicken blastodermal cells and their quality assessment by flow cytometry and transmission electron microscopy / Svoradová, Andrea [Autor, UKFFPVKZA, 20%] ; Kuželová, Lenka [Autor, 20%] ; Vašíček, Jaromír [Autor, 20%] ; Olexíková, Lucia [Autor, 20%] ; Chrenek, Peter [Autor, SPUFBP01, 20%]. – [angličtina]. – [OV 120, 130]. – [článok]. – [recenzované]. – DOI 10.1002/btpr.2615. – WOS CC ; SCO ; CCC In: Biotechnology Progress [textový dokument (print)] [elektronický dokument] : a journal of food, pharmaceutical and bioengineering. – USA : John Wiley &amp; Sons. – ISSN 8756-7938. – ISSN (online) 1520-6033. – Roč. 34, č. 3 (2018), s. 778-783 [tlačená forma] [online] . – IF: 2.406 ; SJR: 0,698 ; CiteScore: 4,2 ; SNIP: 0,93 JIF - Biotechnology &amp; applied microbiology - Q3, Food science &amp; technology - Q2 Scimago - Biotechnology - Q2 </t>
  </si>
  <si>
    <t xml:space="preserve">Cultural Tourism in Nitra, Slovakia: Overview of Current and Future Trends / Krogmann, Alfred [Autor, UKFFPVKGR, 17%] ; Ivanič, Peter [Autor, UKFFFAUKD, 17%] ; Kramáreková, Hilda [Autor, UKFFPVKGR, 15%] ; Petrikovičová, Lucia [Autor, UKFFPVKGR, 17%] ; Petrovič, František [Autor, UKFFPVKEE, 17%] ; Grežo, Henrich [Autor, UKFFPVKEE, 17%]. – text. – [angličtina]. – [OV 100]. – [článok]. – DOI 10.3390/su13095181. – WOS CC ; SCO ; CCC In: Sustainability [elektronický dokument] . – Bazilej (Švajčiarsko) : Multidisciplinary Digital Publishing Institute. – ISSN (online) 2071-1050. – Roč. 13, č. 9 (2021), s. 1-12 [online] . – IF: 3,889 ; SNIP: 1,310 ; SJR: 0,664 ; CiteScore: 5,00 ; AIS: 0.516 AIS - Environmental sciences - Q3, Environmental studies - Q4, Green &amp; sustainable science &amp; technology - Q4 JIF - Environmental sciences - Q2, Environmental studies - Q2, Green &amp; sustainable science &amp; technology - Q3 Scimago - Energy engineering and power technology - Q2, Environmental science (miscellaneous) - Q2, Geography, planning and development - Q1, Management, monitoring, policy and law - Q2, Renewable energy, sustainability and the environment - Q2 </t>
  </si>
  <si>
    <t xml:space="preserve">Cyanogenic glycoside amygdalin influences functions of human osteoblasts in vitro / Omelka, Radoslav [Autor, UKFFPVKBG, 25%] ; Kováčová, Veronika [Autor, UKFFPVKZA, 25%] ; Mondočková, Vladimíra [Autor, UKFFPVKBG, 20%] ; Grosskopf, Birgit [Autor, 5%] ; Kolesárová, Adriana [Autor, SPUFBP03, 5%] ; Martiniaková, Monika [Autor, UKFFPVKZA, 20%]. – [angličtina]. – [OV 190]. – [článok]. – DOI 10.1080/03601234.2020.1852054. – WOS CC ; SCO ; CCC In: Journal of environmental science and health. Part. B. [textový dokument (print)] [elektronický dokument] : pesticides, food contaminants, and agricultural wastes. – Philadelphia (USA) : Taylor &amp; Francis Group. – ISSN 0360-1234. – ISSN (online) 1532-4109. – Roč. 56, č. 2 (2021), s. 109-116 [tlačená forma] [online] . – CiteScore: 3,1 ; IF: 2.506 ; SJR: 0,391 ; SNIP: 0,708 ; AIS: 0.306 AIS - Environmental sciences - Q4, Public, environmental &amp; occupational health - Q4 JIF - Environmental sciences - Q3, Public, environmental &amp; occupational health - Q3 Scimago - Food science - Q2, Medicine (miscellaneous) - Q3, Pollution - Q3 </t>
  </si>
  <si>
    <t xml:space="preserve">Decision making methods to optimize new dam site selections on the Nitra River / Gacko, Igor [Autor, SPUFZK04, 14%] ; Muchová, Zlatica [Autor, SPUFZK05, 17%] ; Jurík, Ľuboš [Autor, SPUFZK04, 17%] ; Šinka, Karol [Autor, SPUFZK05, 17%] ; Fabian, Ladislav [Autor, 17%] ; Petrovič, František [Autor, UKFFPVKEE, 17%]. – [angličtina]. – [OV 190, 100]. – [článok]. – DOI 10.3390/w12072042. – WOS CC ; SCO ; CCC In: Water [elektronický dokument] . – Bazilej (Švajčiarsko) : Multidisciplinary Digital Publishing Institute. – ISSN (online) 2073-4441. – Roč. 12, č. 7 (2020), art. no. 20142, s. 1-16 [online] . – IF: 3,103 ; SNIP: 1,179 ; SJR: 0,718 ; CiteScore: 3,7 ; AIS: 0.499 AIS - Environmental sciences - Q3, Water resources - Q3 JIF - Environmental sciences - Q2, Water resources - Q2 Scimago - Aquatic science - Q2, Biochemistry - Q3, Geography, planning and development - Q1, Water science and technology - Q2 </t>
  </si>
  <si>
    <t xml:space="preserve">Depolarization currents in illite / Ondruška, Ján [Autor, UKFFPVKFY, 25%] ; Trnovcová, Viera [Autor, UKFFPVKFY, 25%] ; Štubňa, Igor [Autor, UKFFPVKFY, 25%] ; Bačík, Peter [Autor, UKOPRGMP, 25%]. – text, tab., obr. – [angličtina]. – [OV 091, 092]. – [článok]. – DOI 10.1007/s10973-017-6862-7. – SIGN-UKO PR 23/18. – WOS CC ; SCO ; CCC In: Journal of Thermal Analysis and Calorimetry [textový dokument (print)] [elektronický dokument] : an International Forum for Thermal Studies. – Dordrecht (Holandsko) : Springer Nature. Springer International Publishing AG. – ISSN 1388-6150. – ISSN (online) 1588-2926. – Roč. 131, č. 3 (2018), s. 2285-2289 [tlačená forma] [online] . – IF: 2.471 ; SJR: 0,634 ; CiteScore: 3,9 ; SNIP: 1,075 JIF - Chemistry, analytical - Q2, Chemistry, physical - Q3, Thermodynamics - Q2 Scimago - Condensed matter physics - Q2, Physical and theoretical chemistry - Q2 </t>
  </si>
  <si>
    <t xml:space="preserve">Description Relationship between Urban Space and Quality of Urban Life. A Geographical Approach / Petrovič, František [Autor, UKFFPVKEE, 80%] ; Murgaš, František [Autor, 20%]. – text. – [angličtina]. – [OV 100]. – [ŠO 1610]. – [článok]. – [recenzované]. – DOI 10.3390/land10121337. – WOS CC ; SCO ; CCC In: Land [elektronický dokument] . – Bazilej (Švajčiarsko) : Multidisciplinary Digital Publishing Institute. – ISSN 2073-445X. – Roč. 10, č. 12 (2021), s. 1-13 [online] . – CiteScore: 3,2 ; IF: 3.905 ; SJR: 0,685 ; SNIP: 1,294 ; AIS: 0.585 AIS - Environmental studies - Q4 JIF - Environmental studies - Q2 Scimago - Ecology - Q2, Global and planetary change - Q3, Nature and landscape conservation - Q2 </t>
  </si>
  <si>
    <t xml:space="preserve">Design thinking - A revolutionary new approach in tourism education? / Sándorová, Zuzana [Korešpondenčný autor, UKFFSSKCR, 50%] ; Repáňová, Terézia [Autor, UKFFSSKCR, 20%] ; Palenčíková, Zuzana [Autor, UKFFSSKCR, 20%] ; Beták, Norbert [Autor, UKFFSSKCR, 10%]. – text. – [angličtina]. – [OV 080]. – [článok]. – DOI 10.1016/j.jhlste.2019.100238. – WOS CC ; SCO ; CCC In: Journal of hospitality, leisure, sport &amp; tourism education [elektronický dokument] . – [Oxford] (Veľká Británia) : Elsevier. – ISSN (online) 1473-8376. – Roč. 26 (2020), Art. no. 100238, s. 1-9 [online] . – SJR: 0,468 ; CiteScore: 3,1 ; SNIP: 1,238 ; IF: 1.762 ; AIS: 0.340 AIS - Education &amp; educational research - Q4, Hospitality, leisure, sport &amp; tourism - Q4 JIF - Education &amp; educational research - Q3, Hospitality, leisure, sport &amp; tourism - Q4 Scimago - Education - Q2, Tourism, leisure and hospitality management - Q3 </t>
  </si>
  <si>
    <t xml:space="preserve">Detecting errors in machine translation using residuals and metrics of automatic evaluation / Munk, Michal [Autor, UKFFPVKIN, 50%] ; Munková, Daša [Autor, UKFFFAKTR, 50%]. – text. – [angličtina]. – [OV 160]. – [článok]. – DOI 10.3233/JIFS-169504. – WOS CC ; SCO ; CCC In: Journal of Intelligent &amp; Fuzzy Systems [textový dokument (print)] [elektronický dokument] . – Amsterdam (Holandsko) : IOS Press. – ISSN 1064-1246. – ISSN (online) 1875-8967. – Roč. 34, č. 5 (2018), s. 3211-3223 [tlačená forma] [online] . – IF: 1.637 ; SJR: 0,412 ; CiteScore: 2,6 ; SNIP: 0,839 JIF - Computer science, artificial intelligence - Q3 Scimago - Artificial intelligence - Q2, Engineering (miscellaneous) - Q1, Statistics and probability - Q3 </t>
  </si>
  <si>
    <t xml:space="preserve">Determinants of economic sustainability in higher education institutions / Chebeň, Juraj [Autor, 25%] ; Lančarič, Drahoslav [Autor, SPUFEM15, 25%] ; Munk, Michal [Autor, UKFFPVKIN, 25%] ; Obdržálek, Peter [Autor, 25%]. – [angličtina]. – [OV 190, 080]. – [článok]. – DOI 10.24818/EA/2020/54/462. – WOS CC ; SCO ; CCC In: Amfiteatru Economic [textový dokument (print)] [elektronický dokument] : an Economic and Business Research Periodical. – Bukurešť (Rumunsko) : EDITURA ASE. – ISSN 1582-9146. – ISSN (online) 2247-9104. – Roč. 22, č. 54 (2020), s. 462-479 [tlačená forma] [online] . – IF: 1.983 ; SJR: 0,335 ; CiteScore: 2,6 ; SNIP: 0,715 ; AIS: 0.169 AIS - Business - Q4, Economics - Q4, Management - Q4 JIF - Business - Q4, Economics - Q2, Management - Q4 Scimago - Economics, econometrics and finance (miscellaneous) - Q2 </t>
  </si>
  <si>
    <t xml:space="preserve">Determination of isocyanates in workplace atmosphere by HPLC / Hegedűs, Ondrej [Autor, UJSEFKM, 11.112%] ; Šmotláková, Zuzana [Autor, 11.111%] ; Hegedűsová, Alžbeta [Autor, SPUFZK10, 11.111%] ; Dubajová, Jarmila [Autor, 11.111%] ; Andrejiová, Alena [Autor, SPUFZK10, 11.111%] ; Jakabová, Silvia [Autor, UKFFPVKCH, 11.111%] ; Tonk, Szende Agnes [Autor, 11.111%] ; Szép, Róbert [Autor, 11.111%] ; Pernyeszi, Tímea [Autor, 11.111%]. – text. – [angličtina]. – [OV 130]. – [článok]. – [recenzované]. – WOS CC ; SCO ; CCC In: Revista de Chimie [textový dokument (print)] [elektronický dokument] . – Bucuresti (Rumunsko) : Institutul central de chimie oficiul de informare documentara pentru industria chimica. – ISSN 0034-7752. – ISSN (online) 2668-8212. – Roč. 69, č. 2 (2018), s. 533-538 [tlačená forma] [online] . – IF: 1.605 ; SJR: 0,294 ; CiteScore: 2 ; SNIP: 0,74 JIF - Chemistry, multidisciplinary - Q3, Engineering, chemical - Q3 Scimago - Chemistry (miscellaneous) - Q3 </t>
  </si>
  <si>
    <t xml:space="preserve">Determination of waste industrial dust safety characteristics [Určenie bezpečnostných charakteristík priemyselného prachu] / Tureková, Ivana [Autor, UKFPFAKTT, 30%] ; Mračková, Eva [Autor, KPO, 40%] ; Marková, Iveta [Autor, ZUZFBIPŽI, 30%]. – text. – [angličtina]. – [OV 230, 100, 010]. – [článok]. – DOI 10.3390/ijerph16122103. – WOS CC ; SCO ; CCC In: International journal of environmental research and public health [elektronický dokument] [textový dokument (print)] : open access journal. – Basel (Švajčiarsko) : Multidisciplinary Digital Publishing Institute. – ISSN 1661-7827. – ISSN (online) 1660-4601. – Roč. 16, č. 12 (2019), art. no. 2103, s. [1-11] [online] [tlačená forma] . – IF: 2,849 ; SNIP: 1,248 ; SJR: 0,739 ; CiteScore: 3,00 JIF - Environmental sciences - Q2, Public, environmental &amp; occupational health - Q1 Scimago - Health, toxicology and mutagenesis - Q2, Pollution - Q2, Public health, environmental and occupational health - Q2 </t>
  </si>
  <si>
    <t xml:space="preserve">Development of stress on quartz grain in illite ceramics during cooling stage of firing / Štubňa, Igor [Autor, UKFFPVKFY, 25%] ; Mánik, Marek [Autor, UKFFPVKFY, 25%] ; Húlan, Tomáš [Autor, UKFFPVKFY, 25%] ; Trník, Anton [Autor, UKFFPVKFY, 25%]. – text. – [angličtina]. – [OV 091]. – [článok]. – WOS CC ; SCO ; CCC In: Journal of the Ceramic Society of Japan [textový dokument (print)] . – ISSN 1882-0743. – ISSN (online) 1348-6535. – Roč. 128, č. 3 (2020), 117-123 [tlačená forma] . – SJR: 0,353 ; CiteScore: 2 ; SNIP: 0,622 ; IF: 1.224 ; AIS: 0.203 AIS - Materials science, ceramics - Q3 JIF - Materials science, ceramics - Q3 Scimago - Ceramics and composites - Q3, Chemistry (miscellaneous) - Q3, Condensed matter physics - Q3, Materials chemistry - Q3 </t>
  </si>
  <si>
    <t xml:space="preserve">Development of Young's modulus of natural illitic clay during the heating and cooling stages of firing / Húlan, Tomáš [Autor, UKFFPVKFY, 14.29%] ; Štubňa, Igor [Autor, UKFFPVKFY, 14.285%] ; Shishkin, Andrei [Autor, 14.285%] ; Ozolins, Jurijs [Autor, 14.285%] ; Csáki, Štefan [Autor, UKFFPVKFY, 14.285%] ; Bačík, Peter [Autor, UKOPRGMP, 14.285%] ; Fridrichová, Jana [Autor, UKOPRGMP, 14.285%]. – text. – [angličtina]. – [OV 091, 092]. – [článok]. – DOI 10.1180/clm.2019.33. – SIGN-UKO PR 666/19. – WOS CC ; SCO ; CCC In: Clay Minerals [textový dokument (print)] . – London (Veľká Británia) : Mineralogical Society. – ISSN 0009-8558. – ISSN (online) 1471-8030. – Roč. 54, č. 3 (2019), 229-233 [tlačená forma] . – SJR: 0,428 ; CiteScore: 3,1 ; SNIP: 0,755 ; IF: 1.361 JIF - Chemistry, physical - Q4, Geosciences, multidisciplinary - Q4, Mineralogy - Q3 Scimago - Geochemistry and petrology - Q3 </t>
  </si>
  <si>
    <t xml:space="preserve">Development Trends in the Crop Production in Slovakia after Accession to the European Union - Case Study, Slovakia / Némethová, Jana [Autor, UKFFPVKGR, 60%] ; Rybanský, Ľubomír [Autor, UKFFPVKMA, 40%]. – text. – [angličtina]. – [OV 190]. – [článok]. – DOI 10.3390/su13158512. – WOS CC ; SCO ; CCC In: Sustainability [elektronický dokument] . – Bazilej (Švajčiarsko) : Multidisciplinary Digital Publishing Institute. – ISSN (online) 2071-1050. – Roč. 13, č. 15 (2021), s. 1-18 [online] . – IF: 3,889 ; SNIP: 1,310 ; SJR: 0,664 ; CiteScore: 5,00 ; AIS: 0.516 AIS - Environmental sciences - Q3, Environmental studies - Q4, Green &amp; sustainable science &amp; technology - Q4 JIF - Environmental sciences - Q2, Environmental studies - Q2, Green &amp; sustainable science &amp; technology - Q3 Scimago - Energy engineering and power technology - Q2, Environmental science (miscellaneous) - Q2, Geography, planning and development - Q1, Management, monitoring, policy and law - Q2, Renewable energy, sustainability and the environment - Q2 </t>
  </si>
  <si>
    <t xml:space="preserve">Dietary Phytochemicals Targeting Cancer Stem Cells / Mazuráková, Alena [Autor, UKOLJ120, 50%] ; Kubatka, Peter [Korešpondenčný autor, UKOLJ120, 10%] ; Samec, Marek [Autor, UKOLJ150, 10%] ; Žúbor, Pavol [Autor, UKOLJ150, 5%] ; Mlynček, Miloš [Autor, UKFFSVKOS, 5%] ; Bielik, Tibor [Autor, UKOLJ150, 4%] ; Samuel, Samson Mathews [Autor, 4%] ; Zulli, Anthony [Autor, 4%] ; Kwon, Taeg Kyu [Autor, 4%] ; Büsselberg, Dietrich [Autor, 4%]. – text. – [angličtina]. – [OV 180]. – [článok]. – DOI 10.3390/molecules24050899. – SIGN-UKO LJ125/19. – WOS CC ; SCO ; CCC In: Molecules [elektronický dokument] : a Journal of Synthetic Chemistry and Natural Product Chemistry. – Bazilej (Švajčiarsko) : Multidisciplinary Digital Publishing Institute. – ISSN (online) 1420-3049. – Roč. 24, č. 5 (2019), art. no. 899, s. [1-20] [online] . – IF: 3.267 ; CiteScore: 4,1 ; SJR: 0,698 ; SNIP: 1,150 JIF - Biochemistry &amp; molecular biology - Q2, Chemistry, multidisciplinary - Q2 Scimago - Analytical chemistry - Q2, Chemistry (miscellaneous) - Q2, Drug discovery - Q2, Medicine (miscellaneous) - Q2, Molecular medicine - Q3, Organic chemistry - Q2, Pharmaceutical science - Q1, Physical and theoretical chemistry - Q2 </t>
  </si>
  <si>
    <t xml:space="preserve">Direct effect of pholyphenol-rich plants, rooibos and ginkgo, on porcine ovarian cell functions / Štochmaľová, Aneta [Autor, 16.67%] ; Kadasi, Attila [Autor, 16.666%] ; Alexa, Richard [Autor, 16.666%] ; Bauer, Miroslav [Autor, 16.666%] ; Harrath, Abdel Halim [Autor, 16.666%] ; Sirotkin, Alexander [Autor, UKFFPVKZA, 16.666%]. – text. – [angličtina]. – [OV 130]. – [článok]. – DOI 10.1111/jpn.12795. – WOS CC ; SCO ; CCC In: Journal of Animal Physiology and Animal Nutrition [textový dokument (print)] [elektronický dokument] . – Berlin (Nemecko) : John Wiley &amp; Sons. Wiley-Blackwell. – ISSN 0931-2439. – ISSN (online) 1439-0396. – Roč. 102, č. 2 (2018), s. 550-557 [tlačená forma] [online] . – IF: 1.703 ; SJR: 0,687 ; CiteScore: 2,5 ; SNIP: 1,177 JIF - Agriculture, dairy &amp; animal science - Q1, Veterinary sciences - Q1 Scimago - Animal science and zoology - Q1, Food animals - Q1 </t>
  </si>
  <si>
    <t xml:space="preserve">Direct inhibitory effect of flaxseed on porcine ovarian granulosa cell functions. / Štochmaľová, Aneta [Autor, UKFFPVKZA, 25%] ; Harrath, Abdel Halim [Autor, 25%] ; Alwasel, Saleh Hamad Amad [Autor, 25%] ; Sirotkin, Alexander [Autor, UKFFPVKZA, 25%]. – text. – [angličtina]. – [OV 130, 210]. – [článok]. – DOI 10.1139/apnm-2018-0547. – WOS CC ; SCO ; CCC In: Applied Physiology, Nutrition, and Metabolism [textový dokument (print)] [elektronický dokument] . – Ottawa (Kanada) : Canadian Science Publishing. – ISSN 1715-5312. – ISSN (online) 1715-5320. – Roč. 44, č. 5 (2019), 507-511 [tlačená forma] [online] . – IF: 2.522 ; SNIP: 1,335 ; SJR: 1,222 ; CiteScore: 5,5 JIF - Nutrition &amp; dietetics - Q3, Physiology - Q2, Sport sciences - Q2 Scimago - Endocrinology, diabetes and metabolism - Q1, Medicine (miscellaneous) - Q1, Nutrition and dietetics - Q1, Physiology - Q2, Physiology (medical) - Q2, Sports science - Q1 </t>
  </si>
  <si>
    <t xml:space="preserve">Diversity, distribution and changes in communities of fleas on small mammals along the elevational gradient from the Pannonian Plain to the Carpathian Mountains / Baláž, Ivan [Korešpondenčný autor, UKFFPVKEE, 40%] ; Ševčík, Michal [Autor, UKFFPVKEE, 30%] ; Tulis, Filip [Autor, UKFFPVKEE, 24%] ; Zigová, Martina [Autor, UKFFPVKEE, 3%] ; Dudich, Alexander [Autor, 3%]. – text. – [angličtina]. – [OV 100]. – [článok]. – DOI 10.1017/S0031182020002024. – WOS CC ; SCO ; CCC In: Parasitology [textový dokument (print)] [elektronický dokument] . – New York (USA) : Cambridge University Press. – ISSN 0031-1820. – ISSN (online) 1469-8161. – Roč. 148, č. 1 (2021), s. 63-73 [tlačená forma] . – CiteScore: 5,5 ; IF: 3.243 ; SJR: 0,736 ; SNIP: 1,088 ; AIS: 0.749 AIS - Parasitology - Q2 JIF - Parasitology - Q2 Scimago - Animal science and zoology - Q1, Infectious Diseases - Q2, Parasitology - Q2 </t>
  </si>
  <si>
    <t xml:space="preserve">Does the osteon morphology depend on the body mass? A scaling study on macroscopic and histomorphometric differences between cow (Bos taurus) and sheep (Ovis aries) / Zedda, Marco [Autor, 50%] ; Babosová, Ramona [Autor, UKFFPVKZA, 50%]. – [angličtina]. – [OV 190]. – [článok]. – DOI 10.1007/s00435-021-00516-6. – WOS CC ; SCO ; CCC In: Zoomorphology [textový dokument (print)] : Evolutionary, Comparative and Functional Morphologynal  Morphology. – ISSN 0720-213X. – ISSN (online) 1432-234X. – Roč. 140, č. 1 (2021), s. 1-10 [tlačená forma] . – CiteScore: 2,3 ; IF: 1.138 ; SJR: 0,411 ; SNIP: 0,775 ; AIS: 0.341 AIS - Anatomy &amp; morphology - Q3, Zoology - Q3 JIF - Anatomy &amp; morphology - Q4, Zoology - Q3 Scimago - Animal science and zoology - Q2, Developmental biology - Q4 </t>
  </si>
  <si>
    <t xml:space="preserve">Dose-dependent impact of bee pollen supplementation on macroscopic and microscopic structure of femoral bone in rats / Martiniaková, Monika [Autor, UKFFPVKZA, 30%] ; Boboňová, Ivana [Autor, UKFFPVKMA, 15%] ; Toman, Róbert [Autor, SPUFAP22, 5%] ; Gálik, Branislav [Autor, SPUFAP15, 5%] ; Bauerová, Mária [Autor, UKFFPVKBG, 15%] ; Omelka, Radoslav [Autor, UKFFPVKBG, 30%]. – text. – [angličtina]. – [OV 190, 200]. – [článok]. – DOI 10.3390/ani11051265. – WOS CC ; SCO ; CCC In: Animals [elektronický dokument] : an Open Access Journal from MDPI. – Bazilej (Švajčiarsko) : Molecular Diversity Preservation International. – ISSN (online) 2076-2615. – Roč. 11, č. 5 (2021), art. no. 1265, s. 1-8 [online] . – CiteScore: 2,7 ; IF: 3.231 ; SJR: 0,61 ; SNIP: 1,13 ; AIS: 0.459 AIS - Agriculture, dairy &amp; animal science - Q1, Veterinary sciences - Q2 JIF - Agriculture, dairy &amp; animal science - Q1, Veterinary sciences - Q1 Scimago - Animal science and zoology - Q1, Veterinary (miscellaneous) - Q1 </t>
  </si>
  <si>
    <t xml:space="preserve">Drivers of the distribution of ecological species groups in temperate deciduous managed forests in the Western Carpathian mountains / Gábor, Marián [Autor, 33%] ; Beracko, Pavel [Autor, UKOPRBEK, 10%] ; Falťan, Vladimír [Autor, UKOPRZFG, 15%] ; Matečný, Igor [Autor, UKOPRZFG, 10%] ; Karlík, Lukáš [Autor, 5%] ; Petrovič, František [Autor, UKFFPVKEE, 10%] ; Vallo, Dušan [Autor, UKFFPVKMA, 2%] ; Machar, Ivo [Autor, 15%]. – text, tab. – [angličtina]. – [OV 130, 100, 092, 190]. – [článok]. – DOI 10.3390/f10090798. – SIGN-UKO PR 898/19. – SCIE ; WOS CC ; SCO ; CCC In: Forests [elektronický dokument] . – Bazilej (Švajčiarsko) : Multidisciplinary Digital Publishing Institute. – ISSN (online) 1999-4907. – Roč. 10, č. 9 (2019), Art. No. 798, s. [1-14] [online] . – IF: 2,221 ; SJR: 0,652 ; CiteScore: 2,7 ; SNIP: 0,941 JIF - Forestry - Q1 Scimago - Forestry - Q1 </t>
  </si>
  <si>
    <t xml:space="preserve">Ecosystems in Slovakia / Černecký, Ján [Autor, UKFFPVKEE, 50%] ; Gajdoš, Peter [Autor, 4%] ; Špulerová, Jana [Autor, 4%] ; Halada, Ľuboš [Autor, 4%] ; Mederly, Peter [Autor, UKFFPVKEE, 10%] ; Ulrych, Libor [Autor, 4%] ; Ďuricová, Viktória [Autor, SPUFES20, 6%] ; Švajda, Juraj [Autor, UMBFP09, 6%] ; Černecká, Ľudmila [Autor, 5%] ; Andráš, Peter [Autor, UMBFP04, 3%] ; Rybanič, Rastislav [Autor, 4%]. – text. – [angličtina]. – [OV 100, 092]. – [článok]. – DOI 10.1080/17445647.2019.1689858. – WOS CC ; SCO ; CCC In: Journal of Maps [elektronický dokument] . – Abingdon (Veľká Británia) : Taylor &amp; Francis Group. – ISSN (online) 1744-5647. – Roč. 16, č. 2 (2020), s. 28-35 [online] . – IF: 2.709 ; SJR: 0,742 ; CiteScore: 4,4 ; SNIP: 1,183 ; AIS: 0.524 AIS - Geography - Q3, Geography, physical - Q3 JIF - Geography - Q2, Geography, physical - Q3 Scimago - Earth and planetary sciences (miscellaneous) - Q1, Geography, planning and development - Q1 </t>
  </si>
  <si>
    <t xml:space="preserve">Effect of accumulation of heavy metals in the red fox intestine on the prevalence of its intestinal parasites / Borkovcová, Marie [Autor, 10%] ; Fiser, Vladimir [Autor, 5%] ; Bednářová, Martina [Autor, 5%] ; Havlicek, Zdenek [Autor, 5%] ; Adámková, Anna [Autor, 5%] ; Mlček, Jiří [Korešpondenčný autor, 5%] ; Juríková, Tünde [Autor, UKFFSSUVP, 30%] ; Balla, Štefan [Autor, UKFFSSUVP, 30%] ; Adámek, Martin [Autor, 5%]. – text. – [angličtina]. – [OV 010, 120, 130]. – [článok]. – DOI 10.3390/ani10020343. – WOS CC ; SCO ; CCC In: Animals [elektronický dokument] : an Open Access Journal from MDPI. – Bazilej (Švajčiarsko) : Molecular Diversity Preservation International. – ISSN (online) 2076-2615. – Roč. 10, č. 2 (2020), s. 1-9 [online] . – SJR: 0,584 ; CiteScore: 1,8 ; SNIP: 1,159 ; IF: 2.752 ; AIS: 0.458 AIS - Agriculture, dairy &amp; animal science - Q2, Veterinary sciences - Q2 JIF - Agriculture, dairy &amp; animal science - Q1, Veterinary sciences - Q1 Scimago - Animal science and zoology - Q2, Veterinary (miscellaneous) - Q1 </t>
  </si>
  <si>
    <t xml:space="preserve">Effect of Ball Milling Time on the Physical, Thermal and Fracture Behaviour of 2MgO.2Al(2)O(3).5SiO(2)Precursors / Amlabu, B. A. [Autor, 5%] ; Umaru, S. [Autor, 5%] ; Dauda, M. [Autor, 5%] ; Obada, D. O. [Autor, 5%] ; Csáki, Štefan [Autor, UKFFPVKFY, 65%] ; Bansod, Naresh D. [Autor, 5%] ; Dodoo-Arhin, David [Autor, 5%] ; Fasanya, O.O. [Autor, 5%]. – text. – [angličtina]. – [OV 091, 010]. – [článok]. – DOI 10.1007/s12633-019-00225-2. – WOS CC ; SCO ; CCC In: Silicon [textový dokument (print)] [elektronický dokument] . – Dordrecht (Holandsko) : Springer Nature. Springer International Publishing AG. – ISSN 1876-990X. – ISSN (online) 1876-9918. – Roč. 12, č. 6 (2020), 1311-1324 [tlačená forma] [online] . – IF: 2.67 ; SJR: 0,424 ; CiteScore: 3,3 ; SNIP: 1,069 ; AIS: 0.260 AIS - Chemistry, physical - Q4, Materials science, multidisciplinary - Q4 JIF - Chemistry, physical - Q3, Materials science, multidisciplinary - Q3 Scimago - Electronic, optical and magnetic materials - Q3 </t>
  </si>
  <si>
    <t xml:space="preserve">Effect of cadmium chloride and cadmium nitrate on growth and mineral nutrient content in the root of fava bean (Vicia faba l.) / Piršelová, Beáta [Autor, UKFFPVKBG, 80%] ; Ondrušková, Emília [Autor, 20%]. – text. – [angličtina]. – [OV 130]. – [článok]. – DOI 10.3390/plants10051007. – WOS CC ; SCO ; CCC In: Plants-Basel [elektronický dokument] . – Bazilej (Švajčiarsko) : Multidisciplinary Digital Publishing Institute. – ISSN (online) 2223-7747. – Roč. 10, č. 5 (2021), s. 1-12 [online] . – IF: 4.658 ; CiteScore: 3,6 ; SJR: 0,765 ; SNIP: 1,347 ; AIS: 0.654 AIS - Plant sciences - Q2 JIF - Plant sciences - Q1 Scimago - Ecology - Q2, Ecology, evolution, behavior and systematics - Q1, Plant science - Q1 </t>
  </si>
  <si>
    <t xml:space="preserve">Effect of morphology and support of copper nanoparticles on basic ovarian granulosa cell functions / Sirotkin, Alexander [Korešpondenčný autor, UKFFPVKZA, 40%] ; Radošová, Monika [Autor, 10%] ; Tarko, Adam [Autor, UKFFPVKZA, 40%] ; Martin-Garcia, Iris [Autor, 5%] ; Alonso, Francisco [Korešpondenčný autor, 5%]. – text. – [angličtina]. – [OV 200, 130]. – [článok]. – DOI 10.1080/17435390.2020.1736680. – WOS CC ; SCO ; CCC In: Nanotoxicology [textový dokument (print)] . – ISSN 1743-5390. – ISSN (online) 1743-5404. – SZU KIS 2019021816430351. – Roč. 14, č. 5 (2020), s. 1-12 [tlačená forma] . – SJR: 1,176 ; CiteScore: 10,2 ; SNIP: 1,188 ; IF: 5.913 ; AIS: 1.077 AIS - Nanoscience &amp; nanotechnology - Q2, Toxicology - Q1 JIF - Nanoscience &amp; nanotechnology - Q2, Toxicology - Q1 Scimago - Biomedical engineering - Q1, Nanoscience and nanotechnology - Q2, Toxicology - Q1 </t>
  </si>
  <si>
    <t xml:space="preserve">Effect of prenatal phthalate exposure on the association of maternal hormone levels during early pregnancy and reproductive markers in infants at the age of 3 months / Hlisníková, Henrieta [Autor, UKFFPVKZA, 29%] ; Petrovičová, Ida [Autor, UKFFPVKZA, 23%] ; Kolena, Branislav [Autor, UKFFPVKZA, 23%] ; Šidlovská, Miroslava [Autor, UKFFPVKZA, 23%] ; Mlynček, Miloš [Autor, UKFFSVKOS, 2%]. – text. – [angličtina]. – [OV 130]. – [článok]. – DOI 10.1016/j.reprotox.2021.04.001. – SIGN-UKO LJ739/21. – SCIE ; WOS CC ; SCO ; CCC In: Reproductive toxicology [textový dokument (print)] [elektronický dokument] . – Elmsford (USA) : Pergamon In Cooperation With The Reproductive Toxicology Center. – ISSN 0890-6238. – ISSN (online) 1873-1708. – č. 102 (2021), 35-42 [tlačená forma] [online] . – CiteScore: 5,2 ; IF: 3.421 ; SJR: 0,676 ; SNIP: 0,85 ; AIS: 0.710 AIS - Reproductive biology - Q3, Toxicology - Q2 JIF - Reproductive biology - Q2, Toxicology - Q3 Scimago - Toxicology - Q2 </t>
  </si>
  <si>
    <t xml:space="preserve">Effect of quercetin on ovarian cells of pigs and cattle / Sirotkin, Alexander [Autor, UKFFPVKZA, 20%] ; Hrabovszká, Sandra [Autor, 16%] ; Štochmaľová, Aneta [Autor, 16%] ; Grossmann, Roland [Autor, 16%] ; Alwasel, Saleh Hamad Amad [Autor, 16%] ; Harrath, Abdel Halim [Autor, 16%]. – text. – [angličtina]. – [OV 130, 190]. – [článok]. – DOI 10.1016/j.anireprosci.2019.04.002. – WOS CC ; SCO ; CCC In: Animal Reproduction Science [textový dokument (print)] [elektronický dokument] : an International Journal. – Amsterdam (Holandsko) : Elsevier. – ISSN 0378-4320. – ISSN (online) 1873-2232. – č. 205 (2019), s. 44-51 [tlačená forma] [online] . – SJR: 0,66 ; CiteScore: 3 ; SNIP: 1,028 ; IF: 1.660 JIF - Agriculture, dairy &amp; animal science - Q2, Reproductive biology - Q4 Scimago - Animal science and zoology - Q1, Endocrinology - Q3, Food animals - Q2, Medicine (miscellaneous) - Q2 </t>
  </si>
  <si>
    <t xml:space="preserve">Effect of Taurine on Ethanol-Induced Oxidative Stress in Mouse Liver and Kidney / Goc, Zofia [Autor, 10%] ; Kapusta, Edyta [Autor, 5%] ; Formicki, Grzegorz [Autor, 5%] ; Martiniaková, Monika [Autor, UKFFPVKZA, 40%] ; Omelka, Radoslav [Autor, UKFFPVKBG, 40%]. – text. – [angličtina]. – [OV 130, 180]. – [článok]. – WOS CC ; SCO ; CCC In: Chinese Journal of Physiology [textový dokument (print)] [elektronický dokument] . – India : Wolters Kluwer. Medknow Publications. – ISSN 0304-4920. – ISSN (online) 2666-0059. – Roč. 62, č. 4 (2019), 148-156 [online] [tlačená forma] . – SJR: 0,289 ; CiteScore: 1,9 ; SNIP: 0,473 ; IF: 1.151 JIF - Physiology - Q4 Scimago - Physiology - Q4, Physiology (medical) - Q3 </t>
  </si>
  <si>
    <t xml:space="preserve">Effect of turmeric on the viability, ovarian folliculogenesis, fecundity, ovarian hormones and response to luteinizing hormone of rabbits / Sirotkin, Alexander [Autor, UKFFPVKZA, 30%] ; Kadasi, Attila [Autor, 10%] ; Štochmaľová, Aneta [Autor, 10%] ; Baláži, Andrej [Autor, 10%] ; Foldešiová, Mária [Autor, 10%] ; Chrenek, Peter [Autor, SPUFBP01, 10%] ; Harrath, Abdel Halim [Autor, 10%] ; Makovický, Pavol [Autor, UJSPFKBIO, 10%]. – text. – [angličtina]. – [OV 120, 190]. – [článok]. – DOI 10.1017/S175173111700235X. – WOS CC ; SCO ; CCC In: Animal [textový dokument (print)] [elektronický dokument] : an International Journal of Animal Biosciences. – Cambridge (Veľká Británia) : Cambridge University Press. – ISSN 1751-7311. – ISSN (online) 1751-732X. – Roč. 12, č. 6 (2018), s. 1242-1249 [tlačená forma] [online] . – IF: 2.026 ; SJR: 0.791 ; CiteScore: 3 ; SNIP: 1,169 JIF - Agriculture, dairy &amp; animal science - Q1, Veterinary sciences - Q1 Scimago - Animal science and zoology - Q1 </t>
  </si>
  <si>
    <t xml:space="preserve">Effectiveness of Natura 2000 system for habitat types protection: A case study from the Czech Republic / Pechanec, Vilém [Autor, 5%] ; Machar, Ivo [Autor, 50%] ; Pohanka, Tomáš [Autor, 5%] ; Opršal, Zděnek [Autor, 5%] ; Petrovič, František [Autor, UKFFPVKEE, 5%] ; Švajda, Juraj [Autor, UMBFP09, 5%] ; Šálek, Lubomír [Autor, 5%] ; Chobot, Karel [Autor, 5%] ; Filippovová, Jarmila [Autor, 5%] ; Cudlín, Pavel [Autor, 5%] ; Málková, Jitka [Autor, 5%]. – [angličtina]. – [OV 100]. – [článok]. – DOI 10.3897/natureconservation.24.21608. – WOS CC ; SCO ; CCC In: Nature Conservation [textový dokument (print)] [elektronický dokument] . – Sofia (Bulharsko) : Pensoft Publishers, Sofia (Bulharsko) : Bulgarian Pharmaceutical Science Society. – ISSN 1314-6947. – ISSN (online) 1314-3301. – č. 24 (2018), s. 21-41 [tlačená forma] [online] . – SJR: 0,482 ; CiteScore: 2,1 ; SNIP: 0,713 ; IF: 1.220 JIF - Biodiversity conservation - Q3 Scimago - Nature and landscape conservation - Q2 </t>
  </si>
  <si>
    <t xml:space="preserve">Effects and mechanisms of phthalates' action on neurological processes and neural health: a literature review / Hlisníková, Henrieta [Autor, UKFFPVKZA, 45%] ; Petrovičová, Ida [Autor, UKFFPVKZA, 12%] ; Kolena, Branislav [Autor, UKFFPVKZA, 12%] ; Šidlovská, Miroslava [Autor, UKFFPVKZA, 12%] ; Sirotkin, Alexander [Autor, UKFFPVKZA, 19%]. – text. – [angličtina]. – [OV 130]. – [článok]. – DOI 10.1007/s43440-021-00215-5. – WOS CC ; SCO ; CCC In: Pharmacological Reports [textový dokument (print)] . – Amsterdam (Holandsko) : Elsevier. – ISSN 1734-1140. – Roč. 73, č. 1 (2021), s. 1-19 [tlačená forma] [online] . – CiteScore: 5,6 ; IF: 3.919 ; SJR: 0,625 ; SNIP: 0,822 ; AIS: 0.518 AIS - Pharmacology &amp; pharmacy - Q3 JIF - Pharmacology &amp; pharmacy - Q2 Scimago - Medicine (miscellaneous) - Q2, Pharmacology - Q2 </t>
  </si>
  <si>
    <t xml:space="preserve">Effects and Mechanisms of Phthalates' Action on Reproductive Processes and Reproductive Health: A Literature Review. / Hlisníková, Henrieta [Autor, UKFFPVKZA, 45%] ; Petrovičová, Ida [Autor, UKFFPVKZA, 12%] ; Kolena, Branislav [Autor, UKFFPVKZA, 12%] ; Šidlovská, Miroslava [Autor, UKFFPVKZA, 12%] ; Sirotkin, Alexander [Autor, UKFFPVKZA, 19%]. – text. – [angličtina]. – [OV 100]. – [článok]. – DOI 10.3390/ijerph17186811. – WOS CC ; SCO ; CCC In: International journal of environmental research and public health [elektronický dokument] [textový dokument (print)] : open access journal. – Basel (Švajčiarsko) : Multidisciplinary Digital Publishing Institute. – ISSN 1661-7827. – ISSN (online) 1660-4601. – Roč. 17, č. 18 (2020), s. 1-37 [online] [tlačená forma] . – IF: 3,390 ; SNIP: 1,356 ; SJR: 0,747 ; CiteScore: 3,40 ; AIS: 0.770 AIS - Environmental sciences - Q2, Public, environmental &amp; occupational health - Q3 JIF - Environmental sciences - Q2, Public, environmental &amp; occupational health - Q1 Scimago - Health, toxicology and mutagenesis - Q2, Pollution - Q2, Public health, environmental and occupational health - Q2 </t>
  </si>
  <si>
    <t xml:space="preserve">Effects of a short-term trampling experiment on alpine vegetation in the Tatras, Slovakia / Piscová, Veronika [Autor, 25%] ; Ševčík, Michal [Autor, UKFFPVKEE, 25%] ; Hreško, Juraj [Autor, UKFFPVKEE, 25%] ; Petrovič, František [Korešpondenčný autor, UKFFPVKEE, 25%]. – text. – [angličtina]. – [OV 100]. – [článok]. – DOI 10.3390/su13052750. – WOS CC ; SCO ; CCC In: Sustainability [elektronický dokument] . – Bazilej (Švajčiarsko) : Multidisciplinary Digital Publishing Institute. – ISSN (online) 2071-1050. – Roč. 13, č. 5 (2021), 1-15 [online] . – IF: 3,889 ; SNIP: 1,310 ; SJR: 0,664 ; CiteScore: 5,00 ; AIS: 0.516 AIS - Environmental sciences - Q3, Environmental studies - Q4, Green &amp; sustainable science &amp; technology - Q4 JIF - Environmental sciences - Q2, Environmental studies - Q2, Green &amp; sustainable science &amp; technology - Q3 Scimago - Energy engineering and power technology - Q2, Environmental science (miscellaneous) - Q2, Geography, planning and development - Q1, Management, monitoring, policy and law - Q2, Renewable energy, sustainability and the environment - Q2 </t>
  </si>
  <si>
    <t xml:space="preserve">Effects of bee bread, Cornelian cherries treatment on the femoral bone structure using Zucker diabetic fatty rats as an animal model / Martiniaková, Monika [Autor, UKFFPVKZA, 21%] ; Blahová, Jana [Autor, UKFFPVKBG, 20%] ; Kováčová, Veronika [Autor, UKFFPVKZA, 12%] ; Mondočková, Vladimíra [Autor, UKFFPVKBG, 12%] ; Babosová, Ramona [Autor, UKFFPVKZA, 5%] ; Kalafová, Anna [Autor, SPUFBP03, 5%] ; Capcarová, Marcela [Autor, SPUFBP03, 5%] ; Omelka, Radoslav [Autor, UKFFPVKBG, 20%]. – text. – [angličtina]. – [OV 130, 200]. – [článok]. – DOI 10.17221/224/2020-VETMED. – WOS CC ; SCO ; CCC In: Veterinární medicína [textový dokument (print)] [elektronický dokument] : mezinárodní vědecký časopis vydávaný z pověření Ministerstva zemědělství České republiky a pod gescí České akademie zemědělských věd. – Praha (Česko) : Česká akademie zemědělských věd. – ISSN 0375-8427. – ISSN (zrušené) 0590-5214. – Roč. 66, č. 8 (2021), 342-349 [tlačená forma] [online] . – CiteScore: 1,1 ; IF: 0.746 ; SJR: 0,24 ; SNIP: 0,512 ; AIS: 0.171 AIS - Veterinary sciences - Q3 JIF - Veterinary sciences - Q4 Scimago - Veterinary (miscellaneous) - Q3 </t>
  </si>
  <si>
    <t xml:space="preserve">Effects of benzene on gilts ovarian cell functions alone and in combination with buckwheat, rooibos, and vitex / Sirotkin, Alexander [Korešpondenčný autor, UKFFPVKZA, 30%] ; Macejková, Martina [Autor, 15%] ; Tarko, Adam [Autor, UKFFPVKZA, 15%] ; Fabová, Zuzana [Autor, UKFFPVKZA, 10%] ; Alrezaki, Abdulkarem [Autor, 10%] ; Alwasel, Saleh Hamad Amad [Autor, 10%] ; Harrath, Abdel Halim [Autor, 10%]. – [angličtina]. – [OV 190]. – [článok]. – DOI 10.1007/s11356-020-10739-7. – WOS CC ; SCO ; CCC In: Environmental Science and Pollution Research [elektronický dokument] [textový dokument (print)] . – Heidelberg (Nemecko) : Springer Nature. Springer International Publishing AG. – ISSN 0944-1344. – ISSN (online) 1614-7499. – Roč. 28, č. 3 (2021), s. 3434-3444 [tlačená forma] [online] . – CiteScore: 6,6 ; IF: 5.190 ; SJR: 0,831 ; SNIP: 1,154 ; AIS: 0.584 AIS - Environmental sciences - Q3 JIF - Environmental sciences - Q2 Scimago - Environmental chemistry - Q2, Health, toxicology and mutagenesis - Q1, Medicine (miscellaneous) - Q2, Pollution - Q2 </t>
  </si>
  <si>
    <t xml:space="preserve">Effects of benzene, quercetin, and their combination on porcine ovarian cell proliferation, apoptosis, and hormone release / Tarko, Adam [Autor, UKFFPVKZA, 50%] ; Štochmaľová, Aneta [Autor, UKFFPVKZA, 5%] ; Jedličková, Katarína [Autor, UKFFPVKZA, 5%] ; Hrabovszká, Sandra [Autor, 5%] ; Vachanová, Adriana [Autor, UKFFPVKZA, 5%] ; Harath, Abdel Halim [Autor, 5%] ; Alwasel, Saleh Hamad Amad [Autor, 5%] ; Alrezaki, Abdulkarem [Autor, 5%] ; Kotwica, Jan [Autor, 5%] ; Baláži, Andrej [Autor, 5%] ; Sirotkin, Alexander [Autor, UKFFPVKZA, 5%]. – text. – [angličtina]. – [OV 130, 190]. – [článok]. – WOS CC ; SCO ; CCC In: Archives Animal Breeding [textový dokument (print)] [elektronický dokument] . – Göttingen (Nemecko) : Copernicus Gesellschaft. – ISSN 0003-9438. – ISSN (online) 2363-9822. – Roč. 62, č. 1 (2019), 345-351 [tlačená forma] [online] . – IF: 0.991 ; CiteScore: 2.0 ; SJR: 0.425 ; SNIP: 1.055 JIF - Agriculture, dairy &amp; animal science - Q3 Scimago - Agronomy and crop science - Q2, Animal science and zoology - Q2, Food animals - Q3, Genetics - Q4, Plant science - Q2 </t>
  </si>
  <si>
    <t xml:space="preserve">Effects of humic acid diet on the serum biochemistry and oxidative status markers in pheasants / Kováčik, Anton [Korešpondenčný autor, 12%] ; Gašparovič, Martin [Autor, 11%] ; Tvrdá, Eva [Autor, 11%] ; Tokárová, Katarína [Autor, 11%] ; Kováčiková, Eva [Autor, 11%] ; Rolinec, Michal [Autor, 11%] ; Rumanová, Lucia [Autor, UKFFPVKMA, 11%] ; Capcarová, Marcela [Autor, SPUFBP03, 11%] ; Gálik, Branislav [Autor, SPUFAP15, 11%]. – text. – [angličtina]. – [OV 200, 190, 240]. – [článok]. – WOS CC ; SCO ; CCC In: Veterinární medicína [textový dokument (print)] [elektronický dokument] : mezinárodní vědecký časopis vydávaný z pověření Ministerstva zemědělství České republiky a pod gescí České akademie zemědělských věd. – Praha (Česko) : Česká akademie zemědělských věd. – ISSN 0375-8427. – ISSN (zrušené) 0590-5214. – Roč. 65, č. 6 (2020), 258-268 [tlačená forma] [online] . – SJR: 0,272 ; CiteScore: 1,2 ; SNIP: 0,598 ; IF: 0.565 ; AIS: 0.167 AIS - Veterinary sciences - Q3 JIF - Veterinary sciences - Q4 Scimago - Veterinary (miscellaneous) - Q3 </t>
  </si>
  <si>
    <t xml:space="preserve">Effects of Nutrition on Wheat Photosynthetic Pigment Responses to Arsenic Stress / Maglovski, Marína [Autor, 15%] ; Gerši, Zuzana [Autor, UCMFPVKBTE, 5%] ; Rybanský, Ľubomír [Autor, UKFFPVKMA, 15%] ; Bardáčová, Monika [Autor, UCMFPVKCHR, 5%] ; Moravčíková, Jana [Autor, UCMFPVKBTE, 5%] ; Bujdoš, Marek [Autor, UKOPRGUS, 10%] ; Dobrikova, Anelia [Autor, 5%] ; Apostolova, Emilia [Autor, 5%] ; Kraic, Ján [Autor, UCMFPVKBTE, 5%] ; Blehová, Alžbeta [Autor, UKOPRBFR, 15%] ; Matušíková, Ildikó [Autor, UCMFPVKCHR, 15%]. – text, tab. – [angličtina]. – [OV 130, 092]. – [článok]. – DOI 10.15244/pjoes/89584. – SIGN-UKO PR 36/19. – WOS CC ; SCO ; CCC In: Polish Journal of Environmental Studies [textový dokument (print)] [elektronický dokument] . – Olsztyn (Poľsko) : Hard. – ISSN 1230-1485. – ISSN (online) 2083-5906. – Roč. 28, č. 3 (2019), s. 1821-1829 [tlačená forma] [online] . – IF: 1,383 ; CiteScore: 2,3 ; SJR: 0,366 ; SNIP: 0,689 JIF - Environmental sciences - Q4 Scimago - Environmental chemistry - Q3, Environmental science (miscellaneous) - Q2 </t>
  </si>
  <si>
    <t xml:space="preserve">Effects of resveratrol on female reproduction / Sirotkin, Alexander [Autor, UKFFPVKZA, 100%]. – text. – [angličtina]. – [OV 130]. – [článok]. – DOI 10.1002/ptr.7185. – WOS CC ; SCO ; CCC In: Phytotherapy Research [textový dokument (print)] [elektronický dokument] . – Hoboken (USA) : John Wiley &amp; Sons. – ISSN 0951-418X. – ISSN (online) 1099-1573. – Roč. 35, č. 10 (2021), s. 5502-5513 [tlačená forma] [online] . – CiteScore: 9,3 ; IF: 6.388 ; SJR: 1,046 ; SNIP: 1,732 ; AIS: 0.775 AIS - Chemistry, medicinal - Q2, Pharmacology &amp; pharmacy - Q2 JIF - Chemistry, medicinal - Q1, Pharmacology &amp; pharmacy - Q1 Scimago - Pharmacology - Q1 </t>
  </si>
  <si>
    <t xml:space="preserve">Effects of sulfonylurea herbicides chlorsulfuron and sulfosulfuron on enzymatic activities and microbial communities in two agricultural soils / Medo, Juraj [Korešpondenčný autor, SPUFBP06, 20%] ; Hricáková, Nikola [Autor, SPUFBP06, 16%] ; Maková, Jana [Autor, SPUFBP06, 16%] ; Medová, Janka [Autor, UKFFPVKMA, 16%] ; Omelka, Radoslav [Autor, UKFFPVKBG, 16%] ; Javoreková, Soňa [Autor, SPUFBP06, 16%]. – text. – [angličtina]. – [OV 190]. – [článok]. – DOI 10.1007/s11356-020-10063-0. – WOS CC ; SCO ; CCC In: Environmental Science and Pollution Research [elektronický dokument] [textový dokument (print)] . – Heidelberg (Nemecko) : Springer Nature. Springer International Publishing AG. – ISSN 0944-1344. – ISSN (online) 1614-7499. – Roč. 27, č. 33 (2020), s. 41265-41278 [tlačená forma] [online] . – IF: 4.223 ; SNIP: 1,114 ; SJR: 0,845 ; CiteScore: 5,5 ; AIS: 0.602 AIS - Environmental sciences - Q3 JIF - Environmental sciences - Q2 Scimago - Environmental chemistry - Q2, Health, toxicology and mutagenesis - Q2, Medicine (miscellaneous) - Q2, Pollution - Q2 </t>
  </si>
  <si>
    <t xml:space="preserve">Effects of the Heat Treatment in the Properties of Fibrous Aerogel Thermal Insulation / Lakatos, Akos [Autor, 25%] ; Csik, Attila [Autor, 25%] ; Trník, Anton [Autor, UKFFPVKFY, 25%] ; Budai, István [Autor, 25%]. – text. – [angličtina]. – [OV 091, 140]. – [článok]. – WOS CC ; SCO ; CCC In: Energies [elektronický dokument] . – Bazilej (Švajčiarsko) : Multidisciplinary Digital Publishing Institute. – ISSN (online) 1996-1073. – Roč. 12, č. 10 (2019), art. no. 12102001 2001-2001 [online] . – IF: 2.702 ; SNIP: 1,154 ; SJR: 0,635 ; CiteScore: 3,8 JIF - Energy &amp; fuels - Q3 Scimago - Control and optimization - Q2, Electrical and electronic engineering - Q2, Energy (miscellaneous) - Q2, Energy engineering and power technology - Q2, Fuel technology - Q2, Renewable energy, sustainability and the environment - Q2 </t>
  </si>
  <si>
    <t xml:space="preserve">Electrical and Dielectric Properties of Isostatically Pressed Alumina-Based Electroporcelain / Trnovcová, Viera [Autor, UKFFPVKFY, 25%] ; Štubňa, Igor [Autor, UKFFPVKFY, 25%] ; Csáki, Štefan [Autor, UKFFPVKFY, 25%] ; Kubliha, Marian [Autor, M1000, 25%]. – text. – [angličtina]. – [OV 091]. – [článok]. – DOI 10.4416/JCST2017-00089. – WOS CC ; SCO ; CCC In: Journal of Ceramic Science and Technology [elektronický dokument] . – Baden-Baden (Nemecko) : Göller Verlag. – ISSN 2190-9385. – Roč. 9, č. 2 (2018), s. 149-154 [online] . – IF: 0.826 ; SJR: 0,362 ; CiteScore: 1,9 ; SNIP: 0,762 JIF - Materials science, ceramics - Q3 Scimago - Ceramics and composites - Q2 </t>
  </si>
  <si>
    <t xml:space="preserve">Electrical conductivity and thermal analyses studies of phase evolution in the illite – CaCO&lt;inf&gt;3&lt;/inf&gt; system / Csáki, Štefan [Autor, UKFFPVKFY, 14.29%] ; Húlan, Tomáš [Autor, UKFFPVKFY, 14.285%] ; Ondruška, Ján [Autor, UKFFPVKFY, 14.285%] ; Štubňa, Igor [Autor, UKFFPVKFY, 14.285%] ; Trnovcová, Viera [Autor, UKFFPVKFY, 14.285%] ; Lukáč, František [Autor, 14.285%] ; Dobroň, Patrik [Autor, 14.285%]. – text. – [angličtina]. – [OV 091, 092]. – [článok]. – DOI 10.1016/j.clay.2019.105140. – WOS CC ; SCO ; CCC In: Applied Clay Science [textový dokument (print)] [elektronický dokument] : An International Journal on Physics, Chemistry, Geology and Technology of Clays and Clay Minerals. – Amsterdam (Holandsko) : Elsevier. – ISSN 0169-1317. – ISSN (online) 1872-9053. – č. 178 (2019), art. no. 105140, s. 1-6 [tlačená forma] [online] . – IF: 4,605 ; SJR: 1,069 ; CiteScore: 7,6 ; SNIP: 1,668 JIF - Chemistry, physical - Q2, Materials science, multidisciplinary - Q2, Mineralogy - Q1 Scimago - Geochemistry and petrology - Q2, Geology - Q1 </t>
  </si>
  <si>
    <t xml:space="preserve">Electron beam irradiated sheep wool – Prospective sorbent for heavy metals in wastewater / Hanzlíková, Zuzana [Autor, UKFFPVKCH, 30%] ; Braniša, Jana [Autor, UKFFPVKCH, 12%] ; Jomová, Klaudia [Autor, UKFFPVKCH, 9%] ; Fülöp, Marko [Autor, 4%] ; Hybler, Peter [Autor, 5%] ; Porubská, Mária [Autor, UKFFPVKCH, 40%]. – [angličtina]. – [OV 120]. – [článok]. – DOI 10.1016/j.seppur.2017.10.045. – WOS CC ; SCO ; CCC In: Separation and Purification Technology [textový dokument (print)] [elektronický dokument] . – Amsterdam (Holandsko) : Elsevier. Elsevier Science. – ISSN 1383-5866. – ISSN (online) 1873-3794. – č. 193 (2018), s. 345-350 [tlačená forma] [online] . – SJR: 1,158 ; CiteScore: 7,3 ; SNIP: 1,469 ; IF: 5.107 JIF - Engineering, chemical - Q1 Scimago - Analytical chemistry - Q1, Filtration and separation - Q1 </t>
  </si>
  <si>
    <t xml:space="preserve">Electronic structure of (MePh3P)(2)[Ni-II(bdtCl(2))(2)]center dot-2(CH3)(2)SO and (MePh3P)[Ni-III(bdtCl(2))(2)] (bdtCl(2)=3,6-dichlorobenzene-1,2-dithiolate) / Kožíšková Adamko, Júlia [Autor, 5%] ; Yu-Sheng Chen [Autor, 2%] ; Su-Yin Grass [Autor, 1%] ; Yu-Chun Chuang [Autor, 1%] ; I-Jui Hsu [Autor, 1%] ; Wang, Yu [Autor, 2%] ; Lutz, Martin [Autor, 3%] ; Volkov, Anatoliy [Autor, 2%] ; Herich, Peter [Autor, 11%] ; Vénosová, Barbora [Autor, 5%] ; Jelemenská, Ingrid [Autor, UKFFPVKCH, 2%] ; Bučinský, Lukáš [Autor, 23%] ; Breza, Martin [Autor, 8%] ; Kožíšek, Jozef [Autor, 34%]. – [angličtina]. – [OV 120]. – [článok]. – WOS CC ; CCC In: Acta Crystallographica Section B: Structural Science, Crystal Engineering and Materials. – ISSN 2052-5206. – Roč. 77 (2021), s. 919-929 . – CiteScore: 3,8 ; IF: 2.684 ; SJR: 0,604 ; SNIP: 0,956 ; AIS: 1.122 AIS - Chemistry, multidisciplinary - Q2, Crystallography - Q1 JIF - Chemistry, multidisciplinary - Q3, Crystallography - Q2 Scimago - Atomic and molecular physics, and optics - Q2, Electronic, optical and magnetic materials - Q2, Materials chemistry - Q2, Medicine (miscellaneous) - Q2, Metals and alloys - Q1 </t>
  </si>
  <si>
    <t xml:space="preserve">Endophytic bacterial diversity decrease in amaranth mutant lines after radiation mutagenesis / Medo, Juraj [Autor, SPUFBP06, 16.67%] ; Žiarovská, Jana [Autor, SPUFAP04, 16.666%] ; Medová, Janka [Autor, UKFFPVKMA, 16.666%] ; Javoreková, Soňa [Autor, SPUFBP06, 16.666%] ; Kyseľ, Matúš [Autor, SPUFAP04, 16.666%] ; Hricová, Andrea [Autor, 16.666%]. – text. – [angličtina]. – [OV 130]. – [článok]. – DOI 10.1002/cche.10006. – WOS CC ; SCO ; CCC In: Cereal Chemistry [textový dokument (print)] [elektronický dokument] . – ISSN 0009-0352. – ISSN (online) 1943-3638. – Roč. 95, č. 1 (2018), s. 109-116 [tlačená forma] [online] . – IF: 1.289 ; SJR: 0,619 ; CiteScore: 2,2 ; SNIP: 0,745 JIF - Chemistry, applied - Q3, Food science &amp; technology - Q3 Scimago - Food science - Q2, Organic chemistry - Q2 </t>
  </si>
  <si>
    <t xml:space="preserve">Enhancing computational thinking through interdisciplinary steam activities using tablets / Valovičová, Ľubomíra [Autor, UKFFPVKFY, 40%] ; Ondruška, Ján [Autor, UKFFPVKFY, 25%] ; Zelenický, Ľubomír [Autor, UKFFPVKFY, 5%] ; Chytrý, Vlastimil [Autor, 5%] ; Medová, Janka [Autor, UKFFPVKMA, 25%]. – [angličtina]. – [OV 010]. – [článok]. – DOI 10.3390/math8122128. – WOS CC ; SCO ; CCC In: Mathematics [elektronický dokument] . – Bazilej (Švajčiarsko) : Multidisciplinary Digital Publishing Institute. – ISSN (online) 2227-7390. – Roč. 8, č. 12 (2020), 1-15 [online] . – SJR: 0.495 ; CiteScore: 2.2 ; SNIP: 1.290 ; IF: 2.258 ; AIS: 0.354 AIS - Mathematics - Q4 JIF - Mathematics - Q1 Scimago - Mathematics (miscellaneous) - Q2 </t>
  </si>
  <si>
    <t xml:space="preserve">Enrichment of Rabbit Primitive Hematopoietic Cells via MACS Depletion of CD45(+) Bone Marrow Cells / Vašíček, Jaromír [Autor, 11.112%] ; Baláži, Andrej [Autor, 11.111%] ; Bauer, Miroslav [Autor, UKFFPVKBG, 11.111%] ; Svoradová, Andrea [Autor, UKFFPVKZA, 11.111%] ; Tirpáková, Mária [Autor, SPUPRA15, 11.111%] ; Ondruška, Ľubomír [Autor, 11.111%] ; Parkányi, Vladimír [Autor, 11.111%] ; Makarevich, Alexander V. [Autor, 11.111%] ; Chrenek, Peter [Autor, 11.111%]. – text. – [angličtina]. – [OV 130, 190, 100, 120]. – [článok]. – [recenzované]. – DOI 10.3390/magnetochemistry7010011. – WOS CC ; SCO ; CCC In: Magnetochemistry [elektronický dokument] . – Basel (Švajčiarsko) : Multidisciplinary Digital Publishing Institute. – ISSN (online) 2312-7481. – Roč. 7, č. 1 (2021), 1-15 [online] . – CiteScore: 3 ; IF: 3.336 ; SJR: 0,427 ; SNIP: 0,726 ; AIS: 0.465 AIS - Chemistry, inorganic &amp; nuclear - Q2, Chemistry, physical - Q3, Materials science, multidisciplinary - Q3 JIF - Chemistry, inorganic &amp; nuclear - Q2, Chemistry, physical - Q3, Materials science, multidisciplinary - Q3 Scimago - Chemistry (miscellaneous) - Q2, Electronic, optical and magnetic materials - Q3, Materials chemistry - Q2 </t>
  </si>
  <si>
    <t xml:space="preserve">Entrainment profiles: Comparison by gender, role, and feature set / Reichel, Uwe D. [Autor, 10%] ; Beňuš, Štefan [Autor, UKFFFAKAA, 80%] ; Mády, Katalin [Autor, 10%]. – text. – [angličtina]. – [OV 160]. – [článok]. – DOI 10.1016/j.specom.2018.04.009. – WOS CC ; SCO ; CCC In: Speech Communication [textový dokument (print)] : an interdisciplinary journal : a publication of the European Association for Signal Processing (EURASIP) and of the International Speech Communication Association (ISCA). – Amsterdam (Holandsko) : Elsevier. North-Holland. – ISSN 0167-6393. – ISSN (online) 1872-7182. – č. 100 (2018), s. 46-57 [tlačená forma] . – SJR: 0,513 ; CiteScore: 4,1 ; SNIP: 1,468 ; IF: 1.661 JIF - Acoustics - Q3, Computer science, interdisciplinary applications - Q3 Scimago - Communication - Q2, Computer science applications - Q2, Computer vision and pattern recognition - Q2, Language and linguistics - Q1, Linguistics and language - Q1, Modeling and simulation - Q2, Software - Q2 </t>
  </si>
  <si>
    <t xml:space="preserve">Enucleolation and nucleolus transfer in mammalian oocytes and zygotes / Benc, Michal [Autor, UKFFPVKZA, 60%] ; Fulka, Josef [Autor, 10%] ; Strejček, František [Autor, UKFFPVKBG, 5%] ; Morovič, Martin [Autor, UKFFPVKZA, 5%] ; Murin, Matej [Autor, 5%] ; Martinkova, Stanislava [Autor, 5%] ; Jettmarova, Dominika [Autor, 5%] ; Laurinčík, Jozef [Autor, UKFFPVKZA, 5%]. – text. – [angličtina]. – [OV 130]. – [článok]. – WOS CC ; SCO ; CCC In: International Journal of Developmental Biology [textový dokument (print)] : Linking Development, Stem Cells and Cancer Research. – Bilbao (Španielsko) : UPV/EHU Press. – ISSN 0214-6282. – ISSN (online) 1696-3547. – Roč. 63, č. 3-5 (2019), 253-258 [tlačená forma] . – SJR: 0,656 ; CiteScore: 1,7 ; SNIP: 0,422 ; IF: 1.105 JIF - Developmental biology - Q4 Scimago - Developmental biology - Q3, Embryology - Q3 </t>
  </si>
  <si>
    <t xml:space="preserve">Evaluation of Abiotic Controls on Windthrow Disturbance Using a Generalized Additive Model : A Case Study of the Tatra National Park, Slovakia / Falťan, Vladimír [Autor, UKOPRZFGGI, 50%] ; Katina, Stanislav [Autor, 15%] ; Minár, Jozef [Autor, UKOPRZFGGI, 15%] ; Polčák, Norbert [Autor, 4%] ; Bánovský, Martin [Autor, 2%] ; Maretta, Martin [Autor, 2%] ; Zámečník, Stanislav [Autor, 2%] ; Petrovič, František [Autor, UKFFPVKEE, 10%]. – text, ilustr., fotogr., graf., tab. – [angličtina]. – [OV 100, 092]. – [článok]. – DOI 10.3390/f11121259. – SIGN-UKO PR 541/20. – SCIE ; WOS CC ; SCO ; CCC In: Forests [elektronický dokument] . – Bazilej (Švajčiarsko) : Multidisciplinary Digital Publishing Institute. – ISSN (online) 1999-4907. – Roč. 11, č. 12 (2020), s. 1-18 [online] . – SJR: 0,676 ; CiteScore: 3,3 ; SNIP: 0,953 ; IF: 2.634 ; AIS: 0.522 AIS - Forestry - Q2 JIF - Forestry - Q1 Scimago - Forestry - Q1 </t>
  </si>
  <si>
    <t xml:space="preserve">Evaluation of English–Slovak neural and statistical machine translation / Benková, Lucia [Autor, UKFFPVKIN, 25%] ; Munková, Daša [Autor, UKFFFAKTR, 25%] ; Benko, Ľubomír [Autor, UKFFPVKIN, 25%] ; Munk, Michal [Autor, UKFFPVKIN, 25%]. – text. – [angličtina]. – [OV 020, 160]. – [článok]. – DOI 10.3390/app11072948. – WOS CC ; SCO ; CCC In: Applied sciences [elektronický dokument] . – Bazilej (Švajčiarsko) : Multidisciplinary Digital Publishing Institute. – ISSN (online) 2076-3417. – Roč. 11, č. 7 (2021), s. 1-14 [online] . – IF: 2,838 ; SNIP: 1,026 ; SJR: 0,507 ; CiteScore: 3,70 ; AIS: 0.409 AIS - Chemistry, multidisciplinary - Q3, Engineering, multidisciplinary - Q3, Materials science, multidisciplinary - Q3, Physics, applied - Q3 JIF - Chemistry, multidisciplinary - Q3, Engineering, multidisciplinary - Q2, Materials science, multidisciplinary - Q3, Physics, applied - Q2 Scimago - Computer science applications - Q3, Engineering (miscellaneous) - Q2, Fluid flow and transfer processes - Q2, Instrumentation - Q2, Materials science (miscellaneous) - Q2, Process chemistry and technology - Q2 </t>
  </si>
  <si>
    <t xml:space="preserve">Evaluation of fruit anatomy, accumulation and detection of polyphenols in black crowberry (Empetrum nigrum) from NW Slovakia / Juríková, Tünde [Autor, UKFFSSUVP, 20%] ; Ďurišová, Ľuba [Autor, SPUFAP26, 20%] ; Eliáš, Pavol [Autor, SPUFAP26, 15%] ; Mlček, Jiří [Autor, 15%] ; Sochor, Jiří [Autor, 15%] ; Ondrášová, Monika [Autor, 15%]. – [angličtina]. – [OV 190]. – [článok]. – DOI 10.24425/abcsb.2019.127744. – WOS CC ; SCO ; CCC In: Acta Biologica Cracoviensia [textový dokument (print)] [elektronický dokument] : series: Botanica. – Kraków (Poľsko) : Polska Akademia Nauk, Kraków (Poľsko) : Uniwersytet Jagielloński. – ISSN 0001-5296. – ISSN (online) 1898-0295. – Roč. 61, č. 2 (2019), s. 25-33 [tlačená forma] [online] . – SJR: 0,261 ; CiteScore: 1,7 ; SNIP: 0,595 ; IF: 0.656 JIF - Plant sciences - Q4 Scimago - Plant science - Q3 </t>
  </si>
  <si>
    <t xml:space="preserve">Examining Cross-Border Cultural Tourism as an Indicator of Territorial Integration across the Slovak-Hungarian Border / Hardi, Tamás [Autor, UKFFSSKCR, 25%] ; Kupi, Marcell [Autor, 25%] ; Ocskay, Gyula [Autor, 25%] ; Szemeredi, Eszter [Autor, 25%]. – text. – [angličtina]. – [OV 080]. – [článok]. – DOI 10.3390/su13137225. – WOS CC ; SCO ; CCC In: Sustainability [elektronický dokument] . – Bazilej (Švajčiarsko) : Multidisciplinary Digital Publishing Institute. – ISSN (online) 2071-1050. – Roč. 13, č. 13 (2021), s. 1-25 [online] . – IF: 3,889 ; SNIP: 1,310 ; SJR: 0,664 ; CiteScore: 5,00 ; AIS: 0.516 AIS - Environmental sciences - Q3, Environmental studies - Q4, Green &amp; sustainable science &amp; technology - Q4 JIF - Environmental sciences - Q2, Environmental studies - Q2, Green &amp; sustainable science &amp; technology - Q3 Scimago - Energy engineering and power technology - Q2, Environmental science (miscellaneous) - Q2, Geography, planning and development - Q1, Management, monitoring, policy and law - Q2, Renewable energy, sustainability and the environment - Q2 </t>
  </si>
  <si>
    <t xml:space="preserve">Experimental study of oriented strand board ignition by radiant heat fluxes / Tureková, Ivana [Autor, UKFPFAKTT, 30%] ; Marková, Iveta [Autor, ZUZFBIPŽI, 40%] ; Ivanovičová, Martina [Autor, 10%] ; Harangozó, Jozef [Autor, UKFPFAKTT, 20%]. – [angličtina]. – [OV 010, 170]. – [článok]. – DOI 10.3390/polym13050709. – WOS CC ; SCO ; CCC In: Polymers [elektronický dokument] . – Bazilej (Švajčiarsko) : Multidisciplinary Digital Publishing Institute. – ISSN (online) 2073-4360. – Roč. 13, č. 5 (2021), 1-13 [online] . – IF: 4.967 ; CiteScore: 5,7 ; SJR: 0,726 ; SNIP: 1,17 ; AIS: 0.612 AIS - Polymer science - Q1 JIF - Polymer science - Q1 Scimago - Chemistry (miscellaneous) - Q1, Polymers and plastics - Q1 </t>
  </si>
  <si>
    <t xml:space="preserve">Exploring the meaning of night shift placement in nursing education : A European multicentre qualitative study / Dobrowolská, Beáta [Autor, 9.1%] ; Visintini, Chiara [Autor, 9.09%] ; Pokorná, Andrea [Autor, 9.09%] ; Nascimento, Carla [Autor, 9.09%] ; Ferräo, Sónia [Autor, 9.09%] ; Žiaková, Katarína [Autor, UKOLJ240, 9.09%] ; Solgajová, Andrea [Autor, UKFFSVKOS, 9.09%] ; Rybárová, Ľubica [Autor, PUPFZPA, 9.09%] ; Machul, Michal [Autor, 9.09%] ; Lunazzi Gorizza, Giulia [Autor, 9.09%] ; Palese, Alvisa [Korešpondenčný autor, 9.09%]. – text. – [angličtina]. – [OV 180]. – [článok]. – DOI 10.1016/j.ijnurstu.2020.103687. – SIGN-UKO LJ331/20. – SIGN-PU FZ 138/20. – SCIE ; SSCI ; WOS CC ; SCO ; CCC In: International journal of nursing studies [textový dokument (print)] [elektronický dokument] . –    Oxford (Veľká Británia) : Elsevier. Pergamon Press. – ISSN 0020-7489. – ISSN (online) 1873-491X. – suppl., č. 112 S1 (2020), art. no. 103687, s. [1-11] [tlačená forma] [online] . – SJR: 1,613 ; CiteScore: 6,8 ; SNIP: 2,427 ; IF: 5.837 ; AIS: 1.635 AIS - Nursing - Q1 JIF - Nursing - Q1 Scimago - Nursing (miscellaneous) - Q1 </t>
  </si>
  <si>
    <t xml:space="preserve">Extracellular vesicles shuttle protective messages against heat stress in bovine granulosa cells / Gebremedhn, Samuel [Autor, 50%] ; Gad, Ahmed [Autor, 3%] ; Aglan, Hoda Samir [Autor, 2%] ; Laurinčík, Jozef [Autor, UKFFPVKZA, 35%] ; Procházka, Radek [Autor, 2%] ; Salilew-Wondin, Dessie [Autor, 2%] ; Hoelker, Michael [Autor, 2%] ; Schellander, Karl [Autor, 2%] ; Tesfaye, Dawid [Autor, 2%]. – text. – [angličtina]. – [OV 200, 190]. – [článok]. – DOI 10.1038/s41598-020-72706-z. – WOS CC ; SCO ; CCC In: Scientific Reports [elektronický dokument] [textový dokument (print)] . – Londýn (Veľká Británia) : Springer Nature. Nature Publishing Group. – ISSN (online) 2045-2322. – Roč. 10, č. 1 (2020), s. [1-19] [online] [tlačená forma] . – IF: 4.380 ; SNIP: 1.377 ; SJR: 1.240 ; CiteScore: 7.1 ; AIS: 1.285 AIS - Multidisciplinary sciences - Q2 JIF - Multidisciplinary sciences - Q1 Scimago - Multidisciplinary - Q1 </t>
  </si>
  <si>
    <t xml:space="preserve">Faces Anxiety Scale as a screening measure of preoperative anxiety: Validation and diagnostic accuracy study / Turzáková, Jana [Autor, UKFFSVUAP, 33.334%] ; Sollár, Tomáš [Autor, UKFFSVUAP, 33.333%] ; Solgajová, Andrea [Autor, UKFFSVKOS, 33.333%]. – text. – [angličtina]. – [OV 060]. – [článok]. – DOI 10.1111/ijn.12758. – WOS CC ; SCO ; CCC In: International Journal of Nursing Practice [textový dokument (print)] . – Hoboken (USA) : John Wiley &amp; Sons. – ISSN 1322-7114. – ISSN (online) 1440-172X. – Roč. 25, č. 4 (2019), art. no. e12758, s. [1-7] [tlačená forma] . – IF: 1.133 ; SJR: 0,502 ; CiteScore: 2,2 ; SNIP: 0,736 JIF - Nursing - Q3 Scimago - Nursing (miscellaneous) - Q2 </t>
  </si>
  <si>
    <t xml:space="preserve">Factor structure, reliability and validity of the EPOCH measure of adolescent well-being / Šeboková, Gabriela [Autor, UKFFSVKPV, 34%] ; Uhláriková, Jana [Autor, UKFFSVKPV, 33%] ; Halamová, Mária [Autor, UKFFSVKPV, 33%]. – text. – [angličtina]. – [OV 060]. – [článok]. – WOS CC ; SCO ; CCC In: Československá psychologie [textový dokument (print)] [elektronický dokument] : časopis pro psychologickou teorii a praxi. – Praha (Česko) : Akademie věd České republiky. Psychologický ústav AV ČR. – ISSN 0009-062X. – ISSN (online) 1804-6436. – Roč. 63, č. 3 (2019), 280-298 [tlačená forma] [online] . – IF: 0,478 ; SNIP: 0,26 ; SJR: 0,197 ; CiteScore: 0,7 JIF - Psychology, multidisciplinary - Q4 Scimago - Arts and humanities (miscellaneous) - Q3, Psychology (miscellaneous) - Q3 </t>
  </si>
  <si>
    <t xml:space="preserve">Fake consumer review detection using deep neural networks integrating word embeddings and emotion mining / Hájek, Petr [Autor, 34%] ; Barushka, Aliaksandr [Autor, 33%] ; Munk, Michal [Autor, UKFFPVKIN, 33%]. – text. – [angličtina]. – [OV 160]. – [článok]. – DOI 10.1007/s00521-020-04757-2. – WOS CC ; SCO ; CCC In: Neural Computing and Applications [textový dokument (print)] [elektronický dokument] . – Berlín (Nemecko) : Springer Nature. Springer International Publishing AG. – ISSN 0941-0643. – ISSN (online) 1433-3058. – Roč. 32, č. 23 (2020), s. 17259-17274 [tlačená forma] [online] . – SJR: 0,713 ; CiteScore: 7,3 ; SNIP: 1,784 ; IF: 5.606 ; AIS: 0.783 AIS - Computer science, artificial intelligence - Q2 JIF - Computer science, artificial intelligence - Q1 Scimago - Artificial intelligence - Q2, Software - Q1 </t>
  </si>
  <si>
    <t xml:space="preserve">Fennel Affects Ovarian Cell Proliferation, Apoptosis, and Response to Ghrelin / Sirotkin, Alexander [Autor, UKFFPVKZA, 40%] ; Alexa, Richard [Autor, UKFFPVKZA, 20%] ; Alwasel, Saleh Hamad Amad [Autor, 20%] ; Harrath, Abdel [Autor, 20%]. – text. – [angličtina]. – [OV 130]. – [článok]. – [recenzované]. – DOI 10.33549/physiolres.934546. – WOS CC ; SCO ; CCC In: Physiological research [textový dokument (print)] [elektronický dokument] . – Praha (Česko) : Akademie věd České republiky. Fyziologický ústav AV ČR. – ISSN 0862-8408. – ISSN (online) 1802-9973. – Roč. 70, č. 2 (2021), 237-243 [tlačená forma] [online] . – SNIP: 0.682 ; SJR: 0.528 ; CiteScore: 3.2 ; IF: 2.139 ; AIS: 0.403 AIS - Physiology - Q4 JIF - Physiology - Q4 Scimago - Medicine (miscellaneous) - Q2, Physiology - Q3 </t>
  </si>
  <si>
    <t xml:space="preserve">Fitting of heat capacity peaks of PCMs with a theoretical formula [Fitovanie píkov tepelnej kapacity PC materiálov teoretickým vzorcom] / Medveď, Igor [Autor, 010240 01.2021, 50%] ; Trník, Anton [Autor, UKFFPVKFY, 50%]. – text. – [angličtina]. – [OV 091]. – [článok]. – DOI 10.1007/s10973-019-08125-8. – WOS CC ; SCO ; CCC In: Journal of Thermal Analysis and Calorimetry [textový dokument (print)] [elektronický dokument] : an International Forum for Thermal Studies. – Dordrecht (Holandsko) : Springer Nature. Springer International Publishing AG. – ISSN 1388-6150. – ISSN (online) 1588-2926. – Roč. 138, č. 4 (2019), s. 2597-2603 [tlačená forma] [online] . – IF: 2,731 ; SJR: 0,415 ; CiteScore: 4,3 ; SNIP: 1,078 JIF - Chemistry, analytical - Q2, Chemistry, physical - Q3, Thermodynamics - Q2 Scimago - Condensed matter physics - Q3, Physical and theoretical chemistry - Q3 </t>
  </si>
  <si>
    <t xml:space="preserve">Flash-flood susceptibility assessment using multi-criteria decision making and machine learning supported by remote sensing and GIS techniques / Costache, Romulus [Autor, 20%] ; Pham, Quoc Bao [Autor, 20%] ; Sharifi, Ehsan [Autor, 10%] ; Linh, Nguyen Thi Thuy [Autor, 5%] ; Abba, S. I. [Autor, 5%] ; Vojtek, Matej [Autor, UKFFPVKGR, 15%] ; Vojteková, Jana [Autor, UKFFPVKGR, 15%] ; Pham Thi, Thao Nhi [Korešpondenčný autor, 5%] ; Nguyen Khoi, Dao [Autor, 5%]. – text. – [angličtina]. – [OV 100]. – [článok]. – DOI 10.3390/RS12010106. – WOS CC ; SCO ; CCC In: Remote Sensing [elektronický dokument] . – Bazilej (Švajčiarsko) : Molecular Diversity Preservation International. – ISSN (online) 2072-4292. – Roč. 12, č. 1 (2020), Art. no. 106, s. 1-12 [online] . – IF: 4,848 ; SNIP: 1,708 ; SJR: 1,285 ; CiteScore: 6,6 ; AIS: 0.933 AIS - Environmental sciences - Q2, Geosciences, multidisciplinary - Q2, Imaging science &amp; photographic technology - Q2, Remote sensing - Q2 JIF - Environmental sciences - Q2, Geosciences, multidisciplinary - Q1, Imaging science &amp; photographic technology - Q2, Remote sensing - Q2 Scimago - Earth and planetary sciences (miscellaneous) - Q1 </t>
  </si>
  <si>
    <t xml:space="preserve">Flood inundation mapping in small and ungauged basins: Sensitivity analysis using the EBA4SUB and HEC-RAS modeling approach / Vojtek, Matej [Autor, UKFFPVKGR, 70%] ; Petroselli, Andrea [Autor, 14%] ; Vojteková, Jana [Autor, UKFFPVKGR, 14%] ; Asgharinia, Shahla [Autor, 2%]. – text. – [angličtina]. – [OV 050]. – [článok]. – DOI 10.2166/nh.2019.163. – WOS CC ; SCO ; CCC In: Hydrology Research [textový dokument (print)] : an International Journal. – Londýn (Veľká Británia) : IWA Publishing. – ISSN 1998-9563. – ISSN (online) 2224-7955. – Roč. 50, č. 4 (2019), 1002-1019 [tlačená forma] . – SJR: 0,815 ; CiteScore: 4,1 ; SNIP: 0,843 ; IF: 2.012 JIF - Water resources - Q2 Scimago - Water science and technology - Q1 </t>
  </si>
  <si>
    <t xml:space="preserve">Flood mapping in small ungauged basins: A comparison of different approaches for two case studies in Slovakia / Petroselli, Andrea [Autor, 40%] ; Vojtek, Matej [Autor, UKFFPVKGR, 40%] ; Vojteková, Jana [Autor, UKFFPVKGR, 20%]. – text. – [angličtina]. – [OV 050]. – [článok]. – DOI 10.2166/nh.2018.040. – WOS CC ; SCO ; CCC In: Hydrology Research [textový dokument (print)] : an International Journal. – Londýn (Veľká Británia) : IWA Publishing. – ISSN 1998-9563. – ISSN (online) 2224-7955. – Roč. 50, č. 1 (2019), 379-392 [tlačená forma] . – SJR: 0,815 ; CiteScore: 4,1 ; SNIP: 0,843 ; IF: 2.012 JIF - Water resources - Q2 Scimago - Water science and technology - Q1 </t>
  </si>
  <si>
    <t xml:space="preserve">Flood maps and their potential role in local spatial planning: a case study from Slovakia / Vojtek, Matej [Autor, UKFFPVKGR, 50%] ; Vojteková, Jana [Autor, UKFFPVKGR, 50%]. – text. – [angličtina]. – [OV 092]. – [článok]. – DOI 10.2166/wp.2018.077. – WOS CC ; SCO ; CCC In: Water Policy [textový dokument (print)] [elektronický dokument] . – London (Veľká Británia) : Elsevier. – ISSN 1366-7017. – Roč. 20, č. 5 (2018), 1042-1058 [tlačená forma] [online] . – IF: 1.011 ; SJR: 0,418 ; CiteScore: 2 ; SNIP: 0,613 JIF - Water resources - Q4 Scimago - Geography, planning and development - Q2, Management, monitoring, policy and law - Q3, Water science and technology - Q2 </t>
  </si>
  <si>
    <t xml:space="preserve">Flood Risk Assessment for the Long-term Strategic Planning Considering the Placement of Industrial Parks in Slovakia / Grežo, Henrich [Autor, UKFFPVKEE, 40%] ; Močko, Matej [Autor, UKFFPVKEE, 10%] ; Izsóff, Martin [Autor, UKFFPVKEE, 10%] ; Vrbičanová, Gréta [Autor, UKFFPVKEE, 10%] ; Petrovič, František [Autor, UKFFPVKEE, 5%] ; Straňák, Jozef [Autor, UKFFPVKEE, 5%] ; Muchová, Zlatica [Autor, SPUFZK05, 5%] ; Slámová, Martina [Autor, KPTK, 10%] ; Olah, Branislav [Autor, KAE, 4%] ; Machar, Ivo [Autor, 1%]. – text. – [angličtina]. – [OV 100]. – [článok]. – DOI 10.3390/su12104144. – WOS CC ; SCO ; CCC In: Sustainability [elektronický dokument] . – Bazilej (Švajčiarsko) : Multidisciplinary Digital Publishing Institute. – ISSN (online) 2071-1050. – suppl. Flood Risks, Vulnerability and Governance Roč. 12, č. 10 (2020), art. no. 4144, s. 1-20 [1,2 AH] [online] . – IF: 3,251 ; SNIP: 1,242 ; SJR: 0,612 ; CiteScore: 3,90 ; AIS: 0.462 AIS - Environmental sciences - Q3, Environmental studies - Q4, Green &amp; sustainable science &amp; technology - Q4 JIF - Environmental sciences - Q2, Environmental studies - Q2, Green &amp; sustainable science &amp; technology - Q3 Scimago - Energy engineering and power technology - Q2, Environmental science (miscellaneous) - Q2, Geography, planning and development - Q1, Management, monitoring, policy and law - Q2, Renewable energy, sustainability and the environment - Q2 </t>
  </si>
  <si>
    <t xml:space="preserve">Flood Susceptibility Mapping on a National Scale in Slovakia Using the Analytical Hierarchy Process / Vojtek, Matej [Autor, UKFFPVKGR, 50%] ; Vojteková, Jana [Autor, UKFFPVKGR, 50%]. – text. – [angličtina]. – [OV 050]. – [článok]. – WOS CC ; SCO ; CCC In: Water [elektronický dokument] . – Bazilej (Švajčiarsko) : Multidisciplinary Digital Publishing Institute. – ISSN (online) 2073-4441. – Roč. 11, č. 2 (2019), art. no. 364 364-364 [online] . – IF: 2,544 ; SNIP: 1,074 ; SJR: 0,657 ; CiteScore: 3,0 JIF - Water resources - Q2 Scimago - Aquatic science - Q2, Biochemistry - Q3, Geography, planning and development - Q1, Water science and technology - Q2 </t>
  </si>
  <si>
    <t xml:space="preserve">Forgotten in time: The state of legislation, recovery, identification, and repatriation of World War I and II soldiers in Slovakia / Putško, Mária [Korešpondenčný autor, UKOLJ252, 75%] ; Bordáč, Miloš [Autor, UKFFFAKAR, 10%] ; Beljak, Ján [Autor, 10%] ; Krajčovič, Jozef [Autor, UKOLJ252, 5%]. – text, obr. – [angličtina]. – [OV 030]. – [článok]. – DOI 10.1016/j.forsciint.2020.110673. – SIGN-UKO LJ25/21. – SCIE ; WOS CC ; SCO ; CCC In: Forensic Science International [textový dokument (print)] [elektronický dokument] . – Limerick (Írsko) : Elsevier. – ISSN 0379-0738. – ISSN (online) 1872-6283. – č. 319 (2021), art. no. 110673, s. [1-9] [tlačená forma] [online] . – SNIP: 1.322 ; SJR: 0.798 ; CiteScore: 4.4 ; IF: 2.676 ; AIS: 0.533 AIS - Medicine, legal - Q2 JIF - Medicine, legal - Q2 Scimago - Law - Q1, Pathology and forensic medicine - Q1 </t>
  </si>
  <si>
    <t xml:space="preserve">Formation of supramolecular hydrogen-bonding chains and networks from copper (II) halogenobenzoates with N-methylnicotinamide: Supramolecular isomerism / Halaška, Jozef [Autor, 042190, 19%] ; Lokaj, Ján [Autor, C2110, 19%] ; Jomová, Klaudia [Autor, UKFFPVKCH, 19%] ; Růžičková, Zděnka [Autor, 5%] ; Mazúr, Milan [Autor, 045210, 19%] ; Moncoľ, Ján [Autor, 042190, 19%]. – [angličtina]. – [OV 120]. – [článok]. – WOS CC ; SCO ; CCC In: Polyhedron [textový dokument (print)] [elektronický dokument] : The International Journal for Research in Inorganic Chemistry. – Amsterdam (Holandsko) : Elsevier. – ISSN 0277-5387. – ISSN (online) 1873-3719. – č. 175 (2020), Art. No. 114237, s. [1-15] [tlačená forma] [online] . – SJR: 0,496 ; CiteScore: 4,6 ; SNIP: 0,669 ; IF: 3.052 ; AIS: 0.300 AIS - Chemistry, inorganic &amp; nuclear - Q3, Crystallography - Q3 JIF - Chemistry, inorganic &amp; nuclear - Q2, Crystallography - Q2 Scimago - Inorganic chemistry - Q2, Materials chemistry - Q2, Physical and theoretical chemistry - Q2 </t>
  </si>
  <si>
    <t xml:space="preserve">Frankamenite as an Ornamental Gem Material / Hanus, Radek [Autor, 50%] ; Štubňa, Ján [Autor, UKFFPVGMU, 49%] ; Jungmannová, Kamila [Autor, 1%]. – text. – [angličtina]. – [OV 092]. – [článok]. – DOI 10.15506/JoG.2020.37.2.132. – WOS CC ; SCO ; CCC In: The Journal of Gemmology [textový dokument (print)] . – Londýn (Veľká Británia) : The Gemmological Association of Great Britain. – ISSN 1355-4565. – ISSN (online) 2632-1718. – Roč. 37, č. 2 (2020), 132-133 [tlačená forma] . – IF: 1.375 ; SNIP: 0.667 ; SJR: 0.339 ; CiteScore: 0,5 ; AIS: 0.262 AIS - Mineralogy - Q4 JIF - Mineralogy - Q3 Scimago - Geochemistry and petrology - Q3 </t>
  </si>
  <si>
    <t xml:space="preserve">FSH, oxytocin and IGF-I regulate the expression of sirtuin 1 in porcine ovarian granulosa cells. / Sirotkin, Alexander [Korešpondenčný autor, UKFFPVKZA, 80%] ; Dekanová, Petra [Autor, 10%] ; Harrath, Abdel Halim [Autor, 10%]. – text. – [angličtina]. – [OV 200, 130]. – [článok]. – WOS CC ; SCO ; CCC In: Physiological research [textový dokument (print)] [elektronický dokument] . – Praha (Česko) : Akademie věd České republiky. Fyziologický ústav AV ČR. – ISSN 0862-8408. – ISSN (online) 1802-9973. – Roč. 69, č. 3 (2020), s. 1-16 [tlačená forma] [online] . – IF: 1,881 ; SJR: 0,647 ; CiteScore: 3,1 ; SNIP: 0,686 ; AIS: 0.389 AIS - Physiology - Q4 JIF - Physiology - Q4 Scimago - Medicine (miscellaneous) - Q2, Physiology - Q3 </t>
  </si>
  <si>
    <t xml:space="preserve">Gem-quality Euchroite from Slovakia / Hanus, Radek [Korešpondenčný autor, 4%] ; Štubňa, Ján [Autor, UKFFPVGMU, 95%] ; Jungmannová, Kamila [Autor, 1%]. – text. – [angličtina]. – [OV 092]. – [článok]. – DOI 10.15506/JoG.2020.37.2.127. – WOS CC ; SCO ; CCC In: The Journal of Gemmology [textový dokument (print)] . – Londýn (Veľká Británia) : The Gemmological Association of Great Britain. – ISSN 1355-4565. – ISSN (online) 2632-1718. – Roč. 37, č. 2 (2020), 127-128 [tlačená forma] . – IF: 1.375 ; SNIP: 0.667 ; SJR: 0.339 ; CiteScore: 0,5 ; AIS: 0.262 AIS - Mineralogy - Q4 JIF - Mineralogy - Q3 Scimago - Geochemistry and petrology - Q3 </t>
  </si>
  <si>
    <t xml:space="preserve">Gem-Quality Green Cr-Bearing Andradite (var. Demantoid) from Dobsina, Slovakia / Štubňa, Ján [Autor, UKFFPVGMU, 28%] ; Bačík, Peter [Autor, UKOPRGMP, 17%] ; Fridrichová, Jana [Autor, UKOPRGMP, 16%] ; Hanus, Radek [Autor, 1%] ; Illášová, Ľudmila [Autor, UKFFPVGMU, 6%] ; Milovská, Stanislava [Autor, 10%] ; Škoda, Radek [Autor, 10%] ; Vaculovič, Tomáš [Autor, 10%] ; Čerňanský, Slavomír [Autor, UKOPREEF, 2%]. – text, tab., obr. – [angličtina]. – [OV 092, 100]. – [článok]. – SIGN-UKO PR 112/19. – WOS CC ; SCO ; CCC In: Minerals [elektronický dokument] . – Bazilej (Švajčiarsko) : Multidisciplinary Digital Publishing Institute. – ISSN (online) 2075-163X. – Roč. 9, č. 3 (2019), Art. No. 164, s. [1-12] [online] . – IF: 2,38 ; SJR: 0,494 ; CiteScore: 2,6 ; SNIP: 1,049 JIF - Mineralogy - Q2, Mining &amp; mineral processing - Q2 Scimago - Geology - Q2, Geotechnical engineering and engineering geology - Q2 </t>
  </si>
  <si>
    <t xml:space="preserve">Genetic variability and conservation of the endangered Pannonian root vole in fragmented habitats of an agricultural landscape / Kelemen, Krisztina A. [Autor, 10%] ; Urzi, Felicita [Autor, 10%] ; Buzan, Elena [Autor, 10%] ; Horváth, Győző F. [Autor, 10%] ; Tulis, Filip [Autor, UKFFPVKEE, 30%] ; Baláž, Ivan [Autor, UKFFPVKEE, 30%]. – text. – [angličtina]. – [OV 100]. – [článok]. – DOI 10.3897/natureconservation.43.58798. – WOS CC ; SCO ; CCC In: Nature Conservation [textový dokument (print)] [elektronický dokument] . – Sofia (Bulharsko) : Pensoft Publishers, Sofia (Bulharsko) : Bulgarian Pharmaceutical Science Society. – ISSN 1314-6947. – ISSN (online) 1314-3301. – č. 43 (2021), s. 167-191 [tlačená forma] [online] . – CiteScore: 4,5 ; IF: 2.431 ; SJR: 0,583 ; SNIP: 0,904 ; AIS: 0.549 AIS - Biodiversity conservation - Q3 JIF - Biodiversity conservation - Q2 Scimago - Nature and landscape conservation - Q2 </t>
  </si>
  <si>
    <t xml:space="preserve">Geometric thinking of future teachers for primary education - An exploratory study in Slovakia / Pavlovičová, Gabriela [Autor, UKFFPVKMA, 50%] ; Bočková, Veronika [Autor, UKFFPVKMA, 50%]. – text. – [angličtina]. – [OV 010]. – [ŠO 1113]. – [článok]. – DOI 10.3390/math9232992. – WOS CC ; SCO ; CCC In: Mathematics [elektronický dokument] . – Bazilej (Švajčiarsko) : Multidisciplinary Digital Publishing Institute. – ISSN (online) 2227-7390. – Roč. 9, č. 23 (2021), s. 1-13 [online] . – CiteScore: 2,9 ; IF: 2.592 ; SJR: 0,538 ; SNIP: 1,162 ; AIS: 0.409 AIS - Mathematics - Q3 JIF - Mathematics - Q1 Scimago - Computer science (miscellaneous) - Q2, Engineering (miscellaneous) - Q2, Mathematics (miscellaneous) - Q2 </t>
  </si>
  <si>
    <t xml:space="preserve">Geomorphological processes at the industrial sludge landfill in Sered, Slovakia / Michaeli, Eva [Autor, PUPHUGG, 60%] ; Maxin, Matúš [Autor, PUPHUGG, 10%] ; Solár, Vladimír [Autor, PUPHUGG, 20%] ; Vilček, Jozef [Autor, PUPHUGG, 5%] ; Boltižiar, Martin [Autor, UKFFPVKGR, 5%]. – text. – [angličtina]. – [OV 100, 092]. – [článok]. – DOI 10.3390/su13126605. – SIGN-PU FHPV-21 105/21. – WOS CC ; SCO ; CCC In: Sustainability [elektronický dokument] . – Bazilej (Švajčiarsko) : Multidisciplinary Digital Publishing Institute. – ISSN (online) 2071-1050. – Roč. 13, č. 12 (2021), art. no. 6605, s. [1-14] [online] . – IF: 3,889 ; SNIP: 1,310 ; SJR: 0,664 ; CiteScore: 5,00 ; AIS: 0.516 AIS - Environmental sciences - Q3, Environmental studies - Q4, Green &amp; sustainable science &amp; technology - Q4 JIF - Environmental sciences - Q2, Environmental studies - Q2, Green &amp; sustainable science &amp; technology - Q3 Scimago - Energy engineering and power technology - Q2, Environmental science (miscellaneous) - Q2, Geography, planning and development - Q1, Management, monitoring, policy and law - Q2, Renewable energy, sustainability and the environment - Q2 </t>
  </si>
  <si>
    <t xml:space="preserve">Geotourism Potential Assessment: a Case Study of the Czech-Austrian cross-border area / Rypl, Jiří [Autor, 40%] ; Havlíček, Marek [Autor, 30%] ; Dostál, Ivo [Autor, UKFFPVKEE, 30%]. – text. – [angličtina]. – [OV 100]. – [článok]. – DOI 10.1007/s12371-020-00522-y. – WOS CC ; SCO ; CCC In: Geoheritage [elektronický dokument] [textový dokument (print)] . – Heidelberg (Nemecko) : Springer Nature. – ISSN 1867-2477. – ISSN (online) 1867-2485. – Roč. 13, č. 1 (2021), s. 1-14 [online] [tlačená forma] . – CiteScore: 4,7 ; IF: 2.786 ; SJR: 0,489 ; SNIP: 1,177 ; AIS: 0.352 AIS - Geosciences, multidisciplinary - Q4 JIF - Geosciences, multidisciplinary - Q3 Scimago - Earth and planetary sciences (miscellaneous) - Q2, Geography, planning and development - Q2, Nature and landscape conservation - Q2 </t>
  </si>
  <si>
    <t xml:space="preserve">GIS distance learning during the COVID-19 pandemic (students' perception) / Vojteková, Jana [Autor, UKFFPVKGR, 20%] ; Tirpáková, Anna [Autor, UKFFPVKMA, 20%] ; Gonda, Dalibor [Autor, ZUZRIAMOA, 20%] ; Žoncová, Michaela [Autor, UMBFP01, 20%] ; Vojtek, Matej [Autor, UKFFPVKGR, 20%]. – text. – [angličtina]. – [OV 100]. – [článok]. – DOI 10.3390/su13084484. – WOS CC ; SCO ; CCC In: Sustainability [elektronický dokument] . – Bazilej (Švajčiarsko) : Multidisciplinary Digital Publishing Institute. – ISSN (online) 2071-1050. – Roč. 13, č. 8 (2021), s. [1-16] [online] . – IF: 3,889 ; SNIP: 1,310 ; SJR: 0,664 ; CiteScore: 5,00 ; AIS: 0.516 AIS - Environmental sciences - Q3, Environmental studies - Q4, Green &amp; sustainable science &amp; technology - Q4 JIF - Environmental sciences - Q2, Environmental studies - Q2, Green &amp; sustainable science &amp; technology - Q3 Scimago - Energy engineering and power technology - Q2, Environmental science (miscellaneous) - Q2, Geography, planning and development - Q1, Management, monitoring, policy and law - Q2, Renewable energy, sustainability and the environment - Q2 </t>
  </si>
  <si>
    <t xml:space="preserve">GIS-based comparative assessment of flood susceptibility mapping using hybrid multi-criteria decision-making approach, naïve Bayes tree, bivariate statistics and logistic regression: A case of Topľa basin, Slovakia / Ali, Sk Ajim [Autor, 22%] ; Parvin, Farhana [Autor, 21%] ; Pham, Quoc Bao [Korešpondenčný autor, 20%] ; Vojtek, Matej [Autor, UKFFPVKGR, 20%] ; Vojteková, Jana [Autor, UKFFPVKGR, 10%] ; Costache, Romulus [Autor, 2%] ; Linh, Nguyen Thi Thuy [Autor, 2%] ; Nguyen, Hong Quan [Autor, 1%] ; Ahmad, Ateeque [Autor, 1%] ; Ghorbani, Mohammad Ali [Korešpondenčný autor, 1%]. – text. – [angličtina]. – [OV 100]. – [článok]. – DOI 10.1016/j.ecolind.2020.106620. – WOS CC ; SCO ; CCC In: Ecological Indicators [textový dokument (print)] [elektronický dokument] : Integrating Sciences for Monitoring, Assessment and Management. – Amsterdam (Holandsko) : Elsevier. – ISSN 1470-160X. – ISSN (online) 1872-7034. – č. 117 (2020), Art. no. 106620, s. 1-23 [tlačená forma] [online] . – IF: 4.958 ; SNIP: 1,644 ; SJR: 1,315 ; CiteScore: 7,5 ; AIS: 1.035 AIS - Environmental sciences - Q2 JIF - Environmental sciences - Q2 Scimago - Decision sciences (miscellaneous) - Q1, Ecology - Q1, Ecology, evolution, behavior and systematics - Q1 </t>
  </si>
  <si>
    <t xml:space="preserve">GIS-Based Landscape Stability Analysis: A Comparison of Overlay Method and Fuzzy Model for the Case Study in Slovakia / Vojteková, Jana [Autor, UKFFPVKGR, 50%] ; Vojtek, Matej [Autor, UKFFPVKGR, 50%]. – text. – [angličtina]. – [OV 100]. – [článok]. – WOS CC ; SCO ; CCC In: The Professional geographer [textový dokument (print)] : forum and journal of the Association of American Geographers. – Hamilton (USA) : Association of American Geographers. – ISSN 0033-0124. – ISSN (online) 1467-9272. – Roč. 71, č. 4 (2019), 631-644 [tlačená forma] . – SJR: 0,816 ; CiteScore: 3,1 ; SNIP: 1,087 ; IF: 1.623 JIF - Geography - Q3 Scimago - Earth-surface processes - Q1, Geography, planning and development - Q1 </t>
  </si>
  <si>
    <t xml:space="preserve">GIS-based landslide susceptibility modeling: A comparison between fuzzy multi-criteria and machine learning algorithms / Ali, S. [Autor, 24%] ; Parvin, Farhana [Autor, 24%] ; Vojteková, Jana [Autor, UKFFPVKGR, 20%] ; Costache, Romulus [Autor, 2%] ; Linh, Nguyen Thi Thuy [Autor, 2%] ; Pham, Quoc Bao [Korešpondenčný autor, 2%] ; Vojtek, Matej [Autor, UKFFPVKGR, 20%] ; Gigović, Ljubomir [Autor, 2%] ; Ahmad, Ali [Autor, 2%] ; Ghorbani, Mohammad Ali [Autor, 2%]. – text. – [angličtina]. – [OV 050]. – [článok]. – DOI 10.1016/j.gsf.2020.09.004. – WOS CC ; SCO ; CCC In: Geoscience Frontiers [textový dokument (print)] [elektronický dokument] . – Peking (Čína) : China University of Geosciences, Amsterdam (Čína) : Elsevier. – ISSN 1674-9871. – ISSN (online) 2588-9192. – Roč. 12, č. 2 (2021), 857-876 [tlačená forma] [online] . – CiteScore: 11,8 ; IF: 7.483 ; SJR: 1,78 ; SNIP: 2,549 ; AIS: 1.957 AIS - Geosciences, multidisciplinary - Q1 JIF - Geosciences, multidisciplinary - Q1 Scimago - Earth and planetary sciences (miscellaneous) - Q1 </t>
  </si>
  <si>
    <t xml:space="preserve">Gis-based spatial and multi-criteria assessment of riverine flood potential: A case study of the Nitra river basin, Slovakia / Vojtek, Matej [Autor, UKFFPVKGR, 50%] ; Vojteková, Jana [Autor, UKFFPVKGR, 45%] ; Pham, Quoc Bao [Autor, 5%]. – text. – [angličtina]. – [OV 160]. – [článok]. – DOI 10.3390/ijgi10090578. – WOS CC ; SCO ; CCC In: ISPRS International journal of geo-information [elektronický dokument] . – Bazilej (Švajčiarsko) : Multidisciplinary Digital Publishing Institute. – ISSN (online) 2220-9964. – Roč. 10, č. 9 (2021), s. 1-16 [online] . – CiteScore: 5 ; IF: 3.099 ; SJR: 0,721 ; SNIP: 1,231 ; AIS: 0.498 AIS - Computer science, information systems - Q3, Geography, physical - Q3, Remote sensing - Q3 JIF - Computer science, information systems - Q3, Geography, physical - Q2, Remote sensing - Q3 Scimago - Computers in earth sciences - Q2, Earth and planetary sciences (miscellaneous) - Q1, Geography, planning and development - Q1 </t>
  </si>
  <si>
    <t xml:space="preserve">Global transcriptome analysis of porcine oocytes in correlation with follicle size / Gad, Ahmed [Autor, 10%] ; Nemcova, Lucie [Autor, 15%] ; Murin, Matej [Autor, 10%] ; Kinterova, Veronika [Autor, 10%] ; Kanka, Jiri [Autor, 10%] ; Benc, Michal [Autor, 10%] ; Pendovski, Lazo [Autor, 10%] ; Prochazka, Radek [Autor, 10%] ; Laurinčík, Jozef [Autor, UKFFPVKZA, 15%]. – text. – [angličtina]. – [OV 130]. – [článok]. – DOI 10.1002/mrd.23294. – WOS CC ; SCO ; CCC In: Molecular Reproduction and Development [textový dokument (print)] . – ISSN 1040-452X. – ISSN (online) 1098-2795. – Roč. 87, č. 1 (2020), s. 1-10 [tlačená forma] . – SJR: 0,745 ; CiteScore: 4,3 ; SNIP: 0,913 ; IF: 2.609 ; AIS: 0.843 AIS - Biochemistry &amp; molecular biology - Q2, Cell biology - Q3, Developmental biology - Q3, Reproductive biology - Q3 JIF - Biochemistry &amp; molecular biology - Q3, Cell biology - Q4, Developmental biology - Q2, Reproductive biology - Q3 Scimago - Cell biology - Q3, Developmental biology - Q3, Genetics - Q3 </t>
  </si>
  <si>
    <t xml:space="preserve">Green Orthoclase with Chatoyancy from Vietnam / Hanus, Radek [Autor, 50%] ; Štubňa, Ján [Autor, UKFFPVGMU, 50%]. – text. – [angličtina]. – [OV 092]. – [článok]. – DOI 10.15506/JoG.2020.37.2.140. – WOS CC ; SCO ; CCC In: The Journal of Gemmology [textový dokument (print)] . – Londýn (Veľká Británia) : The Gemmological Association of Great Britain. – ISSN 1355-4565. – ISSN (online) 2632-1718. – Roč. 37, č. 2 (2020), 140-140 [tlačená forma] . – IF: 1.375 ; SNIP: 0.667 ; SJR: 0.339 ; CiteScore: 0,5 ; AIS: 0.262 AIS - Mineralogy - Q4 JIF - Mineralogy - Q3 Scimago - Geochemistry and petrology - Q3 </t>
  </si>
  <si>
    <t xml:space="preserve">Green tea can supress rabbit ovarian functions in vitro and in vivo / Baláži, Andrej [Autor, 40%] ; Sirotkin, Alexander [Autor, UKFFPVKZA, 10%] ; Földešiová, Martina [Autor, SPUFBP01, 10%] ; Makovický, Peter [Autor, 10%] ; Chrastinová, Ľubica [Autor, 10%] ; Chrenek, Peter [Autor, SPUFBP01, 10%] ; Makovický, Pavol [Autor, UJSPFKBIO, 10%]. – text. – [angličtina]. – [OV 190, 130, 200]. – [článok]. – DOI 10.1016/j.theriogenology.2019.01.010. – WOS CC ; SCO ; CCC In: Theriogenology [textový dokument (print)] [elektronický dokument] : an International Journal of Animal Reproduction. – Amsterdam (Holandsko) : Elsevier. – ISSN 0093-691X. – ISSN (online) 1879-3231. – č. 127 (2019), 72-79 [tlačená forma] [online] . – IF: 2.094 ; SJR: 0,874 ; CiteScore: 4,2 ; SNIP: 1,32 JIF - Reproductive biology - Q3, Veterinary sciences - Q1 Scimago - Animal science and zoology - Q1, Equine - Q1, Food animals - Q1, Small animals - Q1 </t>
  </si>
  <si>
    <t xml:space="preserve">Happiness in Czechia during the COVID-19 Pandemic / Petrovič, František [Autor, UKFFPVKEE, 50%] ; Murgaš, František [Autor, 10%] ; Králik, Roman [Autor, 40%]. – text. – [angličtina]. – [OV 100]. – [článok]. – DOI 10.3390/su131910826. – WOS CC ; SCO ; CCC In: Sustainability [elektronický dokument] . – Bazilej (Švajčiarsko) : Multidisciplinary Digital Publishing Institute. – ISSN (online) 2071-1050. – Roč. 13, č. 19 (2021), s. 1-17 [online] . – IF: 3,889 ; SNIP: 1,310 ; SJR: 0,664 ; CiteScore: 5,00 ; AIS: 0.516 AIS - Environmental sciences - Q3, Environmental studies - Q4, Green &amp; sustainable science &amp; technology - Q4 JIF - Environmental sciences - Q2, Environmental studies - Q2, Green &amp; sustainable science &amp; technology - Q3 Scimago - Energy engineering and power technology - Q2, Environmental science (miscellaneous) - Q2, Geography, planning and development - Q1, Management, monitoring, policy and law - Q2, Renewable energy, sustainability and the environment - Q2 </t>
  </si>
  <si>
    <t xml:space="preserve">Health Effects of Grape Seed and Skin Extracts and Their Influence on Biochemical Markers / Sochorova, Lenka [Autor, 5%] ; Prusova, Bozena [Autor, 5%] ; Cebová, Martina [Autor, 5%] ; Juríková, Tünde [Autor, UKFFSSUVP, 60%] ; Mlček, Jiří [Autor, 5%] ; Adámková, Anna [Autor, 5%] ; Nedomová, Šárka [Autor, 5%] ; Baroň, Mojmír [Autor, 5%] ; Sochor, Jiří [Autor, 5%]. – text. – [angličtina]. – [OV 010]. – [článok]. – DOI 10.3390/molecules25225311. – WOS CC ; SCO ; CCC In: Molecules [elektronický dokument] : a Journal of Synthetic Chemistry and Natural Product Chemistry. – Bazilej (Švajčiarsko) : Multidisciplinary Digital Publishing Institute. – ISSN (online) 1420-3049. – Roč. 25, č. 22 (2020), s. 1-31 [online] . – IF: 4,412 ; CiteScore: 4.7 ; SJR: 0.782 ; SNIP: 1.249 ; AIS: 0.694 AIS - Biochemistry &amp; molecular biology - Q3, Chemistry, multidisciplinary - Q2 JIF - Biochemistry &amp; molecular biology - Q2, Chemistry, multidisciplinary - Q2 Scimago - Analytical chemistry - Q2, Chemistry (miscellaneous) - Q1, Drug discovery - Q2, Medicine (miscellaneous) - Q2, Molecular medicine - Q3, Organic chemistry - Q2, Pharmaceutical science - Q1, Physical and theoretical chemistry - Q2 </t>
  </si>
  <si>
    <t xml:space="preserve">Health risks related to domestic violence against Roma women / Kozubík, Michal [Korešpondenčný autor, UKFFSVKSP, 29%] ; van Dijk, Jitse Pieter [Autor, 1%] ; Rác, Ivan [Autor, UKFFSVURS, 70%]. – text. – [angličtina]. – [OV 060]. – [článok]. – DOI 10.3390/ijerph17196992. – WOS CC ; SCO ; CCC In: International journal of environmental research and public health [elektronický dokument] [textový dokument (print)] : open access journal. – Basel (Švajčiarsko) : Multidisciplinary Digital Publishing Institute. – ISSN 1661-7827. – ISSN (online) 1660-4601. – Roč. 17, č. 19 (2020), 1-12 [online] [tlačená forma] . – IF: 3,390 ; SNIP: 1,356 ; SJR: 0,747 ; CiteScore: 3,40 ; AIS: 0.770 AIS - Environmental sciences - Q2, Public, environmental &amp; occupational health - Q3 JIF - Environmental sciences - Q2, Public, environmental &amp; occupational health - Q1 Scimago - Health, toxicology and mutagenesis - Q2, Pollution - Q2, Public health, environmental and occupational health - Q2 </t>
  </si>
  <si>
    <t xml:space="preserve">Heat transport and storage processes in differential scanning calorimeter: Computational analysis and model validation / Kočí, Václav [Autor, 25%] ; Maděra, Jiří [Autor, 25%] ; Trník, Anton [Autor, UKFFPVKFY, 25%] ; Černý, Robert [Autor, 25%]. – text. – [angličtina]. – [OV 091]. – [článok]. – WOS CC ; SCO ; CCC In: International Journal of Heat and Mass Transfer [textový dokument (print)] [elektronický dokument] . – Amsterdam (Holandsko) : Elsevier, Oxford (Veľká Británia) : Elsevier. Pergamon Press. – ISSN 0017-9310. – ISSN (online) 1879-2189. – č. 136 (2019), 355-364 [tlačená forma] [online] . – SJR: 1,647 ; CiteScore: 8,2 ; SNIP: 1,962 ; IF: 4.947 JIF - Engineering, mechanical - Q1, Mechanics - Q1, Thermodynamics - Q1 Scimago - Condensed matter physics - Q1, Fluid flow and transfer processes - Q1, Mechanical engineering - Q1 </t>
  </si>
  <si>
    <t xml:space="preserve">High temperature impairs rabbit viability, feed consumption, growth and fecundity: examination of endocrine mechanisms / Sirotkin, Alexander [Autor, UKFFPVKZA, 40%] ; Parkányi, Vladimír [Autor, 30%] ; Pivko, Juraj [Autor, 30%]. – text. – [angličtina]. – [OV 190]. – [článok]. – DOI 10.1016/j.domaniend.2020.106478. – WOS CC ; SCO ; CCC In: Domestic Animal Endocrinology [textový dokument (print)] [elektronický dokument] . – Amsterdam (Holandsko) : Elsevier. – ISSN 0739-7240. – ISSN (online) 1879-0054. – č. 74 (2021), s. 1-11 [tlačená forma] [online] . – CiteScore: 3,3 ; IF: 2.566 ; SJR: 0,577 ; SNIP: 1,135 ; AIS: 0.427 AIS - Agriculture, dairy &amp; animal science - Q2, Endocrinology &amp; metabolism - Q4 JIF - Agriculture, dairy &amp; animal science - Q2, Endocrinology &amp; metabolism - Q4 Scimago - Animal science and zoology - Q1, Endocrinology - Q3, Food animals - Q2 </t>
  </si>
  <si>
    <t xml:space="preserve">Historical land use dataset of the Carpathian region (1819-1980) / Lieskovský, Juraj [Autor, 10%] ; Kaim, Dominik [Autor, 10%] ; Balazs, Pal [Autor, 10%] ; Chmiel, Mateusz [Autor, 4%] ; Grabska, Ewa [Autor, 4%] ; Kiraly, Geza [Autor, 4%] ; Konkoly-Gyuro, Eva [Autor, 4%] ; Kozak, Jacek [Autor, 4%] ; Antalova, Katarina [Autor, 4%] ; Kuchma, Tetyana [Autor, 4%] ; Mackovcin, Peter [Autor, 1%] ; Mojses, Matej [Autor, 7%] ; Munteanu, Catalina [Autor, 4%] ; Ostafin, Krzysztof [Autor, 4%] ; Ostapowicz, Katarzyna [Autor, 4%] ; Shandra, Oleksandra [Autor, 4%] ; Štych, Přemysl [Autor, 4%] ; Radeloff, Volker C. [Autor, 4%] ; Boltižiar, Martin [Autor, UKFFPVKGR, 10%]. – [angličtina]. – [OV 092]. – [článok]. – DOI 10.1080/17445647.2018.1502099. – WOS CC ; SCO ; CCC In: Journal of Maps [elektronický dokument] . – Abingdon (Veľká Británia) : Taylor &amp; Francis Group. – ISSN (online) 1744-5647. – Roč. 14, č. 2 (2018), 644-651 [online] . – IF: 1,836 ; SJR: 0,724 ; CiteScore: 3,4 ; SNIP: 0,807 JIF - Geography - Q3, Geography, physical - Q3 Scimago - Earth and planetary sciences (miscellaneous) - Q1, Geography, planning and development - Q1 </t>
  </si>
  <si>
    <t xml:space="preserve">History of radio broadcasting for schools in the Czechoslovak Republic / Kičková, Adriana [Autor, UKFFFAKHI, 50%] ; Hricková, Mária [Autor, UKFFFAKAA, 50%]. – text. – [angličtina]. – [OV 030]. – [článok]. – WOS CC ; SCO ; CCC In: History of Education &amp; Children's Literature [textový dokument (print)] . – ISSN 1971-1093. – ISSN (online) 1971-1131. – Roč. 13, č. 1 (2018), s. 393-409 [tlačená forma] . – SJR: 0,276 ; CiteScore: 0,2 ; SNIP: 0,657 Scimago - Education - Q3, History and philosophy of science - Q2 </t>
  </si>
  <si>
    <t xml:space="preserve">Holocene development of two calcareous spring fens at the Carpathian-Pannonian interface controlled by climate and human impact / Jamrichová, Eva [Autor, 40%] ; Gálová, Andrea [Autor, 10%] ; Gašpar, Adam [Autor, 10%] ; Horsák, Michal [Autor, 8%] ; Frodlová, Jitka [Autor, 8%] ; Hájek, Michal [Autor, 8%] ; Hajnalová, Mária [Autor, UKFFFAKAR, 8%] ; Hájková, Petra [Autor, 8%]. – [angličtina]. – [OV 030]. – [článok]. – DOI 10.1007/s12224-018-9324-5. – WOS CC ; SCO ; CCC In: Folia geobotanica [textový dokument (print)] [elektronický dokument] : a journal of plant ecology and systematics. – Dordrecht (Holandsko) : Springer Nature. Springer International Publishing AG. – ISSN 1211-9520. – ISSN (online) 1874-9348. – Roč. 53, č. 3 (2018), s. 243-263 [tlačená forma] [online] . – SJR: 0,449 ; CiteScore: 2,1 ; SNIP: 0,544 ; IF: 1.046 JIF - Plant sciences - Q3 Scimago - Paleontology - Q3, Plant science - Q2 </t>
  </si>
  <si>
    <t xml:space="preserve">Hormetic Response of Plants to Metals and Metalloids / Piršelová, Beáta [Autor, UKFFPVKBG, 70%] ; Galuščáková, Ľudmila [Autor, UKFFPVKBG, 20%] ; Lengyelová, Libuša [Autor, UKFFPVKBG, 10%]. – text. – [angličtina]. – [OV 130]. – [článok]. – WOS CC ; SCO ; CCC In: Chemické listy [textový dokument (print)] [elektronický dokument] : časopis Asociace českých chemických společností. – Praha (Česko) : Česká společnost chemická. – ISSN 0009-2770. – ISSN (online) 1803-2389. – ISSN (online) 1213-7103. – Roč. 112, č. 4 (2018), s. 317-323 [CD-ROM] [tlačená forma] [online] . – IF: 0,311 ; SJR: 0,149 ; CiteScore: 0,6 ; SNIP: 0,178 JIF - Chemistry, multidisciplinary - Q4 Scimago - Chemistry (miscellaneous) - Q4 </t>
  </si>
  <si>
    <t xml:space="preserve">How Teacher's Progressiveness in Using Digital Technologies Influences Levels of Pupils' Metacognitive Knowledge in Mathematics / Chytry, Vlastimil [Autor, 10%] ; Rican, Jaroslav [Autor, 10%] ; Medová, Janka [Autor, UKFFPVKMA, 80%]. – text. – [angličtina]. – [OV 240, 010]. – [článok]. – DOI 10.3390/math7121245. – WOS CC ; SCO ; CCC In: Mathematics [elektronický dokument] . – Bazilej (Švajčiarsko) : Multidisciplinary Digital Publishing Institute. – ISSN (online) 2227-7390. – Roč. 7, č. 12 (2019), Art. no. 1245, s. 1-17 [online] . – IF: 1,747 ; SJR: 0,299 ; CiteScore: 1,4 ; SNIP: 1,025 JIF - Mathematics - Q1 Scimago - Mathematics (miscellaneous) - Q3 </t>
  </si>
  <si>
    <t xml:space="preserve">How to Keep University Active during COVID-19 Pandemic: Experience from Slovakia / Pavlíková, Martina [Autor, UKFFFAKZU, 30%] ; Sirotkin, Alexander [Autor, UKFFPVKZA, 20%] ; Králik, Roman [Autor, 20%] ; Petrikovičová, Lucia [Korešpondenčný autor, UKFFPVKGR, 29%] ; Martín, José García [Autor, 1%]. – [angličtina]. – [OV 100]. – [článok]. – DOI 10.3390/su131810350. – WOS CC ; SCO ; CCC In: Sustainability [elektronický dokument] . – Bazilej (Švajčiarsko) : Multidisciplinary Digital Publishing Institute. – ISSN (online) 2071-1050. – Roč. 13, č. 18 (2021), s. 1-14 [online] . – IF: 3,889 ; SNIP: 1,310 ; SJR: 0,664 ; CiteScore: 5,00 ; AIS: 0.516 AIS - Environmental sciences - Q3, Environmental studies - Q4, Green &amp; sustainable science &amp; technology - Q4 JIF - Environmental sciences - Q2, Environmental studies - Q2, Green &amp; sustainable science &amp; technology - Q3 Scimago - Energy engineering and power technology - Q2, Environmental science (miscellaneous) - Q2, Geography, planning and development - Q1, Management, monitoring, policy and law - Q2, Renewable energy, sustainability and the environment - Q2 </t>
  </si>
  <si>
    <t xml:space="preserve">Human-induced prehistoric soil buried in the flood plain of Svratka River, Czech Republic / Vejrostová, Lenka [Autor, 12.5%] ; Lisá, Lenka [Autor, 12.5%] ; Parma, David [Autor, 12.5%] ; Bajer, Aleš [Autor, 12.5%] ; Hajnalová, Mária [Autor, UKFFFAKAR, 12.5%] ; Kočárová, Romana [Autor, 12.5%] ; Moska, Piotr [Autor, 12.5%] ; Pacina, Jan [Autor, 12.5%]. – [angličtina]. – [OV 030]. – [článok]. – DOI 10.1177/0959683618824785. – WOS CC ; SCO ; CCC In: Holocene [textový dokument (print)] [elektronický dokument] . – Londýn (Veľká Británia) : SAGE Publications. – ISSN 0959-6836. – ISSN (online) 1477-0911. – Roč. 29, č. 4 (2019), s. 1-12 [tlačená forma] [online] . – SJR: 1,088 ; CiteScore: 4,6 ; SNIP: 1,003 ; IF: 2.353 JIF - Geography, physical - Q3, Geosciences, multidisciplinary - Q2 Scimago - Archeology (arts and humanities) - Q1, Earth-surface processes - Q1, Ecology - Q1, Global and planetary change - Q2, Paleontology - Q1 </t>
  </si>
  <si>
    <t xml:space="preserve">Hydrological impacts of climate change and land use / Petrovič, František [Autor, UKFFPVKEE, 100%]. – text. – [angličtina]. – [OV 100]. – [článok]. – DOI 10.3390/w13060799. – WOS CC ; SCO ; CCC In: Water [elektronický dokument] . – Bazilej (Švajčiarsko) : Multidisciplinary Digital Publishing Institute. – ISSN (online) 2073-4441. – Roč. 13, č. 6 (2021), s. 1-12 [online] . – CiteScore: 4,8 ; IF: 3.530 ; SJR: 0,716 ; SNIP: 1,128 ; AIS: 0.521 AIS - Environmental sciences - Q3, Water resources - Q3 JIF - Environmental sciences - Q3, Water resources - Q2 Scimago - Aquatic science - Q1, Biochemistry - Q2, Geography, planning and development - Q1, Water science and technology - Q1 </t>
  </si>
  <si>
    <t xml:space="preserve">Challenges to evidence synthesis and identification of data gaps in human biomonitoring / Virgolino, Ana [Autor, 6%] ; Santos, Osvaldo [Autor, 2%] ; Costa, Joana [Autor, 2%] ; Fialho, Mónica [Autor, 2%] ; Iavicoli, Ivo [Autor, 2%] ; Santonen, Tiina [Autor, 2%] ; Tolonen, Hanna [Autor, 2%] ; Samoli, Evangelia [Autor, 2%] ; Katsouyanni, Klea [Autor, 2%] ; Baltatzis, Georgios [Autor, 2%] ; Ruggieri, Flavia [Autor, 2%] ; Abballe, Annalisa [Autor, 2%] ; Eržen, Ivan [Autor, 2%] ; Petrovičová, Ida [Autor, UKFFPVKZA, 20%] ; Kolena, Branislav [Autor, UKFFPVKZA, 20%] ; Šidlovská, Miroslava [Autor, UKFFPVKZA, 20%] ; Sepai, Ovnair [Autor, 2%] ; Ancona, Carla [Autor, 2%] ; Castaño, Argelia [Autor, 2%] ; Kolossa-Gehring, Marike [Autor, 2%] ; Fiddicke, Ulrike [Autor, 2%]. – text. – [angličtina]. – [OV 130]. – [článok]. – DOI 10.3390/ijerph18062830. – SCO ; CCC In: International journal of environmental research and public health [elektronický dokument] [textový dokument (print)] : open access journal. – Basel (Švajčiarsko) : Multidisciplinary Digital Publishing Institute. – ISSN 1661-7827. – ISSN (online) 1660-4601. – Roč. 18, č. 6 (2021), 1-10 [online] [tlačená forma] . – IF: 4,614 ; SNIP: 1,440 ; SJR: 0,814 ; CiteScore: 4,50 ; AIS: 0.866 AIS - Environmental sciences - Q2, Public, environmental &amp; occupational health - Q2 JIF - Environmental sciences - Q2, Public, environmental &amp; occupational health - Q1 Scimago - Health, toxicology and mutagenesis - Q1, Pollution - Q2, Public health, environmental and occupational health - Q2 </t>
  </si>
  <si>
    <t xml:space="preserve">Change of Ellipsoid Biovolume (EV) of Ground Beetles (Coleoptera, Carabidae) along an Urban-Suburban-Rural Gradient of Central Slovakia / Langraf, Vladimír [Korešpondenčný autor, 24%] ; David, Stanislav [Autor, UKFFPVKEE, 22%] ; Babosová, Ramona [Autor, UKFFPVKZA, 22%] ; Petrovičová, Kornélia [Autor, SPUFAP26, 22%] ; Schlarmannová, Janka [Korešpondenčný autor, UKFFPVKZA, 10%]. – text, ilustr., graf., tab. – [angličtina]. – [OV 100, 130, 190]. – [článok]. – DOI 10.3390/d12120475. – WOS CC ; SCO ; CCC In: Diversity [elektronický dokument] . – Basel (Švajčiarsko) : Multidisciplinary Digital Publishing Institute. – ISSN (online) 1424-2818. – Roč. 12, č. 12 (2020), art. no. 475, s. 1-13 [online] . – IF: 2.465 ; SJR: 0,697 ; CiteScore: 2,2 ; SNIP: 0,94 ; AIS: 0.601 AIS - Biodiversity conservation - Q2, Ecology - Q3 JIF - Biodiversity conservation - Q2, Ecology - Q3 Scimago - Agricultural and biological sciences (miscellaneous) - Q1, Ecological modeling - Q2, Ecology - Q2, Nature and landscape conservation - Q2 </t>
  </si>
  <si>
    <t xml:space="preserve">Changes in landscape structure in the municipalities of the Nitra District (Slovak Republic) due to expanding suburbanization / Pucherová, Zuzana [Autor, UKFFPVKEE, 35%] ; Mišovičová, Regína [Autor, UKFFPVKEE, 25%] ; Bugár, Gabriel [Autor, UKFFPVKEE, 20%] ; Grežo, Henrich [Autor, UKFFPVKEE, 20%]. – text. – [angličtina]. – [OV 100]. – [článok]. – DOI 10.3390/su13031205. – WOS CC ; SCO ; CCC In: Sustainability [elektronický dokument] . – Bazilej (Švajčiarsko) : Multidisciplinary Digital Publishing Institute. – ISSN (online) 2071-1050. – Roč. 13, č. 3 (2021), 1-27 [online] . – IF: 3,889 ; SNIP: 1,310 ; SJR: 0,664 ; CiteScore: 5,00 ; AIS: 0.516 AIS - Environmental sciences - Q3, Environmental studies - Q4, Green &amp; sustainable science &amp; technology - Q4 JIF - Environmental sciences - Q2, Environmental studies - Q2, Green &amp; sustainable science &amp; technology - Q3 Scimago - Energy engineering and power technology - Q2, Environmental science (miscellaneous) - Q2, Geography, planning and development - Q1, Management, monitoring, policy and law - Q2, Renewable energy, sustainability and the environment - Q2 </t>
  </si>
  <si>
    <t xml:space="preserve">Changes in soil microbial community and activity caused by application of dimethachlor and linuron / Medo, Juraj [Autor, SPUFBP06, 16%] ; Maková, Jana [Autor, SPUFBP06, 14%] ; Medová, Janka [Autor, UKFFPVKMA, 14%] ; Lipková, Nikola [Autor, SPUFBP06, 14%] ; Cinkocki, Renata [Autor, SPUFBP06, 14%] ; Omelka, Radoslav [Autor, UKFFPVKBG, 14%] ; Javoreková, Soňa [Autor, SPUFBP06, 14%]. – text. – [angličtina]. – [OV 130]. – [článok]. – DOI 10.1038/s41598-021-91755-6. – WOS CC ; SCO ; CCC In: Scientific Reports [elektronický dokument] [textový dokument (print)] . – Londýn (Veľká Británia) : Springer Nature. Nature Publishing Group. – ISSN (online) 2045-2322. – Roč. 11, č. 1 (2021), s. 1-12 [online] [tlačená forma] . – Nordic List: 1 ; SNIP: 1.389 ; SJR: 1.005 ; CiteScore: 6.9 ; IF: 4.997 ; AIS: 1.208 AIS - Multidisciplinary sciences - Q2 JIF - Multidisciplinary sciences - Q2 Scimago - Multidisciplinary - Q1 </t>
  </si>
  <si>
    <t xml:space="preserve">Characterization of geopolymers prepared using powdered brick / Fořt, Jan [Autor, 12.5%] ; Novotný, Radim [Autor, 12.5%] ; Vejmelková, Eva [Autor, 12.5%] ; Trník, Anton [Autor, UKFFPVKFY, 12.5%] ; Rovnaníková, Pavla [Autor, 12.5%] ; Keppert, Martin [Autor, 12.5%] ; Pommer, Vojtech [Autor, 12.5%] ; Černý, Robert [Autor, 12.5%]. – text. – [angličtina]. – [OV 091, 110]. – [článok]. – WOS CC ; SCO ; CCC In: Journal of Materials Research and Technology [elektronický dokument] . – Amsterdam (Holandsko) : Elsevier. – ISSN (online) 2238-7854. – Roč. 8, č. 6 (2019), 6253-6261 . – IF: 5.289 ; SJR: 0.898 ; CiteScore: 2,3 ; SNIP: 2,101 JIF - Materials science, multidisciplinary - Q1, Metallurgy &amp; metallurgical engineering - Q1 Scimago - Biomaterials - Q2, Ceramics and composites - Q1, Metals and alloys - Q1, Surfaces, coatings and films - Q1 </t>
  </si>
  <si>
    <t xml:space="preserve">Characterization of porcine oocytes stained with Lissamine Green B and their developmental potential in vitro / Bartková, Alexandra [Autor, UKFFPVKBG, 40%] ; Morovič, Martin [Autor, UKFFPVKZA, 25%] ; Strejček, František [Autor, UKFFPVKBG, 25%] ; Murín, Matej [Autor, 1%] ; Benc, Michal [Autor, UKFFPVKZA, 4%] ; Percinic, Florina Popovska [Autor, 1%] ; Laurinčík, Jozef [Autor, UKFFPVKZA, 4%]. – text. – [angličtina]. – [OV 200]. – [článok]. – DOI 10.1590/1984-3143-AR2020-0533. – WOS CC ; SCO ; CCC In: Animal Reproduction [textový dokument (print)] [elektronický dokument] . – Brazília : Brazilian College of Animal Reproduction. – ISSN 1806-9614. – ISSN (online) 1984-3143. – Roč. 17, č. 4 (2020), 1-11 [tlačená forma] [online] . – IF: 1.807 ; SJR: 0,531 ; CiteScore: 2,1 ; SNIP: 0,876 ; AIS: 0.334 AIS - Agriculture, dairy &amp; animal science - Q2 JIF - Agriculture, dairy &amp; animal science - Q2 Scimago - Animal science and zoology - Q2, Veterinary (miscellaneous) - Q2 </t>
  </si>
  <si>
    <t xml:space="preserve">Charge density study of bis(clonixato)bis(ethanol)bis(imidazole)copper(II) complex / Herich, Peter [Autor, 045210, 15%] ; Kucková, Lenka [Autor, UKFFPVKCH, 20%] ; Moncoľ, Ján [Autor, 042190, 15%] ; Kožíšek, Jozef [Autor, 045210, 50%]. – text. – [angličtina]. – [OV 120]. – [článok]. – WOS CC ; CCC In: Zeitschrift für Kristallographie-Crystalline Materials [elektronický dokument] . – ISSN 2194-4946. – ISSN (online) 2196-7105. – Roč. 233, č. 9-10 (2018), s. 745-752 [online] . – SJR: 0,393 ; CiteScore: 1,8 ; SNIP: 0,525 ; IF: 1.090 JIF - Crystallography - Q3 Scimago - Condensed matter physics - Q3, Inorganic chemistry - Q3, Materials science (miscellaneous) - Q2 </t>
  </si>
  <si>
    <t xml:space="preserve">Chemical Composition of White Wines Produced from Different Grape Varieties and Wine Regions in Slovakia / Jakabová, Silvia [Autor, SPUFBP08, 25%] ; Fikselová, Martina [Autor, SPUFBP05, 14%] ; Mendelová, Andrea [Autor, SPUFBP07, 14%] ; Ševčík, Michal [Autor, UKFFPVKEE, 16%] ; Jakab, Imrich [Autor, UKFFPVKEE, 14%] ; Aláčová, Zuzana [Autor, 1%] ; Kolačkovská, Jana [Autor, SPUFBP05, 1%] ; Ivanova-Petropulos, Violeta [Autor, 15%]. – text. – [angličtina]. – [OV 130, 120, 100]. – [článok]. – DOI 10.3390/app112211059. – WOS CC ; SCO ; CCC In: Applied sciences [elektronický dokument] . – Bazilej (Švajčiarsko) : Multidisciplinary Digital Publishing Institute. – ISSN (online) 2076-3417. – Roč. 11, č. 22 (2021), art. no. 11059, s. 1-13 [online] . – IF: 2,838 ; SNIP: 1,026 ; SJR: 0,507 ; CiteScore: 3,70 ; AIS: 0.409 AIS - Chemistry, multidisciplinary - Q3, Engineering, multidisciplinary - Q3, Materials science, multidisciplinary - Q3, Physics, applied - Q3 JIF - Chemistry, multidisciplinary - Q3, Engineering, multidisciplinary - Q2, Materials science, multidisciplinary - Q3, Physics, applied - Q2 Scimago - Computer science applications - Q3, Engineering (miscellaneous) - Q2, Fluid flow and transfer processes - Q2, Instrumentation - Q2, Materials science (miscellaneous) - Q2, Process chemistry and technology - Q2 </t>
  </si>
  <si>
    <t xml:space="preserve">Chemical, Nutritional and Sensory Characteristics of Six Ornamental Edible Flowers Species / Mlček, Jiří [Autor, 14%] ; Plasková, Anna [Autor, 14%] ; Juríková, Tünde [Autor, UKFFSSUVP, 30%] ; Sochor, Jiří [Autor, 14%] ; Baroň, Mojmír [Autor, 14%] ; Ercisli, Sezai [Autor, 14%]. – text. – [angličtina]. – [OV 010]. – [článok]. – DOI 10.3390/foods10092053. – WOS CC ; SCO ; CCC In: Foods [elektronický dokument] . – Bazilej (Švajčiarsko) : Multidisciplinary Digital Publishing Institute. – ISSN (online) 2304-8158. – Roč. 10, č. 9 (2021), s. 1-19 [online] . – IF: 5.561 ; CiteScore: 4,1 ; SJR: 0,726 ; SNIP: 1,428 ; AIS: 0.647 AIS - Food science &amp; technology - Q2 JIF - Food science &amp; technology - Q1 Scimago - Food science - Q1, Health (social science) - Q1, Health professions (miscellaneous) - Q1, Microbiology - Q3, Plant science - Q1 </t>
  </si>
  <si>
    <t xml:space="preserve">Identification of Changes in VLE Stakeholders’ Behavior Over Time Using Frequent Patterns Mining / Drlík, Martin [Autor, UKFFPVKIN, 34%] ; Munk, Michal [Autor, UKFFPVKIN, 33%] ; Skalka, Ján [Autor, UKFFPVKIN, 33%]. – text. – [angličtina]. – [OV 160]. – [článok]. – DOI 10.1109/ACCESS.2021.3056191. – WOS CC ; SCO ; CCC In: IEEE Access [elektronický dokument] : practical innovations, open solutions. – Piscataway (USA) : Institute of Electrical and Electronics Engineers. – ISSN (online) 2169-3536. – č. 9 (2021), s. 23795-23813 [online] . – CiteScore: 6,7 ; IF: 3.476 ; SJR: 0,927 ; SNIP: 1,326 ; AIS: 0.613 AIS - Computer science, information systems - Q2, Engineering, electrical &amp; electronic - Q2, Telecommunications - Q2 JIF - Computer science, information systems - Q2, Engineering, electrical &amp; electronic - Q2, Telecommunications - Q2 Scimago - Computer science (miscellaneous) - Q1, Engineering (miscellaneous) - Q1, Materials science (miscellaneous) - Q1 </t>
  </si>
  <si>
    <t xml:space="preserve">Ignition of Deposited Wood Dust Layer by Selected Sources / Tureková, Ivana [Autor, UKFPFAKTT, 60%] ; Marková, Iveta [Korešpondenčný autor, ZUZFBIPŽI, 40%]. – text. – [angličtina]. – [OV 010, 170]. – [článok]. – DOI 10.3390/app10175779. – WOS CC ; SCO ; CCC In: Applied sciences [elektronický dokument] . – Bazilej (Švajčiarsko) : Multidisciplinary Digital Publishing Institute. – ISSN (online) 2076-3417. – Roč. 10, č. 17 (2020), Art. No. 5779, s. [1-16] [online] . – IF: 2,679 ; SNIP: 1,068 ; SJR: 0,435 ; CiteScore: 3,00 ; AIS: 0.409 AIS - Chemistry, multidisciplinary - Q3, Engineering, multidisciplinary - Q3, Materials science, multidisciplinary - Q3, Physics, applied - Q3 JIF - Chemistry, multidisciplinary - Q3, Engineering, multidisciplinary - Q2, Materials science, multidisciplinary - Q3, Physics, applied - Q2 Scimago - Computer science applications - Q2, Engineering (miscellaneous) - Q2, Fluid flow and transfer processes - Q2, Instrumentation - Q2, Materials science (miscellaneous) - Q2, Process chemistry and technology - Q2 </t>
  </si>
  <si>
    <t xml:space="preserve">Improving the Quality of Oocytes with the Help of Nucleolotransfer Therapy / Benc, Michal [Autor, UKFFPVKBG, 65%] ; Strejček, František [Korešpondenčný autor, UKFFPVKBG, 10%] ; Morovič, Martin [Autor, UKFFPVKZA, 5%] ; Bartková, Alexandra [Autor, UKFFPVKBG, 1%] ; Murín, Matej [Autor, 1%] ; Gad, Ahmed [Autor, 1%] ; Bonnet-Garnier, Amélie [Autor, 1%] ; Percinic, Florina Popovska [Autor, 1%] ; Laurinčík, Jozef [Autor, UKFFPVKZA, 15%]. – text. – [angličtina]. – [OV 200]. – [článok]. – DOI 10.3390/ph14040328. – WOS CC ; SCO ; CCC In: Pharmaceuticals [elektronický dokument] : an international scientific journal of medicinal chemistry and related drug sciences. – Bazilej (Švajčiarsko) : Multidisciplinary Digital Publishing Institute. – ISSN (online) 1424-8247. – Roč. 14, č. 4 (2021), s. 328-341 [online] . – CiteScore: 4 ; IF: 5.215 ; SJR: 0,851 ; SNIP: 1,223 ; AIS: 0.896 AIS - Chemistry, medicinal - Q1, Pharmacology &amp; pharmacy - Q2 JIF - Chemistry, medicinal - Q2, Pharmacology &amp; pharmacy - Q1 Scimago - Drug discovery - Q1, Molecular medicine - Q2, Pharmaceutical science - Q1 </t>
  </si>
  <si>
    <t xml:space="preserve">Impulsivity predicting adolescent risk behaviour / Čerešník, Michal [Autor, UKFPFAKAP, 10%] ; Tomšik, Robert [Autor, UKFPFAKAP, 70%] ; Dolejš, Martin [Autor, 10%] ; Suchá, Jaroslava [Autor, 10%]. – [angličtina]. – [OV 010]. – [článok]. – WOS CC ; CCC In: Československá psychologie [textový dokument (print)] [elektronický dokument] : časopis pro psychologickou teorii a praxi. – Praha (Česko) : Akademie věd České republiky. Psychologický ústav AV ČR. – ISSN 0009-062X. – ISSN (online) 1804-6436. – Roč. 62, č. 5 (2018), 503-512 [tlačená forma] [online] . – IF: 0.333 ; SJR: 0.173 ; CiteScore: 0,6 ; SNIP: 0,261 JIF - Psychology, multidisciplinary - Q4 Scimago - Arts and humanities (miscellaneous) - Q3, Psychology (miscellaneous) - Q4 </t>
  </si>
  <si>
    <t xml:space="preserve">In vitro effect of various cryoprotectants on the semen quality of endangered Oravka chicken / Svoradová, Andrea [Autor, UKFFPVKZA, 16.67%] ; Baláži, Andrej [Autor, 16.666%] ; Hanusová, Emília [Autor, 16.666%] ; Kuželová, Lenka [Autor, 16.666%] ; Vašíček, Jaromír [Autor, 16.666%] ; Chrenek, Peter [Autor, SPUFBP01, 16.666%]. – [angličtina]. – [OV 120, 130]. – [článok]. – [recenzované]. – DOI 10.1017/S0967199417000685. – WOS CC ; SCO ; CCC In: Zygote [textový dokument (print)] [elektronický dokument] . – New York (USA) : Cambridge University Press. – ISSN 0967-1994. – ISSN (online) 1469-8730. – Roč. 26, č. 1 (2018), s. 33-39 [tlačená forma] [online] . – IF: 1.278 ; SJR: 0,47 ; CiteScore: 2,1 ; SNIP: 0,531 JIF - Cell biology - Q4, Developmental biology - Q4, Reproductive biology - Q4 Scimago - Cell biology - Q4, Developmental biology - Q4 </t>
  </si>
  <si>
    <t xml:space="preserve">Influence of green tea constituents on cultured porcine luteinized granulosa cell functions / Sirotkin, Alexander [Autor, UKFFPVKZA, 20%] ; Kadasi, Attila [Autor, 16%] ; Maruniaková, Nora [Autor, 16%] ; Grossmann, Roland [Autor, 16%] ; Alwasel, Saleh Hamad Amad [Autor, 16%] ; Harrath, Abdel Halim [Autor, 16%]. – text. – [angličtina]. – [OV 130, 190]. – [článok]. – WOS CC ; SCO ; CCC In: Journal of Animal and Feed Sciences [textový dokument (print)] [elektronický dokument] : a scientific journal of the Polish Academy of Sciences. – Jabłonna (Poľsko) : Polska Akademia Nauk. Instytut Fizjologii i Żywienia Zwierząt im Jana Kielanowskiego. – ISSN 1230-1388. – Roč. 28, č. 1 (2019), 41-51 [tlačená forma] [online] . – SJR: 0,396 ; CiteScore: 1,7 ; SNIP: 0,743 ; IF: 1.150 JIF - Agriculture, dairy &amp; animal science - Q3 Scimago - Animal science and zoology - Q2, Food science - Q3 </t>
  </si>
  <si>
    <t xml:space="preserve">Influence of mechanical activation on DC conductivity of kaolin / Ondruška, Ján [Autor, UKFFPVKFY, 12.5%] ; Csáki, Štefan [Autor, UKFFPVKFY, 12.5%] ; Trnovcová, Viera [Autor, 12.5%] ; Štubňa, Igor [Autor, UKFFPVKFY, 12.5%] ; Lukáč, František [Autor, 12.5%] ; Pokorný, Jaroslav [Autor, 12.5%] ; Vozár, Libor [Autor, UKFFPVKFY, 12.5%] ; Dobroň, Patrik [Autor, 12.5%]. – [angličtina]. – [OV 091]. – [článok]. – DOI 10.1016/j.clay.2017.12.038. – WOS CC ; SCO ; CCC In: Applied Clay Science [textový dokument (print)] [elektronický dokument] : An International Journal on Physics, Chemistry, Geology and Technology of Clays and Clay Minerals. – Amsterdam (Holandsko) : Elsevier. – ISSN 0169-1317. – ISSN (online) 1872-9053. – č. 154 (2018), s. 36-42 [tlačená forma] [online] . – IF: 3,890 ; SJR: 0,99 ; CiteScore: 6,3 ; SNIP: 1,639 JIF - Chemistry, physical - Q2, Materials science, multidisciplinary - Q1, Mineralogy - Q1 Scimago - Geochemistry and petrology - Q2, Geology - Q1 </t>
  </si>
  <si>
    <t xml:space="preserve">Influence of pre-harvest gibberellic acid and post-harvest 1-methyl cyclopropane treatments on phenolic compounds, vitamin C and organic acid contents during the shelf life of strawberry fruits / Taş, Akgül [Autor, 5%] ; Berk, Selma Kuru [Autor, 5%] ; Orman, Erdal [Autor, 5%] ; Gundogdu, Muttalip [Autor, 5%] ; Ercisli, Sezai [Autor, 5%] ; Karatas, Neva [Autor, 5%] ; Juríková, Tünde [Autor, UKFFSSUVP, 55%] ; Adámková, Anna [Autor, 5%] ; Nedomová, Šárka [Autor, 5%] ; Mlček, Jiří [Autor, 5%]. – text. – [angličtina]. – [OV 010, 130]. – [článok]. – DOI 10.3390/plants10010121. – WOS CC ; SCO ; CCC In: Plants-Basel [elektronický dokument] . – Bazilej (Švajčiarsko) : Multidisciplinary Digital Publishing Institute. – ISSN (online) 2223-7747. – Roč. 10, č. 1 (2021), 1-16 [online] . – IF: 4.658 ; CiteScore: 3,6 ; SJR: 0,765 ; SNIP: 1,347 ; AIS: 0.654 AIS - Plant sciences - Q2 JIF - Plant sciences - Q1 Scimago - Ecology - Q2, Ecology, evolution, behavior and systematics - Q1, Plant science - Q1 </t>
  </si>
  <si>
    <t xml:space="preserve">Influence of texture on DC conductivity and dimensional changes of kaolin and illitic clay / Ondruška, Ján [Autor, UKFFPVKFY, 20%] ; Trnovcová, Viera [Autor, UKFFPVKFY, 20%] ; Štubňa, Igor [Autor, UKFFPVKFY, 20%] ; Csáki, Štefan [Autor, UKFFPVKFY, 20%] ; Vozár, Libor [Autor, UKFFPVKFY, 20%]. – text. – [angličtina]. – [OV 091, 110]. – [článok]. – DOI 10.1016/j.ceramint.2018.10.162. – WOS CC ; SCO ; CCC In: Ceramics International [textový dokument (print)] [elektronický dokument] . – Oxon (Veľká Británia) : Elsevier. – ISSN 0272-8842. – ISSN (online) 1873-3956. – Roč. 45, č. 2 (2019), 2425-2431 [tlačená forma] [online] . – IF: 3.83 ; SJR: 0,891 ; CiteScore: 6,1 ; SNIP: 1,31 JIF - Materials science, ceramics - Q1 Scimago - Ceramics and composites - Q1, Electronic, optical and magnetic materials - Q1, Materials chemistry - Q1, Process chemistry and technology - Q1, Surfaces, coatings and films - Q1 </t>
  </si>
  <si>
    <t xml:space="preserve">Influence of waste products from electricity and cement industries on the thermal behaviour of Estonian clay from Kunda deposit / Kaljuvee, Tiit [Autor, 16%] ; Štubňa, Igor [Autor, UKFFPVKFY, 20%] ; Húlan, Tomáš [Autor, UKFFPVKFY, 16%] ; Csáki, Štefan [Autor, 16%] ; Uibu, Mai [Autor, 16%] ; Jefimova, Jekaterina [Autor, 16%]. – text. – [angličtina]. – [OV 091]. – [článok]. – DOI 10.1007/s10973-019-08319-0. – WOS CC ; SCO ; CCC In: Journal of Thermal Analysis and Calorimetry [textový dokument (print)] [elektronický dokument] : an International Forum for Thermal Studies. – Dordrecht (Holandsko) : Springer Nature. Springer International Publishing AG. – ISSN 1388-6150. – ISSN (online) 1588-2926. – Roč. 136, č. 2 (2019), s. 2635-2650 [tlačená forma] [online] . – IF: 2,731 ; SJR: 0,415 ; CiteScore: 4,3 ; SNIP: 1,078 JIF - Chemistry, analytical - Q2, Chemistry, physical - Q3, Thermodynamics - Q2 Scimago - Condensed matter physics - Q3, Physical and theoretical chemistry - Q3 </t>
  </si>
  <si>
    <t xml:space="preserve">Inhibition of miR-152 during in vitro maturation enhances the developmental potential of porcine embryos / Gad, Ahmed [Korešpondenčný autor, 25%] ; Murín, Matej [Autor, 25%] ; Němcová, Lucie [Autor, 10%] ; Bartková, Alexandra [Autor, UKFFPVKBG, 25%] ; Laurinčík, Jozef [Autor, UKFFPVKZA, 5%] ; Procházka, Radek [Autor, 10%]. – text. – [angličtina]. – [OV 200]. – [článok]. – DOI 10.3390/ani10122289. – WOS CC ; SCO ; CCC In: Animals [elektronický dokument] : an Open Access Journal from MDPI. – Bazilej (Švajčiarsko) : Molecular Diversity Preservation International. – ISSN (online) 2076-2615. – Roč. 10, č. 12 (2020), 1-12 [online] . – SJR: 0,584 ; CiteScore: 1,8 ; SNIP: 1,159 ; IF: 2.752 ; AIS: 0.458 AIS - Agriculture, dairy &amp; animal science - Q2, Veterinary sciences - Q2 JIF - Agriculture, dairy &amp; animal science - Q1, Veterinary sciences - Q1 Scimago - Animal science and zoology - Q2, Veterinary (miscellaneous) - Q1 </t>
  </si>
  <si>
    <t xml:space="preserve">Insomnia in patients with borderline personality disorder / Vanek, Jakub [Autor, 15%] ; Praško Pavlov, Ján [Korešpondenčný autor, 5%] ; Ocisková, Marie [Autor, 5%] ; Hodný, František [Autor, 5%] ; Holubová, Michaela [Autor, 5%] ; Minarikova, Kamila [Autor, 5%] ; Šlepecký, Miloš [Autor, UKFFSVKPV, 55%] ; Nesnídal, Vlastimil [Autor, 5%]. – text. – [angličtina]. – [OV 060]. – [článok]. – DOI 10.2147/NSS.S295030. – WOS CC ; SCO ; CCC In: Nature and Science of Sleep [elektronický dokument] . – [Auckland]  (Nový Zéland) : Dove Medical Press. – ISSN (online) 1179-1608. – č. 13 (2021), s. 239-250 [online] . – CiteScore: 4,1 ; IF: 3.384 ; SJR: 0,973 ; SNIP: 1,534 ; AIS: 1.235 AIS - Clinical neurology - Q2, Neurosciences - Q2 JIF - Clinical neurology - Q3, Neurosciences - Q3 Scimago - Applied psychology - Q2, Behavioral neuroscience - Q1 </t>
  </si>
  <si>
    <t xml:space="preserve">Institutional challenges in putting ecosystem service knowledge in practice / Saarikoski, Heli [Autor, 0.38%] ; Primmer, Eeva [Autor, 0.38%] ; Saarela, Sanna Riika [Autor, 0.38%] ; Antunes, Paula [Autor, 0.38%] ; Aszálos, Réka [Autor, 0.38%] ; Mederly, Peter [Autor, UKFFPVKEE, 10%]. – text. – [angličtina]. – [OV 100]. – [článok]. – DOI 10.1016/j.ecoser.2017.07.019. – WOS CC ; SCO ; CCC In: Ecosystem Services [elektronický dokument] : Science, Policy and Practice. – Amsterdam (Holandsko) : Elsevier. – ISSN (online) 2212-0416. – č. 29 (2018), s. 579-598 [online] . – SJR: 2,151 ; CiteScore: 9,2 ; SNIP: 1,94 ; IF: 5.572 JIF - Ecology - Q1, Environmental sciences - Q1, Environmental studies - Q1 Scimago - Agricultural and biological sciences (miscellaneous) - Q1, Ecology - Q1, Geography, planning and development - Q1, Global and planetary change - Q1, Management, monitoring, policy and law - Q1, Nature and landscape conservation - Q1 </t>
  </si>
  <si>
    <t xml:space="preserve">Intentionally broken vessels in Celtic graves Evidence of funerary rites in the La Tene period / Repka, Dominik [Autor, UKFFFAKAR, 100%]. – text. – [angličtina]. – [OV 030]. – [článok]. – WOS CC ; SCO ; CCC In: Archeologické rozhledy [textový dokument (print)] . – Praha (Česko) : Akademie věd České republiky. Archeologický ústav AV ČR. – ISSN 0323-1267. – Roč. 70, č. 2 (2018), s. 239-259 [tlačená forma] . – SJR: 0,256 ; CiteScore: 0,5 ; SNIP: 0,572 Scimago - Archeology - Q2, Archeology (arts and humanities) - Q2 </t>
  </si>
  <si>
    <t xml:space="preserve">Interleukin 6 and complement serum level study in Parkinson's disease / Veselý, Branislav [Autor, 2%] ; Dufek, Michal [Autor, 2%] ; Thon, Vojtech [Autor, 2%] ; Brozman, Miroslav [Autor, UKFFSVKUM, 86%] ; Királová, Silvia [Autor, 2%] ; Halászová, Tatiana [Autor, 2%] ; Koriťáková, Eva [Autor, 2%] ; Rektor, Ivan [Autor, 2%]. – [angličtina]. – [OV 180]. – [článok]. – DOI 10.1007/s00702-018-1857-5. – WOS CC ; SCO ; CCC In: Journal of Neural Transmission [textový dokument (print)] [elektronický dokument] : Translational Neuroscience, Neurology and Preclinical Neurological Studies, Psychiatry and Preclinical Psychiatric Studies. – Berlin (Nemecko) : Springer Nature. Springer International Publishing AG. – ISSN 0300-9564. – ISSN (online) 1435-1463. – Roč. 125, č. 2 (2018), s. 1-7 [tlačená forma] [online] . – IF: 2,903 ; SJR: 1,052 ; CiteScore: 5,5 ; SNIP: 0,804 JIF - Clinical neurology - Q2, Neurosciences - Q2 Scimago - Biological psychiatry - Q3, Neurology - Q2, Neurology (clinical) - Q2, Psychiatry and mental health - Q1 </t>
  </si>
  <si>
    <t xml:space="preserve">Interrelationships between kisspeptin and FSH in control of porcine ovarian cell functions. / Fabová, Zuzana [Autor, UKFFPVKZA, 50%] ; Sirotkin, Alexander [Autor, UKFFPVKZA, 50%]. – text. – [angličtina]. – [OV 190]. – [článok]. – DOI 10.1016/j.domaniend.2020.106520. – WOS CC ; SCO ; CCC In: Domestic Animal Endocrinology [textový dokument (print)] [elektronický dokument] . – Amsterdam (Holandsko) : Elsevier. – ISSN 0739-7240. – ISSN (online) 1879-0054. – č. 74 (2021), s. 1-13 [tlačená forma] [online] . – CiteScore: 3,3 ; IF: 2.566 ; SJR: 0,577 ; SNIP: 1,135 ; AIS: 0.427 AIS - Agriculture, dairy &amp; animal science - Q2, Endocrinology &amp; metabolism - Q4 JIF - Agriculture, dairy &amp; animal science - Q2, Endocrinology &amp; metabolism - Q4 Scimago - Animal science and zoology - Q1, Endocrinology - Q3, Food animals - Q2 </t>
  </si>
  <si>
    <t xml:space="preserve">Interspecific ICSI for the assessment of sperm DNA damage: Technology report / Rychtárová, Jana [Autor, 5%] ; Langerová, Alena [Autor, 1%] ; Fulka, Helena [Autor, 3%] ; Pasqualino, Loi [Autor, 1%] ; Benc, Michal [Autor, UKFFPVKBG, 75%] ; Fulka, Josef [Autor, 15%]. – text. – [angličtina]. – [OV 200]. – [článok]. – DOI 10.3390/ani11051250. – WOS CC ; SCO ; CCC In: Animals [elektronický dokument] : an Open Access Journal from MDPI. – Bazilej (Švajčiarsko) : Molecular Diversity Preservation International. – ISSN (online) 2076-2615. – Roč. 11, č. 5 (2021), s. 1250-1256 [online] . – CiteScore: 2,7 ; IF: 3.231 ; SJR: 0,61 ; SNIP: 1,13 ; AIS: 0.459 AIS - Agriculture, dairy &amp; animal science - Q1, Veterinary sciences - Q2 JIF - Agriculture, dairy &amp; animal science - Q1, Veterinary sciences - Q1 Scimago - Animal science and zoology - Q1, Veterinary (miscellaneous) - Q1 </t>
  </si>
  <si>
    <t xml:space="preserve">Intranuclear characteristics of pig oocytes stained with brilliant cresyl blue and nucleologenesis of resulting embryos / Murín, Matej [Autor, UKFFPVKBG, 60%] ; Strejček, František [Autor, UKFFPVKBG, 5%] ; Bartková, Alexandra [Autor, UKFFPVKBG, 5%] ; Morovič, Martin [Autor, UKFFPVKZA, 5%] ; Benc, Michal [Autor, UKFFPVKZA, 5%] ; Procházka, Radek [Autor, 5%] ; Lucas-Hahn, Andrea [Autor, 5%] ; Pendovski, Lazo [Autor, 5%] ; Laurinčík, Jozef [Autor, UKFFPVKZA, 5%]. – text. – [angličtina]. – [OV 130]. – [článok]. – DOI 10.1017/S0967199419000352. – WOS CC ; SCO ; CCC In: Zygote [textový dokument (print)] [elektronický dokument] . – New York (USA) : Cambridge University Press. – ISSN 0967-1994. – ISSN (online) 1469-8730. – Roč. 27, č. 4 (2019), s. 1-12 [tlačená forma] [online] . – IF: 1.257 ; SJR: 0,435 ; CiteScore: 2,6 ; SNIP: 0,6 JIF - Cell biology - Q4, Developmental biology - Q4, Reproductive biology - Q4 Scimago - Cell biology - Q4, Developmental biology - Q4 </t>
  </si>
  <si>
    <t xml:space="preserve">Investigation of dynamic mechanical properties of Estonian clay Arumetsa during firing / Štubňa, Igor [Autor, UKFFPVKFY, 25%] ; Húlan, Tomáš [Autor, UKFFPVKFY, 25%] ; Kaljuvee, Tiit [Autor, 25%] ; Vozár, Libor [Autor, UKFFPVKFY, 25%]. – [angličtina]. – [OV 091]. – [článok]. – DOI 10.1016/j.clay.2017.11.038. – WOS CC ; SCO ; CCC In: Applied Clay Science [textový dokument (print)] [elektronický dokument] : An International Journal on Physics, Chemistry, Geology and Technology of Clays and Clay Minerals. – Amsterdam (Holandsko) : Elsevier. – ISSN 0169-1317. – ISSN (online) 1872-9053. – č. 153 (2018), s. 23-28 [tlačená forma] [online] . – IF: 3,890 ; SJR: 0,99 ; CiteScore: 6,3 ; SNIP: 1,639 JIF - Chemistry, physical - Q2, Materials science, multidisciplinary - Q1, Mineralogy - Q1 Scimago - Geochemistry and petrology - Q2, Geology - Q1 </t>
  </si>
  <si>
    <t xml:space="preserve">Investigation of kaolin–quartz mixtures during heating using thermodilatometry and DC thermoconductometry / Ondruška, Ján [Korešpondenčný autor, 30%] ; Csáki, Štefan [Autor, UKFFPVKFY, 30%] ; Štubňa, Igor [Autor, UKFFPVKFY, 30%] ; Trnovcová, Viera [Autor, 10%]. – text. – [angličtina]. – [OV 091]. – [článok]. – DOI 10.1007/s10973-019-08476-2. – WOS CC ; SCO ; CCC In: Journal of Thermal Analysis and Calorimetry [textový dokument (print)] [elektronický dokument] : an International Forum for Thermal Studies. – Dordrecht (Holandsko) : Springer Nature. Springer International Publishing AG. – ISSN 1388-6150. – ISSN (online) 1588-2926. – Roč. 139, č. 2 (2020), s. 1-8 [tlačená forma] [online] . – SJR: 0,521 ; CiteScore: 5,1 ; SNIP: 1,142 ; IF: 4.626 ; AIS: 0.366 AIS - Chemistry, analytical - Q3, Chemistry, physical - Q4, Thermodynamics - Q3 JIF - Chemistry, analytical - Q1, Chemistry, physical - Q2, Thermodynamics - Q1 Scimago - Condensed matter physics - Q2, Physical and theoretical chemistry - Q2 </t>
  </si>
  <si>
    <t xml:space="preserve">Job Shop Scheduling Problem Optimization by Means of Graph-Based Algorithm / Stastny, Jiri [Autor, 25%] ; Skorpil, Vladislav [Autor, 25%] ; Balogh, Zoltán [Autor, UKFFPVKIN, 25%] ; Klein, Richard [Autor, 25%]. – text. – [angličtina]. – [OV 160]. – [článok]. – DOI 10.3390/app11041921. – WOS CC ; SCO ; CCC In: Applied sciences [elektronický dokument] . – Bazilej (Švajčiarsko) : Multidisciplinary Digital Publishing Institute. – ISSN (online) 2076-3417. – Roč. 11, č. 4 (2021), s. 1-16 [online] . – IF: 2,838 ; SNIP: 1,026 ; SJR: 0,507 ; CiteScore: 3,70 ; AIS: 0.409 AIS - Chemistry, multidisciplinary - Q3, Engineering, multidisciplinary - Q3, Materials science, multidisciplinary - Q3, Physics, applied - Q3 JIF - Chemistry, multidisciplinary - Q3, Engineering, multidisciplinary - Q2, Materials science, multidisciplinary - Q3, Physics, applied - Q2 Scimago - Computer science applications - Q3, Engineering (miscellaneous) - Q2, Fluid flow and transfer processes - Q2, Instrumentation - Q2, Materials science (miscellaneous) - Q2, Process chemistry and technology - Q2 </t>
  </si>
  <si>
    <t xml:space="preserve">John Paul iI’s legacy as a resourse for fighting totalitarianism Slovak experience / Valčo, Michal [Autor, UKOEBST, 25%] ; Šturák, Peter [Autor, PUPGRHV, 25%] ; Pavlíková, Martina [Autor, UKFFFAKZU, 25%] ; Paľa, Gabriel [Autor, PUPGRAED, 25%]. – text. – [angličtina]. – [OV 020]. – [článok]. – SIGN-PU GTF-21 194/20. – AHCI ; WOS CC ; SCO ; CCC In: Philosophia [textový dokument (print)] [elektronický dokument] : International journal of philosophy. – Quezon City (Filipíny) : Philippine National Philosophical Research Society. – ISSN 2244-1875. – suppl. Centennial Anniversary of John Paul II Roč. 21, č. Special (2020), s. 429-452 [tlačená forma] [online] . – SJR: 0,158 ; CiteScore: 0,1 ; SNIP: 0,061 ; AIS: 0.015 AIS - Philosophy - Q4 Scimago - Philosophy - Q2 </t>
  </si>
  <si>
    <t xml:space="preserve">Kinetic analysis of sinter-crystallization of mullite and cristobalite from kaolinite / Ondro, Tomáš [Autor, UKFFPVKFY, 20%] ; Al-Shantir, Omar [Autor, 20%] ; Csáki, Štefan [Autor, 20%] ; Lukáč, František [Autor, 20%] ; Trník, Anton [Autor, UKFFPVKFY, 20%]. – text. – [angličtina]. – [OV 091]. – [článok]. – DOI 10.1016/j.tca.2019.178312. – WOS CC ; SCO ; CCC In: Thermochimica Acta [textový dokument (print)] [elektronický dokument] : an International Journal Concerned with All Aspects of Thermoanalytical and Calorimetric Methods and their Application to Experimental Chemistry, Physics, Biology and Engineering. – Amsterdam (Holandsko) : Elsevier. – ISSN 0040-6031. – ISSN (online) 1872-762X. – Roč. 678 (2019), s. 1-6 [tlačená forma] [online] . – SJR: 0,558 ; CiteScore: 4,2 ; SNIP: 1,184 ; IF: 2.762 JIF - Chemistry, analytical - Q2, Chemistry, physical - Q3, Thermodynamics - Q2 Scimago - Condensed matter physics - Q2, Instrumentation - Q2, Physical and theoretical chemistry - Q2 </t>
  </si>
  <si>
    <t xml:space="preserve">Kinetic analysis of sinter-crystallization of mullite and cristobalite from kaolinite (vol 678, 178312, 2019) / Ondro, Tomáš [Autor, UKFFPVKFY, 20%] ; Al-Shantir, Omar [Autor, UKFFPVKFY, 20%] ; Csáki, Štefan [Autor, 20%] ; Lukáč, František [Autor, 20%] ; Trník, Anton [Autor, UKFFPVKFY, 20%]. – [angličtina]. – [OV 091]. – [článok]. – WOS CC ; CCC In: Thermochimica Acta [textový dokument (print)] [elektronický dokument] : an International Journal Concerned with All Aspects of Thermoanalytical and Calorimetric Methods and their Application to Experimental Chemistry, Physics, Biology and Engineering. – Amsterdam (Holandsko) : Elsevier. – ISSN 0040-6031. – ISSN (online) 1872-762X. – Roč. 682 (2019), s. 1-8 [tlačená forma] [online] . – SJR: 0,558 ; CiteScore: 4,2 ; SNIP: 1,184 ; IF: 2.762 JIF - Chemistry, analytical - Q2, Chemistry, physical - Q3, Thermodynamics - Q2 Scimago - Condensed matter physics - Q2, Instrumentation - Q2, Physical and theoretical chemistry - Q2 </t>
  </si>
  <si>
    <t xml:space="preserve">Kinetic analysis of the formation of high-temperature phases in an illite-based ceramic body using thermodilatometry / Ondro, Tomáš [Autor, UKFFPVKFY, 17%] ; Húlan, Tomáš [Autor, UKFFPVKFY, 17%] ; Al-Shantir, Omar [Autor, UKFFPVKFY, 17%] ; Csáki, Štefan [Autor, UKFFPVKFY, 17%] ; Vaclavu, Tereza [Autor, 16%] ; Trník, Anton [Autor, UKFFPVKFY, 16%]. – [angličtina]. – [OV 091]. – [článok]. – DOI 10.1007/s10973-019-08781-w. – WOS CC ; SCO ; CCC In: Journal of Thermal Analysis and Calorimetry [textový dokument (print)] [elektronický dokument] : an International Forum for Thermal Studies. – Dordrecht (Holandsko) : Springer Nature. Springer International Publishing AG. – ISSN 1388-6150. – ISSN (online) 1588-2926. – Roč. 138, č. 3 (2019), 2289-2294 [tlačená forma] [online] . – IF: 2,731 ; SJR: 0,415 ; CiteScore: 4,3 ; SNIP: 1,078 JIF - Chemistry, analytical - Q2, Chemistry, physical - Q3, Thermodynamics - Q2 Scimago - Condensed matter physics - Q3, Physical and theoretical chemistry - Q3 </t>
  </si>
  <si>
    <t xml:space="preserve">K-L Divergence, entropy and mutual information of experiments in the intuitionistic fuzzy case / Markechová, Dagmar [Autor, UKFFPVKMA, 50%] ; Riečan, Beloslav [Autor, 50%]. – text. – [angličtina]. – [OV 240, 160]. – [článok]. – DOI 10.3233/JIFS-18053. – WOS CC ; SCO ; CCC In: Journal of Intelligent &amp; Fuzzy Systems [textový dokument (print)] [elektronický dokument] . – Amsterdam (Holandsko) : IOS Press. – ISSN 1064-1246. – ISSN (online) 1875-8967. – Roč. 36, č. 4 (2019), s. 3857-3867 [tlačená forma] [online] . – SJR: 0,357 ; CiteScore: 2,6 ; SNIP: 0,793 ; IF: 1.851 JIF - Computer science, artificial intelligence - Q3 Scimago - Artificial intelligence - Q3, Engineering (miscellaneous) - Q2, Statistics and probability - Q3 </t>
  </si>
  <si>
    <t xml:space="preserve">Koráliky z germánskej rezidencie v Cíferi-Páci (juhozápadné Slovensko) = Beads from the Germanic residence at Cifer-Pac (southwest Slovakia) / Varsik, Vladimír [Autor, TUTFFKKA, 60%] ; Illášová, Ľudmila [Autor, UKFFPVGMU, 10%] ; Štubňa, Ján [Autor, UKFFPVKGR, 30%]. – text. – [slovenčina]. – [OV 030]. – [článok]. – DOI 10.35686/AR.2021.3. – TUT ID E087344. – WOS CC ; SCO ; CCC In: Archeologické rozhledy [textový dokument (print)] . – Praha (Česko) : Akademie věd České republiky. Archeologický ústav AV ČR. – ISSN 0323-1267. – Roč. 73, č. 1 (2021), s. 72-101 [tlačená forma] . – CiteScore: 1 ; SJR: 0,309 ; SNIP: 0,589 ; AIS: 0.237 AIS - Archaeology - Q4 Scimago - Archeology - Q2, Archeology (arts and humanities) - Q2 </t>
  </si>
  <si>
    <t xml:space="preserve">Land plots valuation in land consolidation in Slovakia: A need for a new approach / Muchová, Zlatica [Autor, SPUFZK05, 60%] ; Konc, Ľubomír [Autor, SPUFZK05, 20%] ; Petrovič, František [Autor, UKFFPVKEE, 20%]. – text. – [angličtina]. – [OV 080, 190]. – [článok]. – DOI 10.3846/ijspm.2018.5221. – WOS CC ; SCO ; CCC In: International Journal of Strategic Property Management [textový dokument (print)] [elektronický dokument] . – Vilnius (Litva) : Vilniaus Gedimino technikos universitetas. – ISSN 1648-715X. – ISSN (online) 1648-9179. – Roč. 22, č. 5 (2018), s. 372-380 [tlačená forma] [online] . – IF: 1.597 ; SJR: 0,548 ; CiteScore: 2,3 ; SNIP: 0,829 JIF - Management - Q3 Scimago - Strategy and management - Q2 </t>
  </si>
  <si>
    <t xml:space="preserve">Land-use dynamics in transport-impacted urban fabric: A case study of Martin-Vrútky, Slovakia / Nozdrovická, Jana [Autor, UKFFPVKEE, 15%] ; Dostál, Ivo [Korešpondenčný autor, UKFFPVKEE, 15%] ; Petrovič, František [Autor, UKFFPVKEE, 15%] ; Jakab, Imrich [Autor, UKFFPVKEE, 15%] ; Havlíček, Marek [Autor, 5%] ; Skokanová, Hana [Autor, 5%] ; Falťan, Vladimír [Autor, 15%] ; Mederly, Peter [Autor, UKFFPVKEE, 15%]. – text, mapy, tab., obr. – [angličtina]. – [OV 100, 092]. – [článok]. – [recenzované]. – DOI 10.3390/LAND9080273. – SIGN-UKO PR 176/20. – WOS CC ; SCO ; CCC In: Land [elektronický dokument] . – Bazilej (Švajčiarsko) : Multidisciplinary Digital Publishing Institute. – ISSN 2073-445X. – Roč. 9, č. 8 (2020), Art. no. 273, s. 1-22 [online] . – SJR: 0,744 ; CiteScore: 3 ; SNIP: 1,44 ; IF: 3.398 ; AIS: 0.594 AIS - Environmental studies - Q4 JIF - Environmental studies - Q2 Scimago - Ecology - Q2, Global and planetary change - Q2, Nature and landscape conservation - Q2 </t>
  </si>
  <si>
    <t xml:space="preserve">Learning about Colour – the Legacy of the Bauhaus Masters / Kárpáti, Andrea [Autor, UKFFSSUVP, 34%] ; Molnár, Gyöngyvér [Autor, 33%] ; Tóth, Alisa [Autor, 33%]. – text. – [angličtina]. – [OV 010]. – [článok]. – DOI 10.1111/jade.12338. – WOS CC ; SCO ; CCC In: The international journal of art &amp; design education. – ISSN 1476-8062. – Roč. 40, č. 1 (2021), s. 108-125 . – CiteScore: 1,4 ; IF: 0.813 ; SJR: 0,41 ; SNIP: 0,97 ; AIS: 0.185 AIS - Art - Q3, Education &amp; educational research - Q4 JIF - Education &amp; educational research - Q4 Scimago - Arts and humanities (miscellaneous) - Q2, Education - Q2, Visual arts and performing arts - Q1 </t>
  </si>
  <si>
    <t xml:space="preserve">Lithium and lead chloride antimonate glasses / Castro, Alexander [Autor, 9.1%] ; Brehault, Antoine [Autor, 9.09%] ; Carcreff, Julie [Autor, 9.09%] ; Bošák, Ondrej [Autor, M1000, 9.09%] ; Kubliha, Marian [Autor, M1000, 9.09%] ; Trnovcová, Viera [Autor, UKFFPVKFY, 9.09%] ; Dománková, Mária [Autor, M1000, 9.09%] ; Siljegovič, Mirjana [Autor, 9.09%] ; Calvez, Laurent [Autor, 9.09%] ; Labaš, Vladimír [Autor, M1000, 9.09%] ; Le Coq, David [Autor, 9.09%]. – text. – [angličtina]. – [OV 120]. – [článok]. – WOS CC ; SCO ; CCC In: Journal of Non-Crystalline Solids [textový dokument (print)] [elektronický dokument] . – Amsterdam (Holandsko) : Elsevier. – ISSN 0022-3093. – ISSN (online) 1873-4812. – č. 499 (2018), s. 66-74 [tlačená forma] [online] . – IF: 2.6 ; SJR: 0,689 ; CiteScore: 4,3 ; SNIP: 1,186 JIF - Materials science, ceramics - Q1, Materials science, multidisciplinary - Q2 Scimago - Ceramics and composites - Q1, Condensed matter physics - Q2, Electronic, optical and magnetic materials - Q1, Materials chemistry - Q1 </t>
  </si>
  <si>
    <t xml:space="preserve">Logical Divergence, Logical Entropy, and Logical Mutual Information in Product MV-Algebras / Markechová, Dagmar [Autor, UKFFPVKMA, 60%] ; Mosapour, Batool [Autor, 20%] ; Ebrahimzadeh, Abolfazl [Autor, 20%]. – text. – [angličtina]. – [OV 240]. – [článok]. – DOI 10.3390/e20020129. – WOS CC ; SCO ; CCC In: Entropy [elektronický dokument] . – Bazilej (Švajčiarsko) : Multidisciplinary Digital Publishing Institute. – ISSN (online) 1099-4300. – Roč. 20, č. 2 (2018), art. no. 129, s. 1-14 [online] . – IF: 2.419 ; SJR: 0,524 ; CiteScore: 3,6 ; SNIP: 1,234 JIF - Physics, multidisciplinary - Q2 Scimago - Physics and astronomy (miscellaneous) - Q2 </t>
  </si>
  <si>
    <t xml:space="preserve">Logical entropy of dynamical systems in product MV-algebras and general scheme / Markechová, Dagmar [Autor, UKFFPVKMA, 50%] ; Riečan, Beloslav [Autor, 50%]. – [angličtina]. – [OV 240]. – [článok]. – DOI 10.1186/s13662-019-1946-2. – WOS CC ; SCO ; CCC In: Advances in Difference Equations [textový dokument (print)] [elektronický dokument] . – Cham (Švajčiarsko) : Springer Nature. Springer International Publishing AG. – ISSN 1687-1839. – ISSN (online) 1687-1847. – č. 1 (2019), art. no. 9, s. 1-17 [tlačená forma] [online] . – SJR: 0,677 ; CiteScore: 3 ; SNIP: 0,976 ; IF: 2.421 JIF - Mathematics - Q1, Mathematics, applied - Q1 Scimago - Algebra and number theory - Q2, Analysis - Q2, Applied mathematics - Q2 </t>
  </si>
  <si>
    <t xml:space="preserve">Logical entropy on effect algebras with the Riesz decomposition property / Giski, Zahra Eslami [Autor, 30%] ; Ebrahimzadeh, Abolfazl [Autor, 30%] ; Markechová, Dagmar [Autor, UKFFPVKMA, 40%]. – text. – [angličtina]. – [OV 010]. – [článok]. – DOI 10.1140/epjp/i2018-12107-x. – WOS CC ; SCO ; CCC In: The European Physical Journal Plus [elektronický dokument] . – Berlin (Nemecko) : Springer Nature. – ISSN (online) 2190-5444. – Roč. 133, č. 7 (2018), s. 286-286 [tlačená forma] . – SJR: 0,535 ; CiteScore: 3,9 ; SNIP: 0,942 ; IF: 2.612 JIF - Physics, multidisciplinary - Q2 Scimago - Physics and astronomy (miscellaneous) - Q2 </t>
  </si>
  <si>
    <t xml:space="preserve">Longevity and germination of Juniperus communis L. pollen after storage / Kormuťák, Andrej [Autor, 25%] ; Boleček, Peter [Autor, UKFFPVKBG, 25%] ; Galgóci, Martin [Autor, UKFFPVKBG, 25%] ; Gömöry, Dušan [Autor, KF, 25%]. – text. – [angličtina]. – [OV 130, 190]. – [článok]. – DOI 10.1038/s41598-021-90942-9. – WOS CC ; SCO ; CCC In: Scientific Reports [elektronický dokument] [textový dokument (print)] . – Londýn (Veľká Británia) : Springer Nature. Nature Publishing Group. – ISSN (online) 2045-2322. – Roč. 11 (2021), art. no. 12755 , s. [1-8] [online] [tlačená forma] . – Nordic List: 1 ; SNIP: 1.389 ; SJR: 1.005 ; CiteScore: 6.9 ; IF: 4.997 ; AIS: 1.208 AIS - Multidisciplinary sciences - Q2 JIF - Multidisciplinary sciences - Q2 Scimago - Multidisciplinary - Q1 </t>
  </si>
  <si>
    <t xml:space="preserve">Long-Term Development Trend of the Historical Cultural Landscape of the UNESCO Monument: Vlkolínec (Slovakia) / Petrovič, František [Korešpondenčný autor, UKFFPVKEE, 20%] ; Boltižiar, Martin [Autor, UKFFPVKGR, 20%] ; Rakytová, Iveta [Autor, 20%] ; Tomčíková, Ivana [Autor, KURPEGO, 20%] ; Pauditšová, Eva [Autor, UKOPREEM, 20%]. – text, fotogr., graf., tab., obr. – [angličtina]. – [OV 100]. – [článok]. – [recenzované]. – DOI 10.3390/su13042227. – SIGN-UKO PR 448/21. – SCIE ; SSCI ; WOS CC ; SCO ; CCC In: Sustainability [elektronický dokument] . – Bazilej (Švajčiarsko) : Multidisciplinary Digital Publishing Institute. – ISSN (online) 2071-1050. – Roč. 13, č. 4 (2021), art. no. 2227, s. [1-19] [online] . – IF: 3,889 ; SNIP: 1,310 ; SJR: 0,664 ; CiteScore: 5,00 ; AIS: 0.516 AIS - Environmental sciences - Q3, Environmental studies - Q4, Green &amp; sustainable science &amp; technology - Q4 JIF - Environmental sciences - Q2, Environmental studies - Q2, Green &amp; sustainable science &amp; technology - Q3 Scimago - Energy engineering and power technology - Q2, Environmental science (miscellaneous) - Q2, Geography, planning and development - Q1, Management, monitoring, policy and law - Q2, Renewable energy, sustainability and the environment - Q2 </t>
  </si>
  <si>
    <t xml:space="preserve">Long-term peroral administration of bitter apricot seeds influences cortical bone microstructure of rabbits / Kováčová, Veronika [Autor, UKFFPVKZA, 30%] ; Šarocká, Anna [Autor, UKFFPVKZA, 15%] ; Blahová, Jana [Autor, UKFFPVKBG, 5%] ; Šranko, Patrik [Autor, UKFFPVKBG, 5%] ; Omelka, Radoslav [Autor, UKFFPVKBG, 15%] ; Galbavý, Drahomír [Autor, 5%] ; Kolesárová, Adriana [Autor, SPUFBP03, 5%] ; Martiniaková, Monika [Autor, UKFFPVKZA, 20%]. – [angličtina]. – [OV 190, 130]. – [článok]. – DOI 10.1111/jpn.13229. – SCO ; CCC In: Journal of Animal Physiology and Animal Nutrition [textový dokument (print)] [elektronický dokument] . – Berlin (Nemecko) : John Wiley &amp; Sons. Wiley-Blackwell. – ISSN 0931-2439. – ISSN (online) 1439-0396. – Roč. 104, č. 1 (2020), s. 1-8 [tlačená forma] [online] . – IF: 2,130 ; SJR: 0,651 ; CiteScore: 3,5 ; SNIP: 1,056 ; AIS: 0.415 AIS - Agriculture, dairy &amp; animal science - Q2, Veterinary sciences - Q2 JIF - Agriculture, dairy &amp; animal science - Q2, Veterinary sciences - Q2 Scimago - Animal science and zoology - Q1, Food animals - Q2 </t>
  </si>
  <si>
    <t xml:space="preserve">Management and Land Cover Changes in the Western Carpathian Traditional Orchard Landscape in the Period after 1948 / Žarnovičan, Hubert [Korešpondenčný autor, UKOPREEM, 40%] ; Kollár, Jozef [Autor, 15%] ; Falťan, Vladimír [Autor, UKOPRZFGGI, 15%] ; Petrovič, František [Autor, UKFFPVKEE, 15%] ; Gábor, Marián [Autor, 15%]. – text, graf., tab., obr. – [angličtina]. – [OV 100]. – [článok]. – DOI 10.3390/agronomy11020366. – SIGN-UKO PR 435/21. – SCIE ; SSCI ; WOS CC ; SCO ; CCC In: Agronomy-Basel [elektronický dokument] . – Bazilej (Švajčiarsko) : Multidisciplinary Digital Publishing Institute. – ISSN (online) 2073-4395. – Roč. 11, č. 2 (2021), art. no. 366, s. [1-17] [online] . – CiteScore: 3,9 ; IF: 3.949 ; SJR: 0,654 ; SNIP: 1,284 ; AIS: 0.503 AIS - Agronomy - Q2, Plant sciences - Q2 JIF - Agronomy - Q1, Plant sciences - Q1 Scimago - Agronomy and crop science - Q1 </t>
  </si>
  <si>
    <t xml:space="preserve">Management of oxidative stress and other pathologies in Alzheimer’s disease / Šimunková, Miriama [Autor, 045210, 35%] ; Alwasel, Saleh Hamad Amad [Autor, 1%] ; Alhazza, Ibrahim M. [Autor, 1%] ; Jomová, Klaudia [Autor, UKFFPVKCH, 35%] ; Kollár, Vojtech [Autor, VŠEMVSÚVSKBM, 10%] ; Rusko, Miroslav [Autor, M5200, 10%] ; Valko, Marián [Autor, 045210, 8%]. – text. – [angličtina]. – [OV 010, 120, 180]. – [článok]. – DOI 10.1007/s00204-019-02538-y. – WOS CC ; SCO ; CCC In: Archives of Toxicology [textový dokument (print)] . – Berlín (Nemecko) : Springer Nature. Springer International Publishing AG. – ISSN 0340-5761. – ISSN (online) 1432-0738. – 2019, s. 2491-2513 [tlačená forma] . – SJR: 1,379 ; CiteScore: 9,6 ; SNIP: 1,55 ; IF: 5.059 JIF - Toxicology - Q1 Scimago - Health, toxicology and mutagenesis - Q1, Medicine (miscellaneous) - Q1, Toxicology - Q1 </t>
  </si>
  <si>
    <t xml:space="preserve">Mapping Cultural Ecosystem Services Enables Better Informed Nature Protection and Landscape Management / Vrbičanová, Gréta [Autor, UKFFPVKEE, 25%] ; Kaisová, Dominika [Autor, UKFFPVKEE, 25%] ; Močko, Matej [Autor, UKFFPVKEE, 20%] ; Petrovič, František [Autor, UKFFPVKEE, 15%] ; Mederly, Peter [Autor, UKFFPVKEE, 15%]. – text. – [angličtina]. – [OV 100]. – [článok]. – WOS CC ; SCO ; CCC In: Sustainability [elektronický dokument] . – Bazilej (Švajčiarsko) : Multidisciplinary Digital Publishing Institute. – ISSN (online) 2071-1050. – Roč. 12, č. 5 (2020), s. 1-14 [online] . – IF: 3,251 ; SNIP: 1,242 ; SJR: 0,612 ; CiteScore: 3,90 ; AIS: 0.462 AIS - Environmental sciences - Q3, Environmental studies - Q4, Green &amp; sustainable science &amp; technology - Q4 JIF - Environmental sciences - Q2, Environmental studies - Q2, Green &amp; sustainable science &amp; technology - Q3 Scimago - Energy engineering and power technology - Q2, Environmental science (miscellaneous) - Q2, Geography, planning and development - Q1, Management, monitoring, policy and law - Q2, Renewable energy, sustainability and the environment - Q2 </t>
  </si>
  <si>
    <t xml:space="preserve">Maternal inheritance of chloroplast DNA in Pinus mugo Turra: a case study of Pinus mugo x Pinus sylvestris crossing / Kormuťák, Andrej [Autor, 20%] ; Galgóci, Martin [Autor, UKFFPVKBG, 25%] ; Súkeníková, Denisa [Autor, 5%] ; Boleček, Peter [Autor, UKFFPVKBG, 15%] ; Libantová, Jana [Autor, 15%] ; Gömöry, Dušan [Autor, KF, 20%]. – text. – [angličtina]. – [OV 130, 190]. – [článok]. – DOI 10.1007/s00606-017-1449-0. – WOS CC ; SCO ; CCC In: Plant Systematics and Evolution [textový dokument (print)] [elektronický dokument] . – Viedeň (Rakúsko) : Springer Nature. Springer International Publishing AG. – ISSN 0378-2697. – ISSN (online) 2199-6881. – Roč. 304, č. 1 (2018), s. 71-76 [tlačená forma] [online] . – IF: 1.585 ; SJR: 0,734 ; CiteScore: 3,4 ; SNIP: 1,068 JIF - Evolutionary biology - Q4, Plant sciences - Q2 Scimago - Ecology, evolution, behavior and systematics - Q2, Plant science - Q2 </t>
  </si>
  <si>
    <t xml:space="preserve">Maternally inherited rRNA triggers de novo nucleolus formation in porcine embryos / Morovič, Martin [Autor, UKFFPVKZA, 60%] ; Ostrup, Oľga [Autor, 5%] ; Strejček, František [Autor, UKFFPVKBG, 5%] ; Benc, Michal [Autor, UKFFPVKZA, 5%] ; Murín, Matej [Autor, UKFFPVKBG, 5%] ; Jedličková, Katarína [Autor, UKFFPVKZA, 5%] ; Bartková, Alexandra [Autor, UKFFPVKBG, 5%] ; Lucas-Hahn, Andrea [Autor, 2%] ; Pendovski, Lazo [Autor, 3%] ; Laurinčík, Jozef [Autor, UKFFPVKZA, 5%]. – [angličtina]. – [OV 130]. – [článok]. – DOI 10.1017/S0967199418000400. – WOS CC ; SCO ; CCC In: Zygote [textový dokument (print)] [elektronický dokument] . – New York (USA) : Cambridge University Press. – ISSN 0967-1994. – ISSN (online) 1469-8730. – Roč. 26, č. 5 (2018), 395-402 [tlačená forma] [online] . – IF: 1.278 ; SJR: 0,47 ; CiteScore: 2,1 ; SNIP: 0,531 JIF - Cell biology - Q4, Developmental biology - Q4, Reproductive biology - Q4 Scimago - Cell biology - Q4, Developmental biology - Q4 </t>
  </si>
  <si>
    <t xml:space="preserve">Measurement and Uncertainty Assessment of the Thermal Conductivity and Diffusivity of Silica Glass using Step-Wise Transient Method / Malinarič, Svetozár [Autor, UKFFPVKFY, 80%] ; Elkholy, Mahmed [Autor, 20%]. – text. – [angličtina]. – [OV 091]. – [článok]. – DOI 10.1007/s10765-020-02787-5. – WOS CC ; SCO ; CCC In: International Journal of Thermophysics [textový dokument (print)] : Journal of Thermophysical Properties and Thermophysics and Its Applications. – New York (USA) : Springer Nature. Springer International Publishing AG. – ISSN 0195-928X. – ISSN (online) 1572-9567. – Roč. 42, č. 3 (2021), s. 1-14 [tlačená forma] . – CiteScore: 2,8 ; IF: 2.416 ; SJR: 0,345 ; SNIP: 0,791 ; AIS: 0.291 AIS - Chemistry, physical - Q4, Mechanics - Q4, Physics, applied - Q4, Thermodynamics - Q3 JIF - Chemistry, physical - Q3, Mechanics - Q3, Physics, applied - Q3, Thermodynamics - Q3 Scimago - Condensed matter physics - Q3 </t>
  </si>
  <si>
    <t xml:space="preserve">Mechanical properties of illite-based ceramics with controlled porosity studied by modern in situ techniques / Knapek, Michal [Autor, 12.5%] ; Kušnír, Jakub [Autor, 12.5%] ; Húlan, Tomáš [Autor, UKFFPVKFY, 12.5%] ; Minárik, Peter [Autor, 12.5%] ; Csáki, Štefan [Autor, 12.5%] ; Lukáč, František [Autor, 12.5%] ; Dobroň, Patrik [Autor, 12.5%] ; Chmelík, František [Autor, 12.5%]. – [angličtina]. – [OV 091]. – [článok]. – DOI 10.1111/jace.16940. – WOS CC ; SCO ; CCC In: Journal of the American Ceramic Society [textový dokument (print)] [elektronický dokument] : a monthly publication devoted to the arts and sciences related to ceramics. – Westerville (USA) : American Ceramic Society. – ISSN 0002-7820. – ISSN (online) 1551-2916. – Roč. 103, č. 4 (2020), s. 2780-2790 [tlačená forma] [online] . – SJR: 0,9 ; CiteScore: 6,1 ; SNIP: 1,224 ; IF: 3.784 ; AIS: 0.676 AIS - Materials science, ceramics - Q1 JIF - Materials science, ceramics - Q1 Scimago - Ceramics and composites - Q1, Materials chemistry - Q1 </t>
  </si>
  <si>
    <t xml:space="preserve">Mechanical-acoustic study of electroporcelain mixture made under different compression pressures / Al-Shantir, Omar [Autor, UKFFPVKFY, 15%] ; Csáki, Štefan [Autor, 15%] ; Ondro, Tomáš [Autor, 14%] ; Keppert, Martin [Autor, 14%] ; Minárik, Peter [Autor, 14%] ; Vrabec, Marek [Autor, 14%] ; Trník, Anton [Korešpondenčný autor, UKFFPVKFY, 14%]. – text. – [angličtina]. – [OV 091]. – [článok]. – DOI 10.1007/s10973-020-09908-0. – WOS CC ; SCO ; CCC In: Journal of Thermal Analysis and Calorimetry [textový dokument (print)] [elektronický dokument] : an International Forum for Thermal Studies. – Dordrecht (Holandsko) : Springer Nature. Springer International Publishing AG. – ISSN 1388-6150. – ISSN (online) 1588-2926. – Roč. 142, č. 5 (2020), s. 1759-1766 [tlačená forma] [online] . – SJR: 0,521 ; CiteScore: 5,1 ; SNIP: 1,142 ; IF: 4.626 ; AIS: 0.366 AIS - Chemistry, analytical - Q3, Chemistry, physical - Q4, Thermodynamics - Q3 JIF - Chemistry, analytical - Q1, Chemistry, physical - Q2, Thermodynamics - Q1 Scimago - Condensed matter physics - Q2, Physical and theoretical chemistry - Q2 </t>
  </si>
  <si>
    <t xml:space="preserve">Mechanisms of the direct effects of oil-related contaminants on ovarian cells / Sirotkin, Alexander [Autor, UKFFPVKZA, 50%] ; Kadasi, Attila [Autor, 10%] ; Baláži, Andrej [Autor, 10%] ; Kotwica, Jan [Autor, 10%] ; Alrezaki, Abdulkarem [Autor, 10%] ; Harrath, Abdel Halim [Autor, 10%]. – text. – [angličtina]. – [OV 130, 190]. – [článok]. – DOI 10.1007/s11356-019-07295-0. – WOS CC ; SCO ; CCC In: Environmental Science and Pollution Research [elektronický dokument] [textový dokument (print)] . – Heidelberg (Nemecko) : Springer Nature. Springer International Publishing AG. – ISSN 0944-1344. – ISSN (online) 1614-7499. – Roč. 27, č. 5 (2020), s. 5314-5322 [tlačená forma] [online] . – IF: 4.223 ; SNIP: 1,114 ; SJR: 0,845 ; CiteScore: 5,5 ; AIS: 0.602 AIS - Environmental sciences - Q3 JIF - Environmental sciences - Q2 Scimago - Environmental chemistry - Q2, Health, toxicology and mutagenesis - Q2, Medicine (miscellaneous) - Q2, Pollution - Q2 </t>
  </si>
  <si>
    <t xml:space="preserve">Metacognitive Knowledge and Mathematical Intelligence-Two Significant Factors Influencing School Performance / Chytrý, Vlastimil [Korešpondenčný autor, 25%] ; Říčan, Jaroslav [Autor, 25%] ; Eisenmann, Petr [Autor, 25%] ; Medová, Janka [Korešpondenčný autor, UKFFPVKMA, 25%]. – text. – [angličtina]. – [OV 010]. – [článok]. – DOI 10.3390/math8060969. – WOS CC ; SCO ; CCC In: Mathematics [elektronický dokument] . – Bazilej (Švajčiarsko) : Multidisciplinary Digital Publishing Institute. – ISSN (online) 2227-7390. – Roč. 8, č. 6 (2020), s. 1-18 [online] . – SJR: 0.495 ; CiteScore: 2.2 ; SNIP: 1.290 ; IF: 2.258 ; AIS: 0.354 AIS - Mathematics - Q4 JIF - Mathematics - Q1 Scimago - Mathematics (miscellaneous) - Q2 </t>
  </si>
  <si>
    <t xml:space="preserve">Methodological approaches for vitrification of bovine oocytes / Dujíčková, Linda [Autor, 20%] ; Makarevich, Alexander V. [Autor, 20%] ; Olexíková, Lucia [Autor, 20%] ; Kubovičová, Elena [Autor, 20%] ; Strejček, František [Autor, UKFFPVKBG, 20%]. – text. – [angličtina]. – [OV 200]. – [článok]. – DOI 10.1017/S0967199420000465. – WOS CC ; SCO ; CCC In: Zygote [textový dokument (print)] [elektronický dokument] . – New York (USA) : Cambridge University Press. – ISSN 0967-1994. – ISSN (online) 1469-8730. – Roč. 28, č. 3 (2020), s. 1-17 [tlačená forma] [online] . – IF: 1.442 ; SJR: 0,416 ; CiteScore: 2,9 ; SNIP: 0,559 ; AIS: 0.311 AIS - Cell biology - Q4, Developmental biology - Q4, Reproductive biology - Q4 JIF - Cell biology - Q4, Developmental biology - Q4, Reproductive biology - Q4 Scimago - Cell biology - Q4, Developmental biology - Q4 </t>
  </si>
  <si>
    <t xml:space="preserve">microRNA expression profile in porcine oocytes with different developmental competence derived from large or small follicles / Gad, Ahmed [Autor, 50%] ; Němcová, Lucie [Autor, 8%] ; Murín, Matej [Autor, 7%] ; Kanka, Jiří [Autor, 7%] ; Laurinčík, Jozef [Autor, UKFFPVKZA, 7%] ; Benc, Michal [Autor, UKFFPVKZA, 7%] ; Pendovski, Lazo [Autor, 7%] ; Procházka, Radek [Autor, 7%]. – text. – [angličtina]. – [OV 130]. – [článok]. – DOI 10.1002/mrd.23121. – WOS CC ; SCO ; CCC In: Molecular Reproduction and Development [textový dokument (print)] . – ISSN 1040-452X. – ISSN (online) 1098-2795. – Roč. 86, č. 4 (2019), s. 426-439 [tlačená forma] . – SJR: 0,845 ; CiteScore: 3,5 ; SNIP: 1,061 ; IF: 2.823 JIF - Biochemistry &amp; molecular biology - Q3, Cell biology - Q3, Developmental biology - Q2, Reproductive biology - Q3 Scimago - Cell biology - Q3, Developmental biology - Q3, Genetics - Q3 </t>
  </si>
  <si>
    <t xml:space="preserve">Microscopic Assessment of Dead Cell Ratio in Cryopreserved Chicken Primordial Germ Cells / Svoradová, Andrea [Autor, UKFFPVKZA, 16.67%] ; Makarevich, Alexander V. [Autor, 16.666%] ; Vašíček, Jaromír [Autor, SPUFBP01, 16.666%] ; Olexíková, Lucia [Autor, 16.666%] ; Dragin, Sasa [Autor, 16.666%] ; Chrenek, Peter [Autor, SPUFBP01, 16.666%]. – text. – [angličtina]. – [OV 130, 190]. – [článok]. – DOI 10.1017/S1431927619014934. – WOS CC ; SCO ; CCC In: Microscopy and Microanalysis [textový dokument (print)] [elektronický dokument] . – New York (USA) : Cambridge University Press. – ISSN 1431-9276. – ISSN (online) 1435-8115. – Roč. 25, č. 5 (2019), s. 1257-1262 [tlačená forma] [online] . – IF: 3.414 ; SJR: 0,611 ; CiteScore: 2,9 ; SNIP: 0,988 JIF - Materials science, multidisciplinary - Q2, Microscopy - Q1 Scimago - Instrumentation - Q2 </t>
  </si>
  <si>
    <t xml:space="preserve">Mossbauer study and magnetic properties of Fe-Si-B-Cu amorphous systems with minor substitution of carbon [Mössbauer study and magnetic properties of Fe–Si–B–Cu amorphous systems with minor substitution of carbon] [Štúdium Mössbauerovej spektroskopie a magnetických vlastností na amorfnom systéme Fe-Si-B-Cu s minoritou substitúciou uhlíka] / Mohammadiparsa, Nahid [Autor, 10%] ; Habibi, Safdar [Autor, 10%] ; Janotová, Irena [Autor, 10%] ; Švec, Peter [Autor, UKFFPVKIN, 10%] ; Galdun, Ladislav [Autor, UPS99290, 10%] ; Varga, Rastislav [Autor, UPS99290, 10%] ; Kmječ, Tomáš [Autor, 10%] ; Bujdoš, Marek [Autor, UKOPRGUS, 10%] ; Dekan, Július [Autor, 036000, 10%] ; Miglierini, Marcel [Autor, 036000, 10%]. – text, ilustr., tab. – [angličtina]. – [OV 120, 150, 091]. – [článok]. – DOI 10.1007/s10967-019-06811-3. – sign UPJS FSEP 010663. – SIGN-UKO PR 625/19. – WOS CC ; SCO ; CCC In: Journal of Radioanalytical and Nuclear Chemistry [textový dokument (print)] [elektronický dokument] : an International Journal Dealing with All Aspects and Applications of Nuclear Chemistry. – Dordrecht (Nemecko) : Kluwer Academic Publishers, Dordrecht (Holandsko) : Springer Nature. – ISSN 0236-5731. – ISSN (online) 1588-2780. – Roč. 322, č. 2 (2019), s. 691-697 [tlačená forma] [online] . – IF: 1,137 ; SNIP: 0,627 ; SJR: 0,36 ; CiteScore: 2,3 JIF - Chemistry, analytical - Q4, Chemistry, inorganic &amp; nuclear - Q4, Nuclear science &amp; technology - Q3 Scimago - Analytical chemistry - Q3, Health, toxicology and mutagenesis - Q3, Nuclear energy and engineering - Q2, Pollution - Q3, Public health, environmental and occupational health - Q3, Radiology, nuclear medicine and imaging - Q3, Spectroscopy - Q3 </t>
  </si>
  <si>
    <t xml:space="preserve">Mountain Landscape Dynamics after Large Wind and Bark Beetle Disasters and Subsequent Logging - Case Studies from the Carpathians / Falťan, Vladimír [Autor, 35%] ; Petrovič, František [Autor, UKFFPVKEE, 25%] ; Gábor, Marián [Autor, 15%] ; Šagát, Vladimír [Autor, 15%] ; Hruška, Matej [Autor, 10%]. – text, mapy, graf., tab., obr. – [angličtina]. – [OV 100, 092]. – [článok]. – [recenzované]. – DOI 10.3390/rs13193873. – SIGN-UKO PR 694/21. – WOS CC ; SCO ; CCC In: Remote Sensing [elektronický dokument] . – Bazilej (Švajčiarsko) : Molecular Diversity Preservation International. – ISSN (online) 2072-4292. – Roč. 13, č. 19 (2021), art. no. 3873, s. [1-18] [online] . – CiteScore: 7,4 ; IF: 5.349 ; SJR: 1,283 ; SNIP: 1,546 ; AIS: 0.918 AIS - Environmental sciences - Q2, Geosciences, multidisciplinary - Q2, Imaging science &amp; photographic technology - Q2, Remote sensing - Q2 JIF - Environmental sciences - Q2, Geosciences, multidisciplinary - Q1, Imaging science &amp; photographic technology - Q1, Remote sensing - Q2 Scimago - Earth and planetary sciences (miscellaneous) - Q1 </t>
  </si>
  <si>
    <t xml:space="preserve">Needle blight caused by Dothistroma pini in Slovakia: distribution, host range and mating types / Ondrušková, Emília [Autor, 40%] ; Hečková-Jánošíková, Zuzana [Autor, 10%] ; Adamčík, Slavomír [Autor, 10%] ; Kádasi Horáková, Miriam [Autor, 5%] ; Rakúsová-Sládková, Dominika [Autor, UKFFPVKBG, 5%] ; Adamčíková, Katarína [Autor, 30%]. – text. – [angličtina]. – [OV 130]. – [článok]. – DOI 10.1080/02827581.2018.1482954. – WOS CC ; SCO ; CCC In: Scandinavian journal of forest research [textový dokument (print)] [elektronický dokument] . – Oslo (Nórsko) : Taylor &amp; Francis Group. – ISSN 0282-7581. – ISSN (online) 1651-1891. – Roč. 33, č. 6 (2018), s. 1-7 [tlačená forma] [online] . – IF: 1.667 ; SJR: 0,636 ; CiteScore: 3,1 ; SNIP: 0,991 JIF - Forestry - Q2 Scimago - Forestry - Q1 </t>
  </si>
  <si>
    <t xml:space="preserve">Neural Networks with Emotion Associations, Topic Modeling and Supervised Term Weighting for Sentiment Analysis / Hajek, Petr [Korešpondenčný autor, 34%] ; Barushka, Aliaksandr [Autor, 33%] ; Munk, Michal [Autor, UKFFPVKIN, 33%]. – text. – [angličtina]. – [OV 160]. – [článok]. – DOI 10.1142/S0129065721500131. – WOS CC ; SCO ; CCC In: International journal of neural systems [textový dokument (print)] [elektronický dokument] . – Singapur (Singapur) : World Scientific Publishing. – ISSN 0129-0657. – ISSN (online) 1793-6462. – Roč. 31, č. 10. február (2021), s. 1-15 [tlačená forma] [online] . – CiteScore: 9,5 ; IF: 6.325 ; SJR: 1,368 ; SNIP: 1,563 ; AIS: 0.930 AIS - Computer science, artificial intelligence - Q2 JIF - Computer science, artificial intelligence - Q1 Scimago - Computer networks and communications - Q1, Medicine (miscellaneous) - Q1 </t>
  </si>
  <si>
    <t xml:space="preserve">Ni oxidation state and ligand saturation impact on the capability of octaazamacrocyclic complexes to bind and reduce co2 / Vénosová, Barbora [Autor, 045280, 12.5%] ; Jelemenská, Ingrid [Autor, UKFFPVKCH, 12.5%] ; Kožíšek, Jozef [Autor, 045210, 12.5%] ; Rapta, Peter [Autor, 045210, 12.5%] ; Zalibera, Michal [Autor, 045210, 12.5%] ; Novotný, Michal [Autor, 12.5%] ; Arion, Vladimir B. [Autor, 12.5%] ; Bučinský, Lukáš [Autor, 045280, 12.5%]. – text. – [angličtina]. – [OV 120]. – [článok]. – DOI 10.3390/molecules26144139. – WOS CC ; SCO ; CCC In: Molecules [elektronický dokument] : a Journal of Synthetic Chemistry and Natural Product Chemistry. – Bazilej (Švajčiarsko) : Multidisciplinary Digital Publishing Institute. – ISSN (online) 1420-3049. – Roč. 26, č. 14 (2021), s. 455-478 [online] . – IF: 4.927 ; CiteScore: 5,9 ; SJR: 0,705 ; SNIP: 1,267 ; AIS: 0.671 AIS - Biochemistry &amp; molecular biology - Q3, Chemistry, multidisciplinary - Q2 JIF - Biochemistry &amp; molecular biology - Q2, Chemistry, multidisciplinary - Q2 Scimago - Analytical chemistry - Q2, Chemistry (miscellaneous) - Q2, Drug discovery - Q2, Medicine (miscellaneous) - Q2, Molecular medicine - Q3, Organic chemistry - Q2, Pharmaceutical science - Q1, Physical and theoretical chemistry - Q2 </t>
  </si>
  <si>
    <t xml:space="preserve">Night shifts as a learning experience among nursing students across Europe: Findings from a cross-sectional survey / Dobrowolská, Beáta [Autor, 10%] ; Zec, Aleksandra [Autor, 10%] ; Tosoratti, Jessica [Autor, 8%] ; Machul, Milan [Autor, 8%] ; Pokorná, Andrea [Autor, 8%] ; Nascimento, Carla [Autor, 8%] ; Ferräo, Sónia [Autor, 8%] ; Žiaková, Katarína [Autor, UKOLJ240, 8%] ; Solgajová, Andrea [Autor, UKFFSVKOS, 8%] ; Rybárová, Ľubica [Autor, PUPFZPA, 8%] ; Achil, Illarj [Autor, 8%] ; Palese, Alvisa [Korešpondenčný autor, 8%]. – text. – [angličtina]. – [OV 180]. – [článok]. – DOI 10.1016/j.nedt.2020.104441. – SIGN-UKO LJ174/20. – SIGN-PU FZ-20 152/20. – WOS CC ; SCO ; CCC In: Nurse Education Today [textový dokument (print)] : an International Journal for Health Care Education. – Amsterdam (Holandsko) : Elsevier. – ISSN 0260-6917. – ISSN (online) 1532-2793. – Roč. 90 (2020), art. no. 104441, s. [1-9] [tlačená forma] . – SJR: 1,4 ; CiteScore: 5,2 ; SNIP: 2,223 ; IF: 3.442 ; AIS: 0.865 AIS - Education, scientific disciplines - Q2, Nursing - Q1 JIF - Education, scientific disciplines - Q1, Nursing - Q1 Scimago - Education - Q1, Nursing (miscellaneous) - Q1 </t>
  </si>
  <si>
    <t xml:space="preserve">Nitrogenous Nutrition Affects Uptake of Arsenic and Defense Enzyme Responses in Wheat / Maglovski, Marína [Autor, 10%] ; Rybanský, Ľubomír [Autor, UKFFPVKMA, 14%] ; Bujdoš, Marek [Autor, 5%] ; Adamec, Lubomír [Autor, 5%] ; Bardáčová, Monika [Korešpondenčný autor, UCMFPVKCHR, 16%] ; Blehová, Alžbeta [Autor, 15%] ; Matušíková, Ildikó [Autor, UCMFPVKCHR, 35%]. – text, ilustr., graf. – [angličtina]. – [OV 190, 120, 130, 092, 240]. – [článok]. – [recenzované]. – DOI 10.15244/pjoes/127912. – SIGN-UKO PR 22/21. – SCIE ; WOS CC ; SCO ; CCC In: Polish Journal of Environmental Studies [textový dokument (print)] [elektronický dokument] . – Olsztyn (Poľsko) : Hard. – ISSN 1230-1485. – ISSN (online) 2083-5906. – Roč. 30, č. 3 (2021), 2213-2231 [tlačená forma] [online] . – CiteScore: 2,8 ; IF: 1.871 ; SJR: 0,364 ; SNIP: 0,621 ; AIS: 0.210 AIS - Environmental sciences - Q4 JIF - Environmental sciences - Q4 Scimago - Environmental chemistry - Q3, Environmental science (miscellaneous) - Q3 </t>
  </si>
  <si>
    <t xml:space="preserve">Nonnative EFL Teachers' Speaking Anxiety: Post-Communist Country Context / Kráľová, Zdena [Autor, UKFPFAKLI, 75%] ; Tirpáková, Anna [Autor, UKFFPVKMA, 25%]. – text. – [angličtina]. – [OV 010, 060]. – [článok]. – WOS CC ; SCO ; CCC In: Sage Open [elektronický dokument] . – Thousand Oaks (USA) : SAGE Publications. – ISSN (online) 2158-2440. – Roč. 9, č. 2 (2019), 46698-46698 [online] . – SJR: 0,324 ; CiteScore: 1,5 ; SNIP: 0,888 ; IF: 0.715 JIF - Social sciences, interdisciplinary - Q4 Scimago - Arts and humanities (miscellaneous) - Q2, Social sciences (miscellaneous) - Q2 </t>
  </si>
  <si>
    <t xml:space="preserve">Novel hybrid models between bivariate statistics, artificial neural networks and boosting algorithms for flood susceptibility assessment / Costache, Romulus [Autor, 22%] ; Pham, Quoc Bao [Autor, 22%] ; Mohammadtaghi, Avand [Autor, 10%] ; Linh, Nguyen Thi Thuy [Autor, 10%] ; Vojtek, Matej [Autor, UKFFPVKGR, 20%] ; Vojteková, Jana [Autor, UKFFPVKGR, 10%] ; Lee, Sunmin [Autor, 2%] ; Pham Thi, Thao Nhi [Autor, 2%] ; Dung, Tran Duc [Autor, 1%] ; Khoi, Dao Nguyen [Autor, 1%]. – text. – [angličtina]. – [OV 100]. – [článok]. – DOI 10.1016/j.jenvman.2020.110485. – WOS CC ; SCO ; CCC In: Journal of Environmental Management [textový dokument (print)] [elektronický dokument] . – Londýn (Veľká Británia) : Elsevier. Academic Press. – ISSN 0301-4797. – ISSN (online) 1095-8630. – č. 265 (2020), Art. no. 110485, s. 1-20 [tlačená forma] [online] . – IF: 6.789 ; SJR: 1,441 ; SNIP: 1,888 ; CiteScore: 9,8 ; AIS: 1.073 AIS - Environmental sciences - Q2 JIF - Environmental sciences - Q1 Scimago - Environmental engineering - Q1, Management, monitoring, policy and law - Q1, Medicine (miscellaneous) - Q1, Waste management and disposal - Q1 </t>
  </si>
  <si>
    <t xml:space="preserve">Numerical calculation of area of elliptical segments / Vallo, Dušan [Autor, UKFFPVKMA, 55%] ; Fulier, Jozef [Autor, UKFFPVKMA, 25%] ; Rumanová, Lucia [Autor, UKFFPVKMA, 20%]. – text. – [angličtina]. – [OV 240]. – [článok]. – DOI 10.3390/MATH8091411. – WOS CC ; SCO ; CCC In: Mathematics [elektronický dokument] . – Bazilej (Švajčiarsko) : Multidisciplinary Digital Publishing Institute. – ISSN (online) 2227-7390. – Roč. 8, č. 9 (2020), Art. no. 1411, s. 1-8 [online] . – SJR: 0.495 ; CiteScore: 2.2 ; SNIP: 1.290 ; IF: 2.258 ; AIS: 0.354 AIS - Mathematics - Q4 JIF - Mathematics - Q1 Scimago - Mathematics (miscellaneous) - Q2 </t>
  </si>
  <si>
    <t xml:space="preserve">Obstacles to compassion-giving among nursing and midwifery managers : an international study / Papadopoulos, Irena [Korešpondenčný autor, 7%] ; Lazzarino, Runa [Autor, 3%] ; Koulouglioti, Christina [Autor, 3%] ; Aagard, Magdeline [Autor, 3%] ; Akman, İpek Özkan [Autor, 3%] ; Líšková, Miroslava [Autor, UKFFSVKOS, 3%]. – text. – [angličtina]. – [OV 180]. – [článok]. – DOI 10.1111/inr.12611. – WOS CC ; SCO ; CCC In: International Nursing Review [textový dokument (print)] . – Hoboken (USA) : John Wiley &amp; Sons. – ISSN 0020-8132. – ISSN (online) 1466-7657. – Roč. 67, č. 3 (2020), s. 1-13 [tlačená forma] . – SJR: 0,84 ; CiteScore: 3,7 ; SNIP: 1,537 ; IF: 2.871 ; AIS: 0.718 AIS - Nursing - Q1 JIF - Nursing - Q1 Scimago - Nursing (miscellaneous) - Q1 </t>
  </si>
  <si>
    <t xml:space="preserve">Occupational Hazards and Risks Associated with Phthalates among Slovakian Firefighters / Kolena, Branislav [Autor, UKFFPVKZA, 45%] ; Petrovičová, Ida [Autor, UKFFPVKZA, 25%] ; Šidlovská, Miroslava [Autor, UKFFPVKZA, 11%] ; Hlisníková, Henrieta [Autor, UKFFPVKZA, 11%] ; Bystričanová, Lenka [Autor, 1%] ; Wimmerová, Soňa [Autor, 5%] ; Trnovec, Tomáš [Autor, 2%]. – text. – [angličtina]. – [OV 100]. – [článok]. – WOS CC ; SCO ; CCC In: International journal of environmental research and public health [elektronický dokument] [textový dokument (print)] : open access journal. – Basel (Švajčiarsko) : Multidisciplinary Digital Publishing Institute. – ISSN 1661-7827. – ISSN (online) 1660-4601. – Roč. 17, č. 7 (2020), s. 2483-2483 [online] [tlačená forma] . – IF: 3,390 ; SNIP: 1,356 ; SJR: 0,747 ; CiteScore: 3,40 ; AIS: 0.770 AIS - Environmental sciences - Q2, Public, environmental &amp; occupational health - Q3 JIF - Environmental sciences - Q2, Public, environmental &amp; occupational health - Q1 Scimago - Health, toxicology and mutagenesis - Q2, Pollution - Q2, Public health, environmental and occupational health - Q2 </t>
  </si>
  <si>
    <t xml:space="preserve">Oncological outcome of surgical management in patients with recurrent uterine cancer - A multicenter retrospective cohort study - CEEGOG EX01 Trial / Germanova, Anna [Autor, 3.583%] ; Raspagliesi, Francesco [Autor, 3.571%] ; Chiva, Luis [Autor, 3.571%] ; Dusek, Ladislav [Autor, 3.571%] ; Arvas, MacIt [Autor, 3.571%] ; Leblanc, Eric [Autor, 3.571%] ; Lengyel, Tibor [Autor, 3.571%] ; Di Donato, Violante [Autor, 3.571%] ; Zaal, Afra [Autor, 3.571%] ; Dursun, Polat [Autor, 3.571%] ; Zapardiel, Ignacio [Autor, 3.571%] ; Turan, Taner [Autor, 3.571%] ; Triginelli, Sergio Augusto [Autor, 3.571%] ; Kim, Sang Wun [Autor, 3.571%] ; Jurado, Matias [Autor, 3.571%] ; Sehouli, Jalid [Autor, 3.571%] ; Sehnal, Borek [Autor, 3.571%] ; Masak, Ladislav [Autor, 3.571%] ; Ioanid, Nicolae [Autor, 3.571%] ; Dreyer, Greta [Autor, 3.571%] ; Jach, Robert [Autor, 3.571%] ; Mlynček, Miloš [Autor, UKFFSVKOS, 3.571%] ; Chiappa, Valentina [Autor, 3.571%] ; Martinelli, Fabio [Autor, 3.571%] ; Slama, Jiri [Autor, 3.571%]. – text. – [angličtina]. – [OV 180]. – [článok]. – DOI 10.1136/ijgc-2019-000292. – WOS CC ; SCO ; CCC In: International Journal of Gynecological Cancer [textový dokument (print)] [elektronický dokument] : official journal of the International Gynecological Cancer Society. – Alphen aan den Rijn (Holandsko) : Wolters Kluwer. – ISSN 1048-891X. – ISSN (online) 1525-1438. – Roč. 29, č. 4 (2019), 1-10 [tlačená forma] [online] . – SJR: 1,011 ; CiteScore: 3,8 ; SNIP: 0,969 ; IF: 2.095 JIF - Obstetrics &amp; gynecology - Q3, Oncology - Q4 Scimago - Obstetrics and gynecology - Q1, Oncology - Q2 </t>
  </si>
  <si>
    <t xml:space="preserve">Oocytes, embryos and pluripotent stem cells from a biomedical perspective / Hyttel, Poul [Autor, 8.337%] ; Pessoa, Lais Vicari de Figueiredo [Autor, 8.333%] ; Secher, Jan Bojsen-Moller [Autor, 8.333%] ; Dittlau, Katarina Stoklund [Autor, 8.333%] ; Freude, Kristine [Autor, 8.333%] ; Hall, Vanessa J. [Autor, 8.333%] ; Fair, Trudee [Autor, 8.333%] ; Assey, Remmy John [Autor, 8.333%] ; Laurinčík, Jozef [Autor, UKFFPVKZA, 8.333%] ; Callesen, Henrik [Autor, 8.333%] ; Greve, Torben [Autor, 8.333%] ; Stroebech, Lotte Bjorg [Autor, 8.333%] ; 35th Annual Meeting of the European-Embryo-Transfer-Association (AETE), 35 [12.09.2019-14.09.2019, Murcia, Španielsko]. – text. – [angličtina]. – [OV 130, 190]. – [článok z podujatia]. – WOS CC ; SCO ; CCC In: Animal Reproduction [textový dokument (print)] [elektronický dokument] . – Brazília : Brazilian College of Animal Reproduction. – ISSN 1806-9614. – ISSN (online) 1984-3143. – Roč. 16, č. 3 (2019), 508-523 [tlačená forma] [online] . – IF: 0.916 ; SJR: 0,355 ; CiteScore: 1,2 ; SNIP: 0,599 JIF - Agriculture, dairy &amp; animal science - Q3 Scimago - Animal science and zoology - Q3, Veterinary (miscellaneous) - Q2 </t>
  </si>
  <si>
    <t xml:space="preserve">Opal Doublets from Slovakia / Štubňa, Ján [Autor, UKFFPVGMU, 35%] ; Illášová, Ľudmila [Autor, UKFFPVGMU, 15%] ; Fridrichová, Jana [Autor, UKOPRGMP, 25%] ; Bačík, Peter [Autor, UKOPRGMP, 25%]. – text, fotogr. – [angličtina]. – [OV 092]. – [článok]. – DOI 10.15506/JoG.2019.36.7.601. – SIGN-UKO PR 585/19. – WOS CC ; SCO ; CCC In: The Journal of Gemmology [textový dokument (print)] . – Londýn (Veľká Británia) : The Gemmological Association of Great Britain. – ISSN 1355-4565. – ISSN (online) 2632-1718. – Roč. 36, č. 7 (2019), 601-602 [tlačená forma] . – IF: 0,767 ; SJR: 0,113 ; CiteScore: 0,4 ; SNIP: 0,156 JIF - Mineralogy - Q4 Scimago - Geochemistry and petrology - Q4 </t>
  </si>
  <si>
    <t xml:space="preserve">Optical and luminescence spectroscopy of varicolored gem spinel from Mogok, Myanmar and Lục Yên, Vietnam / Malíčková, Iveta [Autor, UKOPRGMPLG , 24%] ; Bačík, Peter [Autor, UKOPRGMPLG , 23%] ; Fridrichová, Jana [Autor, UKOPRGMPLG , 23%] ; Hanus, Radek [Autor, 5%] ; Illášová, Ľudmila [Autor, UKFFPVGMU, 5%] ; Štubňa, Ján [Autor, UKFFPVKGR, 5%] ; Furka, Daniel [Autor, UKOPRCFZ, 5%] ; Furka, Samuel [Autor, UKOPRCFZ, 5%] ; Škoda, Radek [Autor, 5%]. – text, graf., tab. – [angličtina]. – [OV 092, 120, 110]. – [článok]. – [recenzované]. – DOI 10.3390/min11020169. – SIGN-UKO PR 422/21. – SCIE ; WOS CC ; SCO ; CCC In: Minerals [elektronický dokument] . – Bazilej (Švajčiarsko) : Multidisciplinary Digital Publishing Institute. – ISSN (online) 2075-163X. – Roč. 11, č. 2 (2021), art. no. 169, s. [1-13] [online] . – CiteScore: 3,7 ; IF: 2.818 ; SJR: 0,522 ; SNIP: 1,07 ; AIS: 0.515 AIS - Geochemistry &amp; geophysics - Q3, Mineralogy - Q2, Mining &amp; mineral processing - Q2 JIF - Geochemistry &amp; geophysics - Q2, Mineralogy - Q2, Mining &amp; mineral processing - Q2 Scimago - Geology - Q2, Geotechnical engineering and engineering geology - Q2 </t>
  </si>
  <si>
    <t xml:space="preserve">Optimization of children's transition from preschool and family environment to the first grade of primary school in Slovakia by implementation of an adaptation programme / Marcineková, Tatiana [Autor, UKFPFAKPE, 34%] ; Borbélyová, Diana [Autor, UJSPFKPP, 33%] ; Tirpáková, Anna [Autor, 33%]. – text. – [angličtina]. – [OV 010, 240]. – [článok]. – DOI 10.1016/j.childyouth.2020.105483. – WOS CC ; SCO ; CCC In: Children and youth services review [textový dokument (print)] [elektronický dokument] . – Amsterdam (Holandsko) : Elsevier. – ISSN 0190-7409. – ISSN (online) 1873-7765. – Roč. 119 (2020), Art. no. 105483, s. 1-10 [online] . – SJR: 0,816 ; CiteScore: 2,5 ; SNIP: 1,304 ; IF: 2.393 ; AIS: 0.689 AIS - Family studies - Q3, Social work - Q2 JIF - Family studies - Q2, Social work - Q1 Scimago - Developmental and educational psychology - Q2, Education - Q1, Social work - Q1, Sociology and political science - Q1 </t>
  </si>
  <si>
    <t xml:space="preserve">Perception of Ecosystem Services in Constituting Multi-Functional Landscapes in Slovakia / Bezák, Peter [Korešpondenčný autor, 40%] ; Mederly, Peter [Autor, UKFFPVKEE, 20%] ; Izakovičová, Zita [Autor, 20%] ; Moyzesová, Milena [Autor, 10%] ; Bezáková, Magdaléna [Autor, 10%]. – text. – [angličtina]. – [OV 100]. – [článok]. – DOI 10.3390/land9060195. – WOS CC ; SCO ; CCC In: Land [elektronický dokument] . – Bazilej (Švajčiarsko) : Multidisciplinary Digital Publishing Institute. – ISSN 2073-445X. – Roč. 9, č. 6 (2020), Art. no. 195, s. 1-17 [online] . – SJR: 0,744 ; CiteScore: 3 ; SNIP: 1,44 ; IF: 3.398 ; AIS: 0.594 AIS - Environmental studies - Q4 JIF - Environmental studies - Q2 Scimago - Ecology - Q2, Global and planetary change - Q2, Nature and landscape conservation - Q2 </t>
  </si>
  <si>
    <t xml:space="preserve">Perspectives of Advanced Ear Training Using Audio Plug-Ins / Brezina, Pavol [Autor, UKFPFAKHU, 100%]. – text. – [angličtina]. – [OV 020]. – [článok]. – DOI 10.17743/jaes.2020.0029. – WOS CC ; SCO ; CCC In: Journal of the Audio Engineering Society [textový dokument (print)] . – ISSN 1549-4950. – Roč. 69, č. 5 (2021), 351-358 [tlačená forma] . – CiteScore: 2,6 ; IF: 1.155 ; SJR: 0,428 ; SNIP: 0,703 ; AIS: 0.207 AIS - Acoustics - Q4, Engineering, multidisciplinary - Q4 JIF - Acoustics - Q4, Engineering, multidisciplinary - Q4 Scimago - Engineering (miscellaneous) - Q2, Music - Q1 </t>
  </si>
  <si>
    <t xml:space="preserve">Pharmaceutical Drugs and Natural Therapeutic Products for the Treatment of Type 2 Diabetes Mellitus / Blahová, Jana [Autor, UKFFPVKBG, 25%] ; Martiniaková, Monika [Autor, UKFFPVKZA, 25%] ; Bábiková, Martina [Autor, UKFFPVKBG, 8%] ; Kováčová, Veronika [Autor, UKFFPVKZA, 8%] ; Mondočková, Vladimíra [Autor, UKFFPVKBG, 9%] ; Omelka, Radoslav [Autor, UKFFPVKBG, 25%]. – text. – [angličtina]. – [OV 200]. – [článok]. – DOI 10.3390/ph14080806. – WOS CC ; SCO ; CCC In: Pharmaceuticals [elektronický dokument] : an international scientific journal of medicinal chemistry and related drug sciences. – Bazilej (Švajčiarsko) : Multidisciplinary Digital Publishing Institute. – ISSN (online) 1424-8247. – Roč. 14, č. 8 (2021), s. 1-32 [online] . – CiteScore: 4 ; IF: 5.215 ; SJR: 0,851 ; SNIP: 1,223 ; AIS: 0.896 AIS - Chemistry, medicinal - Q1, Pharmacology &amp; pharmacy - Q2 JIF - Chemistry, medicinal - Q2, Pharmacology &amp; pharmacy - Q1 Scimago - Drug discovery - Q1, Molecular medicine - Q2, Pharmaceutical science - Q1 </t>
  </si>
  <si>
    <t xml:space="preserve">Pharmacological agents and natural compounds: Available treatments for osteoporosis / Martiniaková, Monika [Autor, UKFFPVKZA, 34%] ; Bábiková, Martina [Autor, UKFFPVKBG, 33%] ; Omelka, Radoslav [Korešpondenčný autor, UKFFPVKBG, 33%]. – text. – [angličtina]. – [OV 200, 130]. – [článok]. – DOI 10.26402/jpp.2020.3.01. – WOS CC ; SCO ; CCC In: Journal of Physiology and Pharmacology [textový dokument (print)] [elektronický dokument] : an Official Journal of the Polish Physiological Society. – Kraków (Poľsko) : Polskie Towarzystwo Fizjologiczne. – ISSN 0867-5910. – ISSN (online) 1899-1505. – Roč. 71, č. 3 (2020), s. 307-320 [tlačená forma] [online] . – IF: 3,011 ; SJR: 0,839 ; CiteScore: 4,3 ; SNIP: 0,87 ; AIS: 0.483 AIS - Physiology - Q4 JIF - Physiology - Q2 Scimago - Medicine (miscellaneous) - Q2, Pharmacology - Q2, Physiology - Q2 </t>
  </si>
  <si>
    <t xml:space="preserve">Phthalates exposure and occupational symptoms among Slovakian hairdressing apprentices / Kolena, Branislav [Autor, UKFFPVKZA, 40%] ; Petrovičová, Ida [Autor, UKFFPVKZA, 16%] ; Šidlovská, Miroslava [Autor, UKFFPVKZA, 12%] ; Hlisníková, Henrieta [Autor, UKFFPVKZA, 12%] ; Tomašovová, Eliška [Autor, 1%] ; Žoldáková, Veronika [Autor, 1%] ; Trajteľová, Hana [Autor, 1%] ; Rybanský, Ľubomír [Autor, UKFFPVKMA, 5%] ; Wimmerová, Soňa [Autor, SZUFVZUBIB, 7%] ; Trnovec, Tomáš [Autor, SZUFVZ, 5%]. – text. – [angličtina]. – [OV 130, 240, 050]. – [článok]. – DOI 10.3390/app9163321. – SZU KIS 2019110411470908. – WOS CC ; SCO ; CCC In: Applied sciences [elektronický dokument] . – Bazilej (Švajčiarsko) : Multidisciplinary Digital Publishing Institute. – ISSN (online) 2076-3417. – Roč. 9, č. 16 (2019), s. 1-15 [online] . – IF: 2,474 ; SNIP: 1,048 ; SJR: 0,418 ; CiteScore: 2,40 JIF - Chemistry, multidisciplinary - Q2, Engineering, multidisciplinary - Q2, Materials science, multidisciplinary - Q3, Physics, applied - Q2 Scimago - Computer science applications - Q3, Engineering (miscellaneous) - Q1, Fluid flow and transfer processes - Q2, Instrumentation - Q2, Materials science (miscellaneous) - Q2, Process chemistry and technology - Q2 </t>
  </si>
  <si>
    <t xml:space="preserve">Phytogeographical analysis and ecological factors of the distribution of orchidaceae taxa in the western carpathians (Local study) / Wittlinger, Lukáš [Autor, 20%] ; Petrikovičová, Lucia [Autor, UKFFPVKGR, 80%]. – text. – [angličtina]. – [OV 100]. – [článok]. – DOI 10.3390/plants10030588. – WOS CC ; SCO ; CCC In: Plants-Basel [elektronický dokument] . – Bazilej (Švajčiarsko) : Multidisciplinary Digital Publishing Institute. – ISSN (online) 2223-7747. – Roč. 10, č. 3 (2021), 1-17 [online] . – IF: 4.658 ; CiteScore: 3,6 ; SJR: 0,765 ; SNIP: 1,347 ; AIS: 0.654 AIS - Plant sciences - Q2 JIF - Plant sciences - Q1 Scimago - Ecology - Q2, Ecology, evolution, behavior and systematics - Q1, Plant science - Q1 </t>
  </si>
  <si>
    <t xml:space="preserve">Plant isoflavones can prevent adverse effects of benzene on porcine ovarian activity: an in vitro study / Záhoranská, Zuzana [Autor, 10%] ; Popovska-Percinic, Florina [Autor, 10%] ; Alwasel, Saleh Hamad Amad [Autor, 10%] ; Harrath, Abdel Halim [Autor, 10%] ; Sirotkin, Alexander [Korešpondenčný autor, UKFFPVKZA, 50%] ; Tarko, Adam [Korešpondenčný autor, UKFFPVKZA, 10%]. – text. – [angličtina]. – [OV 100]. – [článok]. – DOI 10.1007/s11356-020-09260-8. – WOS CC ; SCO ; CCC In: Environmental Science and Pollution Research [elektronický dokument] [textový dokument (print)] . – Heidelberg (Nemecko) : Springer Nature. Springer International Publishing AG. – ISSN 0944-1344. – ISSN (online) 1614-7499. – Roč. 27, č. 23 (2020), s. 1-10 [tlačená forma] [online] . – IF: 4.223 ; SNIP: 1,114 ; SJR: 0,845 ; CiteScore: 5,5 ; AIS: 0.602 AIS - Environmental sciences - Q3 JIF - Environmental sciences - Q2 Scimago - Environmental chemistry - Q2, Health, toxicology and mutagenesis - Q2, Medicine (miscellaneous) - Q2, Pollution - Q2 </t>
  </si>
  <si>
    <t xml:space="preserve">Plant polyphenols can directly affect ovarian cell functions and modify toluene effects / Sirotkin, Alexander [Korešpondenčný autor, UKFFPVKZA, 25%] ; Záhoranská, Zuzana [Autor, 15%] ; Tarko, Adam [Autor, UKFFPVKZA, 15%] ; Fabová, Zuzana [Autor, UKFFPVKZA, 15%] ; Alwasel, Saleh Hamad Amad [Autor, 15%] ; Harrath, Abdel Halim [Autor, 15%]. – text. – [angličtina]. – [OV 200, 130]. – [článok]. – DOI 10.1111/jpn.13461. – WOS CC ; SCO ; CCC In: Journal of Animal Physiology and Animal Nutrition [textový dokument (print)] [elektronický dokument] . – Berlin (Nemecko) : John Wiley &amp; Sons. Wiley-Blackwell. – ISSN 0931-2439. – ISSN (online) 1439-0396. – Roč. 105, č. 1 (2021), s. 80-89 [tlačená forma] [online] . – CiteScore: 4,7 ; IF: 2.718 ; SJR: 0,592 ; SNIP: 1,089 ; AIS: 0.402 AIS - Agriculture, dairy &amp; animal science - Q2, Veterinary sciences - Q2 JIF - Agriculture, dairy &amp; animal science - Q2, Veterinary sciences - Q1 Scimago - Animal science and zoology - Q1, Food animals - Q2 </t>
  </si>
  <si>
    <t xml:space="preserve">Plasma extracellular vesicle miRNAs as potential biomarkers of superstimulatory response in cattle / Gad, Ahmed [Autor, 50%] ; Sanchez, José María [Autor, 2%] ; Browne, John [Autor, 2%] ; Němcová, Lucie [Autor, 2%] ; Laurinčík, Jozef [Autor, UKFFPVKZA, 40%] ; Procházka, Radek [Autor, 2%] ; Lonergan, Pat [Autor, 2%]. – text. – [angličtina]. – [OV 190]. – [článok]. – DOI 10.1038/s41598-020-76152-9. – WOS CC ; SCO ; CCC In: Scientific Reports [elektronický dokument] [textový dokument (print)] . – Londýn (Veľká Británia) : Springer Nature. Nature Publishing Group. – ISSN (online) 2045-2322. – Roč. 10, č. 1 (2020), s. [1-16] [online] [tlačená forma] . – IF: 4.380 ; SNIP: 1.377 ; SJR: 1.240 ; CiteScore: 7.1 ; AIS: 1.285 AIS - Multidisciplinary sciences - Q2 JIF - Multidisciplinary sciences - Q1 Scimago - Multidisciplinary - Q1 </t>
  </si>
  <si>
    <t xml:space="preserve">Plasticity of soybean stomatal responses to arsenic and cadmium at the whole plant level / Gálusová, Terézia [Autor, 5%] ; Piršelová, Beáta [Autor, UKFFPVKBG, 10%] ; Rybanský, Ľubomír [Autor, UKFFPVKMA, 15%] ; Krasylenko, Yuliya A. [Autor, 5%] ; Mészáros, Patrik [Autor, UKFFPVKBG, 15%] ; Blehová, Alžbeta [Autor, 10%] ; Bardáčová, Monika [Korešpondenčný autor, UCMFPVKCHR, 5%] ; Moravčíková, Jana [Autor, UCMFPVKBTE, 5%] ; Matušíková, Ildikó [Autor, UCMFPVKCHR, 30%]. – text, tab., obr. – [angličtina]. – [OV 190, 120, 130]. – [článok]. – DOI 10.15244/pjoes/116444. – SIGN-UKO PR 147/20. – WOS CC ; SCO ; CCC In: Polish Journal of Environmental Studies [textový dokument (print)] [elektronický dokument] . – Olsztyn (Poľsko) : Hard. – ISSN 1230-1485. – ISSN (online) 2083-5906. – Roč. 29, č. 5 (2020), 3569-3580 [tlačená forma] [online] . – IF: 1.699 ; SJR: 0,373 ; CiteScore: 2,4 ; SNIP: 0,704 ; AIS: 0.215 AIS - Environmental sciences - Q4 JIF - Environmental sciences - Q4 Scimago - Environmental chemistry - Q3, Environmental science (miscellaneous) - Q3 </t>
  </si>
  <si>
    <t xml:space="preserve">Pollen fertility and seed viability of putative hybrid swarms of Pinus sylvestris and Pinus mugo in Slovakia / Kormuťák, Andrej [Autor, 38%] ; Braná, Martina [Autor, 3%] ; Galgóci, Martin [Autor, 38%] ; Maňka, Peter [Autor, 3%] ; Súkeníková, Denisa [Autor, UKFFPVKBG, 3%] ; Libantová, Jana [Autor, 5%] ; Gömöry, Dušan [Autor, KF, 10%]. – text. – [angličtina]. – [OV 190, 130]. – [článok]. – DOI 10.2478/sg-2019-0003. – WOS CC ; SCO ; CCC In: Silvae Genetica [textový dokument (print)] : Zeitschrift für Forstgenetik und Forstpflanzenzüchtung. – Frankfurt am Main (Nemecko) : Sauerländer. – ISSN 0037-5349. – ISSN (online) 2509-8934. – Roč. 68, č. 1 (2019), 14-21 [tlačená forma] . – SJR: 0,324 ; CiteScore: 1,4 ; SNIP: 1,28 ; IF: 1.111 JIF - Forestry - Q3, Genetics &amp; heredity - Q4 Scimago - Forestry - Q2, Genetics - Q4 </t>
  </si>
  <si>
    <t xml:space="preserve">Population and forest dynamics during the Central European Eneolithic (4500-2000 BC) / Kolář, Jan [Autor, 6%] ; Kuneš, Petr [Autor, 6%] ; Szabó, Peter [Autor, 6%] ; Hajnalová, Mária [Autor, UKFFFAKAR, 70%] ; Svobodová Svitavská, Helena [Autor, 6%] ; Macek, Martin [Autor, 3%] ; Tkáč, Peter [Autor, 3%]. – text. – [angličtina]. – [OV 030]. – [článok]. – DOI 10.1007/s12520-016-0446-5. – WOS CC ; SCO ; CCC In: Archaeological and Anthropological Sciences [textový dokument (print)] . – Heidelberg (Nemecko) : Springer Nature. – ISSN 1866-9557. – ISSN (online) 1866-9565. – Roč. 10, č. 5 (2018), s. 1153-1164 [tlačená forma] [online] . – SJR: 0,931 ; CiteScore: 3,1 ; SNIP: 1,062 ; IF: 1.978 JIF - Anthropology - Q1, Geosciences, multidisciplinary - Q3 Scimago - Anthropology - Q1, Archeology - Q1, Archeology (arts and humanities) - Q1 </t>
  </si>
  <si>
    <t xml:space="preserve">Possibilities of Using Accelerated Electron Beam for Testing Engine Oil Media / Stodola, Jiří [Autor, 40%] ; Porubská, Mária [Autor, UKFFPVKCH, 30%] ; Hybler, Peter [Autor, 30%]. – text. – [angličtina]. – [OV 120]. – [článok]. – WOS CC ; CCC In: Chemické listy [textový dokument (print)] [elektronický dokument] : časopis Asociace českých chemických společností. – Praha (Česko) : Česká společnost chemická. – ISSN 0009-2770. – ISSN (online) 1803-2389. – ISSN (online) 1213-7103. – Roč. 112, č. 11 (2018), s. 784-789 [CD-ROM] [tlačená forma] [online] . – IF: 0,311 ; SJR: 0,149 ; CiteScore: 0,6 ; SNIP: 0,178 JIF - Chemistry, multidisciplinary - Q4 Scimago - Chemistry (miscellaneous) - Q4 </t>
  </si>
  <si>
    <t xml:space="preserve">Potential Bioclimatic Ranges of Crop Pests Zabrus tenebrioides and Harpalus rufipes during Climate Change Conditions / Avtaeva, Tamara [Autor, 5%] ; Petrovičová, Kornélia [Autor, SPUFAP26, 45%] ; Langraf, Vladimír [Autor, UKFFPVKEE, 45%] ; Brygadyrenko, Viktor [Korešpondenčný autor, 5%]. – text. – [angličtina]. – [OV 130]. – [článok]. – DOI 10.3390/d13110559. – WOS CC ; SCO ; CCC In: Diversity [elektronický dokument] . – Basel (Švajčiarsko) : Multidisciplinary Digital Publishing Institute. – ISSN (online) 1424-2818. – Roč. 13, č. 1 (2021), s. 1-15 [online] . – CiteScore: 2,9 ; IF: 3.031 ; SJR: 0,668 ; SNIP: 1,108 ; AIS: 0.581 AIS - Biodiversity conservation - Q2, Ecology - Q3 JIF - Biodiversity conservation - Q2, Ecology - Q2 Scimago - Agricultural and biological sciences (miscellaneous) - Q1, Ecological modeling - Q2, Ecology - Q2, Nature and landscape conservation - Q2 </t>
  </si>
  <si>
    <t xml:space="preserve">Practical application of spatial ecosystem service models to aid decision support / Zulian, Grazia [Autor, 3.722%] ; Stange, Erik [Autor, 3.703%] ; Woods, Helen [Autor, 3.703%] ; Carvalho, Laurenze [Autor, 3.703%] ; Dick, Jan [Autor, 3.703%] ; Mederly, Peter [Autor, UKFFPVKEE, 3.703%]. – text. – [angličtina]. – [OV 100]. – [článok]. – DOI 10.1016/j.ecoser.2017.11.005. – WOS CC ; SCO ; CCC In: Ecosystem Services [elektronický dokument] : Science, Policy and Practice. – Amsterdam (Holandsko) : Elsevier. – ISSN (online) 2212-0416. – č. 29 (2018), s. 465-480 [online] . – SJR: 2,151 ; CiteScore: 9,2 ; SNIP: 1,94 ; IF: 5.572 JIF - Ecology - Q1, Environmental sciences - Q1, Environmental studies - Q1 Scimago - Agricultural and biological sciences (miscellaneous) - Q1, Ecology - Q1, Geography, planning and development - Q1, Global and planetary change - Q1, Management, monitoring, policy and law - Q1, Nature and landscape conservation - Q1 </t>
  </si>
  <si>
    <t xml:space="preserve">Predicting Student Grades Based on Their Usage of LMS Moodle Using Petri Nets / Balogh, Zoltán [Autor, UKFFPVKIN, 80%] ; Kuchárik, Michal [Autor, UKFFPVKIN, 20%]. – text. – [angličtina]. – [OV 160, 050]. – [článok]. – WOS CC ; SCO ; CCC In: Applied sciences [elektronický dokument] . – Bazilej (Švajčiarsko) : Multidisciplinary Digital Publishing Institute. – ISSN (online) 2076-3417. – Roč. 9, č. 20 (2019), s. 1-16 [online] . – IF: 2,474 ; SNIP: 1,048 ; SJR: 0,418 ; CiteScore: 2,40 JIF - Chemistry, multidisciplinary - Q2, Engineering, multidisciplinary - Q2, Materials science, multidisciplinary - Q3, Physics, applied - Q2 Scimago - Computer science applications - Q3, Engineering (miscellaneous) - Q1, Fluid flow and transfer processes - Q2, Instrumentation - Q2, Materials science (miscellaneous) - Q2, Process chemistry and technology - Q2 </t>
  </si>
  <si>
    <t xml:space="preserve">Preliminary results of ethnic divergence of G1181C (rs2073618) and C290T (rs9525641) OPG gene polymorphisms in groups of postmenopausal Slovak women [Predbežné výsledky etnickej divergencie G1181C (RS2073618) a C290T (RS9525641) OPG génové polymorfizmy v skupinách postmenopauzálnych slovenských žien] / Mydlárová Blaščáková, Marta [Autor, PUPHUBI, 57%] ; Mydlár, Jozef [Autor, 5%] ; Petrejčíková, Eva [Autor, PUPHUBI, 5%] ; Vašková, Janka [Korešpondenčný autor, UPS51010, 5%] ; Poráčová, Janka [Autor, PUPHUBI, 5%] ; Bauerová, Mária [Autor, UKFFPVKBG, 5%] ; Omelka, Radoslav [Autor, UKFFPVKBG, 5%] ; Zigová, Michaela [Autor, PUPHUBI, 5%] ; Tomková, Zlatica [Autor, 2%] ; Boroňová, Iveta [Autor, PUPHUBI, 2%] ; Bernasovská, Jarmila [Autor, PUPHUBI, 2%] ; Tomková, S. [Autor, 2%]. – text. – [angličtina]. – [OV 180, 130]. – [článok]. – DOI 10.26355/eurrev_202103_25209. – sign UPJS MSEP 033301. – SIGN-PU FHPV-21 10/21. – WOS CC ; SCO ; CCC In: European Review for Medical and Pharmacological Sciences [textový dokument (print)] [elektronický dokument] . – Rím (Taliansko) : Verduci Editore Srl. – ISSN 1128-3602. – ISSN (online) 2284-0729. – Roč. 25, č. 5 (2021), 2182-2192 [tlačená forma] [online] . – CiteScore: 6 ; IF: 3.784 ; SJR: 0,658 ; SNIP: 0,725 ; AIS: 0.532 AIS - Pharmacology &amp; pharmacy - Q3 JIF - Pharmacology &amp; pharmacy - Q2 Scimago - Medicine (miscellaneous) - Q2, Pharmacology (medical) - Q2 </t>
  </si>
  <si>
    <t xml:space="preserve">Preparation and characterization of novel plaster with improved thermal energy storage performance / Fořt, Jan [Autor, 25%] ; Novotný, Radimír [Autor, 25%] ; Trník, Anton [Autor, UKFFPVKFY, 25%] ; Černý, Robert [Autor, 25%]. – [angličtina]. – [OV 091, 140]. – [článok]. – DOI 10.3390/en12173318. – WOS CC ; SCO ; CCC In: Energies [elektronický dokument] . – Bazilej (Švajčiarsko) : Multidisciplinary Digital Publishing Institute. – ISSN (online) 1996-1073. – Roč. 12, č. 17 (2019), s. 1-13 [online] . – IF: 2.702 ; SNIP: 1,154 ; SJR: 0,635 ; CiteScore: 3,8 JIF - Energy &amp; fuels - Q3 Scimago - Control and optimization - Q2, Electrical and electronic engineering - Q2, Energy (miscellaneous) - Q2, Energy engineering and power technology - Q2, Fuel technology - Q2, Renewable energy, sustainability and the environment - Q2 </t>
  </si>
  <si>
    <t xml:space="preserve">Preparation of anorthite ceramics using SPS / Csaki, Stefan [Autor, 20%] ; Lukac, Frantisek [Autor, 20%] ; Húlan, Tomáš [Autor, UKFFPVKFY, 20%] ; Veverka, Jakub [Autor, 20%] ; Knapek, Michal [Autor, 20%]. – text. – [angličtina]. – [OV 091]. – [článok]. – DOI 10.1016/j.jeurceramsoc.2021.03.004. – WOS CC ; SCO ; CCC In: Journal of the European Ceramic Society [textový dokument (print)] [elektronický dokument] . – Amsterdam (Holandsko) : Elsevier. – ISSN 0955-2219. – ISSN (online) 1873-619X. – Roč. 41, č. 8 (2021), 4618-4624 [tlačená forma] [online] . – CiteScore: 8,9 ; IF: 6.364 ; SJR: 1,107 ; SNIP: 1,565 ; AIS: 0.762 AIS - Materials science, ceramics - Q1 JIF - Materials science, ceramics - Q1 Scimago - Ceramics and composites - Q1, Materials chemistry - Q1 </t>
  </si>
  <si>
    <t xml:space="preserve">Principal Component Analysis and Factor Analysis for an Atanassov IF Data Set / Ďuriš, Viliam [Autor, UKFFPVKMA, 34%] ; Bartková, Renáta [Autor, 33%] ; Tirpáková, Anna [Autor, UKFFPVKMA, 33%]. – text. – [angličtina]. – [OV 240]. – [článok]. – DOI 10.3390/math9172067. – WOS CC ; SCO ; CCC In: Mathematics [elektronický dokument] . – Bazilej (Švajčiarsko) : Multidisciplinary Digital Publishing Institute. – ISSN (online) 2227-7390. – Roč. 9, č. 17 (2021), s. 1-12 [online] . – CiteScore: 2,9 ; IF: 2.592 ; SJR: 0,538 ; SNIP: 1,162 ; AIS: 0.409 AIS - Mathematics - Q3 JIF - Mathematics - Q1 Scimago - Computer science (miscellaneous) - Q2, Engineering (miscellaneous) - Q2, Mathematics (miscellaneous) - Q2 </t>
  </si>
  <si>
    <t xml:space="preserve">Prioritization and evaluation of land consolidation projects - Žitava River basin in a Slovakian case / Muchová, Zlatica [Autor, SPUFZK05, 50%] ; Petrovič, František [Autor, UKFFPVKEE, 50%]. – [angličtina]. – [OV 190, 100]. – [článok]. – DOI 10.3390/su11072041. – WOS CC ; SCO ; CCC In: Sustainability [elektronický dokument] . – Bazilej (Švajčiarsko) : Multidisciplinary Digital Publishing Institute. – ISSN (online) 2071-1050. – Roč. 11, č. 7 (2019), s. 1-12 [online] . – IF: 2,576 ; SNIP: 1,165 ; SJR: 0,581 ; CiteScore: 3,20 JIF - Environmental sciences - Q2, Environmental studies - Q2, Green &amp; sustainable science &amp; technology - Q3 Scimago - Energy engineering and power technology - Q2, Environmental science (miscellaneous) - Q2, Geography, planning and development - Q2, Management, monitoring, policy and law - Q2, Renewable energy, sustainability and the environment - Q2 </t>
  </si>
  <si>
    <t xml:space="preserve">Problems, stressors and needs of children and adolescents with cancer / Lewandowska, Anna [Autor, 12.5%] ; Zych, Barbara [Autor, 12.5%] ; Papp, K. [Autor, 12.5%] ; Zrubcová, Dana [Autor, UKFFSVKOS, 12.5%] ; Šupínová, Mária [Autor, 12.5%] ; Apay, Serap Ejder [Autor, 12.5%] ; Nagorska, M. [Autor, 12.5%] ; Kadučáková, Helena [Autor, KURZDOS, 12.5%]. – [angličtina]. – [OV 180]. – [článok]. – DOI 10.3390/children8121173. – WOS CC ; SCO ; CCC In: Children [elektronický dokument] . – Basel (Švajčiarsko) : Multidisciplinary Digital Publishing Institute. – ISSN (online) 2227-9067. – Roč. 8, č. 12 (2021), s. 1-16 [online] . – IF: 2.835 ; SNIP: 1.159 ; SJR: 0.645 ; CiteScore: 2.0 ; AIS: 0.767 AIS - Pediatrics - Q2 JIF - Pediatrics - Q2 Scimago - Pediatrics, perinatology and child health - Q2 </t>
  </si>
  <si>
    <t xml:space="preserve">Product and Process Analysis of Machine Translation into the Inflectional Language / Munková, Daša [Korešpondenčný autor, UKFFFAKTR, 50%] ; Munk, Michal [Autor, UKFFPVKIN, 20%] ; Welnitzová, Katarína [Autor, UKFFFAKTR, 20%] ; Jakabovičová, Johanna [Autor, SPUFEM06, 10%]. – [angličtina]. – [OV 160]. – [článok]. – DOI 10.1177/21582440211054501. – WOS CC ; SCO ; CCC In: Sage Open [elektronický dokument] . – Thousand Oaks (USA) : SAGE Publications. – ISSN (online) 2158-2440. – Roč. 11, č. 4 (2021), s. 1-13 [online] . – CiteScore: 1,9 ; IF: 2.032 ; SJR: 0,399 ; SNIP: 1,036 ; AIS: 0.491 AIS - Social sciences, interdisciplinary - Q3 JIF - Social sciences, interdisciplinary - Q2 Scimago - Arts and humanities (miscellaneous) - Q2, Social sciences (miscellaneous) - Q2 </t>
  </si>
  <si>
    <t xml:space="preserve">Product endorsement on Slovak TV: Generation Y's recall of celebrity endorsements and brands / Mikuláš, Peter [Autor, UKFFFAKMR, 50%] ; Shelton, Amiee [Autor, 50%]. – text. – [angličtina]. – [OV 060]. – [článok]. – DOI 10.1080/19392397.2020.1746678. – WOS CC ; SCO ; CCC In: Celebrity studies [textový dokument (print)] [elektronický dokument] . – Oxford (Veľká Británia) : Taylor &amp; Francis Group. Routledge. – ISSN 1939-2397. – ISSN (online) 1939-2400. – Roč. 12, č. 4 (2021), s. 618-634 [tlačená forma] [online] . – CiteScore: 1 ; IF: 1.167 ; SJR: 0,387 ; SNIP: 1,11 ; AIS: 0.742 AIS - Cultural studies - Q2 Scimago - Cultural studies - Q1 </t>
  </si>
  <si>
    <t xml:space="preserve">Properties of Green Fluorite from England Showing Daylight Fluorescence / Štubňa, Ján [Korešpondenčný autor, UKFFPVGMU, 50%] ; Pulišová, Zuzana [Autor, 1%] ; Fridrichová, Jana [Autor, 24%] ; Bačík, Peter [Autor, 25%]. – text. – [angličtina]. – [OV 092]. – [článok]. – DOI 10.15506/JoG.2020.37.2.128. – SIGN-UKO PR 148/20. – WOS CC ; SCO ; CCC In: The Journal of Gemmology [textový dokument (print)] . – Londýn (Veľká Británia) : The Gemmological Association of Great Britain. – ISSN 1355-4565. – ISSN (online) 2632-1718. – Roč. 37, č. 2 (2020), 128-130 [tlačená forma] . – IF: 1.375 ; SNIP: 0.667 ; SJR: 0.339 ; CiteScore: 0,5 ; AIS: 0.262 AIS - Mineralogy - Q4 JIF - Mineralogy - Q3 Scimago - Geochemistry and petrology - Q3 </t>
  </si>
  <si>
    <t xml:space="preserve">Psychometric properties of Slovak version of Proactive Coping Inventory: Construct validity and internal consistency / Sollár, Tomáš [Autor, UKFFSVUAP, 60%] ; Solgajová, Andrea [Autor, UKFFSVKOS, 15%] ; Romanová, Martina [Autor, UKFFSVUAP, 15%] ; Hudáková, Miriama [Autor, UKFFSVUAP, 9%] ; Slaměník, Ivan [Autor, UKFFSVUAP, 1%]. – text. – [angličtina]. – [OV 060]. – [článok]. – WOS CC ; SCO ; CCC In: Československá psychologie [textový dokument (print)] [elektronický dokument] : časopis pro psychologickou teorii a praxi. – Praha (Česko) : Akademie věd České republiky. Psychologický ústav AV ČR. – ISSN 0009-062X. – ISSN (online) 1804-6436. – Roč. 63, č. 2 (2019), 193-209 [tlačená forma] [online] . – IF: 0,478 ; SNIP: 0,26 ; SJR: 0,197 ; CiteScore: 0,7 JIF - Psychology, multidisciplinary - Q4 Scimago - Arts and humanities (miscellaneous) - Q3, Psychology (miscellaneous) - Q3 </t>
  </si>
  <si>
    <t xml:space="preserve">Quality of life and coping strategies of outpatients with a depressive disorder in maintenance therapy - a cross-sectional study / Holubová, Michaela [Autor, 12.5%] ; Praško Pavlov, Ján [Autor, UKFFSVKPV, 12.5%] ; Ocisková, Marie [Autor, 12.5%] ; Grambal, Aleš [Autor, 12.5%] ; Šlepecký, Miloš [Autor, UKFFSVKPV, 12.5%] ; Maračková, Markéta [Autor, 12.5%] ; Kamarádová, Dana [Autor, 12.5%] ; Zaťková, Marta [Autor, UKFFSVKPV, 12.5%]. – text. – [angličtina]. – [OV 130]. – [článok]. – DOI 10.2147/NDT.S153115. – WOS CC ; SCO ; CCC In: Neuropsychiatric Disease and Treatment [textový dokument (print)] [elektronický dokument] . – Auckland (Nový Zéland) : Dove Medical Press. – ISSN 1176-6328. – ISSN (online) 1178-2021. – Roč. 14 (2018), s. 73-82 [tlačená forma] [online] . – SJR: 0,897 ; CiteScore: 4,1 ; SNIP: 1,06 ; IF: 2.228 JIF - Clinical neurology - Q3, Psychiatry - Q3 Scimago - Biological psychiatry - Q3, Psychiatry and mental health - Q2 </t>
  </si>
  <si>
    <t xml:space="preserve">Quality of life, self-stigma, and coping strategies in patients with neurotic spectrum disorders: a cross-sectional study / Holubová, Michaela [Autor, 10%] ; Praško Pavlov, Ján [Autor, UKFFSVKPV, 35%] ; Ocisková, Marie [Autor, 5%] ; Kantor, Kryštof [Autor, 5%] ; Vanek, Jakub [Autor, 5%] ; Šlepecký, Miloš [Autor, UKFFSVKPV, 35%] ; Vrbová, Kristýna [Autor, 5%]. – text. – [angličtina]. – [OV 060]. – [článok]. – DOI 10.2147/PRBM.S179838. – WOS CC ; SCO ; CCC In: Psychology Research and Behavior Management [elektronický dokument] . – Auckland (Nový Zéland) : Dove Medical Press. – ISSN 1179-1578. – č. 12 (2019), 81-95 [online] . – SJR: 0,638 ; CiteScore: 2,7 ; SNIP: 1,222 ; IF: 2.030 JIF - Psychology, clinical - Q2, Psychology, multidisciplinary - Q2 Scimago - Psychiatry and mental health - Q2, Psychology (miscellaneous) - Q2 </t>
  </si>
  <si>
    <t xml:space="preserve">Quercetin directly inhibits basal ovarian cell functions and their response to the stimulatory action of FSH. / Sirotkin, Alexander [Autor, UKFFPVKZA, 20%] ; Štochmaľová, Aneta [Autor, UKFFPVKZA, 10%] ; Alexa, Richard [Autor, 10%] ; Kadasi, Attila [Autor, 10%] ; Bauer, Miroslav [Autor, 10%] ; Grossmann, Roland [Autor, 10%] ; Alrezaki, Abdulkarem [Autor, 10%] ; Alwasel, Saleh Hamad Amad [Autor, 10%] ; Harrath, Abdel Halim [Autor, 10%]. – [angličtina]. – [OV 130, 180]. – [článok]. – DOI 10.1016/j.ejphar.2019.172560. – WOS CC ; SCO ; CCC In: European Journal of Pharmacology [textový dokument (print)] [elektronický dokument] . – Amsterdam (Holandsko) : Elsevier. – ISSN 0014-2999. – ISSN (online) 1879-0712. – Roč. 860 (2019), s. 1-8 [tlačená forma] [online] . – IF: 3,263 ; SNIP: 0.957 ; SJR: 0.988 ; CiteScore: 5.5 JIF - Pharmacology &amp; pharmacy - Q2 Scimago - Pharmacology - Q1 </t>
  </si>
  <si>
    <t xml:space="preserve">Quercetin directly promotes rabbit ovarian steroidogenesis / Sirotkin, Alexander [Autor, UKFFPVKZA, 20%] ; Štochmaľová, Aneta [Autor, UKFFPVKZA, 20%] ; Grossmann, Roland [Autor, 20%] ; Alwasel, Saleh Hamad Amad [Autor, 20%] ; Harrath, Abdel Halim [Autor, 20%]. – text. – [angličtina]. – [OV 130, 190]. – [článok]. – DOI 10.4995/wrs.2019.11816. – WOS CC ; SCO ; CCC In: World Rabbit Science [textový dokument (print)] : journal of the World Rabbit Science Association. – Valencia (Španielsko) : Instituto Universitario de Ciencia y Tecnología Animal Universitat Politècnica de València. – ISSN 1257-5011. – Roč. 27, č. 3 (2019), 163-167 [tlačená forma] . – SJR: 0,284 ; CiteScore: 1,5 ; SNIP: 0,681 ; IF: 0.684 JIF - Agriculture, dairy &amp; animal science - Q4 Scimago - Animal science and zoology - Q3 </t>
  </si>
  <si>
    <t xml:space="preserve">Radiation-modified wool for adsorption of redox metals and potentially for nanoparticles / Porubská, Mária [Korešpondenčný autor, UKFFPVKCH, 30%] ; Jomová, Klaudia [Autor, UKFFPVKCH, 30%] ; Lapčík, Lubomír [Autor, 10%] ; Braniša, Jana [Autor, UKFFPVKCH, 30%]. – text. – [angličtina]. – [OV 120]. – [článok]. – WOS CC ; SCO ; CCC In: Nanotechnology Reviews [textový dokument (print)] . – Berlin (Nemecko) : De Gruyter. – ISSN (online) 2191-9097. – Roč. 9, č. 1 (2020), s. 1017-1026 [tlačená forma] [online] . – SJR: 0,655 ; CiteScore: 5,6 ; SNIP: 1,23 ; IF: 7.848 ; AIS: 0.545 AIS - Chemistry, multidisciplinary - Q2, Materials science, multidisciplinary - Q3, Nanoscience &amp; nanotechnology - Q3, Physics, applied - Q2 JIF - Chemistry, multidisciplinary - Q1, Materials science, multidisciplinary - Q1, Nanoscience &amp; nanotechnology - Q2, Physics, applied - Q1 Scimago - Biomaterials - Q2, Biotechnology - Q2, Energy engineering and power technology - Q2, Engineering (miscellaneous) - Q1, Materials science (miscellaneous) - Q2, Medicine (miscellaneous) - Q2, Process chemistry and technology - Q2, Surfaces, coatings and films - Q2 </t>
  </si>
  <si>
    <t xml:space="preserve">Ram semen quality can be assessed by flow cytometry several hours after post-fixation / Vašíček, Jaromír [Autor, SPUFBP01, 17%] ; Svoradová, Andrea [Autor, UKFFPVKZA, 17%] ; Baláži, Andrej [Autor, 17%] ; Jurčík, Rastislav [Autor, 17%] ; Macháč, Marián [Autor, 17%] ; Chrenek, Peter [Autor, SPUFBP01, 15%]. – [slovenčina]. – [OV 120]. – [článok]. – DOI 10.1017/S0967199420000581. – WOS CC ; SCO ; CCC In: Zygote [textový dokument (print)] [elektronický dokument] . – New York (USA) : Cambridge University Press. – ISSN 0967-1994. – ISSN (online) 1469-8730. – Roč. 29, č. 2 (2021), s. 130-137 [tlačená forma] [online] . – CiteScore: 3,3 ; IF: 1.818 ; SJR: 0,363 ; SNIP: 0,633 ; AIS: 0.334 AIS - Cell biology - Q4, Developmental biology - Q4, Reproductive biology - Q4 JIF - Cell biology - Q4, Developmental biology - Q4, Reproductive biology - Q4 Scimago - Cell biology - Q4, Developmental biology - Q4 </t>
  </si>
  <si>
    <t xml:space="preserve">Recognition of district-wise groundwater stress zones using the GLDAS-2 catchment land surface model during lean season in the Indian state of West Bengal / Sahoo, Satiprasad [Autor, 24%] ; Chakraborty, Subha [Autor, 24%] ; Pham, Quoc Bao [Autor, 2%] ; Sharifi, Ehsan [Autor, 2%] ; Sammen, Saad Sh [Autor, 2%] ; Vojtek, Matej [Autor, UKFFPVKGR, 20%] ; Vojteková, Jana [Autor, UKFFPVKGR, 20%] ; Elkhrachy,, Ismail [Autor, 2%] ; Costache, Romulus [Autor, 2%] ; Linh, Nguyen Thi Thuy [Korešpondenčný autor, 2%]. – [angličtina]. – [OV 100]. – [článok]. – DOI 10.1007/s11600-020-00509-x. – WOS CC ; SCO ; CCC In: Acta Geophysica [textový dokument (print)] . – Varšava (Poľsko) : Springer Nature. Springer International Publishing AG. – ISSN 1895-6572. – ISSN (online) 1895-7455. – Roč. 69, č. 1 (2021), s. 1-12 [tlačená forma] . – CiteScore: 3,4 ; IF: 2.293 ; SJR: 0,462 ; SNIP: 0,946 ; AIS: 0.379 AIS - Geochemistry &amp; geophysics - Q3 JIF - Geochemistry &amp; geophysics - Q3 Scimago - Geophysics - Q2 </t>
  </si>
  <si>
    <t xml:space="preserve">Redox-cycling and intercalating properties of novel mixed copper(II) complexes with non-steroidal anti-inflammatory drugs tolfenamic, mefenamic and flufenamic acids and phenanthroline functionality: Structure, SOD-mimetic activity, interaction with albumin, DNA damage study and anticancer activity. / Šimunková, Miriama [Autor, 045210, 11%] ; Lauro, Peter [Autor, 12%] ; Jomová, Klaudia [Autor, UKFFPVKCH, 20%] ; Hudecová, Lenka [Autor, UKFFPVKCH, 15%] ; Danko, Martin [Autor, 1%] ; Alwasel, Saleh Hamad Amad [Autor, 1%] ; Alhazza, Ibrahim M. [Autor, 1%] ; Rajčániová, Simona [Autor, UKOFABM, 1%] ; Kozovská, Zuzana [Autor, 1%] ; Kučerová, Lucia [Autor, 1%] ; Moncoľ, Ján [Autor, 042190, 13%] ; Švorc, Ľubomír [Autor, 041000, 10%] ; Valko, Marián [Autor, 045210, 13%]. – text. – [angličtina]. – [OV 120]. – [článok]. – DOI 10.1016/j.jinorgbio.2019.02.010. – WOS CC ; SCO ; CCC In: Journal of Inorganic Biochemistry [textový dokument (print)] [elektronický dokument] . – New York (USA) : Elsevier. – ISSN 0162-0134. – ISSN (online) 1873-3344. – č. 194 (2019), 97-113 [tlačená forma] . – IF: 3,212 ; SJR: 0,631 ; CiteScore: 6 ; SNIP: 0,926 JIF - Biochemistry &amp; molecular biology - Q2, Chemistry, inorganic &amp; nuclear - Q1 Scimago - Biochemistry - Q3, Inorganic chemistry - Q2 </t>
  </si>
  <si>
    <t xml:space="preserve">Reinforced evidence on partial compatibility between Pinus sylvestris and Pinus mugo and on maternal inheritance of chloroplast DNA in the Pinus mugo × Pinus sylvestris cross / Kormuťák, Andrej [Korešpondenčný autor, 20%] ; Galgóci, Martin [Autor, 20%] ; Boleček, Peter [Autor, UKFFPVKBG, 20%] ; Gömöry, Dušan [Autor, KF, 20%] ; Libantová, Jana [Autor, 20%]. – text. – [angličtina]. – [OV 190, 130]. – [článok]. – DOI 10.2478/sg-2020-0015. – WOS CC ; SCO ; CCC In: Silvae Genetica [textový dokument (print)] : Zeitschrift für Forstgenetik und Forstpflanzenzüchtung. – Frankfurt am Main (Nemecko) : Sauerländer. – ISSN 0037-5349. – ISSN (online) 2509-8934. – Roč. 69, č. 1 (2020), s. 108-115 [tlačená forma] . – SJR: 0,35 ; CiteScore: 1,2 ; SNIP: 0,883 ; IF: 0.795 ; AIS: 0.179 AIS - Forestry - Q4, Genetics &amp; heredity - Q4 JIF - Forestry - Q4, Genetics &amp; heredity - Q4 Scimago - Forestry - Q2, Genetics - Q4 </t>
  </si>
  <si>
    <t xml:space="preserve">Relation between pupils’ mathematical self-efficacy and mathematical problem solving in the context of the teachers’ preferred pedagogies / Chytrý, Vlastimil [Autor, 25%] ; Medová, Janka [Autor, UKFFPVKMA, 25%] ; Říčan, Jaroslav [Autor, 25%] ; Škoda, Jiří [Autor, 25%]. – text. – [angličtina]. – [OV 010, 240]. – [článok]. – DOI 10.3390/su122310215. – WOS CC ; SCO ; CCC In: Sustainability [elektronický dokument] . – Bazilej (Švajčiarsko) : Multidisciplinary Digital Publishing Institute. – ISSN (online) 2071-1050. – Roč. 12, č. 23 (2020), 1-22 [online] . – IF: 3,251 ; SNIP: 1,242 ; SJR: 0,612 ; CiteScore: 3,90 ; AIS: 0.462 AIS - Environmental sciences - Q3, Environmental studies - Q4, Green &amp; sustainable science &amp; technology - Q4 JIF - Environmental sciences - Q2, Environmental studies - Q2, Green &amp; sustainable science &amp; technology - Q3 Scimago - Energy engineering and power technology - Q2, Environmental science (miscellaneous) - Q2, Geography, planning and development - Q1, Management, monitoring, policy and law - Q2, Renewable energy, sustainability and the environment - Q2 </t>
  </si>
  <si>
    <t xml:space="preserve">Relation of personality factors and life events to waist/height ratio and percentage of visceral fat in women and men / Šlepecký, Miloš [Autor, UKFFSVKPV, 10%] ; Kotianová, Antónia [Autor, UKFFSVKPV, 10%] ; Praško Pavlov, Ján [Autor, UKFFSVKPV, 10%] ; Majerčák, Ivan [Autor, UPS51260, 10%] ; Kotian, Michal [Autor, 10%] ; Györgyová, Erika [Autor, 10%] ; Zaťková, Marta [Autor, UKFFSVKPV, 10%] ; Chupáčová, Michaela [Autor, 10%] ; Ocisková, Marie [Autor, 10%] ; Sollár, Tomáš [Autor, UKFFSVUAP, 10%]. – text. – [angličtina]. – [OV 060]. – [článok]. – DOI 10.2147/PRBM.S214303. – sign UPJS MSEP 032407. – WOS CC ; SCO ; CCC In: Psychology Research and Behavior Management [elektronický dokument] . – Auckland (Nový Zéland) : Dove Medical Press. – ISSN 1179-1578. – č. 12 (2019), 499-511 [online] . – SJR: 0,638 ; CiteScore: 2,7 ; SNIP: 1,222 ; IF: 2.030 JIF - Psychology, clinical - Q2, Psychology, multidisciplinary - Q2 Scimago - Psychiatry and mental health - Q2, Psychology (miscellaneous) - Q2 </t>
  </si>
  <si>
    <t xml:space="preserve">Relations between generalization, reasoning and combinatorial thinking in solving mathematical open-ended problems within mathematical contest / Medová, Janka [Korešpondenčný autor, UKFFPVKMA, 34%] ; Ovary Bulková, Kristína [Korešpondenčný autor, 33%] ; Čeretková, Soňa [Autor, UKFFPVKMA, 33%]. – text. – [angličtina]. – [OV 010]. – [článok]. – DOI 10.3390/math8122257. – WOS CC ; SCO ; CCC In: Mathematics [elektronický dokument] . – Bazilej (Švajčiarsko) : Multidisciplinary Digital Publishing Institute. – ISSN (online) 2227-7390. – Roč. 8, č. 12 (2020), Art. no. 2257 1-20 [online] . – SJR: 0.495 ; CiteScore: 2.2 ; SNIP: 1.290 ; IF: 2.258 ; AIS: 0.354 AIS - Mathematics - Q4 JIF - Mathematics - Q1 Scimago - Mathematics (miscellaneous) - Q2 </t>
  </si>
  <si>
    <t xml:space="preserve">Relationship between body conditions and environmental contaminants in bovine ovarian cells / Sirotkin, Alexander [Autor, UKFFPVKZA, 20%] ; Makarevich, Alexander V. [Autor, 16%] ; Kubovičová, Elena [Autor, 16%] ; Medveďová, Mária [Autor, 16%] ; Kolesárová, Adriana [Autor, 16%] ; Harrath, Abdel Halim [Autor, 16%]. – text. – [angličtina]. – [OV 190, 130]. – [článok]. – DOI 10.1016/j.theriogenology.2020.02.022. – WOS CC ; SCO ; CCC In: Theriogenology [textový dokument (print)] [elektronický dokument] : an International Journal of Animal Reproduction. – Amsterdam (Holandsko) : Elsevier. – ISSN 0093-691X. – ISSN (online) 1879-3231. – č. 147 (2020), 77-84 [tlačená forma] [online] . – IF: 2.74 ; SJR: 0,816 ; CiteScore: 4,2 ; SNIP: 1,354 ; AIS: 0.517 AIS - Reproductive biology - Q4, Veterinary sciences - Q2 JIF - Reproductive biology - Q3, Veterinary sciences - Q1 Scimago - Animal science and zoology - Q1, Equine - Q1, Food animals - Q1, Small animals - Q1 </t>
  </si>
  <si>
    <t xml:space="preserve">Renyi Entropy and Renyi Divergence in Product MV-Algebras / Markechová, Dagmar [Autor, UKFFPVKMA, 50%] ; Riečan, Beloslav [Autor, 50%]. – text. – [angličtina]. – [OV 240]. – [článok]. – DOI 10.3390/e20080587. – WOS CC ; SCO ; CCC In: Entropy [elektronický dokument] . – Bazilej (Švajčiarsko) : Multidisciplinary Digital Publishing Institute. – ISSN (online) 1099-4300. – Roč. 20, č. 8 (2018), s. 1-19 [online] . – IF: 2.419 ; SJR: 0,524 ; CiteScore: 3,6 ; SNIP: 1,234 JIF - Physics, multidisciplinary - Q2 Scimago - Physics and astronomy (miscellaneous) - Q2 </t>
  </si>
  <si>
    <t xml:space="preserve">Resveratrol directly affects ovarian cell sirtuin, proliferation, apoptosis, hormone release and response to follicle-stimulating hormone (FSH) and insulin-like growth factor i (IGF-I) / Alexa, Richard [Autor, 10%] ; Kadasi, Attila [Autor, 10%] ; Adamcová, Erika [Autor, 10%] ; Alwasel, Saleh Hamad Amad [Autor, 10%] ; Harrath, Abdel Halim [Autor, 10%] ; Sirotkin, Alexander [Autor, UKFFPVKZA, 50%]. – [angličtina]. – [OV 130]. – [článok]. – DOI 10.1071/RD18425. – WOS CC ; SCO ; CCC In: Reproduction, Fertility and Development [textový dokument (print)] : the official journal of the Fertility Society of Australia and of the Australian Society for Reproduction Biology. – Collingwood (Austrália) : Commonwealth Scientific and Industrial Research Organisation CSIRO. – ISSN 1031-3613. – ISSN (online) 1448-5990. – 2019, s. 1-10 [tlačená forma] . – SJR: 0,61 ; CiteScore: 3,5 ; SNIP: 0,76 ; IF: 1.721 JIF - Developmental biology - Q4, Reproductive biology - Q4, Zoology - Q2 Scimago - Animal science and zoology - Q1, Biotechnology - Q2, Developmental biology - Q4, Endocrinology - Q3, Genetics - Q3, Molecular biology - Q3, Reproductive medicine - Q2 </t>
  </si>
  <si>
    <t xml:space="preserve">R-Norm Entropy and R-Norm Divergence in Fuzzy Probability Spaces / Markechová, Dagmar [Autor, UKFFPVKMA, 80%] ; Mosapour, Batool [Autor, 10%] ; Ebrahimzadeh, Abolfazl [Autor, 10%]. – text. – [angličtina]. – [OV 240]. – [článok]. – DOI 10.3390/e20040272. – WOS CC ; SCO ; CCC In: Entropy [elektronický dokument] . – Bazilej (Švajčiarsko) : Multidisciplinary Digital Publishing Institute. – ISSN (online) 1099-4300. – Roč. 20, č. 4 (2018), s. 272-272 [online] . – IF: 2.419 ; SJR: 0,524 ; CiteScore: 3,6 ; SNIP: 1,234 JIF - Physics, multidisciplinary - Q2 Scimago - Physics and astronomy (miscellaneous) - Q2 </t>
  </si>
  <si>
    <t xml:space="preserve">R-norm entropy and R-norm divergence in product MV-algebras / Markechová, Dagmar [Autor, UKFFPVKMA, 80%] ; Ebrahimzadeh, Abolfazl [Autor, 20%]. – text. – [angličtina]. – [OV 240]. – [článok]. – DOI 10.1007/s00500-018-03695-5. – WOS CC ; SCO ; CCC In: Soft Computing [textový dokument (print)] [elektronický dokument] : a Fusion of Foundations, Methodologies and Applications. – Berlin (Nemecko) : Springer Nature. Springer Science+Business Media. – ISSN 1432-7643. – ISSN (online) 1433-7479. – Roč. 22, č. 23 (2018), s. 1-11 [tlačená forma] [online] . – SJR: 0,617 ; CiteScore: 3,9 ; SNIP: 1,369 ; IF: 2.784 JIF - Computer science, artificial intelligence - Q2, Computer science, interdisciplinary applications - Q2 Scimago - Geometry and topology - Q2, Software - Q2, Theoretical computer science - Q2 </t>
  </si>
  <si>
    <t xml:space="preserve">Role of post-exposure time in Co(II) sorption of higher concentrations on electron irradiated sheep wool / Braniša, Jana [Autor, UKFFPVKCH, 40%] ; Jomová, Klaudia [Autor, UKFFPVKCH, 15%] ; Kovalčíková, Renáta [Autor, UKFFPVKCH, 2%] ; Hybler, Peter [Autor, SZUFVZUVVPLUTN, 3%] ; Porubská, Mária [Autor, UKFFPVKCH, 40%]. – text. – [angličtina]. – [OV 120]. – [článok]. – DOI 10.3390/molecules24142639. – WOS CC ; SCO ; CCC In: Molecules [elektronický dokument] : a Journal of Synthetic Chemistry and Natural Product Chemistry. – Bazilej (Švajčiarsko) : Multidisciplinary Digital Publishing Institute. – ISSN (online) 1420-3049. – Roč. 24, č. 14 (2019), s. 1-14 [online] . – IF: 3.267 ; CiteScore: 4,1 ; SJR: 0,698 ; SNIP: 1,150 JIF - Biochemistry &amp; molecular biology - Q2, Chemistry, multidisciplinary - Q2 Scimago - Analytical chemistry - Q2, Chemistry (miscellaneous) - Q2, Drug discovery - Q2, Medicine (miscellaneous) - Q2, Molecular medicine - Q3, Organic chemistry - Q2, Pharmaceutical science - Q1, Physical and theoretical chemistry - Q2 </t>
  </si>
  <si>
    <t xml:space="preserve">Roma Housing and Eating in 1775 and 2013: A Comparison / Kozubík, Michal [Autor, UKFFSVKSP, 80%] ; van Dijk, Jitse Pieter [Autor, 1%] ; Odrášková, Barbora [Autor, UKFFSVKSP, 19%]. – text. – [angličtina]. – [OV 060]. – [článok]. – DOI 10.3390/ijerph15040588. – WOS CC ; SCO ; CCC In: International journal of environmental research and public health [elektronický dokument] [textový dokument (print)] : open access journal. – Basel (Švajčiarsko) : Multidisciplinary Digital Publishing Institute. – ISSN 1661-7827. – ISSN (online) 1660-4601. – Roč. 15, č. 4 (2018), s. 588-588 [online] [tlačená forma] . – IF: 2,468 ; SNIP: 1,184 ; SJR: 0,818 ; CiteScore: 3,10 JIF - Environmental sciences - Q2, Public, environmental &amp; occupational health - Q1 Scimago - Health, toxicology and mutagenesis - Q2, Public health, environmental and occupational health - Q2 </t>
  </si>
  <si>
    <t xml:space="preserve">Safety and Outcome of Intravenous Thrombolysis in Stroke Patients on Prophylactic Doses of Low Molecular Weight Heparins at Stroke Onset. / Cooray, Charith [Autor, 11.112%] ; Mazya, Michael [Autor, 11.111%] ; Mikulik, Robert [Autor, 11.111%] ; Jurak, Lubomir [Autor, 11.111%] ; Ringleb, Peter [Autor, 11.111%] ; Dixit, Anand [Autor, 11.111%] ; Toni, Danilo [Autor, 11.111%] ; Ahmed, Niaz [Autor, 11.111%] ; Brozman, Miroslav [Autor, UKFFSVKUM, 11.111%]. – text. – [angličtina]. – [OV 180]. – [článok]. – DOI 10.1161/STROKEAHA.118.024575. – WOS CC ; SCO ; CCC In: Stroke [textový dokument (print)] : a Journal of Cerebral Circulation. – New York (USA) : American Heart Association, Hagerstown (USA) : Wolters Kluwer. Lippincott Williams &amp; Wilkins. – ISSN 0039-2499. – ISSN (online) 1524-4628. – 2019, s. 1-11 [tlačená forma] . – IF: 7,190 ; SJR: 3,097 ; CiteScore: 10 ; SNIP: 2,276 JIF - Clinical neurology - Q1, Peripheral vascular disease - Q1 Scimago - Advanced and specialized nursing - Q1, Cardiology and cardiovascular medicine - Q1, Medicine (miscellaneous) - Q1, Neurology (clinical) - Q1, Neuroscience (miscellaneous) - Q1 </t>
  </si>
  <si>
    <t xml:space="preserve">Safety and outcomes of routine endovascular thrombectomy in large artery occlusion recorded in the SITS Register: An observational study / Ahmed, Nermin S. [Autor, 3.846%] ; Mazya, Michael V. [Autor, 3.846%] ; Nunes, Ana Paiva [Autor, 3.846%] ; Moreira, A. [Autor, 3.846%] ; Ollikainen, Jyrki P. [Autor, 3.846%] ; Brozman, Miroslav [Autor, UKFFSVKUM, 3.846%]. – text. – [angličtina]. – [OV 180]. – [článok]. – DOI 10.1111/joim.13302. – WOS CC ; SCO ; CCC In: Journal of Internal Medicine [textový dokument (print)] . – Hoboken (USA) : John Wiley &amp; Sons. – ISSN 0954-6820. – ISSN (online) 1365-2796. – Roč. 289, č. 6 (2021), s. 1-9 [tlačená forma] . – CiteScore: 17 ; IF: 13.068 ; SJR: 3,193 ; SNIP: 3,346 ; AIS: 3.112 AIS - Medicine, general &amp; internal - Q1 JIF - Medicine, general &amp; internal - Q1 Scimago - Internal medicine - Q1 </t>
  </si>
  <si>
    <t xml:space="preserve">Safety and Outcomes of Thrombectomy in Ischemic Stroke With vs Without IV Thrombolysis / Ahmed, N. [Autor, 3.846%] ; Mazya, M. [Autor, 3.846%] ; Nunes, A. P. [Autor, 3.846%] ; Moreira, T. [Autor, 3.846%] ; Ollikainen, Jyrki P. [Autor, 3.846%] ; Brozman, Miroslav [Autor, UKFFSVKUM, 4%]. – text. – [angličtina]. – [OV 180]. – [článok]. – DOI 10.1212/WNL.0000000000012327. – WOS CC ; SCO ; CCC In: Neurology [textový dokument (print)] [elektronický dokument] . – Baltimore (USA) : Wolters Kluwer. – ISSN 0028-3878. – ISSN (online) 1526-632X. – Roč. 97, č. 8 (2021), s. 765-776 [tlačená forma] [online] . – CiteScore: 11,1 ; IF: 12.258 ; SJR: 2,587 ; SNIP: 2,667 ; AIS: 3.766 AIS - Clinical neurology - Q1 JIF - Clinical neurology - Q1 Scimago - Neurology (clinical) - Q1 </t>
  </si>
  <si>
    <t xml:space="preserve">Scouring Test of Sheep Wool Intended for Sorption / Braniša, Jana [Autor, UKFFPVKCH, 50%] ; Jomová, Klaudia [Autor, UKFFPVKCH, 20%] ; Porubská, Mária [Autor, UKFFPVKCH, 30%]. – text. – [angličtina]. – [OV 120, 110]. – [článok]. – DOI 10.5604/01.3001.0012.9983. – WOS CC ; SCO ; CCC In: Fibres and textiles in Eastern Europe [textový dokument (print)] [elektronický dokument] : an international magazine devoted to current problems of the textile industries in Central and Eastern Europe. – Łódź (Poľsko) : Instytut Biopolimerów i Wlókien Chemicznych. – ISSN 1230-3666. – ISSN (online) 2300-7354. – Roč. 27, č. 2 (2019), 24-29 [tlačená forma] [online] . – IF: 0.775 ; SJR: 0,32 ; CiteScore: 1,3 ; SNIP: 0,717 JIF - Materials science, textiles - Q3 Scimago - Business and international management - Q2, Environmental science (miscellaneous) - Q2, Industrial and manufacturing engineering - Q2, Materials science (miscellaneous) - Q3 </t>
  </si>
  <si>
    <t xml:space="preserve">Secular trends of adult population and their impacts in industrial design and ergonomics / Lipoldová, Martina [Autor, KEMP, 20%] ; Hitka, Miloš [Autor, KEMP, 39%] ; Sedmák, Róbert [Autor, KPLZI, 35%] ; Kolena, Branislav [Autor, UKFFPVKZA, 5%] ; Jambal, Tsolmon [Autor, 1%]. – text. – [angličtina]. – [OV 080, 190]. – [článok]. – DOI 10.3390/app10217565. – WOS CC ; SCO ; CCC In: Applied sciences [elektronický dokument] . – Bazilej (Švajčiarsko) : Multidisciplinary Digital Publishing Institute. – ISSN (online) 2076-3417. – Roč. 10, č. 21 (2020), Art. no. 7565 , s. [1-18] [online] . – IF: 2,679 ; SNIP: 1,068 ; SJR: 0,435 ; CiteScore: 3,00 ; AIS: 0.409 AIS - Chemistry, multidisciplinary - Q3, Engineering, multidisciplinary - Q3, Materials science, multidisciplinary - Q3, Physics, applied - Q3 JIF - Chemistry, multidisciplinary - Q3, Engineering, multidisciplinary - Q2, Materials science, multidisciplinary - Q3, Physics, applied - Q2 Scimago - Computer science applications - Q2, Engineering (miscellaneous) - Q2, Fluid flow and transfer processes - Q2, Instrumentation - Q2, Materials science (miscellaneous) - Q2, Process chemistry and technology - Q2 </t>
  </si>
  <si>
    <t xml:space="preserve">Seed Total Protein Profiling in Discrimination of Closely Related Pines: Evidence from the Pinus mugo Complex / Celiński, Konrad [Korešpondenčný autor, 25%] ; Sokołowska, Joanna [Autor, 15%] ; Zemleduch-Barylska, Agata [Autor, 10%] ; Kuna, Roman [Autor, UKFFPVKBG, 10%] ; Kijak, Hanna [Autor, 10%] ; Staszak, Aleksandra Maria [Autor, 10%] ; Wojnicka-Poltorak, Aleksandra [Autor, 10%] ; Chudzinska, Ewa [Autor, 10%]. – text. – [angličtina]. – [OV 190, 130]. – [článok]. – DOI 10.3390/plants9070872. – WOS CC ; SCO ; CCC In: Plants-Basel [elektronický dokument] . – Bazilej (Švajčiarsko) : Multidisciplinary Digital Publishing Institute. – ISSN (online) 2223-7747. – Roč. 9, č. 7 (2020), Art. no. 872, s. 1-12 [online] . – IF: 3.935 ; SJR: 0,892 ; CiteScore: 2,2 ; SNIP: 1,467 ; AIS: 0.759 AIS - Plant sciences - Q2 JIF - Plant sciences - Q1 Scimago - Ecology - Q1, Ecology, evolution, behavior and systematics - Q1, Plant science - Q1 </t>
  </si>
  <si>
    <t xml:space="preserve">Self-stigma and treatment effectiveness in patients with ssri non-responsive obsessive-compulsive disorder / Ocisková, Marie [Autor, 12.5%] ; Praško Pavlov, Ján [Korešpondenčný autor, UKFFSVKPV, 12.5%] ; Vanek, Jakub [Autor, 12.5%] ; Holubová, Michaela [Autor, 12.5%] ; Hodný, František [Autor, 12.5%] ; Látalová, Klára [Autor, 12.5%] ; Kantor, Kryštof [Autor, 12.5%] ; Nesnídal, Vlastimil [Autor, 12.5%]. – text. – [angličtina]. – [OV 060]. – [článok]. – DOI 10.2147/PRBM.S287419. – WOS CC ; SCO ; CCC In: Psychology Research and Behavior Management [elektronický dokument] . – Auckland (Nový Zéland) : Dove Medical Press. – ISSN 1179-1578. – č. 14 (2021), 85-97 [online] . – CiteScore: 3,9 ; IF: 3.974 ; SJR: 0,807 ; SNIP: 1,44 ; AIS: 0.830 AIS - Psychology, clinical - Q3, Psychology, multidisciplinary - Q2 JIF - Psychology, clinical - Q2, Psychology, multidisciplinary - Q2 Scimago - Psychiatry and mental health - Q2, Psychology (miscellaneous) - Q2 </t>
  </si>
  <si>
    <t xml:space="preserve">Setting Up a Flipped Classroom Design to Reduce Student Academic Procrastination / Gonda, Dalibor [Autor, ZUZRIAMOA, 25%] ; Pavlovičová, Gabriela [Autor, UKFFPVKMA, 25%] ; Tirpáková, Anna [Autor, UKFFPVKMA, 25%] ; Ďuriš, Viliam [Autor, UKFFPVKMA, 25%]. – text. – [angličtina]. – [OV 240]. – [článok]. – DOI 10.3390/su13158668. – WOS CC ; SCO ; CCC In: Sustainability [elektronický dokument] . – Bazilej (Švajčiarsko) : Multidisciplinary Digital Publishing Institute. – ISSN (online) 2071-1050. – Roč. 13, č. 15 (2021), s. 1-14 [online] . – IF: 3,889 ; SNIP: 1,310 ; SJR: 0,664 ; CiteScore: 5,00 ; AIS: 0.516 AIS - Environmental sciences - Q3, Environmental studies - Q4, Green &amp; sustainable science &amp; technology - Q4 JIF - Environmental sciences - Q2, Environmental studies - Q2, Green &amp; sustainable science &amp; technology - Q3 Scimago - Energy engineering and power technology - Q2, Environmental science (miscellaneous) - Q2, Geography, planning and development - Q1, Management, monitoring, policy and law - Q2, Renewable energy, sustainability and the environment - Q2 </t>
  </si>
  <si>
    <t xml:space="preserve">Several Limit Theorems on Fuzzy Quantum Space / Ďuriš, Viliam [Korešpondenčný autor, UKFFPVKMA, 34%] ; Bartková, Renáta [Korešpondenčný autor, 33%] ; Tirpáková, Anna [Korešpondenčný autor, UKFFPVKMA, 33%]. – text. – [angličtina]. – [OV 240, 010]. – [článok]. – DOI 10.3390/math9040438. – WOS CC ; SCO ; CCC In: Mathematics [elektronický dokument] . – Bazilej (Švajčiarsko) : Multidisciplinary Digital Publishing Institute. – ISSN (online) 2227-7390. – Roč. 9, č. 1 (2021), s. 1-14 [online] . – CiteScore: 2,9 ; IF: 2.592 ; SJR: 0,538 ; SNIP: 1,162 ; AIS: 0.409 AIS - Mathematics - Q3 JIF - Mathematics - Q1 Scimago - Computer science (miscellaneous) - Q2, Engineering (miscellaneous) - Q2, Mathematics (miscellaneous) - Q2 </t>
  </si>
  <si>
    <t xml:space="preserve">Sheep Wool Humidity under Electron Irradiation Affects Wool Sorptivity towards Co(II) Ions / Braniša, Jana [Autor, UKFFPVKCH, 30%] ; Kleinová, Angela [Autor, 10%] ; Jomová, Klaudia [Autor, UKFFPVKCH, 10%] ; Weissabel, Róbert [Autor, 5%] ; Cvik, Marcel [Autor, 5%] ; Branišová, Zuzana [Autor, TUTPFPVU, 5%] ; Porubská, Mária [Autor, UKFFPVKCH, 35%]. – text. – [angličtina]. – [OV 120]. – [článok]. – DOI 10.3390/molecules26175206. – TUTPFPVU signatúra E086931. – WOS CC ; SCO ; CCC In: Molecules [elektronický dokument] : a Journal of Synthetic Chemistry and Natural Product Chemistry. – Bazilej (Švajčiarsko) : Multidisciplinary Digital Publishing Institute. – ISSN (online) 1420-3049. – Roč. 26, č. 17 (2021), art. no. 5206, s. 1-19 [online] . – IF: 4.927 ; CiteScore: 5,9 ; SJR: 0,705 ; SNIP: 1,267 ; AIS: 0.671 AIS - Biochemistry &amp; molecular biology - Q3, Chemistry, multidisciplinary - Q2 JIF - Biochemistry &amp; molecular biology - Q2, Chemistry, multidisciplinary - Q2 Scimago - Analytical chemistry - Q2, Chemistry (miscellaneous) - Q2, Drug discovery - Q2, Medicine (miscellaneous) - Q2, Molecular medicine - Q3, Organic chemistry - Q2, Pharmaceutical science - Q1, Physical and theoretical chemistry - Q2 </t>
  </si>
  <si>
    <t xml:space="preserve">Sleep disturbances in patients with nonepileptic seizures / Vanek, Jakub [Autor, 5%] ; Praško Pavlov, Ján [Korešpondenčný autor, UKFFSVKPV, 30%] ; Ocisková, Marie [Autor, 5%] ; Genzor, Samuel [Autor, 5%] ; Holubová, Markéta [Autor, 5%] ; Hodný, František [Autor, 5%] ; Nesnídal, Vlastimil [Autor, 5%] ; Šlepecký, Miloš [Autor, UKFFSVKPV, 30%] ; Sova, Milan [Autor, 5%] ; Minariková, Kamila [Autor, 5%]. – text. – [angličtina]. – [OV 060]. – [článok]. – DOI 10.2147/NSS.S289190. – WOS CC ; SCO ; CCC In: Nature and Science of Sleep [elektronický dokument] . – [Auckland]  (Nový Zéland) : Dove Medical Press. – ISSN (online) 1179-1608. – č. 13 (2021), s. 209-218 [online] . – CiteScore: 4,1 ; IF: 3.384 ; SJR: 0,973 ; SNIP: 1,534 ; AIS: 1.235 AIS - Clinical neurology - Q2, Neurosciences - Q2 JIF - Clinical neurology - Q3, Neurosciences - Q3 Scimago - Applied psychology - Q2, Behavioral neuroscience - Q1 </t>
  </si>
  <si>
    <t xml:space="preserve">Snow leopard optimization algorithm: A new nature-based optimization algorithm for solving optimization problems / Coufal, Petr [Autor, 25%] ; Hubálovský, Štěpán [Autor, 25%] ; Hubálovská, Marie [Autor, 25%] ; Balogh, Zoltán [Autor, UKFFPVKIN, 25%]. – [angličtina]. – [OV 160]. – [článok]. – DOI 10.3390/math9212832. – WOS CC ; SCO ; CCC In: Mathematics [elektronický dokument] . – Bazilej (Švajčiarsko) : Multidisciplinary Digital Publishing Institute. – ISSN (online) 2227-7390. – Roč. 9, č. 21 (2021), s. 1-15 [online] . – CiteScore: 2,9 ; IF: 2.592 ; SJR: 0,538 ; SNIP: 1,162 ; AIS: 0.409 AIS - Mathematics - Q3 JIF - Mathematics - Q1 Scimago - Computer science (miscellaneous) - Q2, Engineering (miscellaneous) - Q2, Mathematics (miscellaneous) - Q2 </t>
  </si>
  <si>
    <t xml:space="preserve">Social media and students’ wellbeing: An empirical analysis during the covid-19 pandemic / Tkáčová, Hedviga [Autor, KURFIZU, 45%] ; Pavlíková, Martina [Autor, UKFFFAKZU, 5%] ; Jenisová, Zita [Autor, UKFFPVKCH, 20%] ; Maturkanič, Patrik [Autor, 5%] ; Králik, Roman [Autor, 25%]. – [angličtina]. – [OV 020, 100]. – [článok]. – DOI 10.3390/su131810442. – WOS CC ; SCO ; CCC In: Sustainability [elektronický dokument] . – Bazilej (Švajčiarsko) : Multidisciplinary Digital Publishing Institute. – ISSN (online) 2071-1050. – Roč. 13, č. 18 (2021), s. 1-19 [online] . – IF: 3,889 ; SNIP: 1,310 ; SJR: 0,664 ; CiteScore: 5,00 ; AIS: 0.516 AIS - Environmental sciences - Q3, Environmental studies - Q4, Green &amp; sustainable science &amp; technology - Q4 JIF - Environmental sciences - Q2, Environmental studies - Q2, Green &amp; sustainable science &amp; technology - Q3 Scimago - Energy engineering and power technology - Q2, Environmental science (miscellaneous) - Q2, Geography, planning and development - Q1, Management, monitoring, policy and law - Q2, Renewable energy, sustainability and the environment - Q2 </t>
  </si>
  <si>
    <t xml:space="preserve">Social structure in a Roma settlement: Comparison over time [Sociálna štruktúra v Rómskej osade: Časové porovnanie] / Kozubík, Michal [Autor, UKFFSVKSP, 35%] ; Bobáková, Daniela [Autor, UPS51582, 16%] ; Rosinský, Rastislav [Autor, UKFFSVURS, 16%] ; Mojtová, Martina [Autor, UKFFSVKSP, 16%] ; Tvrdoň, Miroslav [Autor, UKFFSVKSP, 16%] ; van Dijk, Jitse Pieter [Korešpondenčný autor, 1%]. – text. – [angličtina]. – [OV 060, 180]. – [článok]. – DOI 10.3390/ijerph17197311. – sign UPJS MSEP 033429. – WOS CC ; SCO ; CCC In: International journal of environmental research and public health [elektronický dokument] [textový dokument (print)] : open access journal. – Basel (Švajčiarsko) : Multidisciplinary Digital Publishing Institute. – ISSN 1661-7827. – ISSN (online) 1660-4601. – Roč. 17, č. 19 (2020), art. no. 7311 1-13 [online] [tlačená forma] . – IF: 3,390 ; SNIP: 1,356 ; SJR: 0,747 ; CiteScore: 3,40 ; AIS: 0.770 AIS - Environmental sciences - Q2, Public, environmental &amp; occupational health - Q3 JIF - Environmental sciences - Q2, Public, environmental &amp; occupational health - Q1 Scimago - Health, toxicology and mutagenesis - Q2, Pollution - Q2, Public health, environmental and occupational health - Q2 </t>
  </si>
  <si>
    <t xml:space="preserve">Soil contamination in the problem areas of agrarian Slovakia / Fazekašová, Danica [Autor, PUPFMKM, 30%] ; Petrovič, František [Autor, UKFFPVKEE, 15%] ; Fazekaš, Juraj [Autor, PUPFMKM, 20%] ; Štofejová, Lenka [Autor, PUPFMKEM, 20%] ; Baláž, Ivan [Autor, UKFFPVKEE, 5%] ; Tulis, Filip [Autor, UKFFPVKEE, 5%] ; Tóth, Tomáš [Autor, SPUFBP02, 5%]. – text. – [angličtina]. – [OV 100, 130, 190]. – [článok]. – DOI 10.3390/land10111248. – SIGN-PU FM-21 248/21. – WOS CC ; SCO ; CCC In: Land [elektronický dokument] . – Bazilej (Švajčiarsko) : Multidisciplinary Digital Publishing Institute. – ISSN 2073-445X. – Roč. 10, č. 11 (2021), art. no. 1248, s. [1-14] [online] . – CiteScore: 3,2 ; IF: 3.905 ; SJR: 0,685 ; SNIP: 1,294 ; AIS: 0.585 AIS - Environmental studies - Q4 JIF - Environmental studies - Q2 Scimago - Ecology - Q2, Global and planetary change - Q3, Nature and landscape conservation - Q2 </t>
  </si>
  <si>
    <t xml:space="preserve">Some Properties of Electron Beam-Irradiated Sheep Wool Linked to Cr(III) Sorption. / Braniša, Jana [Autor, UKFFPVKCH, 35%] ; Kleinová, Angela [Autor, 10%] ; Jomová, Klaudia [Autor, UKFFPVKCH, 10%] ; Malá, Radka [Autor, UKFFPVKCH, 5%] ; Morgunov, Volodymyr [Autor, 5%] ; Porubská, Mária [Autor, UKFFPVKCH, 35%]. – text. – [angličtina]. – [OV 120]. – [článok]. – DOI 10.3390/molecules24234401. – WOS CC ; SCO ; CCC In: Molecules [elektronický dokument] : a Journal of Synthetic Chemistry and Natural Product Chemistry. – Bazilej (Švajčiarsko) : Multidisciplinary Digital Publishing Institute. – ISSN (online) 1420-3049. – Roč. 24, č. 23 (2019), art. no. 4401, s. 1-15 [online] . – IF: 3.267 ; CiteScore: 4,1 ; SJR: 0,698 ; SNIP: 1,150 JIF - Biochemistry &amp; molecular biology - Q2, Chemistry, multidisciplinary - Q2 Scimago - Analytical chemistry - Q2, Chemistry (miscellaneous) - Q2, Drug discovery - Q2, Medicine (miscellaneous) - Q2, Molecular medicine - Q3, Organic chemistry - Q2, Pharmaceutical science - Q1, Physical and theoretical chemistry - Q2 </t>
  </si>
  <si>
    <t xml:space="preserve">Sonolysis in risk reduction of symptomatic and silent brain infarctions during coronary stenting (SONOREDUCE): Randomized, controlled trial. / Viszlayová, Daša [Autor, 20%] ; Brozman, Miroslav [Autor, UKFFSVKUM, 20%] ; Langová, Kateřina [Autor, 20%] ; Herzig, Roman [Autor, 20%] ; Školoudík, David [Autor, 20%]. – text. – [angličtina]. – [OV 180]. – [článok]. – DOI 10.1016/j.ijcard.2018.05.101. – WOS CC ; SCO ; CCC In: International Journal of Cardiology [textový dokument (print)] [elektronický dokument] . – Amsterdam (Holandsko) : Elsevier. – ISSN 0167-5273. – ISSN (online) 1874-1754. – č. 267 (2018), s. 62-67 [tlačená forma] . – IF: 3,471 ; SJR: 0,99 ; CiteScore: 4,6 ; SNIP: 0,755 JIF - Cardiac &amp; cardiovascular systems - Q2 Scimago - Cardiology and cardiovascular medicine - Q2 </t>
  </si>
  <si>
    <t xml:space="preserve">Spatial analysis of pottery presence at the former Pobedim hillfort (an archeological site in Slovakia) / Vojteková, Jana [Autor, UKFFPVKGR, 30%] ; Vojtek, Matej [Autor, UKFFPVKGR, 25%] ; Tirpáková, Anna [Autor, UKFFPVKMA, 25%] ; Vlkolínska, Ivona [Autor, 20%]. – text. – [angličtina]. – [OV 100]. – [článok]. – DOI 10.3390/su11236873. – WOS CC ; SCO ; CCC In: Sustainability [elektronický dokument] . – Bazilej (Švajčiarsko) : Multidisciplinary Digital Publishing Institute. – ISSN (online) 2071-1050. – Roč. 11, č. 23 (2019), s. 1-17 [online] . – IF: 2,576 ; SNIP: 1,165 ; SJR: 0,581 ; CiteScore: 3,20 JIF - Environmental sciences - Q2, Environmental studies - Q2, Green &amp; sustainable science &amp; technology - Q3 Scimago - Energy engineering and power technology - Q2, Environmental science (miscellaneous) - Q2, Geography, planning and development - Q2, Management, monitoring, policy and law - Q2, Renewable energy, sustainability and the environment - Q2 </t>
  </si>
  <si>
    <t xml:space="preserve">Spatial Autocorrelation of Breast and Prostate Cancer in Slovakia / Vilinová, Katarína [Korešpondenčný autor, UKFFPVKGR, 100%]. – text. – [angličtina]. – [OV 100]. – [článok]. – DOI 10.3390/ijerph17124440. – WOS CC ; SCO ; CCC In: International journal of environmental research and public health [elektronický dokument] [textový dokument (print)] : open access journal. – Basel (Švajčiarsko) : Multidisciplinary Digital Publishing Institute. – ISSN 1661-7827. – ISSN (online) 1660-4601. – Roč. 17, č. 12 (2020), s. 1-20 [online] [tlačená forma] . – IF: 3,390 ; SNIP: 1,356 ; SJR: 0,747 ; CiteScore: 3,40 ; AIS: 0.770 AIS - Environmental sciences - Q2, Public, environmental &amp; occupational health - Q3 JIF - Environmental sciences - Q2, Public, environmental &amp; occupational health - Q1 Scimago - Health, toxicology and mutagenesis - Q2, Pollution - Q2, Public health, environmental and occupational health - Q2 </t>
  </si>
  <si>
    <t xml:space="preserve">Sphalerite from Slovakia / Fridrichová, Jana [Autor, 25%] ; Bačík, Peter [Autor, 25%] ; Štubňa, Ján [Korešpondenčný autor, UKFFPVGMU, 25%] ; Illášová, Ľudmila [Autor, UKFFPVGMU, 25%]. – text. – [angličtina]. – [OV 092]. – [článok]. – DOI 10.15506/JoG.2020.37.1.12. – SIGN-UKO PR 432/20. – WOS CC ; SCO ; CCC In: The Journal of Gemmology [textový dokument (print)] . – Londýn (Veľká Británia) : The Gemmological Association of Great Britain. – ISSN 1355-4565. – ISSN (online) 2632-1718. – Roč. 37, č. 1 (2020), 12-13 [tlačená forma] . – IF: 1.375 ; SNIP: 0.667 ; SJR: 0.339 ; CiteScore: 0,5 ; AIS: 0.262 AIS - Mineralogy - Q4 JIF - Mineralogy - Q3 Scimago - Geochemistry and petrology - Q3 </t>
  </si>
  <si>
    <t xml:space="preserve">Spreading of Food Deserts in Time and Space: The Case of the City of Nitra (Slovakia) / Trembošová, Miroslava [Autor, UKFFPVKGR, 50%] ; Jakab, Imrich [Autor, UKFFPVKEE, 50%]. – text. – [angličtina]. – [OV 100]. – [článok]. – DOI 10.3390/su13137138. – WOS CC ; SCO ; CCC In: Sustainability [elektronický dokument] . – Bazilej (Švajčiarsko) : Multidisciplinary Digital Publishing Institute. – ISSN (online) 2071-1050. – Roč. 13, č. 13 (2021), s. 1-13 [online] . – IF: 3,889 ; SNIP: 1,310 ; SJR: 0,664 ; CiteScore: 5,00 ; AIS: 0.516 AIS - Environmental sciences - Q3, Environmental studies - Q4, Green &amp; sustainable science &amp; technology - Q4 JIF - Environmental sciences - Q2, Environmental studies - Q2, Green &amp; sustainable science &amp; technology - Q3 Scimago - Energy engineering and power technology - Q2, Environmental science (miscellaneous) - Q2, Geography, planning and development - Q1, Management, monitoring, policy and law - Q2, Renewable energy, sustainability and the environment - Q2 </t>
  </si>
  <si>
    <t xml:space="preserve">Stakeholders’ perspectives on the operationalisation of the ecosystem service concept: Results from 27 case studies / Dick, Jan [Autor, 1.141%] ; Turkelboom, Francis [Autor, 1.063%] ; Woods, Helen [Autor, 1.063%] ; Iniesta-Arandia, Irene [Autor, 1.063%] ; Primmer, Eeva [Autor, 1.063%] ; Mederly, Peter [Autor, UKFFPVKEE, 1.063%]. – [angličtina]. – [OV 100]. – [článok]. – DOI 10.1016/j.ecoser.2017.09.015. – WOS CC ; SCO ; CCC In: Ecosystem Services [elektronický dokument] : Science, Policy and Practice. – Amsterdam (Holandsko) : Elsevier. – ISSN (online) 2212-0416. – č. 29 (2018), s. 552-565 [online] . – SJR: 2,151 ; CiteScore: 9,2 ; SNIP: 1,94 ; IF: 5.572 JIF - Ecology - Q1, Environmental sciences - Q1, Environmental studies - Q1 Scimago - Agricultural and biological sciences (miscellaneous) - Q1, Ecology - Q1, Geography, planning and development - Q1, Global and planetary change - Q1, Management, monitoring, policy and law - Q1, Nature and landscape conservation - Q1 </t>
  </si>
  <si>
    <t xml:space="preserve">Streamlining the municipal waste management system in the city of Nitra (Slovak Republic) based on a public survey / Pucherová, Zuzana [Autor, UKFFPVKEE, 40%] ; Jakab, Imrich [Autor, 40%] ; Báreková, Anna [Autor, SPUFZK05, 10%] ; Králová, Jarmila [Autor, 10%]. – [angličtina]. – [OV 190, 100]. – [článok]. – DOI 10.3390/su132413992. – WOS CC ; SCO ; CCC In: Sustainability [elektronický dokument] . – Bazilej (Švajčiarsko) : Multidisciplinary Digital Publishing Institute. – ISSN (online) 2071-1050. – Roč. 13, č. 24 (2021), art. no. 13992, s. [1-30] [online] . – IF: 3,889 ; SNIP: 1,310 ; SJR: 0,664 ; CiteScore: 5,00 ; AIS: 0.516 AIS - Environmental sciences - Q3, Environmental studies - Q4, Green &amp; sustainable science &amp; technology - Q4 JIF - Environmental sciences - Q2, Environmental studies - Q2, Green &amp; sustainable science &amp; technology - Q3 Scimago - Energy engineering and power technology - Q2, Environmental science (miscellaneous) - Q2, Geography, planning and development - Q1, Management, monitoring, policy and law - Q2, Renewable energy, sustainability and the environment - Q2 </t>
  </si>
  <si>
    <t xml:space="preserve">Stress levels and mental well-being among Slovak students during e-learning in the COVID-19 pandemic / Rutkowska, Anna [Autor, 13%] ; Líška, Dávid [Autor, UMBFF09, 13%] ; Cieślik, Blazej [Autor, 13%] ; Wrzeciono, Adam [Autor, 13%] ; Broďáni, Jaroslav [Autor, UKFPFAKTV, 12%] ; Barcalová, Miroslava [Autor, 12%] ; Gurín, Daniel [Autor, 12%] ; Rutkowski, Sebastian [Autor, 12%]. – text. – [angličtina]. – [OV 210, 180]. – [článok]. – DOI 10.3390/healthcare9101356. – SZU KIS 2021101914090041. – SIGN-TUKE 301719. – WOS CC ; SCO ; CCC In: Healthcare [elektronický dokument] . – Bazilej (Švajčiarsko) : Multidisciplinary Digital Publishing Institute. – ISSN (online) 2227-9032. – Roč. 9, č. 10 (2021), Art. no. 1356, s. [1-10] [online] . – IF: 3,160 ; SNIP: 1.055 ; SJR: 0.529 ; CiteScore: 2.0 ; AIS: 0.674 AIS - Health care sciences &amp; services - Q3, Health policy &amp; services - Q3 JIF - Health care sciences &amp; services - Q2, Health policy &amp; services - Q2 Scimago - Health informatics - Q3, Health information management - Q3, Health policy - Q2, Leadership and management - Q2 </t>
  </si>
  <si>
    <t xml:space="preserve">Study of thermooxidation of oil shale samples and basics of processes for utilization of oil shale ashes / Kaljuvee, Tiit [Autor, 10%] ; Uibu, Mai [Autor, 9%] ; Yörük, Can Rüstü [Autor, 9%] ; Einard, Marve [Autor, 9%] ; Trikkel, Andres [Autor, 9%] ; Kuusik, Rein [Autor, 9%] ; Trass, Olev [Autor, 9%] ; Štubňa, Ján [Autor, UKFFPVGMU, 9%] ; Húlan, Tomáš [Autor, UKFFPVKFY, 9%] ; Loide, Valli [Autor, 9%] ; Jefimova, Jekaterina [Autor, 9%]. – text. – [angličtina]. – [OV 091]. – [článok]. – DOI 10.3390/min11020193. – WOS CC ; SCO ; CCC In: Minerals [elektronický dokument] . – Bazilej (Švajčiarsko) : Multidisciplinary Digital Publishing Institute. – ISSN (online) 2075-163X. – Roč. 11, č. 2 (2021), 1-23 [online] . – CiteScore: 3,7 ; IF: 2.818 ; SJR: 0,522 ; SNIP: 1,07 ; AIS: 0.515 AIS - Geochemistry &amp; geophysics - Q3, Mineralogy - Q2, Mining &amp; mineral processing - Q2 JIF - Geochemistry &amp; geophysics - Q2, Mineralogy - Q2, Mining &amp; mineral processing - Q2 Scimago - Geology - Q2, Geotechnical engineering and engineering geology - Q2 </t>
  </si>
  <si>
    <t xml:space="preserve">Subacute exposure to alcohol in relation to bone microstructure of mice / Šarocká, Anna [Autor, UKFFPVKZA, 12.5%] ; Kováčová, Veronika [Autor, UKFFPVKZA, 12.5%] ; Omelka, Radoslav [Autor, UKFFPVKBG, 12.5%] ; Bauerová, Mária [Autor, UKFFPVKBG, 12.5%] ; Kapusta, Edyta [Autor, 12.5%] ; Goc, Zofia [Autor, 12.5%] ; Formicki, Grzegorz [Autor, 12.5%] ; Martiniaková, Monika [Autor, UKFFPVKZA, 12.5%]. – text. – [angličtina]. – [OV 130]. – [článok]. – WOS CC ; SCO ; CCC In: Physiological research [textový dokument (print)] [elektronický dokument] . – Praha (Česko) : Akademie věd České republiky. Fyziologický ústav AV ČR. – ISSN 0862-8408. – ISSN (online) 1802-9973. – Roč. 67, č. 3 (2018), s. 1-11 [tlačená forma] [online] . – IF: 1,701 ; SJR: 0,583 ; SNIP: 0,594 ; CiteScore: 2,50 JIF - Physiology - Q4 Scimago - Medicine (miscellaneous) - Q2, Physiology - Q3 </t>
  </si>
  <si>
    <t xml:space="preserve">Subacute exposure to amygdalin influences compact bone remodeling of rabbits / Kováčová, Veronika [Autor, 25%] ; Šarocká, Anna [Autor, UKFFPVKZA, 15%] ; Omelka, Radoslav [Autor, UKFFPVKBG, 15%] ; Bauerová, Mária [Autor, UKFFPVKBG, 10%] ; Grosskopf, Birgit [Autor, 5%] ; Formicki, Grzegorz [Autor, 5%] ; Kolesárová, Adriana [Autor, SPUFBP03, 5%] ; Martiniaková, Monika [Autor, UKFFPVKZA, 20%]. – [angličtina]. – [OV 190, 180]. – [článok]. – DOI 10.26402/jpp.2019.4.15. – SCO ; CCC In: Journal of Physiology and Pharmacology [textový dokument (print)] [elektronický dokument] : an Official Journal of the Polish Physiological Society. – Kraków (Poľsko) : Polskie Towarzystwo Fizjologiczne. – ISSN 0867-5910. – ISSN (online) 1899-1505. – Roč. 70, č. 4 (2019), s. 641-648 [tlačená forma] [online] . – IF: 2,644 ; CiteScore: 3,9 ; SJR: 0,678 ; SNIP: 0,843 JIF - Physiology - Q2 Scimago - Medicine (miscellaneous) - Q2, Pharmacology - Q2, Physiology - Q3 </t>
  </si>
  <si>
    <t xml:space="preserve">Suicidality, self-stigma, social anxiety and personality traits in stabilized schizophrenia patients - a cross-sectional study / Vrbová, Kristýna [Autor, 12.5%] ; Praško Pavlov, Ján [Autor, UKFFSVKPV, 12.5%] ; Ocisková, Marie [Autor, 12.5%] ; Holubová, Michaela [Autor, 12.5%] ; Kantor, Kryštof [Autor, 12.5%] ; Kolek, Antonín [Autor, 12.5%] ; Grambal, Aleš [Autor, 12.5%] ; Šlepecký, Miloš [Autor, UKFFSVKPV, 12.5%]. – text. – [angličtina]. – [OV 060]. – [článok]. – DOI 10.2147/NDT.S162070. – WOS CC ; SCO ; CCC In: Neuropsychiatric Disease and Treatment [textový dokument (print)] [elektronický dokument] . – Auckland (Nový Zéland) : Dove Medical Press. – ISSN 1176-6328. – ISSN (online) 1178-2021. – Roč. 14 (2018), s. 1415-1424 [tlačená forma] [online] . – SJR: 0,897 ; CiteScore: 4,1 ; SNIP: 1,06 ; IF: 2.228 JIF - Clinical neurology - Q3, Psychiatry - Q3 Scimago - Biological psychiatry - Q3, Psychiatry and mental health - Q2 </t>
  </si>
  <si>
    <t xml:space="preserve">Supramolecular assembly of copper(II) halogenobenzoates with nicotinamide into hydrogen-bonding networks / Halaška, Jozef [Autor, 042190, 20%] ; Pevec, Andrej [Autor, 1%] ; Růžičková, Zděnka [Autor, 1%] ; Lawson, Michael Kenneth [Autor, UKFFPVKCH, 19%] ; Koman, Marian [Autor, 042190, 19%] ; Valko, Marián [Autor, 045210, 19%] ; Kozlevčar, Bojan [Autor, 1%] ; Moncoľ, Ján [Autor, 042190, 20%]. – text. – [angličtina]. – [OV 120]. – [článok]. – WOS CC ; CCC In: Monatshefte für Chemie [textový dokument (print)] [elektronický dokument] . – Viedeň (Rakúsko) : Springer Nature. Springer International Publishing AG. – ISSN 0026-9247. – ISSN (online) 1434-4475. – Roč. 149, č. 6 (2018), s. 1017-1030 [tlačená forma] [online] . – IF: 1,501 ; CiteScore: 2,5 ; SJR: 0,337 ; SNIP: 0,568 JIF - Chemistry, multidisciplinary - Q3 Scimago - Chemistry (miscellaneous) - Q2 </t>
  </si>
  <si>
    <t xml:space="preserve">Sustainability and subjective well-being: How students weigh dimensions / Lengyel, Attila [Autor, 20%] ; Kovács, Sándor [Autor, 16%] ; Müller, Anetta [Autor, 16%] ; Dávid, Lóránt Dénes [Autor, UKFFSSKCR, 16%] ; Szoke, Szilvia [Autor, 16%] ; Bába, Éva Bácsné [Autor, 16%]. – text. – [angličtina]. – [OV 080]. – [článok]. – DOI 10.3390/su11236627. – WOS CC ; SCO ; CCC In: Sustainability [elektronický dokument] . – Bazilej (Švajčiarsko) : Multidisciplinary Digital Publishing Institute. – ISSN (online) 2071-1050. – Roč. 11, č. 23 (2019), s. 1-12 [online] . – IF: 2,576 ; SNIP: 1,165 ; SJR: 0,581 ; CiteScore: 3,20 JIF - Environmental sciences - Q2, Environmental studies - Q2, Green &amp; sustainable science &amp; technology - Q3 Scimago - Energy engineering and power technology - Q2, Environmental science (miscellaneous) - Q2, Geography, planning and development - Q2, Management, monitoring, policy and law - Q2, Renewable energy, sustainability and the environment - Q2 </t>
  </si>
  <si>
    <t xml:space="preserve">Sustainable Urban Development: A Review of Urban Sustainability Indicator Frameworks / Michalina, Denis [Autor, UKFFPVKEE, 55%] ; Mederly, Peter [Autor, UKFFPVKEE, 35%] ; Diefenbacher, Hans [Autor, 5%] ; Held, Benjamin [Autor, 5%]. – [angličtina]. – [OV 100]. – [článok]. – DOI 10.3390/su13169348. – WOS CC ; SCO ; CCC In: Sustainability [elektronický dokument] . – Bazilej (Švajčiarsko) : Multidisciplinary Digital Publishing Institute. – ISSN (online) 2071-1050. – Roč. 13, č. 16 (2021), s. 1-20 [online] . – IF: 3,889 ; SNIP: 1,310 ; SJR: 0,664 ; CiteScore: 5,00 ; AIS: 0.516 AIS - Environmental sciences - Q3, Environmental studies - Q4, Green &amp; sustainable science &amp; technology - Q4 JIF - Environmental sciences - Q2, Environmental studies - Q2, Green &amp; sustainable science &amp; technology - Q3 Scimago - Energy engineering and power technology - Q2, Environmental science (miscellaneous) - Q2, Geography, planning and development - Q1, Management, monitoring, policy and law - Q2, Renewable energy, sustainability and the environment - Q2 </t>
  </si>
  <si>
    <t xml:space="preserve">Teaching Combinatorial Principles Using Relations through the Placemat Method / Ďuriš, Viliam [Autor, UKFFPVKMA, 25%] ; Pavlovičová, Gabriela [Autor, UKFFPVKMA, 25%] ; Gonda, Dalibor [Autor, ZUZRIAMOA, 25%] ; Tirpáková, Anna [Autor, UKFFPVKMA, 25%]. – text. – [angličtina]. – [OV 240]. – [článok]. – DOI 10.3390/math9151825. – WOS CC ; SCO ; CCC In: Mathematics [elektronický dokument] . – Bazilej (Švajčiarsko) : Multidisciplinary Digital Publishing Institute. – ISSN (online) 2227-7390. – Roč. 9, č. 15 (2021), s. 1-13 [online] . – CiteScore: 2,9 ; IF: 2.592 ; SJR: 0,538 ; SNIP: 1,162 ; AIS: 0.409 AIS - Mathematics - Q3 JIF - Mathematics - Q1 Scimago - Computer science (miscellaneous) - Q2, Engineering (miscellaneous) - Q2, Mathematics (miscellaneous) - Q2 </t>
  </si>
  <si>
    <t xml:space="preserve">Temperature dependence of the AC conductivity of illitic clay / Csáki, Štefan [Autor, UKFFPVKFY, 16.67%] ; Ondruška, Ján [Autor, UKFFPVKFY, 16.666%] ; Trnovcová, Viera [Autor, UKFFPVKFY, 16.666%] ; Štubňa, Igor [Autor, UKFFPVKFY, 16.666%] ; Dobroň, Patrik [Autor, 16.666%] ; Vozár, Libor [Autor, UKFFPVKFY, 16.666%]. – [angličtina]. – [OV 091]. – [článok]. – DOI 10.1016/j.clay.2018.02.026. – WOS CC ; SCO ; CCC In: Applied Clay Science [textový dokument (print)] [elektronický dokument] : An International Journal on Physics, Chemistry, Geology and Technology of Clays and Clay Minerals. – Amsterdam (Holandsko) : Elsevier. – ISSN 0169-1317. – ISSN (online) 1872-9053. – č. 157 (2018), s. 19-23 [tlačená forma] [online] . – IF: 3,890 ; SJR: 0,99 ; CiteScore: 6,3 ; SNIP: 1,639 JIF - Chemistry, physical - Q2, Materials science, multidisciplinary - Q1, Mineralogy - Q1 Scimago - Geochemistry and petrology - Q2, Geology - Q1 </t>
  </si>
  <si>
    <t xml:space="preserve">Tenebrio molitor (Coleoptera: Tenebrionidae)-Optimization of Rearing Conditions to Obtain Desired Nutritional Values / Adamkova, Anna [Autor, 10%] ; Mlček, Jiří [Autor, 10%] ; Adamek, Martin [Autor, 10%] ; Borkovcova, Marie [Autor, 10%] ; Bednarova, Martina [Autor, 10%] ; Hlobilova, Veronika [Autor, 10%] ; Knížková,, Ivana [Autor, 10%] ; Juríková, Tünde [Autor, UKFFSSUVP, 30%]. – text. – [angličtina]. – [OV 010]. – [článok]. – DOI 10.1093/jisesa/ieaa100. – WOS CC ; SCO ; CCC In: Journal of insect science [elektronický dokument] . – Annapolis (USA) : Entomological Society of America. – ISSN (online) 1536-2442. – Roč. 20, č. 5 (2020), s. 1-10 [online] . – SJR: 0,551 ; CiteScore: 2,3 ; SNIP: 0,836 ; IF: 1.857 ; AIS: 0.428 AIS - Entomology - Q2 JIF - Entomology - Q2 Scimago - Insect science - Q2, Medicine (miscellaneous) - Q3 </t>
  </si>
  <si>
    <t xml:space="preserve">Testing of electron beam irradiated sheep wool for adsorption of Cr(III) and Co(II) of higher concentrations / Braniša, Jana [Autor, UKFFPVKCH, 40%] ; Jomová, Klaudia [Autor, UKFFPVKCH, 15%] ; Lapčík, Lubomír [Autor, 5%] ; Porubská, Mária [Autor, UKFFPVKCH, 40%]. – text, graf. – [angličtina]. – [OV 120]. – [článok]. – DOI 10.1016/j.polymertesting.2021.107191. – WOS CC ; SCO ; CCC In: Polymer Testing [textový dokument (print)] . – Amsterdam (Holandsko) : Elsevier. – ISSN 0142-9418. – č. 99 (2021), s. 1-8 [tlačená forma] . – CiteScore: 7,5 ; IF: 4.931 ; SJR: 0,81 ; SNIP: 1,351 ; AIS: 0.605 AIS - Materials science, characterization &amp; testing - Q1, Polymer science - Q1 JIF - Materials science, characterization &amp; testing - Q1, Polymer science - Q1 Scimago - Organic chemistry - Q1, Polymers and plastics - Q1 </t>
  </si>
  <si>
    <t xml:space="preserve">The Anti-Obesity and Health-Promoting Effects of Tea and Coffee / Sirotkin, Alexander [Autor, UKFFPVKZA, 50%] ; Kolesárová, Adriana [Autor, SPUFBP03, 50%]. – text. – [angličtina]. – [OV 130]. – [článok]. – DOI 10.33549/physiolres.934674. – WOS CC ; SCO ; CCC In: Physiological research [textový dokument (print)] [elektronický dokument] . – Praha (Česko) : Akademie věd České republiky. Fyziologický ústav AV ČR. – ISSN 0862-8408. – ISSN (online) 1802-9973. – Roč. 70, č. 2 (2021), 161-168 [tlačená forma] [online] . – SNIP: 0.682 ; SJR: 0.528 ; CiteScore: 3.2 ; IF: 2.139 ; AIS: 0.403 AIS - Physiology - Q4 JIF - Physiology - Q4 Scimago - Medicine (miscellaneous) - Q2, Physiology - Q3 </t>
  </si>
  <si>
    <t xml:space="preserve">The assessment of cryopreservation on the quality of endangered Oravka rooster spermatozoa using CASA and cytometry / Svoradová, Andrea [Autor, UKFFPVKZA, 20%] ; Kuželová, Lenka [Autor, 10%] ; Vašíček, Jaromír [Autor, 10%] ; Olexíková, Lucia [Autor, 10%] ; Baláži, Andrej [Autor, 10%] ; Kulíková, Barbora [Autor, 10%] ; Hrnčár, Cyril [Autor, SPUFAP11, 10%] ; Ostró, Alexander [Autor, UPS51381, 5%] ; Bednarczyk, Marek [Autor, 5%] ; Chrenek, Peter [Autor, SPUFBP01, 10%]. – text. – [angličtina]. – [OV 120, 190]. – [článok]. – sign UPJS MSEP 030792. – WOS CC ; SCO ; CCC In: CryoLetters [textový dokument (print)] [elektronický dokument] : A bimonthly international journal for low temperature science and technology. – Lewes : CryoLetters LLP. – ISSN 0143-2044. – ISSN (online) 1742-0644. – Roč. 39, č. 6 (2018), s. 359-366 [tlačená forma] [online] . – SJR: 0,27 ; CiteScore: 1,3 ; SNIP: 0,387 ; IF: 0.694 JIF - Biology - Q4, Physiology - Q4 Scimago - Agronomy and crop science - Q3, Anatomy - Q3, Medicine (miscellaneous) - Q3 </t>
  </si>
  <si>
    <t xml:space="preserve">The Composition and Seasonal Variation of Epigeic Arthropods in Different Types of Agricultural Crops and Their Ecotones / Langraf, Vladimír [Autor, UKFFPVKZA, 65%] ; Petrovičová, Kornélia [Korešpondenčný autor, SPUFAP26, 30%] ; Schlarmannová, Janka [Autor, UKFFPVKZA, 5%]. – text. – [angličtina]. – [OV 130, 190]. – [článok]. – DOI 10.3390/agronomy11112276. – WOS CC ; SCO ; CCC In: Agronomy-Basel [elektronický dokument] . – Bazilej (Švajčiarsko) : Multidisciplinary Digital Publishing Institute. – ISSN (online) 2073-4395. – Roč. 11, č. 8 (2021), art. no. 2276, s. [1-13] [online] . – CiteScore: 3,9 ; IF: 3.949 ; SJR: 0,654 ; SNIP: 1,284 ; AIS: 0.503 AIS - Agronomy - Q2, Plant sciences - Q2 JIF - Agronomy - Q1, Plant sciences - Q1 Scimago - Agronomy and crop science - Q1 </t>
  </si>
  <si>
    <t xml:space="preserve">The consequences of establishing military training areas for land use development : A case study of Libavá, Czech Republic / Havlíček, Marek [Autor, 30%] ; Skokanová, Hana [Autor, 15%] ; Dostál, Ivo [Autor, 10%] ; Vymazalová, Marie [Autor, 10%] ; Pavelková, Renáta [Autor, 10%] ; Petrovič, František [Autor, UKFFPVKEE, 25%]. – text. – [angličtina]. – [OV 100]. – [článok]. – DOI 10.1016/j.landusepol.2018.01.039. – WOS CC ; SCO ; CCC In: Land Use Policy [textový dokument (print)] [elektronický dokument] . – Oxford (Veľká Británia) : Elsevier. – ISSN 0264-8377. – ISSN (online) 1873-5754. – č. 73 (2018), s. 84-94 [tlačená forma] [online] . – IF: 3.573 ; SJR: 1,406 ; CiteScore: 5,5 ; SNIP: 1,73 JIF - Environmental studies - Q1 Scimago - Forestry - Q1, Geography, planning and development - Q1, Management, monitoring, policy and law - Q1, Nature and landscape conservation - Q1 </t>
  </si>
  <si>
    <t xml:space="preserve">The Contribution of Religiosity to Ideology: Empirical Evidences From Five Continents / Caprara, Gian Vittorio [Autor, 4.78%] ; Vecchione, Michele [Autor, 4.761%] ; Schwartz, Shalom H. [Autor, 4.761%] ; Schoen, Harald [Autor, 4.761%] ; Bain, Paul G. [Autor, 4.761%] ; Silvester, Jo [Autor, 4.761%] ; Cieciuch, Jan [Autor, 4.761%] ; Pavlopoulos, Vassilis [Autor, 4.761%] ; Bianchi, Gabriel [Autor, 4.761%] ; Kirmanoglu, Hasan [Autor, 4.761%] ; Baslevent, Cem [Autor, 4.761%] ; Mamali, Catalin [Autor, 4.761%] ; Manzi, Jorge [Autor, 4.761%] ; Katayama, Miyuki [Autor, 4.761%] ; Posnova, Tetyana [Autor, 4.761%] ; Tabernero, Carmen [Autor, 4.761%] ; Torres, Claudio [Autor, 4.761%] ; Verkasalo, Markku [Autor, 4.761%] ; Lönnqvist, Jan Erik [Autor, 4.761%] ; Caprara, Maria Giovanna [Autor, 4.761%] ; Vondráková, Eva [Autor, UKFFSVKSP, 4.761%]. – text. – [angličtina]. – [OV 060]. – [článok]. – DOI 10.1177/1069397118774233. – WOS CC ; SCO ; CCC In: Cross-cultural Research [textový dokument (print)] : the journal of comparative social science. – Londýn (Veľká Británia) : SAGE Publications. – ISSN 1069-3971. – ISSN (online) 1552-3578. – Roč. 52, č. 5 (2018), s. 524-541 [tlačená forma] . – SJR: 0,555 ; CiteScore: 2,5 ; SNIP: 0,949 ; IF: 1.324 JIF - Social sciences, interdisciplinary - Q3 Scimago - Anthropology - Q1, Arts and humanities (miscellaneous) - Q2, Psychology (miscellaneous) - Q2 </t>
  </si>
  <si>
    <t xml:space="preserve">The contribution of Ss. Cyril and methodius to culture and religion / Hetényi, Martin [Autor, UKFFFAUKD, 50%] ; Ivanič, Peter [Autor, UKFFFAUKD, 50%]. – text. – [angličtina]. – [OV 020]. – [článok]. – [recenzované]. – DOI 10.3390/rel12060417. – WOS CC ; SCO ; CCC In: Religions [elektronický dokument] . – Basel (Švajčiarsko) : Multidisciplinary Digital Publishing Institute. – ISSN (online) 2077-1444. – Roč. 12, č. 6 (2021), s. 1-10 [online] . – CiteScore: 1 ; SJR: 0,336 ; SNIP: 1,098 ; AIS: 0.369 AIS - Religion - Q2 Scimago - Religious studies - Q1 </t>
  </si>
  <si>
    <t xml:space="preserve">The differences between patients with panic disorder and healthy controls in psychophysiological stress profile / Kotianová, Antónia [Autor, UKFFSVKPV, 40%] ; Kotian, Michal [Autor, 10%] ; Šlepecký, Miloš [Autor, UKFFSVKPV, 20%] ; Chupáčová, Michaela [Autor, 5%] ; Praško Pavlov, Ján [Autor, UKFFSVKPV, 20%] ; Tonhajzerová, Ingrid [Autor, UKOLJ160, 5%]. – [angličtina]. – [OV 060, 180]. – [článok]. – DOI 10.2147/NDT.S153005. – SIGN-UKO LJ33/18. – WOS CC ; SCO ; CCC In: Neuropsychiatric Disease and Treatment [textový dokument (print)] [elektronický dokument] . – Auckland (Nový Zéland) : Dove Medical Press. – ISSN 1176-6328. – ISSN (online) 1178-2021. – Roč. 14 (2018), s. 435-441 [tlačená forma] [online] . – SJR: 0,897 ; CiteScore: 4,1 ; SNIP: 1,06 ; IF: 2.228 JIF - Clinical neurology - Q3, Psychiatry - Q3 Scimago - Biological psychiatry - Q3, Psychiatry and mental health - Q2 </t>
  </si>
  <si>
    <t xml:space="preserve">The Effect of Analytic Cognitive Style on Credulity / Ballová Mikušková, Eva [Korešpondenčný autor, UKFPFAKAP, 50%] ; Čavojová, Vladimíra [Autor, 50%]. – text. – [angličtina]. – [OV 060]. – [článok]. – DOI 10.3389/fpsyg.2020.584424. – WOS CC ; SCO ; CCC In: Frontiers in Psychology [elektronický dokument] . – Lausanne (Švajčiarsko) : Frontiers Media. – ISSN (online) 1664-1078. – Roč. 11, č. 15. October (2020), s. 1-13 [online] . – IF: 2.988 ; SNIP: 1.460 ; SJR: 0.947 ; CiteScore: 3,50 ; AIS: 1.054 AIS - Psychology, multidisciplinary - Q2 JIF - Psychology, multidisciplinary - Q2 Scimago - Psychology (miscellaneous) - Q2 </t>
  </si>
  <si>
    <t xml:space="preserve">The effect of roasting on the total polyphenols and antioxidant activity of coffee / Bobková, Alica [Autor, SPUFBP05, 40%] ; Hudáček, Marek [Autor, 1%] ; Jakabová, Silvia [Autor, SPUFBP08, 9%] ; Belej, Ľubomír [Autor, SPUFBP05, 9%] ; Capcarová, Marcela [Autor, SPUFBP03, 9%] ; Čurlej, Jozef [Autor, SPUFBP05, 5%] ; Bobko, Marek [Autor, SPUFBP04, 8%] ; Árvay, Július [Autor, SPUFBP02, 8%] ; Jakab, Imrich [Autor, UKFFPVKEE, 1%] ; Čapla, Jozef [Autor, SPUFBP05, 5%] ; Demianová, Alžbeta [Autor, SPUFBP05, 5%]. – text. – [angličtina]. – [OV 190, 130]. – [článok]. – [recenzované]. – DOI 10.1080/03601234.2020.1724660. – WOS CC ; SCO ; CCC In: Journal of environmental science and health. Part. B. [textový dokument (print)] [elektronický dokument] : pesticides, food contaminants, and agricultural wastes. – Philadelphia (USA) : Taylor &amp; Francis Group. – ISSN 0360-1234. – ISSN (online) 1532-4109. – Roč. 55, č. 1 (2020), s. 1-13 [tlačená forma] [online] . – SJR: 0,445 ; CiteScore: 2,9 ; SNIP: 0,771 ; IF: 1.990 ; AIS: 0.312 AIS - Environmental sciences - Q4, Public, environmental &amp; occupational health - Q4 JIF - Environmental sciences - Q4, Public, environmental &amp; occupational health - Q3 Scimago - Food science - Q2, Medicine (miscellaneous) - Q3, Pollution - Q3 </t>
  </si>
  <si>
    <t xml:space="preserve">The effect of the dietary protein restriction and re-feeding on the content of leptin, IGF-I and urea nitrogen in the blood plasma and growth performance in pigs / Brestenský, Matej [Autor, 20%] ; Nitrayová, Soňa [Autor, 20%] ; Sirotkin, Alexander [Autor, UKFFPVKZA, 20%] ; Patráš, Peter [Autor, 20%] ; Heger, Jozef [Autor, 20%]. – text. – [angličtina]. – [OV 130]. – [článok]. – DOI 10.1071/AN16333. – WOS CC ; SCO ; CCC In: Animal Production Science [textový dokument (print)] . – ISSN 1836-0939. – ISSN (online) 1836-5787. – Roč. 58, č. 6 (2018), s. 1119-1124 [tlačená forma] . – SJR: 0,631 ; CiteScore: 2,5 ; SNIP: 0,978 ; IF: 1.275 JIF - Agriculture, dairy &amp; animal science - Q2 Scimago - Animal science and zoology - Q2, Food science - Q2 </t>
  </si>
  <si>
    <t xml:space="preserve">The effects of 12-week progressive strength training on strength, functional capacity, metabolic biomarkers, and serum hormone concentrations in healthy older women : morning versus evening training / Krčmárová, Bohumila [Autor, UKFPFAKTV, 33%] ; Krčmár, Matúš [Autor, UKOTVDKCH, 31%] ; Schwarzová, Marianna [Autor, SPUFAP16, 5%] ; Chlebo, Peter [Autor, SPUFAP16, 5%] ; Chlebová, Zuzana [Autor, SPUFAP16, 5%] ; Židek, Radoslav [Autor, SPUFBP05, 5%] ; Kolesárová, Adriana [Autor, SPUFBP03, 5%] ; Zbyňovská, Katarína [Autor, SPUFBP03, 5%] ; Kováčiková, Eva [Autor, SPUPRA15, 5%] ; Walker, Simon [Autor, 1%]. – text, graf., tab. – [angličtina]. – [OV 130, 180, 210]. – [článok]. – [recenzované]. – DOI 10.1080/07420528.2018.1493490. – SIGN-UKO TV. – SCIE ; SSCI ; WOS CC ; SCO ; CCC In: Chronobiology international [textový dokument (print)] [elektronický dokument] : journal of biological and medical rhythm research. – Philadelphia (USA) : Taylor &amp; Francis Group. Routledge. – ISSN 0742-0528. – ISSN (online) 1525-6073. – Roč. 35, č. 11 (2018), s. 1490-1502 [tlačená forma] [online] . – IF: 2,562 ; SNIP: 0,865 ; SJR: 0,980 ; CiteScore: 4,3 JIF - Biology - Q2, Physiology - Q2 Scimago - Physiology - Q2, Physiology (medical) - Q2 </t>
  </si>
  <si>
    <t xml:space="preserve">The effects of eggshell calcium (Biomin H(R)) and its combinations with alfacalcidol (1 alpha-hydroxyvitamin D3) and menaquinone-7 (vitamin K2) on ovariectomy-induced bone loss in a rat model of osteoporosis / Omelka, Radoslav [Korešpondenčný autor, UKFFPVKBG, 20%] ; Martiniaková, Monika [Autor, UKFFPVKZA, 20%] ; Švík, Karol [Autor, 8%] ; Slovák, Lukáš [Autor, 8%] ; Payer, Juraj [Autor, UKOLF5IK, 5%] ; Oppenbergerova, Ingrid [Autor, 5%] ; Kováčová, Veronika [Autor, UKFFPVKZA, 8%] ; Bábiková, Martina [Autor, UKFFPVKBG, 6%] ; Šoltésová Prnová, Marta [Autor, 20%]. – text, graf., tab. – [angličtina]. – [OV 130, 180]. – [článok]. – DOI 10.1111/jpn.13458. – SIGN-UKO LF 5IK/20. – SCIE ; WOS CC ; SCO ; CCC In: Journal of Animal Physiology and Animal Nutrition [textový dokument (print)] [elektronický dokument] . – Berlin (Nemecko) : John Wiley &amp; Sons. Wiley-Blackwell. – ISSN 0931-2439. – ISSN (online) 1439-0396. – Roč. 105, č. 2 (2021), s. 336-344 [tlačená forma] [online] . – CiteScore: 4,7 ; IF: 2.718 ; SJR: 0,592 ; SNIP: 1,089 ; AIS: 0.402 AIS - Agriculture, dairy &amp; animal science - Q2, Veterinary sciences - Q2 JIF - Agriculture, dairy &amp; animal science - Q2, Veterinary sciences - Q1 Scimago - Animal science and zoology - Q1, Food animals - Q2 </t>
  </si>
  <si>
    <t xml:space="preserve">The efficacy of MOOC to support students in pedagogical research / Kadlečík, Miroslav [Autor, UKFFPVKIN, 33.334%] ; Munk, Michal [Autor, UKFFPVKIN, 33.333%] ; Munková, Daša [Autor, UKFFFAKTR, 33.333%]. – text. – [angličtina]. – [OV 020, 010, 160]. – [článok]. – DOI 10.3390/app11010328. – WOS CC ; SCO ; CCC In: Applied sciences [elektronický dokument] . – Bazilej (Švajčiarsko) : Multidisciplinary Digital Publishing Institute. – ISSN (online) 2076-3417. – Roč. 11, č. 1 (2021), 1-18 [online] . – IF: 2,838 ; SNIP: 1,026 ; SJR: 0,507 ; CiteScore: 3,70 ; AIS: 0.409 AIS - Chemistry, multidisciplinary - Q3, Engineering, multidisciplinary - Q3, Materials science, multidisciplinary - Q3, Physics, applied - Q3 JIF - Chemistry, multidisciplinary - Q3, Engineering, multidisciplinary - Q2, Materials science, multidisciplinary - Q3, Physics, applied - Q2 Scimago - Computer science applications - Q3, Engineering (miscellaneous) - Q2, Fluid flow and transfer processes - Q2, Instrumentation - Q2, Materials science (miscellaneous) - Q2, Process chemistry and technology - Q2 </t>
  </si>
  <si>
    <t xml:space="preserve">The Elucidation of Total Polyphenols, Individual Phenolic Compounds, Antioxidant Activity of Three Underutilized Fruit Species-Black Crowberry, Honeyberry, European Cranberry with Their Accumulation / Juríková, Tünde [Autor, UKFFSSUVP, 50%] ; Mlček, Jiří [Korešpondenčný autor, 5%] ; Balla, Štefan [Autor, UKFFSSUVP, 5%] ; Ondrášová, Monika [Autor, 5%] ; Dokoupil, Libor [Autor, 5%] ; Sochor, Jiří [Autor, 5%] ; Ďurišová, Ľuba [Autor, SPUFAP26, 5%] ; Eliáš, Pavol [Autor, SPUFAP26, 5%] ; Adámková, Anna [Autor, 5%] ; Baroň, Mojmír [Autor, 5%] ; Ercisli, Sezai [Autor, 5%]. – text. – [angličtina]. – [OV 010, 190]. – [článok]. – DOI 10.3390/agronomy11010073. – WOS CC ; SCO ; CCC In: Agronomy-Basel [elektronický dokument] . – Bazilej (Švajčiarsko) : Multidisciplinary Digital Publishing Institute. – ISSN (online) 2073-4395. – Roč. 11, č. 1 (2021), art. no 73, s. 1-13 [online] . – CiteScore: 3,9 ; IF: 3.949 ; SJR: 0,654 ; SNIP: 1,284 ; AIS: 0.503 AIS - Agronomy - Q2, Plant sciences - Q2 JIF - Agronomy - Q1, Plant sciences - Q1 Scimago - Agronomy and crop science - Q1 </t>
  </si>
  <si>
    <t xml:space="preserve">The estrogen receptor 1 gene affects bone mineral density and osteoporosis treatment efficiency in Slovak postmenopausal women / Mondočková, Vladimíra [Autor, UKFFPVKBG, 12.5%] ; Adamkovičová, Mária [Autor, UKFFPVKBG, 12.5%] ; Lukáčová, Martina [Autor, UKFFPVKBG, 12.5%] ; Grosskopf, Birgit [Autor, 12.5%] ; Babosová, Ramona [Autor, UKFFPVKZA, 12.5%] ; Galbavý, Drahomír [Autor, 12.5%] ; Martiniaková, Monika [Autor, UKFFPVKZA, 12.5%] ; Omelka, Radoslav [Autor, UKFFPVKBG, 12.5%]. – text. – [angličtina]. – [OV 130]. – [článok]. – DOI 10.1186/s12881-018-0684-8. – WOS CC ; SCO ; CCC In: BMC Medical Genetics [elektronický dokument] . – London (Veľká Británia) : Springer Nature. Springer International Publishing AG. – ISSN (online) 1471-2350. – Roč. 19 (2018), s. 174-174 [online] . – IF: 1,740 ; SJR: 0,808 ; CiteScore: 2,4 ; SNIP: 0,715 JIF - Genetics &amp; heredity - Q3 Scimago - Genetics - Q3, Genetics (clinical) - Q3 </t>
  </si>
  <si>
    <t xml:space="preserve">The Evaluation of the Accuracy of Interpolation Methods in Crafting Maps of Physical and Hydro-Physical Soil Properties / Igaz, Dušan [Autor, SPUFZK01, 20%] ; Šinka, Karol [Autor, SPUFZK05, 16%] ; Varga, Peter [Autor, 16%] ; Vrbičanová, Gréta [Autor, UKFFPVKEE, 16%] ; Aydin, Elena [Autor, SPUFZK01, 16%] ; Tárník, Andrej [Autor, SPUFZK01, 16%]. – text, ilustr. – [angličtina]. – [OV 100, 190]. – [článok]. – DOI 10.3390/w13020212. – WOS CC ; SCO ; CCC In: Water [elektronický dokument] . – Bazilej (Švajčiarsko) : Multidisciplinary Digital Publishing Institute. – ISSN (online) 2073-4441. – Roč. 13, č. 2 (2021), art. no. 212, s. 1-22 [online] . – CiteScore: 4,8 ; IF: 3.530 ; SJR: 0,716 ; SNIP: 1,128 ; AIS: 0.521 AIS - Environmental sciences - Q3, Water resources - Q3 JIF - Environmental sciences - Q3, Water resources - Q2 Scimago - Aquatic science - Q1, Biochemistry - Q2, Geography, planning and development - Q1, Water science and technology - Q1 </t>
  </si>
  <si>
    <t xml:space="preserve">The Formation of Microcracks in Water-Saturated Porous Ceramics During Freeze–Thaw Cycles Followed by Acoustic Emission / Húlan, Tomáš [Korešpondenčný autor, UKFFPVKFY, 12%] ; Knapek, Michal [Autor, 11%] ; Csáki, Štefan [Autor, 11%] ; Kušnír, Jaroslav [Autor, 11%] ; Šmilauerová, Jana [Autor, 11%] ; Dobroň, Patrik [Autor, 11%] ; Chmelík, František [Autor, 11%] ; Kaljuvee, Tiit [Autor, 11%] ; Uibu, Mai [Autor, 11%]. – text. – [angličtina]. – [OV 091]. – [článok]. – DOI 10.1007/s10921-020-00748-4. – WOS CC ; SCO ; CCC In: Journal of Nondestructive Evaluation [textový dokument (print)] . – ISSN 0195-9298. – ISSN (online) 1573-4862. – Roč. 40, č. 1 (2021), s. 1-14 [tlačená forma] . – CiteScore: 3,9 ; IF: 2.588 ; SJR: 0,571 ; SNIP: 1,233 ; AIS: 0.438 AIS - Materials science, characterization &amp; testing - Q2 JIF - Materials science, characterization &amp; testing - Q2 Scimago - Mechanical engineering - Q2, Mechanics of materials - Q2 </t>
  </si>
  <si>
    <t xml:space="preserve">The history of a Pannonian oak woodland - palaeoecological evidence from south-eastern Slovakia / Petr, Libor [Korešpondenčný autor, 25%] ; Petřík, Jan [Autor, 15%] ; Chattová, Barbora [Autor, 15%] ; Jamrichová, Eva [Autor, 15%] ; Rohovec, Jan [Autor, 10%] ; Matoušková, Šárka [Autor, 10%] ; Hajnalová, Mária [Autor, UKFFFAKAR, 10%]. – text. – [angličtina]. – [OV 030]. – [článok]. – DOI 10.1007/s12224-019-09360-5. – WOS CC ; SCO ; CCC In: Folia geobotanica [textový dokument (print)] [elektronický dokument] : a journal of plant ecology and systematics. – Dordrecht (Holandsko) : Springer Nature. Springer International Publishing AG. – ISSN 1211-9520. – ISSN (online) 1874-9348. – Roč. 55, č. 1-2 (2020), s. 1-12 [tlačená forma] [online] . – SJR: 0,543 ; CiteScore: 2,8 ; SNIP: 0,84 ; IF: 1.544 ; AIS: 0.402 AIS - Plant sciences - Q3 JIF - Plant sciences - Q3 Scimago - Paleontology - Q2, Plant science - Q2 </t>
  </si>
  <si>
    <t xml:space="preserve">The Importance of Being a Compassionate Leader: The Views of Nursing and Midwifery Managers From Around the World / Papadopoulos, Irena [Autor, 7%] ; Lazzarino, Runa [Autor, 3%] ; Koulouglioti, Christina [Autor, 3%] ; Aagard, Magdeline [Autor, 3%] ; Akman, Özlem [Autor, 3%] ; Líšková, Miroslava [Autor, UKFFSVKOS, 3%]. – [angličtina]. – [OV 180]. – [článok]. – DOI 10.1177/10436596211008214. – WOS CC ; CCC In: Journal of Transcultural Nursing [textový dokument (print)] [elektronický dokument] . – Thousand Oaks (USA) : SAGE Publications. – ISSN 1043-6596. – ISSN (online) 1552-7832. – Roč. 32, č. 4 (2021), s. 1-13 [tlačená forma] [online] . – CiteScore: 3 ; IF: 1.869 ; SJR: 0,657 ; SNIP: 1,145 ; AIS: 0.531 AIS - Nursing - Q2 JIF - Nursing - Q3 Scimago - Nursing (miscellaneous) - Q1 </t>
  </si>
  <si>
    <t xml:space="preserve">The Importance of Environmental Factors for the Development of Water Erosion of Soil in Agricultural Land: The Southern Part of Hronská Pahorkatina Hill Land, Slovakia / Petlušová, Viera [Korešpondenčný autor, UKFFPVKEE, 30%] ; Petluš, Peter [Autor, UKFFPVKEE, 30%] ; Ševčík, Michal [Autor, UKFFPVKEE, 30%] ; Hreško, Juraj [Autor, UKFFPVKEE, 10%]. – text, obr. – [angličtina]. – [OV 100]. – [článok]. – DOI 10.3390/agronomy11061234. – WOS CC ; CCC In: Agronomy-Basel [elektronický dokument] . – Bazilej (Švajčiarsko) : Multidisciplinary Digital Publishing Institute. – ISSN (online) 2073-4395. – Roč. 11, č. 6 (2021), s. 1-18 [online] . – CiteScore: 3,9 ; IF: 3.949 ; SJR: 0,654 ; SNIP: 1,284 ; AIS: 0.503 AIS - Agronomy - Q2, Plant sciences - Q2 JIF - Agronomy - Q1, Plant sciences - Q1 Scimago - Agronomy and crop science - Q1 </t>
  </si>
  <si>
    <t xml:space="preserve">The influence of compression pressure on thermal expansion, bulk density, and Young's modulus of electroporcelain mixture up to 1100 degrees C / Al-Shantir, Omar [Autor, UKFFPVKFY, 25%] ; Csáki, Štefan [Autor, UKFFPVKFY, 25%] ; Veverka, Jakub [Autor, 25%] ; Trník, Anton [Autor, UKFFPVKFY, 25%]. – text. – [angličtina]. – [OV 091]. – [článok]. – WOS CC ; CCC In: Journal of Thermal Analysis and Calorimetry [textový dokument (print)] [elektronický dokument] : an International Forum for Thermal Studies. – Dordrecht (Holandsko) : Springer Nature. Springer International Publishing AG. – ISSN 1388-6150. – ISSN (online) 1588-2926. – Roč. 138, č. 3 (2019), 2035-2042 [tlačená forma] [online] . – IF: 2,731 ; SJR: 0,415 ; CiteScore: 4,3 ; SNIP: 1,078 JIF - Chemistry, analytical - Q2, Chemistry, physical - Q3, Thermodynamics - Q2 Scimago - Condensed matter physics - Q3, Physical and theoretical chemistry - Q3 </t>
  </si>
  <si>
    <t xml:space="preserve">The influence of fly ash on mechanical properties of clay-based ceramics / Húlan, Tomáš [Autor, UKFFPVKFY, 25%] ; Štubňa, Igor [Autor, UKFFPVKFY, 25%] ; Ondruška, Ján [Autor, UKFFPVKFY, 25%] ; Trník, Anton [Korešpondenčný autor, UKFFPVKFY, 25%]. – text. – [angličtina]. – [OV 091]. – [článok]. – DOI 10.3390/min10100930. – WOS CC ; SCO ; CCC In: Minerals [elektronický dokument] . – Bazilej (Švajčiarsko) : Multidisciplinary Digital Publishing Institute. – ISSN (online) 2075-163X. – Roč. 10, č. 10 (2020), 1-12 [online] . – IF: 2,644 ; SJR: 0,524 ; CiteScore: 3,1 ; SNIP: 1,15 ; AIS: 0.495 AIS - Geochemistry &amp; geophysics - Q3, Mineralogy - Q2, Mining &amp; mineral processing - Q2 JIF - Geochemistry &amp; geophysics - Q2, Mineralogy - Q2, Mining &amp; mineral processing - Q2 Scimago - Geology - Q2, Geotechnical engineering and engineering geology - Q2 </t>
  </si>
  <si>
    <t xml:space="preserve">The Influence of Greek Spirituality on Russian Culture / Zozuľak, Ján [Autor, UKFFFAKFI, 100%]. – text. – [angličtina]. – [OV 020]. – [článok]. – DOI 10.3390/rel12070455. – WOS CC ; SCO ; CCC In: Religions [elektronický dokument] . – Basel (Švajčiarsko) : Multidisciplinary Digital Publishing Institute. – ISSN (online) 2077-1444. – Roč. 12, č. 7 (2021), s. 1-13 [online] . – CiteScore: 1 ; SJR: 0,336 ; SNIP: 1,098 ; AIS: 0.369 AIS - Religion - Q2 Scimago - Religious studies - Q1 </t>
  </si>
  <si>
    <t xml:space="preserve">The influence of plant isoflavones daidzein and equol on female reproductive processes / Sirotkin, Alexander [Korešpondenčný autor, UKFFPVKZA, 60%] ; Alwasel, Saleh Hamad Amad [Autor, 20%] ; Harath, Abdel Halim [Autor, 20%]. – text. – [angličtina]. – [OV 130]. – [článok]. – DOI 10.3390/ph14040373. – WOS CC ; SCO ; CCC In: Pharmaceuticals [elektronický dokument] : an international scientific journal of medicinal chemistry and related drug sciences. – Bazilej (Švajčiarsko) : Multidisciplinary Digital Publishing Institute. – ISSN (online) 1424-8247. – Roč. 14, č. 4 (2021), s. 1-10 [online] . – CiteScore: 4 ; IF: 5.215 ; SJR: 0,851 ; SNIP: 1,223 ; AIS: 0.896 AIS - Chemistry, medicinal - Q1, Pharmacology &amp; pharmacy - Q2 JIF - Chemistry, medicinal - Q2, Pharmacology &amp; pharmacy - Q1 Scimago - Drug discovery - Q1, Molecular medicine - Q2, Pharmaceutical science - Q1 </t>
  </si>
  <si>
    <t xml:space="preserve">The inhibitory influence of toluene on mare ovarian granulosa cells can be prevented by fennel / Tarko, Adam [Korešpondenčný autor, UKFFPVKZA, 20%] ; Fabová, Zuzana [Autor, UKFFPVKZA, 20%] ; Kotwica, Jan [Autor, 5%] ; Valocký, Igor [Autor, 20%] ; Alrezaki, Abdulkarem [Autor, 5%] ; Alwasel, Saleh Hamad Amad [Autor, 5%] ; Harrath, Abdel Halim [Autor, 5%] ; Sirotkin, Alexander [Autor, UKFFPVKZA, 20%]. – text. – [angličtina]. – [OV 200, 190, 130]. – [článok]. – [recenzované]. – DOI 10.1016/j.ygcen.2020.113491. – WOS CC ; SCO ; CCC In: General and comparative endocrinology [textový dokument (print)] [elektronický dokument] : an international journal. – San Diego (USA) : Elsevier. – ISSN 0016-6480. – ISSN (online) 1095-6840. – Roč. 295 (2020), art. no. 113491, s. [1-6] [tlačená forma] [online] . – SJR: 0,819 ; CiteScore: 4,8 ; SNIP: 1,013 ; IF: 2.822 ; AIS: 0.561 AIS - Endocrinology &amp; metabolism - Q4 JIF - Endocrinology &amp; metabolism - Q3 Scimago - Animal science and zoology - Q1, Endocrinology - Q3 </t>
  </si>
  <si>
    <t xml:space="preserve">The integrated approach to landscape management - Experience from Slovakia / Izakovičová, Zita [Autor, 25%] ; Miklós, László [Autor, KEVTUR, 25%] ; Miklósová, Viktória [Autor, 25%] ; Petrovič, František [Autor, UKFFPVKEE, 25%]. – text. – [angličtina]. – [OV 100]. – [článok]. – DOI 10.3390/su11174554. – WOS CC ; SCO ; CCC In: Sustainability [elektronický dokument] . – Bazilej (Švajčiarsko) : Multidisciplinary Digital Publishing Institute. – ISSN (online) 2071-1050. – Roč. 11, č. 17 (2019), art. no. 4554, s. 1-21 [online] . – IF: 2,576 ; SNIP: 1,165 ; SJR: 0,581 ; CiteScore: 3,20 JIF - Environmental sciences - Q2, Environmental studies - Q2, Green &amp; sustainable science &amp; technology - Q3 Scimago - Energy engineering and power technology - Q2, Environmental science (miscellaneous) - Q2, Geography, planning and development - Q2, Management, monitoring, policy and law - Q2, Renewable energy, sustainability and the environment - Q2 </t>
  </si>
  <si>
    <t xml:space="preserve">The involvement of the phosphorylatable and nonphosphorylatable transcription factor CREB-1 in the control of human ovarian cell functions / Sirotkin, Alexander [Autor, UKFFPVKZA, 20%] ; Benčo, Andrej [Autor, 16%] ; Mlynček, Miloš [Autor, UKFFSVKOS, 16%] ; Harrath, Abdel Halim [Autor, 16%] ; Alwasel, Saleh Hamad Amad [Autor, 16%] ; Kotwica, Jan [Autor, 16%]. – text. – [angličtina]. – [OV 130]. – [článok]. – DOI 10.1016/j.crvi.2019.03.002. – WOS CC ; SCO ; CCC In: Comptes Rendus Biologies [textový dokument (print)] . – Paris (Francúzsko) : Elsevier. – ISSN 1631-0691. – ISSN (online) 1768-3238. – 2019, s. 1-7 [tlačená forma] . – SJR: 0,615 ; CiteScore: 3,4 ; SNIP: 0,867 ; IF: 1.904 JIF - Biology - Q3 Scimago - Agricultural and biological sciences (miscellaneous) - Q1, Biochemistry, genetics and molecular biology (miscellaneous) - Q2, Immunology and microbiology (miscellaneous) - Q3, Medicine (miscellaneous) - Q2 </t>
  </si>
  <si>
    <t xml:space="preserve">The Monitoring of Selected Heavy Metals Content and Bioavailability in the Soil-Plant System and Its Impact on Sustainability in Agribusiness Food Chains / Feszterová, Melánia [Autor, UKFFPVKCH, 50%] ; Porubcová, Lýdia [Autor, UKFFPVKCH, 10%] ; Tirpáková, Anna [Autor, UKFFPVKMA, 40%]. – text. – [angličtina]. – [OV 100]. – [článok]. – DOI 10.3390/su13137021. – WOS CC ; SCO ; CCC In: Sustainability [elektronický dokument] . – Bazilej (Švajčiarsko) : Multidisciplinary Digital Publishing Institute. – ISSN (online) 2071-1050. – Roč. 13, č. 13 (2021), s. 1-24 [online] . – IF: 3,889 ; SNIP: 1,310 ; SJR: 0,664 ; CiteScore: 5,00 ; AIS: 0.516 AIS - Environmental sciences - Q3, Environmental studies - Q4, Green &amp; sustainable science &amp; technology - Q4 JIF - Environmental sciences - Q2, Environmental studies - Q2, Green &amp; sustainable science &amp; technology - Q3 Scimago - Energy engineering and power technology - Q2, Environmental science (miscellaneous) - Q2, Geography, planning and development - Q1, Management, monitoring, policy and law - Q2, Renewable energy, sustainability and the environment - Q2 </t>
  </si>
  <si>
    <t xml:space="preserve">The nature of the technosols on the waste from nickel production / Michaeli, Eva [Autor, PUPHUGG, 25%] ; Solár, Vladimír [Autor, PUPHUGG, 10%] ; Maxin, Matúš [Autor, PUPHUGG, 55%] ; Vilček, Jozef [Autor, PUPHUGG, 5%] ; Boltižiar, Martin [Autor, UKFFPVKGR, 5%]. – text. – [angličtina]. – [OV 092, 100]. – [článok]. – DOI 10.3390/su13010406. – SIGN-PU FHPV-21 8/21. – WOS CC ; SCO ; CCC In: Sustainability [elektronický dokument] . – Bazilej (Švajčiarsko) : Multidisciplinary Digital Publishing Institute. – ISSN (online) 2071-1050. – Roč. 13, č. 1 (2021), art. no. 406, s. [1-14] [online] . – IF: 3,889 ; SNIP: 1,310 ; SJR: 0,664 ; CiteScore: 5,00 ; AIS: 0.516 AIS - Environmental sciences - Q3, Environmental studies - Q4, Green &amp; sustainable science &amp; technology - Q4 JIF - Environmental sciences - Q2, Environmental studies - Q2, Green &amp; sustainable science &amp; technology - Q3 Scimago - Energy engineering and power technology - Q2, Environmental science (miscellaneous) - Q2, Geography, planning and development - Q1, Management, monitoring, policy and law - Q2, Renewable energy, sustainability and the environment - Q2 </t>
  </si>
  <si>
    <t xml:space="preserve">The Need for Nurse Interventions in Sex Education in Adolescents / Pavelová, Ľuboslava [Autor, UKFFSVKOS, 16%] ; Archalousová, Alexandra [Autor, UKFFSVKOS, 12%] ; Slezáková, Zuzana [Autor, 12%] ; Zrubcová, Dana [Autor, UKFFSVKOS, 12%] ; Solgajová, Andrea [Autor, UKFFSVKOS, 12%] ; Spáčilová, Zuzana [Autor, UKFFSVKOS, 12%] ; Krištofová, Erika [Autor, UKFFSVKOS, 12%] ; Slamková, Alica [Autor, UKFFSVKOS, 12%]. – text. – [angličtina]. – [OV 180]. – [článok]. – DOI 10.3390/ijerph18020492. – WOS CC ; SCO ; CCC In: International journal of environmental research and public health [elektronický dokument] [textový dokument (print)] : open access journal. – Basel (Švajčiarsko) : Multidisciplinary Digital Publishing Institute. – ISSN 1661-7827. – ISSN (online) 1660-4601. – Roč. 18, č. 2 (2021), s. 1-10 [online] [tlačená forma] . – IF: 4,614 ; SNIP: 1,440 ; SJR: 0,814 ; CiteScore: 4,50 ; AIS: 0.866 AIS - Environmental sciences - Q2, Public, environmental &amp; occupational health - Q2 JIF - Environmental sciences - Q2, Public, environmental &amp; occupational health - Q1 Scimago - Health, toxicology and mutagenesis - Q1, Pollution - Q2, Public health, environmental and occupational health - Q2 </t>
  </si>
  <si>
    <t xml:space="preserve">The Orthogonal Wavelets in the Frequency Domain Used for the Images Filtering / Ďuriš, Viliam [Korešpondenčný autor, UKFFPVKMA, 60%] ; Chumarov, Sergey [Autor, 10%] ; Mikheev, Gennady [Autor, 10%] ; Mikheev, Konstantin [Autor, 10%] ; Semenov, Vladimir [Autor, 10%]. – text. – [angličtina]. – [OV 010, 240]. – [článok]. – DOI 10.1109/ACCESS.2020.3039373. – WOS CC ; SCO ; CCC In: IEEE Access [elektronický dokument] : practical innovations, open solutions. – Piscataway (USA) : Institute of Electrical and Electronics Engineers. – ISSN (online) 2169-3536. – č. 8 (2020), 211125-211134 [online] . – IF: 3.367 ; SJR: 0,587 ; CiteScore: 4,8 ; SNIP: 1,421 ; AIS: 0.592 AIS - Computer science, information systems - Q2, Engineering, electrical &amp; electronic - Q2, Telecommunications - Q2 JIF - Computer science, information systems - Q2, Engineering, electrical &amp; electronic - Q2, Telecommunications - Q2 Scimago - Computer science (miscellaneous) - Q1, Engineering (miscellaneous) - Q1, Materials science (miscellaneous) - Q2 </t>
  </si>
  <si>
    <t xml:space="preserve">The phytoestrogen, diosgenin, directly stimulates ovarian cell functions in two farm animal species / Sirotkin, Alexander [Autor, UKFFPVKZA, 25%] ; Alexa, Richard [Autor, 25%] ; Alwasel, Saleh Hamad Amad [Autor, 25%] ; Harath, Abdel Halim [Autor, 25%]. – text. – [angličtina]. – [OV 130, 190]. – [článok]. – DOI 10.1016/j.domaniend.2019.04.002. – WOS CC ; SCO ; CCC In: Domestic Animal Endocrinology [textový dokument (print)] [elektronický dokument] . – Amsterdam (Holandsko) : Elsevier. – ISSN 0739-7240. – ISSN (online) 1879-0054. – č. 69 (2019), s. 35-41 [tlačená forma] [online] . – SJR: 0,683 ; CiteScore: 4,4 ; SNIP: 0,941 ; IF: 1.778 JIF - Agriculture, dairy &amp; animal science - Q2, Endocrinology &amp; metabolism - Q4 Scimago - Animal science and zoology - Q1, Endocrinology - Q3, Food animals - Q1 </t>
  </si>
  <si>
    <t xml:space="preserve">The Possibilities of Classification of Emotional States Based on User Behavioral Characteristics / Magdin, Martin [Autor, UKFFPVKIN, 80%] ; Drzik, Dušan [Autor, 5%] ; Reichel, Jaroslav [Autor, UKFFPVKIN, 10%] ; Koprda, Štefan [Autor, UKFFPVKIN, 5%]. – text. – [angličtina]. – [OV 160]. – [článok]. – CCC In: International Journal of Interactive Multimedia and Artificial Intelligence [elektronický dokument] . – Logroño (Španielsko) : Universidad Internacional de La Rioja. – ISSN 1989-1660. – Roč. 6, č. 4 (2020), 97-104 [online] . – IF: 3.137 ; AIS: 0.382 AIS - Computer science, artificial intelligence - Q3, Computer science, interdisciplinary applications - Q4 JIF - Computer science, artificial intelligence - Q2, Computer science, interdisciplinary applications - Q2 </t>
  </si>
  <si>
    <t xml:space="preserve">The Recovery of Soybean Plants after Short-Term Cadmium Stress / Holubek, Renata [Autor, 5%] ; Deckert, Joanna [Autor, 5%] ; Zinicovscaia, Inga [Autor, 5%] ; Yushin, Nikita [Autor, 5%] ; Vergel, Konstantin [Autor, 5%] ; Frontasyeva, Marina [Autor, 5%] ; Sirotkin, Alexander [Autor, UKFFPVKZA, 60%] ; Bajia, Donald Samdumu [Autor, 5%] ; Chmielowska-Bak, Jagna [Korešpondenčný autor, 5%]. – text. – [angličtina]. – [OV 190]. – [článok]. – DOI 10.3390/plants9060782. – WOS CC ; SCO ; CCC In: Plants-Basel [elektronický dokument] . – Bazilej (Švajčiarsko) : Multidisciplinary Digital Publishing Institute. – ISSN (online) 2223-7747. – Roč. 9, č. 6 (2020), Art. no. 782, s. 1-17 [online] . – IF: 3.935 ; SJR: 0,892 ; CiteScore: 2,2 ; SNIP: 1,467 ; AIS: 0.759 AIS - Plant sciences - Q2 JIF - Plant sciences - Q1 Scimago - Ecology - Q1, Ecology, evolution, behavior and systematics - Q1, Plant science - Q1 </t>
  </si>
  <si>
    <t xml:space="preserve">The REE-Induced Absorption and Luminescence in Yellow Gem-Quality Durango-Type Hydroxylapatite from Muranska Dlha Luka, Slovakia / Bačík, Peter [Korešpondenčný autor, 10%] ; Fridrichová, Jana [Autor, 9%] ; Štubňa, Ján [Autor, UKFFPVGMU, 9%] ; Bančik, Tomáš [Autor, 9%] ; Illášová, Ľudmila [Autor, UKFFPVGMU, 9%] ; Palková, Helena [Autor, 9%] ; Škoda, Radek [Autor, 9%] ; Mikuš, Tomáš [Autor, 9%] ; Milovská, Stanislava [Autor, 9%] ; Vaculovič, Tomáš [Autor, 9%] ; Sečkár, Peter [Autor, UKOPRGMP, 9%]. – text, fotogr., tab., obr. – [angličtina]. – [OV 092]. – [článok]. – DOI 10.3390/min10111001. – SIGN-UKO PR 818/20. – WOS CC ; SCO ; CCC In: Minerals [elektronický dokument] . – Bazilej (Švajčiarsko) : Multidisciplinary Digital Publishing Institute. – ISSN (online) 2075-163X. – Roč. 10, č. 11 (2020), art. no. 1001, s. [1-21] [online] . – IF: 2,644 ; SJR: 0,524 ; CiteScore: 3,1 ; SNIP: 1,15 ; AIS: 0.495 AIS - Geochemistry &amp; geophysics - Q3, Mineralogy - Q2, Mining &amp; mineral processing - Q2 JIF - Geochemistry &amp; geophysics - Q2, Mineralogy - Q2, Mining &amp; mineral processing - Q2 Scimago - Geology - Q2, Geotechnical engineering and engineering geology - Q2 </t>
  </si>
  <si>
    <t xml:space="preserve">The relationship among precipitation, application of salt in winter road maintenance and the quality of waterways and soil around motorway / Jandová, Vilma [Korešpondenčný autor, 20%] ; Bucková, Martina [Autor, 20%] ; Hegrová, Jitka [Autor, 10%] ; Dostál, Ivo [Autor, UKFFPVKEE, 20%] ; Huzlík, Jiří [Autor, 10%] ; Effenberger, Karel [Autor, 10%] ; Libčinský, Roman [Autor, 10%]. – text. – [angličtina]. – [OV 100]. – [článok]. – DOI 10.3390/W12082206. – WOS CC ; SCO ; CCC In: Water [elektronický dokument] . – Bazilej (Švajčiarsko) : Multidisciplinary Digital Publishing Institute. – ISSN (online) 2073-4441. – Roč. 12, č. 8 (2020), Art. no. 2206, s. 1-22 [online] . – IF: 3,103 ; SNIP: 1,179 ; SJR: 0,718 ; CiteScore: 3,7 ; AIS: 0.499 AIS - Environmental sciences - Q3, Water resources - Q3 JIF - Environmental sciences - Q2, Water resources - Q2 Scimago - Aquatic science - Q2, Biochemistry - Q3, Geography, planning and development - Q1, Water science and technology - Q2 </t>
  </si>
  <si>
    <t xml:space="preserve">The role of artificial ditches and their buffer zones in intensively utilized agricultural landscape / Kozelová, Ivana [Autor, 20%] ; Špulerová, Jana [Autor, 20%] ; Miklósová, Viktória [Autor, 20%] ; Gerhátová, Katarína [Autor, 5%] ; Izakovičová, Zita [Autor, 10%] ; Kalivoda, Henrik [Autor, 10%] ; Kalivodová, Michaela [Autor, UKFFPVKEE, 5%] ; Kanka, Róbert [Autor, 10%]. – text. – [angličtina]. – [OV 100]. – [článok]. – DOI 10.1007/s10661-020-08610-w. – WOS CC ; SCO ; CCC In: Environmental Monitoring and Assessment [textový dokument (print)] [elektronický dokument] : An International Journal Devoted to Progress in the Use of Monitoring Data in Assessing Environmental Risks to Man and the Environment. – Dordrecht (Holandsko) : Springer Nature. Springer International Publishing AG. – ISSN 0167-6369. – ISSN (online) 1573-2959. – Roč. 192, č. 10 (2020), Art. no. 656, s. 1-21 [tlačená forma] [online] . – IF: 2,513 ; SNIP: 0,963 ; SJR: 0,590 ; CiteScore: 3,6 ; AIS: 0.451 AIS - Environmental sciences - Q3 JIF - Environmental sciences - Q3 Scimago - Environmental science (miscellaneous) - Q2, Management, monitoring, policy and law - Q2, Medicine (miscellaneous) - Q2, Pollution - Q2 </t>
  </si>
  <si>
    <t xml:space="preserve">The role of automated evaluation techniques in online professional translator training / Munková, Daša [Autor, UKFFFAKTR, 25%] ; Munk, Michal [Autor, UKFFPVKIN, 25%] ; Benko, Ľubomír [Autor, UKFFPVKIN, 25%] ; Hajek, Petr [Autor, 25%]. – text. – [angličtina]. – [OV 160]. – [článok]. – DOI 10.7717/peerj-cs.706. – WOS CC ; SCO ; CCC In: PeerJ. Computer science [elektronický dokument] . – San Francisco (USA) : Peerj INC. – ISSN (online) 2376-5992. – č. 7 (2021), s. 1-27 [online] . – CiteScore: 2,2 ; IF: 2.411 ; SJR: 0,612 ; SNIP: 1,304 ; AIS: 1.572 AIS - Computer science, artificial intelligence - Q1, Computer science, information systems - Q1, Computer science, theory &amp; methods - Q1 JIF - Computer science, artificial intelligence - Q3, Computer science, information systems - Q3, Computer science, theory &amp; methods - Q2 Scimago - Computer science (miscellaneous) - Q2 </t>
  </si>
  <si>
    <t xml:space="preserve">The role of effective treatment of mental illness in the fight against poverty / Šlepecký, Miloš [Autor, UKFFSVKPV, 6%] ; Clark, David M. [Autor, 3%] ; Šefarová, Iveta [Autor, UCMFIFKPSY, 70%] ; Praško Pavlov, Ján [Autor, UKFFSVKPV, 3%] ; Zaťková, Marta [Autor, UKFFSVKPV, 3%] ; Popelková, Marta [Autor, UKFFSVKPV, 3%] ; Kotianová, Antónia [Autor, UKFFSVKPV, 3%] ; Bašistová, Alena [Autor, 3%] ; Jandová, Katarína [Autor, 3%] ; Šaffová, Stanislava [Autor, 3%]. – [angličtina]. – [OV 060]. – [článok]. – WOS CC ; CCC In: Československá psychologie [textový dokument (print)] [elektronický dokument] : časopis pro psychologickou teorii a praxi. – Praha (Česko) : Akademie věd České republiky. Psychologický ústav AV ČR. – ISSN 0009-062X. – ISSN (online) 1804-6436. – suppl. Roč. 63, č. 1 (2019), s. 67-79 [tlačená forma] [online] . – IF: 0,478 ; SNIP: 0,26 ; SJR: 0,197 ; CiteScore: 0,7 JIF - Psychology, multidisciplinary - Q4 Scimago - Arts and humanities (miscellaneous) - Q3, Psychology (miscellaneous) - Q3 </t>
  </si>
  <si>
    <t xml:space="preserve">The role of mapk3/1 and akt in the acquisition of high meiotic and developmental competence of porcine oocytes cultured in vitro in fli medium / Procházka, Radek [Autor, 45%] ; Bartková, Alexandra [Autor, UKFFPVKBG, 44%] ; Němcová, Lucie [Autor, 1%] ; Murín, Matej [Autor, 1%] ; Gad, Ahmed [Autor, 1%] ; Marcollová, Kateřina [Autor, 1%] ; Kinterová, Veronika [Autor, 1%] ; Lucas-Hahn, Andrea [Autor, 1%] ; Laurinčík, Jozef [Autor, UKFFPVKZA, 5%]. – text. – [angličtina]. – [OV 130]. – [článok]. – DOI 10.3390/ijms222011148. – WOS CC ; SCO ; CCC In: International journal of molecular sciences [textový dokument (print)] [elektronický dokument] : open access journal. – Bazilej (Švajčiarsko) : Multidisciplinary Digital Publishing Institute. – ISSN 1661-6596. – ISSN (online) 1422-0067. – Roč. 22, č. 20 (2021), s. 1-20 [online] [tlačená forma] . – IF: 6,208 ; SNIP: 1.401 ; SJR: 1,176 ; CiteScore: 6.9 ; AIS: 1.064 AIS - Biochemistry &amp; molecular biology - Q2, Chemistry, multidisciplinary - Q2 JIF - Biochemistry &amp; molecular biology - Q1, Chemistry, multidisciplinary - Q2 Scimago - Catalysis - Q2, Computer science applications - Q1, Inorganic chemistry - Q1, Medicine (miscellaneous) - Q1, Molecular biology - Q2, Organic chemistry - Q1, Physical and theoretical chemistry - Q1, Spectroscopy - Q1 </t>
  </si>
  <si>
    <t xml:space="preserve">The sonic resonance method and the impulse excitation technique: A comparison study / Húlan, Tomáš [Autor, UKFFPVKFY, 20%] ; Obert, Filip [Autor, UKFFPVKFY, 20%] ; Ondruška, Ján [Autor, UKFFPVKFY, 20%] ; Štubňa, Igor [Autor, 20%] ; Trník, Anton [Autor, UKFFPVKFY, 20%]. – text. – [angličtina]. – [OV 091]. – [článok]. – DOI 10.3390/app112210802. – WOS CC ; SCO ; CCC In: Applied sciences [elektronický dokument] . – Bazilej (Švajčiarsko) : Multidisciplinary Digital Publishing Institute. – ISSN (online) 2076-3417. – Roč. 11, č. 22 (2021), s. 1-13 [online] . – IF: 2,838 ; SNIP: 1,026 ; SJR: 0,507 ; CiteScore: 3,70 ; AIS: 0.409 AIS - Chemistry, multidisciplinary - Q3, Engineering, multidisciplinary - Q3, Materials science, multidisciplinary - Q3, Physics, applied - Q3 JIF - Chemistry, multidisciplinary - Q3, Engineering, multidisciplinary - Q2, Materials science, multidisciplinary - Q3, Physics, applied - Q2 Scimago - Computer science applications - Q3, Engineering (miscellaneous) - Q2, Fluid flow and transfer processes - Q2, Instrumentation - Q2, Materials science (miscellaneous) - Q2, Process chemistry and technology - Q2 </t>
  </si>
  <si>
    <t xml:space="preserve">The Study of Antioxidant Components in Grape Seeds / Sochorova, Lenka [Autor, 10%] ; Prusova, Bozena [Autor, 10%] ; Juríková, Tünde [Autor, UKFFSSUVP, 40%] ; Mlček, Jiří [Autor, 10%] ; Adámková, Anna [Autor, 10%] ; Baroň, Mojmír [Autor, 10%] ; Sochor, Jiří [Korešpondenčný autor, 10%]. – text. – [angličtina]. – [OV 010]. – [článok]. – DOI 10.3390/molecules25163736. – WOS CC ; SCO ; CCC In: Molecules [elektronický dokument] : a Journal of Synthetic Chemistry and Natural Product Chemistry. – Bazilej (Švajčiarsko) : Multidisciplinary Digital Publishing Institute. – ISSN (online) 1420-3049. – Roč. 25, č. 16 (2020), s. 1-17 [online] . – IF: 4,412 ; CiteScore: 4.7 ; SJR: 0.782 ; SNIP: 1.249 ; AIS: 0.694 AIS - Biochemistry &amp; molecular biology - Q3, Chemistry, multidisciplinary - Q2 JIF - Biochemistry &amp; molecular biology - Q2, Chemistry, multidisciplinary - Q2 Scimago - Analytical chemistry - Q2, Chemistry (miscellaneous) - Q1, Drug discovery - Q2, Medicine (miscellaneous) - Q2, Molecular medicine - Q3, Organic chemistry - Q2, Pharmaceutical science - Q1, Physical and theoretical chemistry - Q2 </t>
  </si>
  <si>
    <t xml:space="preserve">The Use of Media in the Field of Individual Responsibility for Sustainable Development in Schools : A Proposal for an Approach to Learning about Sustainable Development / Tkáčová, Hedviga [Autor, ZUZFHVKFR, 40%] ; Pavlíková, Martina [Autor, UKFFFAKZU, 20%] ; Tvrdoň, Miroslav [Autor, UKFFSVKSP, 20%] ; Jenisová, Zita [Autor, UKFFPVKCH, 20%]. – text. – [angličtina]. – [OV 100]. – [článok]. – DOI 10.3390/su13084138. – WOS CC ; SCO ; CCC In: Sustainability [elektronický dokument] . – Bazilej (Švajčiarsko) : Multidisciplinary Digital Publishing Institute. – ISSN (online) 2071-1050. – Roč. 13, č. 8 (2021), s. 1-21 [online] . – IF: 3,889 ; SNIP: 1,310 ; SJR: 0,664 ; CiteScore: 5,00 ; AIS: 0.516 AIS - Environmental sciences - Q3, Environmental studies - Q4, Green &amp; sustainable science &amp; technology - Q4 JIF - Environmental sciences - Q2, Environmental studies - Q2, Green &amp; sustainable science &amp; technology - Q3 Scimago - Energy engineering and power technology - Q2, Environmental science (miscellaneous) - Q2, Geography, planning and development - Q1, Management, monitoring, policy and law - Q2, Renewable energy, sustainability and the environment - Q2 </t>
  </si>
  <si>
    <t xml:space="preserve">The value of gynecological cancer follow-up : a 15-year single institutional experience / Lajtman, Erik [Autor, 25%] ; Mlynček, Miloš [Autor, UKFFSVKOS, 25%] ; Kapusta, Teodor [Autor, 25%] ; Kubalová, Mária [Autor, UKOLF1GK, 25%]. – text. – [angličtina]. – [OV 180]. – [článok]. – SIGN-UKO LF 1GK/19. – SCIE ; WOS CC ; SCO ; CCC In: European Journal of Gynaecological Oncology [textový dokument (print)] . – Montreal (Kanada) : 7847050 Canada. – ISSN 0392-2936. – Roč. 40, č. 4 (2019), 619-627 [tlačená forma] . – IF: 0,215 ; SJR: 0,171 ; CiteScore: 0,6 ; SNIP: 0,152 JIF - Obstetrics &amp; gynecology - Q4, Oncology - Q4 Scimago - Obstetrics and gynecology - Q3, Oncology - Q4 </t>
  </si>
  <si>
    <t xml:space="preserve">There Used to Be a River Ferry: Identifying and Analyzing Localities by Means of Old Topographic Maps / Dostál, Ivo [Autor, UKFFPVKEE, 34%] ; Havlíček, Marek [Autor, 33%] ; Svoboda, Josef [Autor, 33%]. – text. – [angličtina]. – [OV 100]. – [článok]. – DOI 10.3390/w13192689. – WOS CC ; SCO ; CCC In: Water [elektronický dokument] . – Bazilej (Švajčiarsko) : Multidisciplinary Digital Publishing Institute. – ISSN (online) 2073-4441. – Roč. 13, č. 19 (2021), s. 1-18 [online] . – CiteScore: 4,8 ; IF: 3.530 ; SJR: 0,716 ; SNIP: 1,128 ; AIS: 0.521 AIS - Environmental sciences - Q3, Water resources - Q3 JIF - Environmental sciences - Q3, Water resources - Q2 Scimago - Aquatic science - Q1, Biochemistry - Q2, Geography, planning and development - Q1, Water science and technology - Q1 </t>
  </si>
  <si>
    <t xml:space="preserve">Thermal analysis of granulometry selected wood dust particles : granulometry of wood dusts / Marková, Iveta [Autor, UMBFP04, 30%] ; Hroncová, Emília [Autor, UMBFP04, 5%] ; Tomaškin, Ján [Autor, UMBFP04, 15%] ; Tureková, Ivana [Autor, UKFPFAKTT, 50%]. – [angličtina]. – [OV 130]. – [článok]. – DOI 10.15376/biores.13.4.8041-8060. – WOS CC ; SCO ; CCC In: BioResources [elektronický dokument] . – Raleigh (USA) : NC State University. – ISSN (online) 1930-2126. – Roč. 13, č. 4 (2018), s. 8041-8060 [online] . – IF: 1.396 ; SJR: 0,431 ; CiteScore: 2,7 ; SNIP: 0,763 JIF - Materials science, paper &amp; wood - Q2 Scimago - Bioengineering - Q3, Environmental engineering - Q3, Waste management and disposal - Q2 </t>
  </si>
  <si>
    <t xml:space="preserve">Thermal analysis of ternary gypsum-based binders stored in different environments / Scheinherrova, Lenka [Autor, 25%] ; Dolezelova, Magdalena [Autor, 25%] ; Havlin, Jakub [Autor, 25%] ; Trník, Anton [Autor, UKFFPVKFY, 25%]. – text. – [angličtina]. – [OV 091]. – [článok]. – DOI 10.1007/s10973-018-7398-1. – WOS CC ; SCO ; CCC In: Journal of Thermal Analysis and Calorimetry [textový dokument (print)] [elektronický dokument] : an International Forum for Thermal Studies. – Dordrecht (Holandsko) : Springer Nature. Springer International Publishing AG. – ISSN 1388-6150. – ISSN (online) 1588-2926. – Roč. 133, č. 1 (2018), s. 177-188 [tlačená forma] [online] . – IF: 2.471 ; SJR: 0,634 ; CiteScore: 3,9 ; SNIP: 1,075 JIF - Chemistry, analytical - Q2, Chemistry, physical - Q3, Thermodynamics - Q2 Scimago - Condensed matter physics - Q2, Physical and theoretical chemistry - Q2 </t>
  </si>
  <si>
    <t xml:space="preserve">Thermal diffusion in fibrous aerogel blankets / Lakatos, Ákos [Autor, 50%] ; Trník, Anton [Autor, UKFFPVKFY, 50%]. – text. – [angličtina]. – [OV 170]. – [článok]. – DOI 10.3390/en13040823. – WOS CC ; SCO ; CCC In: Energies [elektronický dokument] . – Bazilej (Švajčiarsko) : Multidisciplinary Digital Publishing Institute. – ISSN (online) 1996-1073. – Roč. 13, č. 4 (2020), Art. no. 823, s. 1-12 [online] . – IF: 3.004 ; SJR: 0,598 ; CiteScore: 4,7 ; SNIP: 1,161 ; AIS: 0.444 AIS - Energy &amp; fuels - Q3 JIF - Energy &amp; fuels - Q3 Scimago - Control and optimization - Q2, Electrical and electronic engineering - Q2, Energy (miscellaneous) - Q2, Energy engineering and power technology - Q2, Fuel technology - Q2, Renewable energy, sustainability and the environment - Q2 </t>
  </si>
  <si>
    <t xml:space="preserve">Thermophysical Properties of Kaolin-Zeolite Blends up to 1100 degrees C [Termofyzikálne vlastnosti kaolín-zeolitových zmesí do 1100 °C] / Ondruška, Ján [Autor, UKFFPVKFY, 15%] ; Húlan, Tomáš [Autor, UKFFPVKFY, 15%] ; Sunitrová, Ivana [Autor, UKFFPVKFY, 14%] ; Csáki, Štefan [Autor, UKFFPVKFY, 14%] ; Łagód, Grzegorz [Autor, 14%] ; Struhárová, Alena [Autor, 010200, 14%] ; Trník, Anton [Korešpondenčný autor, UKFFPVKFY, 14%]. – text. – [angličtina]. – [OV 091, 170]. – [článok]. – DOI 10.3390/cryst11020165. – WOS CC ; SCO ; CCC In: Crystals [textový dokument (print)] [elektronický dokument] . – Bazilej (Švajčiarsko) : Multidisciplinary Digital Publishing Institute. – ISSN 2073-4352. – Roč. 11, č. 2 (2021), art. no. 165, s. 1-17 [tlačená forma] [online] . – CiteScore: 3,2 ; IF: 2.670 ; SJR: 0,459 ; SNIP: 0,821 ; AIS: 0.448 AIS - Crystallography - Q2, Materials science, multidisciplinary - Q3 JIF - Crystallography - Q2, Materials science, multidisciplinary - Q3 Scimago - Chemical engineering (miscellaneous) - Q2, Condensed matter physics - Q2, Inorganic chemistry - Q2, Materials science (miscellaneous) - Q2 </t>
  </si>
  <si>
    <t xml:space="preserve">Time Efficiency of Online Education in Technical Subjects Without Decreasing Didactic Effectiveness During the COVID-19 Pandemic / Koprda, Štefan [Autor, UKFFPVKIN, 20%] ; Magdin, Martin [Autor, UKFFPVKIN, 20%] ; Reichel, Jaroslav [Autor, UKFFPVKIN, 20%] ; Balogh, Zoltán [Autor, UKFFPVKIN, 20%] ; Tuček, Daniel [Autor, UKFFPVKIN, 20%]. – text. – [angličtina]. – [OV 160]. – [článok]. – WOS CC ; CCC In: International Journal of Engineering Education [textový dokument (print)] . – Hamburg (Nemecko) : Tempus Publications. – ISSN 0949-149X. – Roč. 37, č. 6 (2021), 1533-1539 [tlačená forma] . – CiteScore: 2,3 ; IF: 0.971 ; SJR: 0,443 ; SNIP: 0,827 ; AIS: 0.145 AIS - Education, scientific disciplines - Q4, Engineering, multidisciplinary - Q4 JIF - Education, scientific disciplines - Q4, Engineering, multidisciplinary - Q4 Scimago - Education - Q2, Engineering (miscellaneous) - Q2 </t>
  </si>
  <si>
    <t xml:space="preserve">Toluene can disrupt rat ovarian follicullogenesis and steroidogenesis and induce both autophagy and apoptosis / Alrezaki, Abdulkarem [Autor, 15%] ; Aldawood, Nouf [Autor, 15%] ; Mansour, Lamjed [Autor, 15%] ; Ahmed, Mukhtar [Autor, 15%] ; Sirotkin, Alexander [Autor, UKFFPVKZA, 15%] ; Alwasel, Saleh Hamad Amad [Autor, 15%] ; Harrath, Abdel Halim [Autor, 10%]. – text. – [angličtina]. – [OV 130]. – [ŠO 1536]. – [článok]. – DOI 10.3390/biology10111153. – WOS CC ; SCO ; CCC In: Biology [elektronický dokument] . – Bazilej (Švajčiarsko) : Multidisciplinary Digital Publishing Institute. – ISSN 2079-7737. – Roč. 10, č. 11 (2021), s. 1-16 [online] . – IF: 5,168 ; SNIP: 1,167 ; SJR: 0,903 ; CiteScore: 2,80 JIF - Biology - Q1 Scimago - Agricultural and biological sciences (miscellaneous) - Q1, Biochemistry, genetics and molecular biology (miscellaneous) - Q1, Immunology and microbiology (miscellaneous) - Q2 </t>
  </si>
  <si>
    <t xml:space="preserve">Tough sprouting - Impact of cadmium on physiological state and germination rate of soybean seeds / Chmielowska-Bąk, Jagna [Autor, 10%] ; Holubek, Renata [Autor, UKFFPVKZA, 50%] ; Frontasyeva, Marina V. [Autor, 10%] ; Zinicovscaia, Inga [Autor, 10%] ; İşidoğru, Selin [Autor, 10%] ; Deckert, Joanna [Autor, 10%]. – [angličtina]. – [OV 190, 130]. – [článok]. – DOI 10.5586/asbp.8923. – WOS CC ; SCO ; CCC In: Acta Societatis Botanicorum Poloniae [textový dokument (print)] [elektronický dokument] . – Varšava (Poľsko) : Polskie Towarzystwo Botaniczne. – ISSN 0001-6977. – ISSN (online) 2083-9480. – Roč. 89, č. 2 (2020), Art. no. 8923, s. 1-10 [tlačená forma] [online] . – SJR: 0,297 ; CiteScore: 2,1 ; SNIP: 0,594 ; IF: 0.943 ; AIS: 0.259 AIS - Plant sciences - Q3 JIF - Plant sciences - Q4 Scimago - Plant science - Q3 </t>
  </si>
  <si>
    <t xml:space="preserve">Towards Predicting Student's Dropout in University Courses Using Different Machine Learning Techniques / Kabathová, Janka [Autor, UKFFPVKIN, 50%] ; Drlík, Martin [Autor, UKFFPVKIN, 50%]. – text. – [angličtina]. – [OV 160]. – [článok]. – DOI 10.3390/app11073130. – WOS CC ; SCO ; CCC In: Applied sciences [elektronický dokument] . – Bazilej (Švajčiarsko) : Multidisciplinary Digital Publishing Institute. – ISSN (online) 2076-3417. – Roč. 11, č. 7 (2021), Art. No. 3130, s. 1-19 [online] . – IF: 2,838 ; SNIP: 1,026 ; SJR: 0,507 ; CiteScore: 3,70 ; AIS: 0.409 AIS - Chemistry, multidisciplinary - Q3, Engineering, multidisciplinary - Q3, Materials science, multidisciplinary - Q3, Physics, applied - Q3 JIF - Chemistry, multidisciplinary - Q3, Engineering, multidisciplinary - Q2, Materials science, multidisciplinary - Q3, Physics, applied - Q2 Scimago - Computer science applications - Q3, Engineering (miscellaneous) - Q2, Fluid flow and transfer processes - Q2, Instrumentation - Q2, Materials science (miscellaneous) - Q2, Process chemistry and technology - Q2 </t>
  </si>
  <si>
    <t xml:space="preserve">Towards the use of entropy as a measure for the reliability of automatic MT evaluation metrics / Munk, Michal [Autor, UKFFPVKIN, 45%] ; Munková, Daša [Autor, UKFFFAKTR, 45%] ; Benko, Ľubomír [Autor, UKFFPVKIN, 10%]. – text. – [angličtina]. – [OV 160]. – [článok]. – DOI 10.3233/JIFS-169505. – WOS CC ; SCO ; CCC In: Journal of Intelligent &amp; Fuzzy Systems [textový dokument (print)] [elektronický dokument] . – Amsterdam (Holandsko) : IOS Press. – ISSN 1064-1246. – ISSN (online) 1875-8967. – Roč. 34, č. 5 (2018), s. 3225-3233 [tlačená forma] [online] . – IF: 1.637 ; SJR: 0,412 ; CiteScore: 2,6 ; SNIP: 0,839 JIF - Computer science, artificial intelligence - Q3 Scimago - Artificial intelligence - Q2, Engineering (miscellaneous) - Q1, Statistics and probability - Q3 </t>
  </si>
  <si>
    <t xml:space="preserve">Transcription factor p53 regulates healthy human ovarian cells function / Sirotkin, Alexander [Autor, UKFFPVKZA, 20%] ; Benčo, Andrej [Autor, 16%] ; Kotwica, Jan [Autor, 16%] ; Alwasel, Saleh Hamad Amad [Autor, 16%] ; Harrath, Abdel Halim [Autor, 16%] ; Mlynček, Miloš [Autor, UKFFSVKOS, 16%]. – text. – [angličtina]. – [OV 130, 180]. – [článok]. – DOI 10.1016/j.crvi.2019.08.002. – WOS CC ; SCO ; CCC In: Comptes Rendus Biologies [textový dokument (print)] . – Paris (Francúzsko) : Elsevier. – ISSN 1631-0691. – ISSN (online) 1768-3238. – Roč. 342 (2019), 186-191 [tlačená forma] . – SJR: 0,615 ; CiteScore: 3,4 ; SNIP: 0,867 ; IF: 1.904 JIF - Biology - Q3 Scimago - Agricultural and biological sciences (miscellaneous) - Q1, Biochemistry, genetics and molecular biology (miscellaneous) - Q2, Immunology and microbiology (miscellaneous) - Q3, Medicine (miscellaneous) - Q2 </t>
  </si>
  <si>
    <t xml:space="preserve">Transformation of the landscape in the conditions of the Slovak republic for tourism / Oremusová, Daša [Autor, UKFFPVKGR, 34%] ; Nemčíková, Magdaléna [Autor, UKFFPVKGR, 33%] ; Krogmann, Alfred [Autor, UKFFPVKGR, 33%]. – text. – [angličtina]. – [OV 100]. – [článok]. – DOI 10.3390/land10050464. – WOS CC ; SCO ; CCC In: Land [elektronický dokument] . – Bazilej (Švajčiarsko) : Multidisciplinary Digital Publishing Institute. – ISSN 2073-445X. – Roč. 10, č. 5 (2021), s. 1-14 [online] . – CiteScore: 3,2 ; IF: 3.905 ; SJR: 0,685 ; SNIP: 1,294 ; AIS: 0.585 AIS - Environmental studies - Q4 JIF - Environmental studies - Q2 Scimago - Ecology - Q2, Global and planetary change - Q3, Nature and landscape conservation - Q2 </t>
  </si>
  <si>
    <t xml:space="preserve">Trapiche Sapphire Imitation / Štubňa, Ján [Autor, UKFFPVKGR, 50%] ; Bačík, Peter [Autor, UKOPRGMPLG , 25%] ; Fridrichová, Jana [Autor, UKOPRGMPLG , 25%]. – text. – [angličtina]. – [OV 092]. – [článok]. – [recenzované]. – DOI 10.15506/jog.2021.37.6.578. – SIGN-UKO PR 673/21. – WOS CC ; SCO ; CCC In: The Journal of Gemmology [textový dokument (print)] . – Londýn (Veľká Británia) : The Gemmological Association of Great Britain. – ISSN 1355-4565. – ISSN (online) 2632-1718. – Roč. 37, č. 6 (2021), 578-579 [tlačená forma] . – CiteScore: 0,6 ; IF: 1.059 ; SJR: 0,274 ; SNIP: 0,471 ; AIS: 0.307 AIS - Mineralogy - Q4 JIF - Mineralogy - Q4 Scimago - Geochemistry and petrology - Q4 </t>
  </si>
  <si>
    <t xml:space="preserve">Tsallis Entropy of Fuzzy Dynamical Systems / Markechová, Dagmar [Autor, UKFFPVKMA, 100%]. – text. – [angličtina]. – [OV 240]. – [článok]. – WOS CC ; SCO ; CCC In: Mathematics [elektronický dokument] . – Bazilej (Švajčiarsko) : Multidisciplinary Digital Publishing Institute. – ISSN (online) 2227-7390. – Roč. 6, č. 11 (2018), s. 1-16 [online] . – IF: 1.105 ; SJR: 0,244 ; CiteScore: 1 ; SNIP: 0,833 JIF - Mathematics - Q1 Scimago - Mathematics (miscellaneous) - Q3 </t>
  </si>
  <si>
    <t xml:space="preserve">Tsallis Entropy of Product MV-Algebra Dynamical Systems / Markechová, Dagmar [Autor, UKFFPVKMA, 50%] ; Riečan, Beloslav [Autor, 50%]. – [angličtina]. – [OV 240]. – [článok]. – DOI 10.3390/e20080589. – WOS CC ; SCO ; CCC In: Entropy [elektronický dokument] . – Bazilej (Švajčiarsko) : Multidisciplinary Digital Publishing Institute. – ISSN (online) 1099-4300. – Roč. 20, č. 8 (2018), s. 1-19 [online] . – IF: 2.419 ; SJR: 0,524 ; CiteScore: 3,6 ; SNIP: 1,234 JIF - Physics, multidisciplinary - Q2 Scimago - Physics and astronomy (miscellaneous) - Q2 </t>
  </si>
  <si>
    <t xml:space="preserve">Turquoise from Armenia / Štubňa, Ján [Autor, UKFFPVKGR, 95%] ; Andrašiová, Alžbeta [Autor, 5%]. – text. – [angličtina]. – [OV 092]. – [článok]. – [recenzované]. – DOI 10.15506/jog.2021.37.5.454. – WOS CC ; SCO ; CCC In: The Journal of Gemmology [textový dokument (print)] . – Londýn (Veľká Británia) : The Gemmological Association of Great Britain. – ISSN 1355-4565. – ISSN (online) 2632-1718. – Roč. 37, č. 5 (2021), s. 454-456 [tlačená forma] . – CiteScore: 0,6 ; IF: 1.059 ; SJR: 0,274 ; SNIP: 0,471 ; AIS: 0.307 AIS - Mineralogy - Q4 JIF - Mineralogy - Q4 Scimago - Geochemistry and petrology - Q4 </t>
  </si>
  <si>
    <t xml:space="preserve">Turquoise from Mongolia / Štubňa, Ján [Autor, UKFFPVGMU, 25%] ; Bačík, Peter [Autor, UKOPRGMPLG , 25%] ; Fridrichová, Jana [Autor, UKOPRGMPLG , 25%] ; Hanus, Radek [Autor, 25%]. – text, graf. – [angličtina]. – [OV 092]. – [článok]. – DOI 10.15506/jog.2021.37.5.456. – SIGN-UKO PR 555/21. – SCIE ; WOS CC ; SCO ; CCC In: The Journal of Gemmology [textový dokument (print)] . – Londýn (Veľká Británia) : The Gemmological Association of Great Britain. – ISSN 1355-4565. – ISSN (online) 2632-1718. – Roč. 37, č. 5 (2021), 456-458 [tlačená forma] . – CiteScore: 0,6 ; IF: 1.059 ; SJR: 0,274 ; SNIP: 0,471 ; AIS: 0.307 AIS - Mineralogy - Q4 JIF - Mineralogy - Q4 Scimago - Geochemistry and petrology - Q4 </t>
  </si>
  <si>
    <t xml:space="preserve">Ulrich Beck on the border of sociology of religion and philosophy of religion = Ulrich Beck na hranici sociológie náboženstva a filozofie náboženstva / Vašek, Martin [Autor, UKFFFAKFI, 100%]. – text. – [slovenčina]. – [OV 020]. – [článok]. – WOS CC ; CCC In: Sociologický časopis [textový dokument (print)] [elektronický dokument] . – Praha (Česko) : Akademie věd České republiky. Sociologický ústav AV ČR. – ISSN 0038-0288. – ISSN (online) 2336-128X. – Roč. 55, č. 2 (2019), s. 263-271 [tlačená forma] [online] . – IF: 0,412 ; SNIP: 0,465 ; SJR: 0,192 ; CiteScore: 0,9 JIF - Sociology - Q4 Scimago - Sociology and political science - Q3 </t>
  </si>
  <si>
    <t xml:space="preserve">Uncertainty in the Determination of Young's Modulus of Ceramics Using the Impulse Excitation Technique at Elevated Temperatures / Štubňa, Igor [Autor, UKFFPVKFY, 25%] ; Húlan, Tomáš [Autor, UKFFPVKFY, 25%] ; Trník, Anton [Autor, UKFFPVKFY, 25%] ; Vozár, Libor [Autor, UKFFPVKFY, 25%]. – text. – [angličtina]. – [OV 091]. – [článok]. – DOI 10.3813/AAA.919169. – WOS CC ; SCO ; CCC In: Acta Acustica United with Acustica [textový dokument (print)] : The Journal of the European Acoustics Association (EAA) : International Journal on Acoustics. – Stuttgart (Nemecko) : S. Hirzel Verlag. – ISSN 1610-1928. – ISSN (online) 1861-9959. – Roč. 104, č. 2 (2018), s. 269-276 [tlačená forma] . – SJR: 0,379 ; CiteScore: 2,3 ; SNIP: 0,76 ; IF: 1.037 JIF - Acoustics - Q3 Scimago - Acoustics and ultrasonics - Q2, Music - Q1 </t>
  </si>
  <si>
    <t xml:space="preserve">Undergraduate Students' Solutions of Modeling Problems in Algorithmic Graph Theory / Medová, Janka [Autor, UKFFPVKMA, 25%] ; Páleníková, Kitti [Autor, UKFFPVKMA, 25%] ; Rybanský, Ľubomír [Autor, UKFFPVKMA, 25%] ; Naštická, Zuzana [Autor, UKFFPVKMA, 25%]. – text. – [angličtina]. – [OV 240]. – [článok]. – DOI 10.3390/math7070572. – WOS CC ; SCO ; CCC In: Mathematics [elektronický dokument] . – Bazilej (Švajčiarsko) : Multidisciplinary Digital Publishing Institute. – ISSN (online) 2227-7390. – Roč. 7, č. 7 (2019), 572-572 [online] . – IF: 1,747 ; SJR: 0,299 ; CiteScore: 1,4 ; SNIP: 1,025 JIF - Mathematics - Q1 Scimago - Mathematics (miscellaneous) - Q3 </t>
  </si>
  <si>
    <t xml:space="preserve">Understanding time-based trends in stakeholders' choice of learning activity type using predictive models / Drlík, Martin [Autor, UKFFPVKIN, 50%] ; Munk, Michal [Autor, UKFFPVKIN, 50%]. – text. – [angličtina]. – [OV 160]. – [článok]. – DOI 10.1109/ACCESS.2018.2887057. – WOS CC ; SCO ; CCC In: IEEE Access [elektronický dokument] : practical innovations, open solutions. – Piscataway (USA) : Institute of Electrical and Electronics Engineers. – ISSN (online) 2169-3536. – č. 7 (2019), 3106-3121 [online] . – IF: 3.745 ; SJR: 0,775 ; CiteScore: 3,9 ; SNIP: 1,734 JIF - Computer science, information systems - Q1, Engineering, electrical &amp; electronic - Q1, Telecommunications - Q2 Scimago - Computer science (miscellaneous) - Q1, Engineering (miscellaneous) - Q1, Materials science (miscellaneous) - Q2 </t>
  </si>
  <si>
    <t xml:space="preserve">Universality of the Triangular Theory of Love: Adaptation and Psychometric Properties of the Triangular Love Scale in 25 Countries / Sorokowski, Piotr [Autor, 0.899%] ; Sorokowska, Agnieszka [Autor, 0.877%] ; Karwowski, Maciej [Autor, 0.877%] ; Groyecka, Agata [Autor, 0.877%] ; Aavik, Toivo [Autor, 0.877%] ; Zaťková, Marta [Autor, UKFFSVKPV, 0.877%] ; Prokop, Pavol [Autor, UKOPREEF, 0.877%]. – text, tab., obr. – [angličtina]. – [OV 060, 100]. – [článok]. – DOI 10.1080/00224499.2020.1787318. – SIGN-UKO PR 576/21. – WOS CC ; SCO ; CCC In: Journal of Sex Research [textový dokument (print)] [elektronický dokument] . – Oxon (USA) : Taylor &amp; Francis Group. Routledge. – ISSN 0022-4499. – ISSN (online) 1559-8519. – Roč. 57, č. 8 (2020), s. 106-115 [tlačená forma] [online] . – IF: 5,141 ; SJR: 1,572 ; CiteScore: 6,8 ; SNIP: 2,197 ; AIS: 1.559 AIS - Psychology, clinical - Q1, Social sciences, interdisciplinary - Q1 JIF - Psychology, clinical - Q1, Social sciences, interdisciplinary - Q1 Scimago - Gender studies - Q1, History and philosophy of science - Q1, Psychology (miscellaneous) - Q1, Sociology and political science - Q1 </t>
  </si>
  <si>
    <t xml:space="preserve">Using Entropy in Web Usage Data Preprocessing / Munk, Michal [Autor, UKFFPVKIN, 90%] ; Benko, Ľubomír [Autor, UKFFPVKIN, 10%]. – text. – [angličtina]. – [OV 160]. – [článok]. – DOI 10.3390/e20010067. – WOS CC ; SCO ; CCC In: Entropy [elektronický dokument] . – Bazilej (Švajčiarsko) : Multidisciplinary Digital Publishing Institute. – ISSN (online) 1099-4300. – Roč. 20, č. 1 (2018), s. 1-17 [online] . – IF: 2.419 ; SJR: 0,524 ; CiteScore: 3,6 ; SNIP: 1,234 JIF - Physics, multidisciplinary - Q2 Scimago - Physics and astronomy (miscellaneous) - Q2 </t>
  </si>
  <si>
    <t xml:space="preserve">Using fuzzy logic to analyze the spatial distribution of pottery in unstratified archaeological sites: The case of the pobedim hillfort (Slovakia) / Tirpáková, Anna [Autor, UKFFPVKMA, 25%] ; Vojteková, Jana [Korešpondenčný autor, UKFFPVKGR, 25%] ; Vojtek, Matej [Autor, UKFFPVKGR, 25%] ; Vlkolínska, Ivona [Autor, 25%]. – text. – [angličtina]. – [OV 100]. – [článok]. – DOI 10.3390/land10020103. – WOS CC ; SCO ; CCC In: Land [elektronický dokument] . – Bazilej (Švajčiarsko) : Multidisciplinary Digital Publishing Institute. – ISSN 2073-445X. – Roč. 10, č. 2 (2021), 1-17 [online] . – CiteScore: 3,2 ; IF: 3.905 ; SJR: 0,685 ; SNIP: 1,294 ; AIS: 0.585 AIS - Environmental studies - Q4 JIF - Environmental studies - Q2 Scimago - Ecology - Q2, Global and planetary change - Q3, Nature and landscape conservation - Q2 </t>
  </si>
  <si>
    <t xml:space="preserve">Using GIS, Remote Sensing, and Machine Learning to Highlight the Correlation between the Land-Use/Land-Cover Changes and Flash-Flood Potential / Costache, Romulus [Autor, 23%] ; Quoc Bao Pham [Autor, 23%] ; Corodescu-Rosca, Ema [Autor, 4%] ; Cimpianu, Catalin [Autor, 4%] ; Hong, Haoyuan [Autor, 4%] ; Nguyen Thi Thuy Linh [Autor, 2%] ; Fai, Chow Ming [Autor, 2%] ; Ahmed, Ali Najah [Autor, 2%] ; Vojtek, Matej [Autor, UKFFPVKGR, 20%] ; Pandhiani, Siraj Muhamed [Autor, 2%] ; Minea, Gabriel [Autor, 2%] ; Ciobotaru, Nicu [Autor, 2%] ; Popa, Mihnea Cristian [Autor, 2%] ; Diaconu, Daniel Constantin [Autor, 2%] ; Phan, Binh Thai [Korešpondenčný autor, 6%]. – text. – [angličtina]. – [OV 160]. – [článok]. – WOS CC ; SCO ; CCC In: Remote Sensing [elektronický dokument] . – Bazilej (Švajčiarsko) : Molecular Diversity Preservation International. – ISSN (online) 2072-4292. – Roč. 12, č. 9 (2020), s. 1422-1422 [1,3 AH] [online] . – IF: 4,848 ; SNIP: 1,708 ; SJR: 1,285 ; CiteScore: 6,6 ; AIS: 0.933 AIS - Environmental sciences - Q2, Geosciences, multidisciplinary - Q2, Imaging science &amp; photographic technology - Q2, Remote sensing - Q2 JIF - Environmental sciences - Q2, Geosciences, multidisciplinary - Q1, Imaging science &amp; photographic technology - Q2, Remote sensing - Q2 Scimago - Earth and planetary sciences (miscellaneous) - Q1 </t>
  </si>
  <si>
    <t xml:space="preserve">Using of n-grams from morphological tags for fake news classification / Kapusta, Jozef [Autor, UKFFPVKIN, 34%] ; Drlík, Martin [Autor, UKFFPVKIN, 33%] ; Munk, Michal [Autor, UKFFPVKIN, 33%]. – text. – [angličtina]. – [OV 160]. – [článok]. – DOI 10.7717/PEERJ-CS.624. – WOS CC ; SCO ; CCC In: PeerJ. Computer science [elektronický dokument] . – San Francisco (USA) : Peerj INC. – ISSN (online) 2376-5992. – č. 7 (2021), 1-27 [online] . – CiteScore: 2,2 ; IF: 2.411 ; SJR: 0,612 ; SNIP: 1,304 ; AIS: 1.572 AIS - Computer science, artificial intelligence - Q1, Computer science, information systems - Q1, Computer science, theory &amp; methods - Q1 JIF - Computer science, artificial intelligence - Q3, Computer science, information systems - Q3, Computer science, theory &amp; methods - Q2 Scimago - Computer science (miscellaneous) - Q2 </t>
  </si>
  <si>
    <t xml:space="preserve">Using Tangram as a Manipulative Tool for Transition between 2D and 3D Perception in Geometry / Kmeťová, Mária [Autor, UKFFPVKMA, 70%] ; Nagyová Lehocká, Zuzana [Autor, UKFFSSUVP, 30%]. – text. – [angličtina]. – [OV 010]. – [článok]. – DOI 10.3390/math9182185. – WOS CC ; SCO ; CCC In: Mathematics [elektronický dokument] . – Bazilej (Švajčiarsko) : Multidisciplinary Digital Publishing Institute. – ISSN (online) 2227-7390. – Roč. 9, č. 18 (2021), s. 1-20 [online] . – CiteScore: 2,9 ; IF: 2.592 ; SJR: 0,538 ; SNIP: 1,162 ; AIS: 0.409 AIS - Mathematics - Q3 JIF - Mathematics - Q1 Scimago - Computer science (miscellaneous) - Q2, Engineering (miscellaneous) - Q2, Mathematics (miscellaneous) - Q2 </t>
  </si>
  <si>
    <t xml:space="preserve">Variability in virulence of Beauveria spp. soil isolates against Ostrinia nubilalis / Medo, Juraj [Korešpondenčný autor, SPUFBP06, 25%] ; Medová, Janka [Autor, UKFFPVKMA, 25%] ; Michalko, Jaroslav [Autor, SPUFBP08, 25%] ; Cagáň, Ľudovít [Autor, SPUFAP06, 25%]. – text. – [angličtina]. – [OV 130, 190]. – [článok]. – [recenzované]. – DOI 10.1111/jen.12806. – WOS CC ; SCO ; CCC In: Journal of applied entomology [textový dokument (print)] [elektronický dokument] . – Berlin (Nemecko) : John Wiley &amp; Sons. Wiley-Blackwell. – ISSN 0931-2048. – ISSN (online) 1439-0418. – Roč. 145, č. 1-2 (2021), s. 92-103 [tlačená forma] [online] . – CiteScore: 4,1 ; IF: 2.183 ; SJR: 0,574 ; SNIP: 0,895 ; AIS: 0.482 AIS - Entomology - Q2 JIF - Entomology - Q2 Scimago - Agronomy and crop science - Q2, Insect science - Q2 </t>
  </si>
  <si>
    <t xml:space="preserve">Vattimo’s Nihilistic Discovery and Adoption of Christianity / Vašek, Martin [Autor, UKFFFAKFI, 50%] ; Javorská, Andrea [Autor, UKFFFAKFI, 50%]. – text. – [angličtina]. – [OV 020]. – [článok]. – WOS CC ; SCO ; CCC In: Filosofický časopis [textový dokument (print)] [elektronický dokument] . – Praha (Česko) : Akademie věd České republiky. Filosofický ústav AV ČR. – ISSN 0015-1831. – ISSN (online) 2570-9232. – Roč. 67, č. 2 (2019), s. 207-225 [tlačená forma] [online] . – SNIP: 0,224 ; SJR: 0,133 ; CiteScore: 0,2 Scimago - Religious studies - Q2 </t>
  </si>
  <si>
    <t xml:space="preserve">Voice Analysis Using PRAAT Software and Classification of User Emotional State / Magdin, Martin [Autor, UKFFPVKIN, 75%] ; Sulka, Timotej [Autor, 5%] ; Tomanová, Júlia [Autor, UKFFPVKIN, 10%] ; Vozár, Martin [Autor, UKFFPVKIN, 10%]. – [angličtina]. – [OV 160]. – [článok]. – WOS CC ; CCC In: International Journal of Interactive Multimedia and Artificial Intelligence [elektronický dokument] . – Logroño (Španielsko) : Universidad Internacional de La Rioja. – ISSN 1989-1660. – Roč. 5, č. 6 (2019), 33-42 [online] . – IF: 2.561 JIF - Computer science, artificial intelligence - Q2, Computer science, interdisciplinary applications - Q2 </t>
  </si>
  <si>
    <t xml:space="preserve">Web usage analysis of Pillar 3 disclosed information by deposit customers in turbulent times / Munk, Michal [Autor, UKFFPVKIN, 20%] ; Pilková, Anna [Autor, UKOMAKSP, 20%] ; Benko, Ľubomír [Autor, UKFFPVKIN, 20%] ; Blažeková, Petra [Autor, 20%] ; Švec, Peter [Autor, UKFFPVKIN, 20%]. – text. – [angličtina]. – [OV 080]. – [článok]. – DOI 10.1016/j.eswa.2021.115503. – WOS CC ; SCO ; CCC In: Expert Systems with Applications [textový dokument (print)] [elektronický dokument] : An International Journal. – Oxford (Veľká Británia) : Elsevier. Pergamon Press. – ISSN 0957-4174. – ISSN (online) 1873-6793. – č. 185 (2021), art. no. 115503, s. 1-12 [tlačená forma] [online] . – CiteScore: 12,2 ; IF: 8.665 ; SJR: 2,07 ; SNIP: 2,985 ; AIS: 1.239 AIS - Computer science, artificial intelligence - Q2, Engineering, electrical &amp; electronic - Q1, Operations research &amp; management science - Q1 JIF - Computer science, artificial intelligence - Q1, Engineering, electrical &amp; electronic - Q1, Operations research &amp; management science - Q1 Scimago - Artificial intelligence - Q1, Computer science applications - Q1, Engineering (miscellaneous) - Q1 </t>
  </si>
  <si>
    <t xml:space="preserve">When we are worried, what are we thinking?  Anxiety, lack of control, and conspiracy beliefs amidst the COVID-19 pandemic / Šrol, Jakub [Autor, 33%] ; Ballová Mikušková, Eva [Autor, UKFPFAKAP, 34%] ; Čavojová, Vladimíra [Autor, 33%]. – text. – [angličtina]. – [OV 060]. – [článok]. – DOI 10.1002/acp.3798. – WOS CC ; SCO ; CCC In: Applied Cognitive Psychology [textový dokument (print)] : the official journal of the Society for Applied Research in Memory and Cognition (SARMAC). – Bognor Regis (Veľká Británia) : John Wiley &amp; Sons. – ISSN 0888-4080. – ISSN (online) 1099-0720. – Roč. 35, č. 3 (2021), s. 720-729 [tlačená forma] . – CiteScore: 3,1 ; IF: 2.360 ; SJR: 0,651 ; SNIP: 1,134 ; AIS: 0.700 AIS - Psychology, experimental - Q3 JIF - Psychology, experimental - Q3 Scimago - Arts and humanities (miscellaneous) - Q1, Developmental and educational psychology - Q2, Experimental and cognitive psychology - Q2 </t>
  </si>
  <si>
    <t xml:space="preserve">Why Natural or Electron Irradiated Sheep Wool Show Anomalous Sorption of Higher Concentrations of Copper(II) / Porubská, Mária [Autor, UKFFPVKCH, 45%] ; Kleinová, Angela [Autor, 8%] ; Hybler, Peter [Autor, SZUFVZUVVPLUTN, 2%] ; Braniša, Jana [Autor, UKFFPVKCH, 45%]. – [angličtina]. – [OV 120]. – [článok]. – DOI 10.3390/molecules23123180. – WOS CC ; SCO ; CCC In: Molecules [elektronický dokument] : a Journal of Synthetic Chemistry and Natural Product Chemistry. – Bazilej (Švajčiarsko) : Multidisciplinary Digital Publishing Institute. – ISSN (online) 1420-3049. – Roč. 23, č. 12 (2018), s. 3180-3180 [online] . – IF: 3,060 ; SJR: 0.757 ; CiteScore: 4,1 ; SNIP: 1,217 JIF - Biochemistry &amp; molecular biology - Q2, Chemistry, multidisciplinary - Q2 Scimago - Analytical chemistry - Q2, Chemistry (miscellaneous) - Q1, Drug discovery - Q2, Medicine (miscellaneous) - Q2, Molecular medicine - Q3, Organic chemistry - Q2, Pharmaceutical science - Q1, Physical and theoretical chemistry - Q2 </t>
  </si>
  <si>
    <t xml:space="preserve">Why People (Do Not) Adopt the Private Precautionary and Mitigation Measures: A Review of the Issue from the Perspective of Recent Flood Risk Research / Andráško, Ivan [Autor, UKFFPVKEE, 100%]. – text. – [angličtina]. – [OV 100]. – [článok]. – DOI 10.3390/w13020140. – WOS CC ; SCO ; CCC In: Water [elektronický dokument] . – Bazilej (Švajčiarsko) : Multidisciplinary Digital Publishing Institute. – ISSN (online) 2073-4441. – Roč. 13, č. 2 (2021), s. 1-8 [online] . – CiteScore: 4,8 ; IF: 3.530 ; SJR: 0,716 ; SNIP: 1,128 ; AIS: 0.521 AIS - Environmental sciences - Q3, Water resources - Q3 JIF - Environmental sciences - Q3, Water resources - Q2 Scimago - Aquatic science - Q1, Biochemistry - Q2, Geography, planning and development - Q1, Water science and technology - Q1 </t>
  </si>
  <si>
    <t xml:space="preserve">Winter diet of Long-eared Owls (Asio otus)  in the southern Pannonian Plain  (Serbia, Vojvodina) / Tulis, Filip [Autor, UKFFPVKEE, 35%] ; Poljak, Nadja [Autor, 30%] ; Obuch, Ján [Autor, UKOCSBZ, 30%] ; Ruzic, Milan [Autor, 5%]. – text. – [angličtina]. – [OV 130]. – [článok]. – DOI 10.1177/17581559211036582. – WOS CC ; SCO ; CCC In: Avian Biology Research [textový dokument (print)] [elektronický dokument] . – Londýn (Veľká Británia) : SAGE Publications. – ISSN 1758-1559. – ISSN (online) 1758-1567. – Roč. 14, č. 4 (2021), s. 113-123 [tlačená forma] [online] . – CiteScore: 2,2 ; IF: 1.000 ; SJR: 0,385 ; SNIP: 0,628 ; AIS: 0.219 AIS - Agriculture, dairy &amp; animal science - Q3, Ornithology - Q3 JIF - Agriculture, dairy &amp; animal science - Q3, Ornithology - Q3 Scimago - Animal science and zoology - Q2, Ecology, evolution, behavior and systematics - Q3 </t>
  </si>
  <si>
    <t xml:space="preserve">Yellow Opal from Tanzania / Štubňa, Ján [Korešpondenčný autor, UKFFPVGMU, 95%] ; Hanus, Radek [Autor, 5%]. – text. – [angličtina]. – [OV 092]. – [článok]. – WOS CC ; SCO ; CCC In: The Journal of Gemmology [textový dokument (print)] . – Londýn (Veľká Británia) : The Gemmological Association of Great Britain. – ISSN 1355-4565. – ISSN (online) 2632-1718. – Roč. 37, č. 1 (2020), 10-11 [tlačená forma] . – IF: 1.375 ; SNIP: 0.667 ; SJR: 0.339 ; CiteScore: 0,5 ; AIS: 0.262 AIS - Mineralogy - Q4 JIF - Mineralogy - Q3 Scimago - Geochemistry and petrology - Q3 </t>
  </si>
  <si>
    <t xml:space="preserve">Young’s modulus of different illitic clays during heating and cooling stage of firing / Húlan, Tomáš [Autor, UKFFPVKFY, 10%] ; Štubňa, Igor [Autor, UKFFPVKFY, 10%] ; Ondruška, Ján [Autor, UKFFPVKFY, 10%] ; Csáki, Štefan [Autor, 10%] ; Lukáč, František [Autor, 10%] ; Mánik, Marek [Autor, UKFFPVKFY, 10%] ; Vozár, Libor [Autor, UKFFPVKFY, 10%] ; Ozolins, Jurijs [Autor, 10%]. – text. – [angličtina]. – [OV 091]. – [článok]. – DOI 10.3390/ma13214968. – WOS CC ; SCO ; CCC In: Materials [elektronický dokument] . – Bazilej (Švajčiarsko) : Multidisciplinary Digital Publishing Institute. – ISSN (online) 1996-1944. – Roč. 13, č. 21 (2020), 1-14 [online] . – IF: 3,623 ; SNIP: 1,261 ; SJR: 0,682 ; CiteScore: 4,2 ; AIS: 0.595 AIS - Chemistry, physical - Q3, Materials science, multidisciplinary - Q2, Metallurgy &amp; metallurgical engineering - Q1, Physics, applied - Q2, Physics, condensed matter - Q2 JIF - Chemistry, physical - Q2, Materials science, multidisciplinary - Q2, Metallurgy &amp; metallurgical engineering - Q1, Physics, applied - Q2, Physics, condensed matter - Q2 Scimago - Condensed matter physics - Q2, Materials science (miscellaneous) - Q2 </t>
  </si>
  <si>
    <t xml:space="preserve">Young's modulus of kaolinite-illite mixtures during firing / Húlan, Tomáš [Korešpondenčný autor, UKFFPVKFY, 50%] ; Štubňa, Igor [Autor, UKFFPVKFY, 50%]. – text. – [angličtina]. – [OV 091]. – [článok]. – WOS CC ; SCO ; CCC In: Applied Clay Science [textový dokument (print)] [elektronický dokument] : An International Journal on Physics, Chemistry, Geology and Technology of Clays and Clay Minerals. – Amsterdam (Holandsko) : Elsevier. – ISSN 0169-1317. – ISSN (online) 1872-9053. – č. 190 (2020), Art. no. 105584, s. 1-6 [tlačená forma] [online] . – IF: 5,467 ; SJR: 1,062 ; CiteScore: 9 ; SNIP: 1,657 ; AIS: 0.761 AIS - Chemistry, physical - Q2, Materials science, multidisciplinary - Q2, Mineralogy - Q2 JIF - Chemistry, physical - Q2, Materials science, multidisciplinary - Q2, Mineralogy - Q1 Scimago - Geochemistry and petrology - Q2, Geology - Q1 </t>
  </si>
  <si>
    <t>ADD - Vedecké práce v domácich karentovaných časopisoch</t>
  </si>
  <si>
    <t xml:space="preserve">Adaptation. Czech-German border. Baroque phenomenon. Christian existentialism. Jaroslav Durych / Gallik, Ján [Autor, UKFFSSUSJ, 50%] ; Vargová, Zuzana [Autor, UKFFSSUSJ, 50%]. – [angličtina]. – [OV 020]. – [článok]. – WOS CC ; CCC In: World Literature Studies [textový dokument (print)] [elektronický dokument] . – Bratislava (Slovensko) : Slovenská akadémia vied. Pracoviská SAV. Ústav svetovej literatúry. – ISSN 1337-9275. – ISSN (online) 1337-9690. – Roč. 11, č. 3 (2019), 28-41 [tlačená forma] [online] . – SNIP: 0.646 ; SJR: 0.147 ; CiteScore: 0.2 Scimago - Literature and literary theory - Q1 </t>
  </si>
  <si>
    <t xml:space="preserve">Agency in indirect and collaborative translation in the Slovak cultural space during socialism / Tyšš, Igor [Korešpondenčný autor, UKFFFAKTR, 50%] ; Gromová, Edita [Autor, UKFFFAKTR, 50%]. – text. – [angličtina]. – [OV 020]. – [článok]. – WOS CC ; SCO ; CCC In: World Literature Studies [textový dokument (print)] [elektronický dokument] . – Bratislava (Slovensko) : Slovenská akadémia vied. Pracoviská SAV. Ústav svetovej literatúry. – ISSN 1337-9275. – ISSN (online) 1337-9690. – Roč. 12, č. 1 (2020), 30-44 [tlačená forma] [online] . – SJR: 0,116 ; CiteScore: 0,1 ; SNIP: 0,077 ; AIS: 0.082 AIS - Literature - Q4 Scimago - Literature and literary theory - Q2 </t>
  </si>
  <si>
    <t xml:space="preserve">Antioxidant enzyme activity in Pinus mugo Turra, P. sylvestris L. and in their putative hybrids / Kormuťák, Andrej [Autor, 25%] ; Galgóci, Martin [Autor, 25%] ; Boleček, Peter [Autor, UKFFPVKBG, 25%] ; Gömöry, Dušan [Autor, KF, 25%]. – text. – [angličtina]. – [OV 190, 130]. – [článok]. – DOI 10.2478/s11756-019-00198-y. – WOS CC ; SCO ; CCC In: Biologia [textový dokument (print)] [elektronický dokument] . – Cham : Springer Nature. – ISSN 0006-3088. – ISSN (online) 1336-9563. – Roč. 74, č. 6 (2019), s. 631-638 [tlačená forma] [online] . – IF: 0,811 ; CiteScore: 1,4 ; SJR: 0,265 ; SNIP: 0,419 JIF - Biology - Q4 Scimago - Animal science and zoology - Q3, Biochemistry - Q4, Cell biology - Q4, Ecology, evolution, behavior and systematics - Q4, Genetics - Q4, Molecular biology - Q4, Plant science - Q3 </t>
  </si>
  <si>
    <t xml:space="preserve">At the intersection of ideology, genre and popular demand: film adaptations of pop culture sources in the Czechoslovak cinematography of transition / Malíčková, Michaela [Autor, UKFFFAULK, 50%] ; Malíček, Juraj [Autor, UKFFFAULK, 50%]. – text. – [angličtina]. – [OV 020]. – [článok]. – WOS CC ; SCO ; CCC In: World Literature Studies [textový dokument (print)] [elektronický dokument] . – Bratislava (Slovensko) : Slovenská akadémia vied. Pracoviská SAV. Ústav svetovej literatúry. – ISSN 1337-9275. – ISSN (online) 1337-9690. – Roč. 11, č. 3 (2019), 117-130 [tlačená forma] [online] . – SNIP: 0.646 ; SJR: 0.147 ; CiteScore: 0.2 Scimago - Literature and literary theory - Q1 </t>
  </si>
  <si>
    <t xml:space="preserve">Cognitive and social sources of adolescent well-being: Mediating role of school belonging / Šeboková, Gabriela [Autor, UKFFSVKPV, 34%] ; Uhláriková, Jana [Autor, UKFFSVKPV, 33%] ; Halamová, Mária [Autor, UKFFSVKPV, 33%]. – [angličtina]. – [OV 060]. – [článok]. – DOI 10.21909/sp.2018.01.749. – WOS CC ; SCO ; CCC In: Studia Psychologica [textový dokument (print)] [elektronický dokument] : International journal for research and theory in psychological sciences = Časopis pre základný výskum a teóriu v psychologických vedách. – Bratislava (Slovensko) : SAP - Slovak Academic Press, Bratislava (Slovensko) : Slovenská akadémia vied. Centrum spoločenských a psychologických vied. Ústav experimentálnej psychológie, Bratislava (Slovensko) : Slovenská akadémia vied. Veda, vydavateľstvo Slovenskej akadémie vied. – ISSN 0039-3320. – ISSN (online) 2585-8815. – Roč. 60, č. 1 (2018), s. 16-29 [tlačená forma] [online] . – IF: 0,644 ; SJR: 0,287 ; CiteScore: 0,8 ; SNIP: 0,449 JIF - Psychology, multidisciplinary - Q4 Scimago - Psychology (miscellaneous) - Q3 </t>
  </si>
  <si>
    <t xml:space="preserve">Distinct Odonata assemblage variations in lentic reservoirs in Slovakia (Central Europe) / Petrovičová, Kornélia [Autor, 50%] ; Langraf, Vladimír [Autor, UKFFPVKZA, 30%] ; David, Stanislav [Autor, UKFFPVKEE, 8%] ; Krumpálová, Zuzana [Autor, UKFFPVKEE, 10%] ; Schlarmannová, Janka [Autor, UKFFPVKZA, 2%]. – [angličtina]. – [OV 130]. – [článok]. – DOI 10.1007/s11756-021-00864-0. – WOS CC ; SCO ; CCC In: Biologia [textový dokument (print)] [elektronický dokument] . – Cham : Springer Nature. – ISSN 0006-3088. – ISSN (online) 1336-9563. – Roč. 76, č. 10 (2021), s. 1-10 [tlačená forma] [online] . – CiteScore: 2,1 ; IF: 1.653 ; SJR: 0,339 ; SNIP: 0,774 ; AIS: 0.248 AIS - Biology - Q4 JIF - Biology - Q3 Scimago - Animal science and zoology - Q3, Biochemistry - Q4, Cell biology - Q4, Ecology, evolution, behavior and systematics - Q3, Genetics - Q4, Molecular biology - Q4, Plant science - Q3 </t>
  </si>
  <si>
    <t xml:space="preserve">Eco a Vattimo - negatívny realizmus verzus slabé myslenie = Eco and Vattimo - Negative Realism versus Weak Thought / Vašek, Martin [Autor, UKFFFAKFI, 100%]. – text. – [slovenčina]. – [OV 020]. – [článok]. – DOI 10.31577/filozofia.2021.76.4.5. – WOS CC ; SCO ; CCC In: Filozofia [textový dokument (print)] [elektronický dokument] . – Bratislava (Slovensko) : Slovenská akadémia vied. Pracoviská SAV. Filozofický ústav. – ISSN 0046-385X. – ISSN (online) 2585-7061. – Roč. 76, č. 4 (2021), s. 293-306 [tlačená forma] [online] . – SNIP: 0.482 ; SJR: 0.227 ; CiteScore: 0.6 ; AIS: 0.059 AIS - Philosophy - Q4 Scimago - Philosophy - Q2, Religious studies - Q1 </t>
  </si>
  <si>
    <t xml:space="preserve">Environmentalism as a Political Philosophy for the 21st Century / Sťahel, Richard [Autor, UKFFFAKFI, 100%]. – text. – [slovenčina]. – [OV 020]. – [článok]. – WOS CC ; SCO ; CCC In: Filozofia [textový dokument (print)] [elektronický dokument] . – Bratislava (Slovensko) : Slovenská akadémia vied. Pracoviská SAV. Filozofický ústav. – ISSN 0046-385X. – ISSN (online) 2585-7061. – Roč. 73, č. 1 (2018), s. 1-13 [tlačená forma] [online] . – SJR: 0,201 ; CiteScore: 0,4 ; SNIP: 0,808 Scimago - Religious studies - Q1 </t>
  </si>
  <si>
    <t xml:space="preserve">Hydrogen bonding supramolecular networks of copper(II) 2-choronicotinate complexes with picolinamide, nicotinamide, N-methyl-nicotinamide, 2-pyridylmethanol and 4-pyridylmethanol: Hirshfeld surface analysis and spectral properties / Jozefíková, Flóra [Autor, 20%] ; Kucková, Lenka [Autor, UKFFPVKCH, 20%] ; Mazúr, Milan [Autor, 20%] ; Moncoľ, Ján [Autor, 20%] ; Lokaj, Ján [Autor, C2110, 20%]. – text. – [angličtina]. – [OV 110, 120]. – [článok]. – DOI 10.1007/s11696-020-01224-z. – WOS CC ; SCO ; CCC In: Chemical Papers [textový dokument (print)] [elektronický dokument] . – Bratislava (Slovensko) : Slovenská akadémia vied. Pracoviská SAV. Chemický ústav. – ISSN 2585-7290. – ISSN (online) 1336-9075. – ISSN (chybné) 0366-6352. – ISSN (zrušené) 0322-8614. – ISSN (zrušené) 0037-6906. – Roč. 74, č. 11 (2020), s. 3727-3740 [tlačená forma] [online] . – IF: 2,097 ; SJR: 0,344 ; CiteScore: 2,7 ; SNIP: 0,609 ; AIS: 0.243 AIS - Chemistry, multidisciplinary - Q3 JIF - Chemistry, multidisciplinary - Q3 Scimago - Biochemistry - Q4, Chemical engineering (miscellaneous) - Q3, Chemistry (miscellaneous) - Q3, Industrial and manufacturing engineering - Q2, Materials chemistry - Q3 </t>
  </si>
  <si>
    <t xml:space="preserve">Changes of small mammal communities with the altitude gradient / Kamenišťák, Jakub [Autor, UKFFPVKEE, 17%] ; Baláž, Ivan [Autor, UKFFPVKEE, 16%] ; Tulis, Filip [Autor, UKFFPVKEE, 16%] ; Jakab, Imrich [Autor, UKFFPVKEE, 16%] ; Ševčík, Michal [Autor, UKFFPVKEE, 16%] ; Poláčiková, Zuzana [Autor, UKFFPVKZA, 16%] ; Klimant, Peter [Autor, 1%] ; Ambros, Michal [Autor, 1%] ; Rychlik, Leszek [Autor, 1%]. – text. – [angličtina]. – [OV 100]. – [článok]. – DOI 10.2478/s11756-019-00339-3. – WOS CC ; SCO ; CCC In: Biologia [textový dokument (print)] [elektronický dokument] . – Cham : Springer Nature. – ISSN 0006-3088. – ISSN (online) 1336-9563. – Roč. 75, č. 5 (2020), s. 713-722 [tlačená forma] [online] . – IF: 1,350 ; SNIP: 0,556 ; SJR: 0,282 ; CiteScore: 1,6 ; AIS: 0.210 AIS - Biology - Q4 JIF - Biology - Q4 Scimago - Animal science and zoology - Q3, Biochemistry - Q4, Cell biology - Q4, Ecology, evolution, behavior and systematics - Q3, Genetics - Q4, Molecular biology - Q4, Plant science - Q3 </t>
  </si>
  <si>
    <t xml:space="preserve">Images of remote countries in the literatures of Central and Eastern Europe: On the theoretical starting points of intercultural comparative studies / Pokrivčák, Anton [Autor, TUTPFKAJ, 50%] ; Zelenka, Miloš [Autor, UKFFSSUSJ, 50%]. – text. – [angličtina]. – [OV 020]. – [článok]. – TUTPFKAJ signatúra E076589. – WOS CC ; SCO ; CCC In: World Literature Studies [textový dokument (print)] [elektronický dokument] . – Bratislava (Slovensko) : Slovenská akadémia vied. Pracoviská SAV. Ústav svetovej literatúry. – ISSN 1337-9275. – ISSN (online) 1337-9690. – Roč. 11, č. 2 (2019), 3-15 [tlačená forma] [online] . – SNIP: 0.646 ; SJR: 0.147 ; CiteScore: 0.2 Scimago - Literature and literary theory - Q1 </t>
  </si>
  <si>
    <t xml:space="preserve">Interpretácia mystickej skúsenosti na pozadí fenomenológie Jeana-Luca Mariona = The interpretation of mystical experience against the background of Jean-Luc Marion's phenomenology / Kučerková, Magda [Autor, UKFFFAKRO, 100%]. – text. – [slovenčina]. – [OV 020]. – [článok]. – WOS CC ; CCC In: World Literature Studies [textový dokument (print)] [elektronický dokument] . – Bratislava (Slovensko) : Slovenská akadémia vied. Pracoviská SAV. Ústav svetovej literatúry. – ISSN 1337-9275. – ISSN (online) 1337-9690. – Roč. 12, č. 3 (2020), 16-28 [tlačená forma] [online] . – SJR: 0,116 ; CiteScore: 0,1 ; SNIP: 0,077 ; AIS: 0.082 AIS - Literature - Q4 Scimago - Literature and literary theory - Q2 </t>
  </si>
  <si>
    <t xml:space="preserve">K diskusii medzi českým mediálnym stredným prúdom a jeho  ľavicovou alternatívou z pohľadu ľavice = On the Discussion between the Czech Media Mainstream and its Leftist Alternative  from the Perspective of the Lef / Dukátová, Zuzana [Autor, UKFFFAKPO, 50%] ; Augustín, Michael [Autor, 25%] ; Profant, Tomáš [Autor, UKOFSES, 25%]. – text. – [slovenčina]. – [OV 020, 060]. – [ŠO 6718]. – [článok]. – DOI 10.31577/sociologia.2021.53.6.21. – SIGN-UKO FS21-0121. – WOS CC ; SCO ; CCC In: Sociológia [textový dokument (print)] [elektronický dokument] : časopis pre otázky sociológie. – Bratislava (Slovensko) : Slovenská akadémia vied. Pracoviská SAV. Sociologický ústav. – ISSN 0049-1225. – ISSN (online) 1336-8613. – Roč. 53, č. 6 (2021), 549-576 [tlačená forma] [online] . – IF: 0,635 ; SNIP: 0,357 ; SJR: 0,204 ; CiteScore: 1,1 ; AIS: 0.156 AIS - Sociology - Q4 JIF - Sociology - Q4 Scimago - Sociology and political science - Q3 </t>
  </si>
  <si>
    <t xml:space="preserve">Kafka's "Metamorphosis" in Jan Nemec's television adaptation / Mikulášek, Alexej [Autor, UKFFSSUSJ, 100%]. – text. – [angličtina]. – [OV 020]. – [článok]. – WOS CC ; SCO ; CCC In: World Literature Studies [textový dokument (print)] [elektronický dokument] . – Bratislava (Slovensko) : Slovenská akadémia vied. Pracoviská SAV. Ústav svetovej literatúry. – ISSN 1337-9275. – ISSN (online) 1337-9690. – Roč. 11, č. 3 (2019), 63-79 [tlačená forma] [online] . – SNIP: 0.646 ; SJR: 0.147 ; CiteScore: 0.2 Scimago - Literature and literary theory - Q1 </t>
  </si>
  <si>
    <t xml:space="preserve">Kinematografická edukácia : československý školský film 1918 - 1937 = Cinematography and education. The Czechoslovak school film 1918 - 1937 / Kičková, Adriana [Autor, UKFFFAKHI, 100%]. – text. – [slovenčina]. – [OV 030]. – [článok]. – DOI 10.31577/histcaso.2021.69.1.4. – WOS CC ; SCO ; CCC In: Historický časopis [textový dokument (print)] [elektronický dokument] : vedecký časopis o dejinách Slovenska a strednej Európy = an academic journal on the history of Slovakia and Central Europe. – Bratislava (Slovensko) : Slovenská akadémia vied. Pracoviská SAV. Historický ústav. – ISSN 0018-2575. – ISSN (online) 2585-9099. – Roč. 69, č. 1 (2021), s. 83-97 [tlačená forma] [online] . – CiteScore: 0,2 ; SJR: 0,109 ; SNIP: 0,22 ; AIS: 0.114 AIS - History - Q4 Scimago - History - Q3 </t>
  </si>
  <si>
    <t xml:space="preserve">Metaphor as a criterium of shifts in understanding language and communication / Štúr, Martin [Autor, UKFFFAKRO, 100%]. – text. – [angličtina]. – [OV 020]. – [článok]. – WOS CC ; SCO ; CCC In: World Literature Studies [textový dokument (print)] [elektronický dokument] . – Bratislava (Slovensko) : Slovenská akadémia vied. Pracoviská SAV. Ústav svetovej literatúry. – ISSN 1337-9275. – ISSN (online) 1337-9690. – Roč. 10, č. 3 (2018), s. 68-85 [tlačená forma] [online] . – SNIP: 0,292 ; SJR: 0,214 ; CiteScore: 0,2 Scimago - Literature and literary theory - Q1 </t>
  </si>
  <si>
    <t xml:space="preserve">Metaphor in modern and contemporary poetry and its possible interpretations / Rédey, Zoltán [Autor, UKFFFAULK, 100%]. – text. – [angličtina]. – [OV 020]. – [článok]. – WOS CC ; SCO ; CCC In: World Literature Studies [textový dokument (print)] [elektronický dokument] . – Bratislava (Slovensko) : Slovenská akadémia vied. Pracoviská SAV. Ústav svetovej literatúry. – ISSN 1337-9275. – ISSN (online) 1337-9690. – Roč. 10, č. 3 (2018), s. 5-18 [tlačená forma] [online] . – SNIP: 0,292 ; SJR: 0,214 ; CiteScore: 0,2 Scimago - Literature and literary theory - Q1 </t>
  </si>
  <si>
    <t xml:space="preserve">Nariaďujeme, vyhlasujeme...! Výber diskriminačných opatrení voči cigánom/ Rómom na Slovensku v Rokoch totality 1939 - 1945 spracovaný z fondov MV SR, štátneho archívu v Nitre = We charge, we declare...! Selection of discriminatory measures against Gypsies/Roma in Slovakia under totalitarianism in 1939-1945 processed from the documents of the ministry of interior of SR, State Archives in Nitra / Lehoczká, Lýdia [Autor, UKFFSVURS, 100%]. – text. – [slovenčina]. – [OV 030, 060]. – [článok]. – DOI 10.31577/histcaso.2020.68.4.7. – WOS CC ; SCO ; CCC In: Historický časopis [textový dokument (print)] [elektronický dokument] : vedecký časopis o dejinách Slovenska a strednej Európy = an academic journal on the history of Slovakia and Central Europe. – Bratislava (Slovensko) : Slovenská akadémia vied. Pracoviská SAV. Historický ústav. – ISSN 0018-2575. – ISSN (online) 2585-9099. – Roč. 68, č. 4 (2020), 723-734 [tlačená forma] [online] . – SJR: 0,114 ; CiteScore: 0,1 ; SNIP: 0,243 ; AIS: 0.126 AIS - History - Q4 Scimago - History - Q3 </t>
  </si>
  <si>
    <t xml:space="preserve">Philosophy (in) of the story- philosophical- aesthetic reading of Ayn Rand in the context of popular culture / Malíček, Juraj [Autor, UKFFFAULK, 100%]. – text. – [angličtina]. – [OV 020]. – [článok]. – WOS CC ; SCO ; CCC In: World Literature Studies [textový dokument (print)] [elektronický dokument] . – Bratislava (Slovensko) : Slovenská akadémia vied. Pracoviská SAV. Ústav svetovej literatúry. – ISSN 1337-9275. – ISSN (online) 1337-9690. – Roč. 10, č. 2 (2018), s. 105-112 [tlačená forma] [online] . – SNIP: 0,292 ; SJR: 0,214 ; CiteScore: 0,2 Scimago - Literature and literary theory - Q1 </t>
  </si>
  <si>
    <t xml:space="preserve">Responsibility Full of Fear and Hope from Future - Jonas's and Skolimowski's Contribution to Environmental Thinking / Špirko, Dušan [Autor, UKFFFAKFI, 100%]. – text. – [angličtina]. – [OV 020]. – [článok]. – DOI 10.31577/filozofia.2019.74.5.5. – WOS CC ; SCO ; CCC In: Filozofia [textový dokument (print)] [elektronický dokument] . – Bratislava (Slovensko) : Slovenská akadémia vied. Pracoviská SAV. Filozofický ústav. – ISSN 0046-385X. – ISSN (online) 2585-7061. – Roč. 74, č. 5 (2019), 405-413 [tlačená forma] [online] . – SNIP: 0,73 ; SJR: 0,199 ; CiteScore: 0,6 Scimago - Philosophy - Q2, Religious studies - Q1 </t>
  </si>
  <si>
    <t xml:space="preserve">Skúsenosť lásky a jej diskurz: Marionova fenomenológia a mystika = The experience of love and its discourse: Marion's phenomenology and mysticism / Vašek, Martin [Autor, UKFFFAKFI, 100%]. – text. – [slovenčina]. – [OV 020]. – [článok]. – WOS CC ; SCO ; CCC In: World Literature Studies [textový dokument (print)] [elektronický dokument] . – Bratislava (Slovensko) : Slovenská akadémia vied. Pracoviská SAV. Ústav svetovej literatúry. – ISSN 1337-9275. – ISSN (online) 1337-9690. – Roč. 12, č. 3 (2020), s. 106-120 [tlačená forma] [online] . – SJR: 0,116 ; CiteScore: 0,1 ; SNIP: 0,077 ; AIS: 0.082 AIS - Literature - Q4 Scimago - Literature and literary theory - Q2 </t>
  </si>
  <si>
    <t xml:space="preserve">Suffering of Topicality : Utrpení aktuálnosti / Horyna, Břetislav [Autor, UKFFFAKFI, 100%]. – text. – [čeština]. – [OV 020]. – [článok]. – WOS CC ; SCO ; CCC In: Filozofia [textový dokument (print)] [elektronický dokument] . – Bratislava (Slovensko) : Slovenská akadémia vied. Pracoviská SAV. Filozofický ústav. – ISSN 0046-385X. – ISSN (online) 2585-7061. – Roč. 74, č. 5 (2019), s. 394-404 [tlačená forma] [online] . – SNIP: 0,73 ; SJR: 0,199 ; CiteScore: 0,6 Scimago - Philosophy - Q2, Religious studies - Q1 </t>
  </si>
  <si>
    <t xml:space="preserve">The "literary memory" model of research based on comparative analysis: A presentation on cultural archeology / Zelenka, Miloš [Autor, UKFFSSUSJ, 100%]. – text. – [angličtina]. – [OV 020]. – [článok]. – WOS CC ; SCO ; CCC In: World Literature Studies [textový dokument (print)] [elektronický dokument] . – Bratislava (Slovensko) : Slovenská akadémia vied. Pracoviská SAV. Ústav svetovej literatúry. – ISSN 1337-9275. – ISSN (online) 1337-9690. – Roč. 12, č. 4 (2020), 35-44 [tlačená forma] [online] . – SJR: 0,116 ; CiteScore: 0,1 ; SNIP: 0,077 ; AIS: 0.082 AIS - Literature - Q4 Scimago - Literature and literary theory - Q2 </t>
  </si>
  <si>
    <t xml:space="preserve">The Analytic Cognitive Style and Conspiracy Mentality as Predictors of Conspiracy Beliefs / Ballová Mikušková, Eva [Autor, UKFPFAKAP, 100%]. – text. – [angličtina]. – [OV 060]. – [článok]. – DOI 10.31577/sp.2021.02.819. – WOS CC ; SCO ; CCC In: Studia Psychologica [textový dokument (print)] [elektronický dokument] : International journal for research and theory in psychological sciences = Časopis pre základný výskum a teóriu v psychologických vedách. – Bratislava (Slovensko) : SAP - Slovak Academic Press, Bratislava (Slovensko) : Slovenská akadémia vied. Centrum spoločenských a psychologických vied. Ústav experimentálnej psychológie, Bratislava (Slovensko) : Slovenská akadémia vied. Veda, vydavateľstvo Slovenskej akadémie vied. – ISSN 0039-3320. – ISSN (online) 2585-8815. – Roč. 63, č. 2 (2021), s. 190-203 [tlačená forma] [online] . – CiteScore: 1 ; IF: 0.953 ; SJR: 0,343 ; SNIP: 0,576 ; AIS: 0.297 AIS - Psychology, multidisciplinary - Q4 JIF - Psychology, multidisciplinary - Q4 Scimago - Psychology (miscellaneous) - Q3 </t>
  </si>
  <si>
    <t xml:space="preserve">The career of Provost Mutimír of Spiš. On personnel and cultural transfer in the Hungarian kingdom in the mid 13th century = Kariéra spišského prepošta Mutimíra. K personálnemu a kultúrnemu transferu v Uhorskom kráľovstve v polovici 13. storočia / Labanc, Peter [Autor, TUTFFHIS, 50%] ; Glejtek, Miroslav [Autor, UKFFFAKHI, 50%]. – [slovenčina]. – [OV 030]. – [článok]. – DOI 10.31577/histcaso.2020.68.3.1. – TUT ID E081684. – WOS CC ; SCO ; CCC In: Historický časopis [textový dokument (print)] [elektronický dokument] : vedecký časopis o dejinách Slovenska a strednej Európy = an academic journal on the history of Slovakia and Central Europe. – Bratislava (Slovensko) : Slovenská akadémia vied. Pracoviská SAV. Historický ústav. – ISSN 0018-2575. – ISSN (online) 2585-9099. – Roč. 68, č. 3 (2020), s. 385-407 [tlačená forma] [online] . – SJR: 0,114 ; CiteScore: 0,1 ; SNIP: 0,243 ; AIS: 0.126 AIS - History - Q4 Scimago - History - Q3 </t>
  </si>
  <si>
    <t xml:space="preserve">The depiction of a transcendent home in work of Jan Čep = Obraz transcendentného domova v diele Jana Čepa / Gallik, Ján [Autor, UKFFSSUSJ, 100%]. – text. – [slovenčina]. – [OV 020]. – [článok]. – WOS CC ; SCO ; CCC In: World Literature Studies [textový dokument (print)] [elektronický dokument] . – Bratislava (Slovensko) : Slovenská akadémia vied. Pracoviská SAV. Ústav svetovej literatúry. – ISSN 1337-9275. – ISSN (online) 1337-9690. – Roč. 12, č. 3 (2020), s. 95-105 [tlačená forma] [online] . – SJR: 0,116 ; CiteScore: 0,1 ; SNIP: 0,077 ; AIS: 0.082 AIS - Literature - Q4 Scimago - Literature and literary theory - Q2 </t>
  </si>
  <si>
    <t xml:space="preserve">The economies of interlingual intercultural transfer : towards a complex picture of translators and interpreters in Slovakia / Djovčoš, Martin [Autor, UMBFF06, 25%] ; Hostová, Ivana [Autor, PUPFIISMK, 25%] ; Perez, Emília [Autor, UKFFFAKTR, 25%] ; Šveda, Pavol [Autor, UKOFIAA, 25%]. – text. – [angličtina]. – [OV 020]. – [článok]. – SIGN-PU FF-20 30/20. – AHCI ; WOS CC ; SCO ; CCC In: World Literature Studies [textový dokument (print)] [elektronický dokument] . – Bratislava (Slovensko) : Slovenská akadémia vied. Pracoviská SAV. Ústav svetovej literatúry. – ISSN 1337-9275. – ISSN (online) 1337-9690. – Roč. 12, č. 1 (2020), s. 45-66 [tlačená forma] [online] . – SJR: 0,116 ; CiteScore: 0,1 ; SNIP: 0,077 ; AIS: 0.082 AIS - Literature - Q4 Scimago - Literature and literary theory - Q2 </t>
  </si>
  <si>
    <t xml:space="preserve">The effect of T-2 toxin on bone microstructure in rabbits / Babosová, Ramona [Autor, UKFFPVKZA, 16%] ; Omelka, Radoslav [Autor, UKFFPVKBG, 12%] ; Ďúranová, Hana [Autor, SPUPRA15, 12%] ; Lukáčová, Martina [Autor, 12%] ; Mondočková, Vladimíra [Autor, UKFFPVKBG, 12%] ; Bauerová, Mária [Autor, UKFFPVKBG, 12%] ; Capcarová, Marcela [Autor, SPUFBP03, 12%] ; Martiniaková, Monika [Autor, UKFFPVKZA, 12%]. – text. – [angličtina]. – [OV 130, 190]. – [článok]. – DOI 10.2478/s11756-018-0013-X. – WOS CC ; SCO ; CCC In: Biologia [textový dokument (print)] [elektronický dokument] . – Cham : Springer Nature. – ISSN 0006-3088. – ISSN (online) 1336-9563. – Roč. 73, č. 1 (2018), s. 101-106 [tlačená forma] [online] . – IF: 0,728 ; SJR: 0,298 ; CiteScore: 1,5 ; SNIP: 0,556 JIF - Biology - Q4 Scimago - Animal science and zoology - Q3, Biochemistry - Q4, Cell biology - Q4, Ecology, evolution, behavior and systematics - Q3, Genetics - Q4, Molecular biology - Q4, Plant science - Q3 </t>
  </si>
  <si>
    <t xml:space="preserve">The image of Mexico in Czechoslovak travel sketches of the 1940s and 1950s / Kučerková, Magda [Autor, UKFFFAKRO, 100%]. – text. – [angličtina]. – [OV 020]. – [článok]. – WOS CC ; SCO ; CCC In: World Literature Studies [textový dokument (print)] [elektronický dokument] . – Bratislava (Slovensko) : Slovenská akadémia vied. Pracoviská SAV. Ústav svetovej literatúry. – ISSN 1337-9275. – ISSN (online) 1337-9690. – Roč. 11, č. 2 (2019), 95-110 [tlačená forma] [online] . – SNIP: 0.646 ; SJR: 0.147 ; CiteScore: 0.2 Scimago - Literature and literary theory - Q1 </t>
  </si>
  <si>
    <t xml:space="preserve">The impact of flavonoid epicatechin on compact bone microstructure in rabbits / Babosová, Ramona [Autor, UKFFPVKZA, 16%] ; Mondočková, Vladimíra [Autor, UKFFPVKBG, 12%] ; Omelka, Radoslav [Autor, UKFFPVKBG, 12%] ; Bauerová, Mária [Autor, UKFFPVKBG, 12%] ; Galbavý, Drahomír [Autor, 12%] ; Kalafová, Anna [Autor, SPUFBP03, 12%] ; Capcarová, Marcela [Autor, SPUFBP03, 12%] ; Martiniaková, Monika [Autor, UKFFPVKZA, 12%]. – text. – [angličtina]. – [OV 130, 190]. – [článok]. – DOI 10.2478/s11756-019-00343-7. – WOS CC ; SCO ; CCC In: Biologia [textový dokument (print)] [elektronický dokument] . – Cham : Springer Nature. – ISSN 0006-3088. – ISSN (online) 1336-9563. – Roč. 75, č. 7 (2020), s. 935-941 [tlačená forma] [online] . – IF: 1,350 ; SNIP: 0,556 ; SJR: 0,282 ; CiteScore: 1,6 ; AIS: 0.210 AIS - Biology - Q4 JIF - Biology - Q4 Scimago - Animal science and zoology - Q3, Biochemistry - Q4, Cell biology - Q4, Ecology, evolution, behavior and systematics - Q3, Genetics - Q4, Molecular biology - Q4, Plant science - Q3 </t>
  </si>
  <si>
    <t xml:space="preserve">The Problem of Intention (Intentio) in the Works of Peter Abelard and Thomas Aquinas / Blaščíková, Andrea [Autor, UKFFFAKNS, 50%] ; Vašek, Martin [Autor, UKFFFAKFI, 50%]. – text. – [angličtina]. – [OV 020]. – [článok]. – WOS CC ; CCC In: Filozofia [textový dokument (print)] [elektronický dokument] . – Bratislava (Slovensko) : Slovenská akadémia vied. Pracoviská SAV. Filozofický ústav. – ISSN 0046-385X. – ISSN (online) 2585-7061. – Roč. 73, č. 10 (2018), 831-843 [tlačená forma] [online] . – SJR: 0,201 ; CiteScore: 0,4 ; SNIP: 0,808 Scimago - Religious studies - Q1 </t>
  </si>
  <si>
    <t xml:space="preserve">The Revision of Shields, Symbols, Monuments and Statues in the Period of Autonomy and the Slovak Republic 1938-1945 : Example of the City of Nitra / Mikulášová, Alena [Autor, UKFFFAKHI, 50%] ; Palárik, Miroslav [Autor, UKFFFAKHI, 50%]. – text. – [angličtina]. – [OV 030]. – [článok]. – DOI 10.31577/histcaso.2018.66.3.6. – WOS CC ; SCO ; CCC In: Historický časopis [textový dokument (print)] [elektronický dokument] : vedecký časopis o dejinách Slovenska a strednej Európy = an academic journal on the history of Slovakia and Central Europe. – Bratislava (Slovensko) : Slovenská akadémia vied. Pracoviská SAV. Historický ústav. – ISSN 0018-2575. – ISSN (online) 2585-9099. – Roč. 66, č. 3 (2018), 523-546 [tlačená forma] [online] . – SJR: 0,111 ; SNIP: 0,005 ; CiteScore: 0,2 Scimago - History - Q3 </t>
  </si>
  <si>
    <t xml:space="preserve">The role of faith in a social struggle using the example of the Pastoral Letter of the Slovak bishops of November 1924 / Arpáš, Róbert [Autor, UKFFFAKHI, 100%]. – text. – [angličtina]. – [OV 030]. – [článok]. – WOS CC ; SCO ; CCC In: Historický časopis [textový dokument (print)] [elektronický dokument] : vedecký časopis o dejinách Slovenska a strednej Európy = an academic journal on the history of Slovakia and Central Europe. – Bratislava (Slovensko) : Slovenská akadémia vied. Pracoviská SAV. Historický ústav. – ISSN 0018-2575. – ISSN (online) 2585-9099. – Roč. 66, č. 2 (2018), s. 333-343 [tlačená forma] [online] . – SJR: 0,111 ; SNIP: 0,005 ; CiteScore: 0,2 Scimago - History - Q3 </t>
  </si>
  <si>
    <t xml:space="preserve">The Slovak Autonomist Youth against Czechoslovak Unity / Arpáš, Róbert [Autor, UKFFFAKHI, 100%]. – text. – [angličtina]. – [OV 030]. – [článok]. – DOI 10.31577/histcaso.2019.67.1.7. – WOS CC ; SCO ; CCC In: Historický časopis [textový dokument (print)] [elektronický dokument] : vedecký časopis o dejinách Slovenska a strednej Európy = an academic journal on the history of Slovakia and Central Europe. – Bratislava (Slovensko) : Slovenská akadémia vied. Pracoviská SAV. Historický ústav. – ISSN 0018-2575. – ISSN (online) 2585-9099. – Roč. 67, č. 1 (2019), 157-171 [tlačená forma] [online] . – SJR: 0,112 ; SNIP: 0,346 ; CiteScore: 0,1 Scimago - History - Q3 </t>
  </si>
  <si>
    <t xml:space="preserve">The touch of ineffable in the fictional work of Sylvie Germain / Rybárová, Silvia [Autor, UKFFFAKRO, 100%]. – text. – [angličtina]. – [OV 020]. – [článok]. – WOS CC ; SCO ; CCC In: World Literature Studies [textový dokument (print)] [elektronický dokument] . – Bratislava (Slovensko) : Slovenská akadémia vied. Pracoviská SAV. Ústav svetovej literatúry. – ISSN 1337-9275. – ISSN (online) 1337-9690. – Roč. 12, č. 3 (2020), 54-69 [tlačená forma] [online] . – SJR: 0,116 ; CiteScore: 0,1 ; SNIP: 0,077 ; AIS: 0.082 AIS - Literature - Q4 Scimago - Literature and literary theory - Q2 </t>
  </si>
  <si>
    <t xml:space="preserve">Theory of artistic illustration and metaphor / Benyovszky, Kristian [Autor, UKFFSSUML, 100%]. – text. – [angličtina]. – [OV 010]. – [článok]. – WOS CC ; SCO ; CCC In: World Literature Studies [textový dokument (print)] [elektronický dokument] . – Bratislava (Slovensko) : Slovenská akadémia vied. Pracoviská SAV. Ústav svetovej literatúry. – ISSN 1337-9275. – ISSN (online) 1337-9690. – Roč. 10, č. 3 (2018), s. 129-141 [tlačená forma] [online] . – SNIP: 0,292 ; SJR: 0,214 ; CiteScore: 0,2 Scimago - Literature and literary theory - Q1 </t>
  </si>
  <si>
    <t xml:space="preserve">Three Negations of Environmental Philosophy / Horyna, Břetislav [Autor, UKFFFAKFI, 100%]. – text. – [angličtina]. – [OV 020]. – [článok]. – DOI 10.31577/filozofia.2020.75.10. – WOS CC ; SCO ; CCC In: Filozofia [textový dokument (print)] [elektronický dokument] . – Bratislava (Slovensko) : Slovenská akadémia vied. Pracoviská SAV. Filozofický ústav. – ISSN 0046-385X. – ISSN (online) 2585-7061. – Roč. 75, č. 10 (2020), s. 832-844 [tlačená forma] [online] . – SJR: 0,264 ; CiteScore: 0,5 ; SNIP: 0,578 ; AIS: 0.095 AIS - Philosophy - Q4 Scimago - Philosophy - Q2, Religious studies - Q1 </t>
  </si>
  <si>
    <t xml:space="preserve">Tolls in the Middle Ages in the Hron and Zitava regions / Ivanič, Peter [Autor, UKFFFAUKD, 100%]. – text. – [angličtina]. – [OV 030]. – [článok]. – DOI 10.31577/histcaso.2019.67.3.8. – WOS CC ; SCO ; CCC In: Historický časopis [textový dokument (print)] [elektronický dokument] : vedecký časopis o dejinách Slovenska a strednej Európy = an academic journal on the history of Slovakia and Central Europe. – Bratislava (Slovensko) : Slovenská akadémia vied. Pracoviská SAV. Historický ústav. – ISSN 0018-2575. – ISSN (online) 2585-9099. – Roč. 67, č. 3 (2019), 541-554 [tlačená forma] [online] . – SJR: 0,112 ; SNIP: 0,346 ; CiteScore: 0,1 Scimago - History - Q3 </t>
  </si>
  <si>
    <t xml:space="preserve">Tři negace environmentální filosofie / Horyna, Břetislav [Autor, UKFFFAKFI, 100%]. – text. – [čeština]. – [OV 020]. – [článok]. – DOI 10.31577/filozofia.2020.75.10. – WOS CC ; CCC In: Filozofia [textový dokument (print)] [elektronický dokument] . – Bratislava (Slovensko) : Slovenská akadémia vied. Pracoviská SAV. Filozofický ústav. – ISSN 0046-385X. – ISSN (online) 2585-7061. – Roč. 75, č. 10 (2020), s. 832-844 [tlačená forma] [online] . – SJR: 0,264 ; CiteScore: 0,5 ; SNIP: 0,578 ; AIS: 0.095 AIS - Philosophy - Q4 Scimago - Philosophy - Q2, Religious studies - Q1 </t>
  </si>
  <si>
    <t xml:space="preserve">When Philosophy is Actual / Horyna, Břetislav [Autor, UKFFFAKFI, 100%]. – text. – [angličtina]. – [OV 020]. – [článok]. – WOS CC ; SCO ; CCC In: Filozofia [textový dokument (print)] [elektronický dokument] . – Bratislava (Slovensko) : Slovenská akadémia vied. Pracoviská SAV. Filozofický ústav. – ISSN 0046-385X. – ISSN (online) 2585-7061. – Roč. 74, č. 4 (2019), 334-342 [tlačená forma] [online] . – SNIP: 0,73 ; SJR: 0,199 ; CiteScore: 0,6 Scimago - Philosophy - Q2, Religious studies - Q1 </t>
  </si>
  <si>
    <t xml:space="preserve">World literature and the future of comparative literature from the point of view of the XXII Congress of the AILC/ICLA / Pokrivčák, Anton [Autor, TUTPFKAJ, 50%] ; Zelenka, Miloš [Autor, UKFFSSUSJ, 50%]. – [angličtina]. – [OV 020]. – [článok]. – TUTPFKAJ signatúra E078159. – WOS CC ; SCO ; CCC In: World Literature Studies [textový dokument (print)] [elektronický dokument] . – Bratislava (Slovensko) : Slovenská akadémia vied. Pracoviská SAV. Ústav svetovej literatúry. – ISSN 1337-9275. – ISSN (online) 1337-9690. – Roč. 11, č. 4 (2019), s. 111-120 [tlačená forma] [online] . – SNIP: 0.646 ; SJR: 0.147 ; CiteScore: 0.2 Scimago - Literature and literary theory - Q1 </t>
  </si>
  <si>
    <t>ADE - Vedecké práce v ostatných zahraničných časopisoch</t>
  </si>
  <si>
    <t xml:space="preserve">"Vaccination" by stress in physical preparation of professional soldiers / Markovič, Roman [Autor, UKFPFAKTV, 70%] ; Šimonek, Jaromír [Autor, UKFPFAKTV, 30%]. – text. – [angličtina]. – [OV 210]. – [článok]. – DOI 10.24193/subbeag.65(1).02 In: Studia Universitatis Babes-Bolyai. Educatio Artis Gymnasticae [textový dokument (print)] [elektronický dokument] . – Kluž (Rumunsko) : Presa Universitara Clujeana. – ISSN 1453-4223. – ISSN (online) 2065-9547. – Roč. 65, č. 1 (2020), s. 19-26 [tlačená forma] [online] </t>
  </si>
  <si>
    <t xml:space="preserve">(Ne)vidna kriza kulture. Konceptualizacija koncepta kulture in kriza / Gabašová, Katarína [Autor, UKFFFAKKU, 100%]. – text. – [slovinčina]. – [OV 020]. – [článok] In: Apokalipsa [elektronický dokument] . – Ľubľana (Slovinsko) : Družstvo Apokalipsa. – ISSN 1318-3680. – Roč. 27, č. 241-242 (2020), s. 79-92 [online] </t>
  </si>
  <si>
    <t xml:space="preserve">„Pórnépből sose lesz pitykés“ - útkeresés a másikhoz : Majoros Nóra: Pityke és Prém / Petres Csizmadia, Gabriela [Autor, UKFFSSUML, 100%]. – text. – [maďarčina]. – [OV 010]. – [článok] In: Alföld [textový dokument (print)] [elektronický dokument] : irodalmi, művészeti és kritikai folyóirat = Journal of Literature, Art and Criticism. – Debrecín (Maďarsko) : Alfold Alapitvany. – ISSN 0401-3174. – ISSN (online) 1586-698X. – Roč. 69, č. 12 (2018), s. 112-116 [tlačená forma] [online] </t>
  </si>
  <si>
    <t xml:space="preserve">A Case Study in Slovak Translators’ Training: English Loanwords / Welnitzová, Katarína [Autor, UCMFIFKAAM, 50%] ; Malá, Eva [Autor, 20%] ; Pavlíková, Martina [Autor, UKFFFAKZU, 20%] ; Ďuračková, Beáta [Autor, UKFFFAKTR, 10%]. – [angličtina]. – [OV 020, 010]. – [článok]. – DOI 10.22363/2313-1683-2021-18-3-520-531 In: RUDN Journal of Psychology and Pedagogics [textový dokument (print)] [elektronický dokument] . – Moscow (Ruská federácia) : People's Friendship University of Russia. – ISSN 2313-1683. – ISSN (online) 2313-1705. – Roč. 18, č. 3 (2021), s. 520-531 [tlačená forma] [online] </t>
  </si>
  <si>
    <t xml:space="preserve">A cognitive conceptualization of malevolence in Slovak language : malevolence as an emotion / Matiová, Mária [Autor, UKFFFASJL, 100%]. – text. – [angličtina]. – [OV 020]. – [článok] In: Studia Philologica Universitatis Velikotarnovensis [textový dokument (print)] [elektronický dokument] . – Veliko Tarnovo (Bulharsko) : St. Cyril and St. Methodius University of Veliko Tarnovo. – ISSN 2534-918X. – ISSN (online) 2534-9236. – Roč. 37, č. 1 (2020), s. 173-184 [tlačená forma] [online] </t>
  </si>
  <si>
    <t xml:space="preserve">A diferenciálszámítás alkalmazása a demográfiai statisztikában 2 [Title Applying Differential Calculation to Demographic Statistics] / Tóth, Attila [Autor, UKFFSSUVP, 50%] ; Csáky, Antal [Autor, UKFFSSUVP, 50%]. – text. – [maďarčina]. – [OV 010]. – [článok] In: Gradus [elektronický dokument] . – Kecskemét (Maďarsko) : Kecskemét College. – ISSN (online) 2064-8014. – Roč. 5, č. 2 (2018), s. 258-263 [online] </t>
  </si>
  <si>
    <t xml:space="preserve">A félelem vad ölelkezésében : fantasztikum, lélekrajz és paródia Kosztolányi Dezső Különös látogatás című novellájában / Benyovszky, Kristian [Autor, UKFFSSUML, 100%]. – [maďarčina]. – [OV 010]. – [článok] In: Irodalomismeret [textový dokument (print)] [elektronický dokument] : A Magyar Irodalomtörténeti Társaság folyóirata. – Budapešť (Maďarsko) : Magyar Irodalomtörténeti Társaság. – ISSN 0865-6886. – ISSN (online) 1588-077X. – č. 4 (2021), s. 452-475 [tlačená forma] [online] </t>
  </si>
  <si>
    <t xml:space="preserve">A good CLIL practice among European educational institutions / Luprichová, Jana [Autor, UKFPFADE1, 50%] ; Kováčiková, Elena [Autor, UKFPFAKLI, 50%]. – text. – [angličtina]. – [OV 010]. – [článok]. – DOI 10.18844/ijlt.v10i1.3145 In: International Journal of Learning and Teaching [textový dokument (print)] [elektronický dokument] . – Nicosia (Cyprus) : SciencePark Research, Organization &amp; Counseling. – ISSN 1986-454X. – ISSN (online) 1986-4558. – Roč. 10, č. 1 (2018), s. 50-60 [tlačená forma] [online] </t>
  </si>
  <si>
    <t xml:space="preserve">A Máté Angi-univerzum / Petres Csizmadia, Gabriela [Autor, UKFFSSUML, 100%]. – text. – [maďarčina]. – [OV 010, 020]. – [článok] In: Sugárút [textový dokument (print)] : Szatmári Műhely : negyedéves kulturális és társadalmi folyóirat. – Satu Mare (Rumunsko) : Idea Studio. – ISSN 2458-0414. – Roč. 6, č. 1 (2020), s. 63-68 [tlačená forma] </t>
  </si>
  <si>
    <t xml:space="preserve">A nemfogyasztás/nemvásárlás motivációi, értelmezése a turizmusban / Törőcsik, Mária [Autor, 50%] ; Csapó, János [Autor, UKFFSSKCR, 50%]. – [maďarčina]. – [OV 080]. – [článok]. – DOI 10.14267/VEZTUD.2021.1.04 In: Vezetéstudomány [textový dokument (print)] : budapesti Corvinus Egyetem, Corvinus School of Management havi szakfolyóirata = budapest management review. – Budapešť (Maďarsko) : Országos Vezetőképző Központ, Budapešť (Maďarsko) : Budapesti Corvinus Egyetem. Gazdálkodástudományi Kar. – ISSN 0133-0179. – Roč. 52, č. 1 (2021), s. 42-55 [tlačená forma] </t>
  </si>
  <si>
    <t xml:space="preserve">A nyitrai magyartanárképzésről / Sándorová, Anna [Autor, UKFFSSUML, 100%]. – text. – [maďarčina]. – [OV 020]. – [článok]. – DOI 10.21030/anyp.2018.1.9 In: Anyanyelv-pedagógia [elektronický dokument] . – ISSN 2060-0623. – Roč. 11, č. 1 (2018), s. 83-92 [online] </t>
  </si>
  <si>
    <t xml:space="preserve">A populáris hős : elméleti-tipológiai vázlat / Benyovszky, Kristian [Autor, UKFFSSUML, 100%]. – text. – [maďarčina]. – [OV 020]. – [článok] In: Opus [textový dokument (print)] : szlovákiai magyar írók folyóirata. – Dunajská Streda (Slovensko) : Szlovákiai Magyar Írók Társasága. – ISSN 1338-0265. – Roč. 10, č. 5 (2018), s. 54-64 [tlačená forma] </t>
  </si>
  <si>
    <t xml:space="preserve">A rural tourist of the future = Vidiecky turista budúcnosti / Beresecká, Janka [Autor, SPUFES16, 34%] ; Hudáková, Monika [Autor, UKFFPVUMI, 33%] ; Papcunová, Viera [Autor, UKFFPVUMI, 33%]. – text. – [angličtina]. – [OV 080, 100]. – [článok] In: Studia Turistica [elektronický dokument] : online časopis pro vzdělávání v cestovním ruchu. – Jihlava (Česko) : Vysoká škola polytechnická Jihlava. – ISSN (online) 1804-252X. – Roč. 9, č. 2 (2018), s. 6-17 [online] </t>
  </si>
  <si>
    <t xml:space="preserve">A szlovákiai magyar nyelvtantanítás kihívásai / Vančo, Ildikó [Autor, UKFFSSUML, 100%]. – [maďarčina]. – [OV 020]. – [článok] In: Új pedagógiai szemle [textový dokument (print)] [elektronický dokument] : a Magyar Pedagógiai Társaság és az Oktatáskutató és Fejlesztő Intézet folyóirata. – Budapešť (Maďarsko) : Országos Közoktatási Intézet. – ISSN 1215-1807. – ISSN (online) 1788-2400. – Roč. 69, č. 5-6 (2019), s. 102-105 [tlačená forma] </t>
  </si>
  <si>
    <t xml:space="preserve">A turizmus gazdaságban betöltött szerepe és irányai Magyarországon a covid-19 előtt és után / Csapó, János [Autor, UKFFSSKCR, 60%] ; Lőrincz, Katalin [Autor, 40%]. – [maďarčina]. – [OV 080]. – [článok]. – DOI 10.26888/GEOMET.2020.4.3.1 In: Geometodika [elektronický dokument] . – Budapešť (Maďarsko) : Magyar Földrajzi Társaság. – ISSN 2560-0745. – Roč. 4, č. 3 (2020), s. 5-16 [online] </t>
  </si>
  <si>
    <t xml:space="preserve">Action of Diosgenin and Diosgenin-Containing Plants on Health and Female Reproduction / Sirotkin, Alexander [Autor, UKFFPVKZA, 100%]. – text. – [angličtina]. – [OV 130]. – [článok] In: International Journal of Reproductive Medicine &amp; Gynecology [textový dokument (print)] . – Middletown (USA) : SciRes Literature LLC. – ISSN (online) 2640-0944. – Roč. 7, č. 1 (2021), s. 18-24 [online] </t>
  </si>
  <si>
    <t xml:space="preserve">Age and Gender Differences in Risk Behavior in Adolescence in Slovakia / Čerešník, Michal [Autor, UKFPFAKAP, 100%]. – text. – [angličtina]. – [OV 060]. – [článok] In: SAR Journal - Science and Research [textový dokument (print)] [elektronický dokument] . – Novi Pazar (Srbsko) : Association for Information Communication Technology Education and Science. – ISSN 2619-9955. – ISSN (online) 2619-9963. – Roč. 2, č. 1 (2019), s. 3-8 [tlačená forma] [online] </t>
  </si>
  <si>
    <t xml:space="preserve">Ako vzdelávať budúcich učiteľov chémie k ochrane zdravia a starostlivosti o prostredie / Feszterová, Melánia [Autor, UKFFPVKCH, 100%]. – text. – [slovenčina]. – [OV 010]. – [ŠO 7605]. – [článok] In: Edukacja - Technika - Informatyka [textový dokument (print)] [elektronický dokument] . – Rzeszów (Poľsko) : Wydawnictwo Oświatowe FOSZE. – ISSN 2080-9069. – ISSN (online) 2450-9221. – ERIHplus 487724. – Roč. 30, č. 4 (2019), s. 237-244 [tlačená forma] [online] </t>
  </si>
  <si>
    <t xml:space="preserve">An Assessment Tool for Visual Communication Skills : A Case Study of School Children Aged 11-14 / Biró, Ildikó [Autor, 50%] ; Kárpáti, Andrea [Autor, UKFFSSUVP, 50%]. – text. – [angličtina]. – [OV 010]. – [článok] In: The International Journal of Arts Education [textový dokument (print)] . – Taipei (Taiwan (Čínska provincia)) : National Taiwan Arts Education Center. – ISSN 1728-175X. – Roč. 18, č. 2 (2020), s. 90-114 [tlačená forma] </t>
  </si>
  <si>
    <t xml:space="preserve">Analýza obsahu audiovizuálnej reklamy farmaceutických firiem / Schlosserová, Zuzana [Autor, UKFFFAKMR, 100%]. – text. – [slovenčina]. – [OV 020]. – [článok] In: VŠPP Entrepreneurship studies [elektronický dokument] . – Praha (Česko) : Vysoká škola podnikání a práva. – ISSN 1802-0453. – Roč. 8, č. 1-2 (2019), s. 104-104 [online] </t>
  </si>
  <si>
    <t xml:space="preserve">Analýza postojov študentov vysokých škôl k predpokladaným prínosom ich štúdia / Komora, Juraj [Autor, UKFPFAKPE, 50%] ; Kozárová, Nina [Autor, UKFPFAKPE, 50%]. – text. – [slovenčina]. – [OV 010]. – [článok] In: GRANT journal [elektronický dokument] : European Grant Projects, Results, Research &amp; Development, Science : Peer-Reviewed Scientific Journal. – Hradec Králové (Česko) : Magnanimitas akademické sdružení. – ISSN (online) 1805-0638. – ISSN (online) 1805-062X. – Roč. 9, č. 1 (2020), s. 32-35 [CD-ROM] [online] </t>
  </si>
  <si>
    <t xml:space="preserve">Analýza praktických zadaní úloh technickej olympiády z pohľadu profesijnej orientácie žiakov základných škôl / Širka, Ján [Autor, UKFPFAKTT, 100%]. – text. – [slovenčina]. – [OV 010]. – [článok] In: Edukacja - Technika - Informatyka [textový dokument (print)] [elektronický dokument] . – Rzeszów (Poľsko) : Wydawnictwo Oświatowe FOSZE. – ISSN 2080-9069. – ISSN (online) 2450-9221. – ERIHplus 487724. – Roč. 25, č. 3 (2018), s. 149-155 [tlačená forma] [online] </t>
  </si>
  <si>
    <t xml:space="preserve">Analýza slovenskej a českej dabingovej verzie audiovizuálneho diela Qu’est-ce qu’on a fait au Bon Dieu? / Ukušová, Jana [Autor, UKFFFAKTR, 100%]. – text. – [slovenčina]. – [OV 020]. – [článok] In: Acta Universitatis Carolinae : Philologica [textový dokument (print)] [elektronický dokument] . – Praha (Česko) : Univerzita Karlova v Praze. Nakladatelství Karolinum. – ISSN 0567-8269. – ISSN (online) 2464-6830. – č. 4 (2019), s. 117-129 [tlačená forma] [online] </t>
  </si>
  <si>
    <t xml:space="preserve">Anxiousness, Self-esteem, and Anxiety: Which Variable is a Predictor? / Verešová, Marcela [Autor, UKFPFAKAP, 60%] ; Tomšik, Robert [Autor, 25%] ; Dolejš, Martin [Autor, 15%]. – [angličtina]. – [OV 010]. – [článok]. – DOI 10.33140/JEPR.01.02.05 In: Journal of Educational and Psychological Research [elektronický dokument] . – Overland Park (USA) : Opast Publishing Group. – ISSN 2690-0726. – Roč. 1, č. 2 (2019), s. 1-6 </t>
  </si>
  <si>
    <t xml:space="preserve">Art and technology : The practice and influence of art and technology in education / Kárpáti, Andrea [Autor, UKFFSSUVP, 100%]. – [angličtina]. – [OV 010]. – [článok] In: International Journal of Education Through Art [textový dokument (print)] . – Bristol (Veľká Británia) : Intellect. – ISSN 1743-5234. – ISSN (online) 2040-090X. – Roč. 14, č. 1 (2018), s. 133-134 [tlačená forma] . – SJR: 0,194 ; CiteScore: 1 ; SNIP: 0,664 Scimago - Arts and humanities (miscellaneous) - Q3, Education - Q4 </t>
  </si>
  <si>
    <t xml:space="preserve">Assessment of Teacher Competences with Respect to Their Linguistic vs Non-Linguistic Professional Orientation / Stranovská, Eva [Autor, UKFFFAKGE, 35%] ; Lalinská, Mária [Autor, UKFFFAKRO, 35%] ; Gadušová, Zdenka [Autor, UKFFFAKAA, 30%]. – text. – [angličtina]. – [OV 010]. – [článok] In: International Journal of Economic Research [textový dokument (print)] . – Delhi (India) : Serials Publications. – ISSN 0972-9380. – Roč. 15, č. 2 (2018), s. 281-287 [tlačená forma] Scimago - Business, management and accounting (miscellaneous) - Q4, Economics, econometrics and finance (miscellaneous) - Q4 </t>
  </si>
  <si>
    <t xml:space="preserve">Audio engineering books as an object of research for improve curriculum of technically oriented music education / Brezina, Pavol [Autor, UKFPFAKHU, 100%]. – text. – [angličtina]. – [OV 010]. – [článok] In: GRANT journal [elektronický dokument] : European Grant Projects, Results, Research &amp; Development, Science : Peer-Reviewed Scientific Journal. – Hradec Králové (Česko) : Magnanimitas akademické sdružení. – ISSN (online) 1805-0638. – ISSN (online) 1805-062X. – Roč. 8, č. 1 (2019), s. 6-13 [CD-ROM] [online] </t>
  </si>
  <si>
    <t xml:space="preserve">Bábky v populárnej kultúre / Malíček, Juraj [Autor, UKFFFAULK, 100%]. – text. – [slovenčina]. – [OV 020]. – [článok] In: Loutkář [textový dokument (print)] : měsíčník pro loutkářství. – Praha (Česko) : Sdružení pro vydávání časopisu Loutkář. – ISSN 1211-4065. – Roč. 70, č. 2 (2020), s. 9-11 [tlačená forma] </t>
  </si>
  <si>
    <t xml:space="preserve">Behavioural disorders in children and their classification / Tvrdoň, Miroslav [Autor, UKFFSVKSP, 55%] ; Králik, Roman [Autor, 35%] ; Kevély, Dagmar [Autor, 10%]. – text. – [angličtina]. – [OV 060]. – [článok] In: Aplikovaná psychologie [textový dokument (print)] [elektronický dokument] . – Terezín (Česko) : Vysoká škola aplikované psychologie. – ISSN 2336-8276. – Roč. 6, č. 10 (2021), s. 838-855 [tlačená forma] [online] </t>
  </si>
  <si>
    <t xml:space="preserve">Bevándorláspolitika és többszintű kormányzás: osztrák tapasztalatok / Hardi, Tamás [Autor, UKFFSSKCR, 90%] ; Patay, Tünde [Autor, 10%]. – [maďarčina]. – [OV 080]. – [článok] In: Tér és társadalom [textový dokument (print)] : az MTA Regionális Kutatások Központja folyóirata. – Pécs (Maďarsko) : Magyar Tudományos Akadémia. Regionális Kutatások Központja. – ISSN 0237-7683. – ISSN 2062-9923. – Roč. 32, č. 4 (2018), s. 135-150 [tlačená forma] </t>
  </si>
  <si>
    <t xml:space="preserve">Biogas Stations in Slovakia - Current State / Janíček, František [Autor, 032000, 25%] ; Perný, Milan [Autor, 032000, 25%] ; Šály, Vladimír [Autor, 032000, 25%] ; Némethová, Jana [Autor, UKFFPVKGR, 25%]. – text. – [angličtina]. – [OV 092, 150]. – [článok]. – DOI 10.14311/TEE.2018.4.079 In: Transactions on Electrical Enginnering [elektronický dokument] : an International Scientific Journal for Electrical Engineering. – Praha (Česko) : České vysoké učení technické v Praze. Fakulta elektrotechnická. ERGO NOMEN. – ISSN (online) 1805-3386. – Roč. 7, č. 4 (2018), s. 79-85 [online] </t>
  </si>
  <si>
    <t xml:space="preserve">Biomedical Data vs Myths / Sirotkin, Alexander [Autor, UKFFPVKZA, 100%]. – text. – [angličtina]. – [OV 130]. – [článok] In: Researcher - European journal of humanities &amp; social sciences [textový dokument (print)] . – Brusel (Belgicko) : Halewijn uitgeverij. – ISSN 2593-7138. – Roč. 3, č. 2 (2020), s. 117-125 [online] </t>
  </si>
  <si>
    <t xml:space="preserve">Brunetto Latini a otázka sodomie / Šavelová, Monika [Autor, UKFFFAKRO, 100%]. – text. – [slovenčina]. – [OV 020]. – [článok] In: Proudy [elektronický dokument] : středoevropský časopis pro vědu a literaturu : literární časopis středoevropského centra slovanských studií a ústavu slavistiky FF MU. – Brno (Česko) : Středoevropské centrum slovanských studií. – ISSN (online) 1804-7246. – č. 1 (2019), s. 1-10 [online] </t>
  </si>
  <si>
    <t xml:space="preserve">Bukott tanárok történetei / Petres Csizmadia, Gabriela [Autor, UKFFSSUML, 100%]. – [maďarčina]. – [OV 010]. – [článok]. – DOI 10.31074/gyntf.2021.1.191.200 In: Gyermeknevelés [elektronický dokument] : online folyóirat. – Budapest (Maďarsko) : Eötvös Loránd Tudományegyetem. – ISSN (online) 2063-9945. – Roč. 9, č. 1 (2021), s. 191-200 [online] </t>
  </si>
  <si>
    <t xml:space="preserve">Burg Apponitz (Oponice) in der südwestlichen Slowakei / Repka, Dominik [Autor, UKFFFAKAR, 80%] ; Sater, Peter [Autor, 20%]. – text. – [nemčina]. – [OV 030]. – [článok] In: Burgen und Schlösser [textový dokument (print)] : Zeitschrift für Burgenforschung und Denkmalpflege. – Brabauch (Nemecko) : Deutsche Burgenvereinigung. – ISSN 0007-6201. – ISSN (online) 2567-3041. – Roč. 59, č. 2 (2018), s. 103-108 [tlačená forma] </t>
  </si>
  <si>
    <t xml:space="preserve">Business Service Centres and Their Current Challenges in Slovak Republic / Hudáková, Jarmila [Autor, UKFFPVUMI, 100%]. – text. – [angličtina]. – [OV 080]. – [článok] In: Management Studies [textový dokument (print)] [elektronický dokument] . – Valley Cottage (USA) : David Publishing Company. – ISSN 2328-2185. – Roč. 6, č. 6 (2018), s. 454-461 [tlačená forma] </t>
  </si>
  <si>
    <t xml:space="preserve">Can konjac (Amorphophallus konjac K. Koch) and it constituent glucomannan be useful for treatment of obesity? / Sirotkin, Alexander [Autor, UKFFPVKZA, 100%]. – text. – [angličtina]. – [OV 130]. – [článok]. – DOI 10.1016/j.obmed.2021.100343 In: Obesity medicine [elektronický dokument] . – Londýn (Veľká Británia) : Elsevier. – ISSN (online) 2451-8476. – č. 24 (2021), s. 1-3 [online] . – CiteScore: 3 ; SJR: 0,443 ; SNIP: 0,591 Scimago - Endocrinology, diabetes and metabolism - Q3, Internal medicine - Q3, Public health, environmental and occupational health - Q3 </t>
  </si>
  <si>
    <t xml:space="preserve">Cestná sieť na hornom Požitaví v období stredoveku / Ivanič, Peter [Autor, UKFFFAUKD, 100%]. – text. – [slovenčina]. – [OV 030]. – [článok] In: Vlastivědný věstník moravský [textový dokument (print)] . – Brno (Česko) : Muzejní a vlastivědná společnost v Brně. – ISSN 0323-2581. – ISSN (zrušené) 0504-541X. – Roč. 70, č. 3 (2018), s. 103-112 [tlačená forma] </t>
  </si>
  <si>
    <t xml:space="preserve">Classification of heptathlon by the methods of hierarchical clustering / Broďáni, Jaroslav [Autor, UKFPFAKTV, 33.334%] ; Dvořáčková, Natália [Autor, UKFPFAKTV, 33.333%] ; Czaková, Monika [Autor, UKFPFAKTV, 33.333%]. – text. – [angličtina]. – [OV 210]. – [článok] In: Studia kinanthropologica [textový dokument (print)] [elektronický dokument] : the scientific journal for kinanthropology = vědecký časopis pro kinantropologii. – České Budějovice (Česko) : Jihočeská univerzita v Českých Budějovicích. Pedagogická fakulta. – ISSN 1213-2101. – Roč. 21, č. 2 (2020), s. 103-111 [tlačená forma] [online] </t>
  </si>
  <si>
    <t xml:space="preserve">Classification tree models predicting sports performance in men's decathlon at 8282 points level / Broďáni, Jaroslav [Autor, UKFPFAKTV, 34%] ; Kováčová Dvořáčková, Natália [Autor, 33%] ; Czaková, Monika [Autor, UKFPFAKTV, 33%]. – text. – [angličtina]. – [OV 210]. – [článok] In: Česká kinantropologie [textový dokument (print)] : časopis České kinantropologické společnosti. – Praha (Česko) : Vědecká společnost kinantropologie, Praha (Česko) : Česká kinantropologická společnost. – ISSN 1211-9261. – Roč. 25, č. 1-2 (2021), s. 28-40 [tlačená forma] </t>
  </si>
  <si>
    <t xml:space="preserve">Communication dimension of a Facebook group : first-hand experience from an EAP class / Datko, Juraj [Autor, UKFPFAKLI, 100%]. – text. – [angličtina]. – [OV 010]. – [článok] In: ERL Journal [elektronický dokument] . – Gdaňsk (Poľsko) : International Association for the Educational Role of Language. – ISSN 2657-9774. – Roč. 2, č. 2 (2019), s. 113-123 [online] </t>
  </si>
  <si>
    <t xml:space="preserve">Communication skills of children from Roma families in Slovak language in the first year of primary schools / Vanková, Katarína [Autor, UKFFSVURS, 80%] ; Rosinský, Rastislav [Autor, UKFFSVURS, 10%] ; Čerešníková, Miroslava [Autor, UKFFSVURS, 10%]. – text. – [angličtina]. – [OV 020]. – [článok]. – DOI 10.37200/IJPR/V23I4/PR190535 In: International journal of psychosocial rehabilitation [elektronický dokument] . – Londýn (Veľká Británia) : Hampstead Psychological Associates. – ISSN (online) 1475-7192. – Roč. 24, č. 4 (2020), s. 1993-2000 [online] </t>
  </si>
  <si>
    <t xml:space="preserve">Comparison of heart rate during the specific load and training match in boxing / Krška, Peter [Autor, KURPETS, 25%] ; Hubinák, Andrej [Autor, KURPETS, 25%] ; Šiška, Ľuboslav [Autor, UKFPFAKTV, 25%] ; Czaková, Monika [Autor, UKFPFAKTV, 25%]. – [angličtina]. – [OV 210]. – [článok] In: International journal of physical education, sports and health [textový dokument (print)] [elektronický dokument] . – Dillí (India) : Tirupati Journal Solutions. – ISSN 2394-1685. – ISSN (online) 2394-1693. – Roč. 6, č. 5 (2019), s. 142-145 [tlačená forma] [online] </t>
  </si>
  <si>
    <t xml:space="preserve">Competence of planning educational process in pre-service teacher training / Gadušová, Zdenka [Autor, UKFFFAKAA, 50%] ; Predanocyová, Ľubica [Autor, UKFFFAKFI, 50%]. – text. – [angličtina]. – [OV 010]. – [článok] In: Nauki o wychowaniu [elektronický dokument] : studia interdyscyplinarne. – Łódz (Poľsko) : Uniwersytet Lódzki. – ISSN 2450-4491. – Roč. 6, č. 1 (2018), s. 161-179 [online] </t>
  </si>
  <si>
    <t xml:space="preserve">Consumer preferences in the context of loyalty for the brand of selected food products / Kádeková, Zdenka [Autor, 34%] ; Košičiarová, Ingrida [Autor, 33%] ; Džupina, Milan [Autor, UKFFFAKMR, 33%]. – text. – [angličtina]. – [OV 060]. – [článok] In: VŠPP Entrepreneurship studies [elektronický dokument] . – Praha (Česko) : Vysoká škola podnikání a práva. – ISSN 1802-0453. – Roč. 9, č. 1 (2020), s. 36-51 [online] </t>
  </si>
  <si>
    <t xml:space="preserve">Content Analysis of Communication Used by the Pharmaceutical Companies on Facebook / Schlosserová, Zuzana [Autor, UKFFFAKMR, 100%]. – text. – [angličtina]. – [OV 060]. – [článok] In: Journal of Business and Economics [textový dokument (print)] . – New York (USA) : Academic Star Publishing Company. – ISSN 2155-7950. – Roč. 10, č. 9 (2019), s. 143-145 [tlačená forma] </t>
  </si>
  <si>
    <t xml:space="preserve">Creative Activities Valuation Using a Topsis - Based Decision Support Algarithm / Madudová, Emília [Autor, 50%] ; Palenčíková, Zuzana [Autor, UKFFSSKCR, 50%]. – [angličtina]. – [OV 080]. – [článok]. – DOI 10.22190/FUEO1904377M In: Facta Universitatis [textový dokument (print)] : economics and organization. – ISSN 0354-4699. – ISSN (online) 2406-050X. – Roč. 16, č. 4 (2019), s. 377-387 [tlačená forma] </t>
  </si>
  <si>
    <t xml:space="preserve">Creativity and Critical Thinking in Foreign Language Teaching / Reid, Eva [Autor, UKFPFAKLI, 50%] ; Kováčiková, Elena [Autor, UKFPFAKLI, 50%]. – text. – [angličtina]. – [OV 010]. – [článok] In: Hradec Králové Journal of Anglophone Studies [textový dokument (print)] [elektronický dokument] . – Hradec Králové (Česko) : Univerzita Hradec Králové. – ISSN 2336-3347. – ISSN (online) 2571-032X. – Roč. 5, č. 1 (2018), s. 137-149 [tlačená forma] [online] </t>
  </si>
  <si>
    <t xml:space="preserve">Crisis Communication in Organizations / Szabóová, Veronika [Autor, UKFFFAKMR, 33%] ; Spálová, Lucia [Autor, UKFFFAKMR, 34%] ; Müller, Alena [Autor, 33%]. – text. – [angličtina]. – [OV 060]. – [článok] In: GRANT journal [elektronický dokument] : European Grant Projects, Results, Research &amp; Development, Science : Peer-Reviewed Scientific Journal. – Hradec Králové (Česko) : Magnanimitas akademické sdružení. – ISSN (online) 1805-0638. – ISSN (online) 1805-062X. – Roč. 9, č. 1 (2020), s. 67-76 [CD-ROM] [online] </t>
  </si>
  <si>
    <t xml:space="preserve">Critical and creative thinking of teacher trainees / Tomšik, Robert [Autor, UKFPFAKPE, 50%] ; Gatial, Viktor [Autor, UKFPFAKAP, 25%] ; Verešová, Marcela [Autor, UKFPFAKAP, 15%] ; Čičová, Alenka [Autor, 10%]. – text. – [angličtina]. – [OV 010]. – [článok] In: International journal of research – GRANTHAALAYAH [textový dokument (print)] [elektronický dokument] . – Indore (India) : Granthaalayah Publications &amp; Printers. – ISSN 2394-3629. – ISSN (online) 2350-0530. – Roč. 6, č. 9 (2018), s. 148-155 [tlačená forma] [online] </t>
  </si>
  <si>
    <t xml:space="preserve">Crossability of putative hybrids of Pinus sylvestris and Pinus mugo with their parents / Klobučník, Miroslav [Autor, UKOPRBGE, 20%] ; Galgóci, Martin [Autor, 20%] ; Boleček, Peter [Autor, UKFFPVKBG, 20%] ; Gömöry, Dušan [Autor, KF, 20%] ; Kormuťák, Andrej [Autor, 20%]. – text, tab., obr. – [angličtina]. – [OV 130, 190]. – [článok]. – DOI 10.4236/ajps.2021.128087. – SIGN-UKO PR 650/21 In: American Journal of Plant Sciences [textový dokument (print)] [elektronický dokument] . – [s.l.] (Virtuálny priestor) : Scientific Research Publishing. – ISSN 2158-2742. – ISSN (online) 2158-2750. – Roč. 12, č. 8 (2021), s. 1246-1258 [tlačená forma] </t>
  </si>
  <si>
    <t xml:space="preserve">Csodálatos halálkabaré : Elemzési szempontok a Hrussz Krisztina csodálatos látogatása című novellához / Benyovszky, Kristian [Autor, UKFFSSUML, 100%]. – text. – [maďarčina]. – [OV 020]. – [článok] In: Filológiai közlöny [textový dokument (print)] : a Magyar tudományos Akadémia irodalomtudományi bizottságának folyóirata. – Budapešť (Maďarsko) : Balassi Kiadó. – ISSN 0015-1785. – Roč. 66, č. 3 (2020), s. 89-106 [tlačená forma] </t>
  </si>
  <si>
    <t xml:space="preserve">Current Chalenges in Delinquence Prevention in School Environments / Juhásová, Andrea [Autor, UKFPFAKAP, 50%] ; Pavelová, Ľuba [Autor, UKOPDSOC, 20%] ; Debnáriková, Katarína [Autor, 30%]. – text. – [angličtina]. – [OV 060]. – [článok]. – DOI 10.18421/SAR11-02 In: SAR Journal - Science and Research [textový dokument (print)] [elektronický dokument] . – Novi Pazar (Srbsko) : Association for Information Communication Technology Education and Science. – ISSN 2619-9955. – ISSN (online) 2619-9963. – Roč. 1, č. 1 (2018), s. 7-16 [tlačená forma] [online] </t>
  </si>
  <si>
    <t xml:space="preserve">Činnosti sociálneho pracovníka zamerané na skvalitnenie každodenného života zrakovo postihnutých osôb vo vybraných krajoch / Jašeková, Nina [Autor, UKFFSVKSP, 40%] ; Kolenová, Zuzana [Autor, 60%]. – text. – [slovenčina]. – [OV 010]. – [článok] In: Sociální práce [textový dokument (print)] [elektronický dokument] : nabízíme spojení teorie s praxí = ponúkame spojenie teórie s praxou. – Brno (Česko) : Národní centrum pro rodinu, Brno (Česko) : Asociace vzdělavatelů v sociální práci. – ISSN 1213-6204. – ISSN (online) 1805-885X. – Roč. 20, č. 2 (2020), s. 1-6 [tlačená forma] [online] . – SJR: 0,296 ; CiteScore: 0,7 ; SNIP: 0,603 Scimago - Applied psychology - Q3, Health (social science) - Q3, Social sciences (miscellaneous) - Q2, Sociology and political science - Q2 </t>
  </si>
  <si>
    <t xml:space="preserve">Da vecchie a nuove edizioni... E viceversa? In margine a un recente libro sulle trecento novelle di franco sacchetti / Zaccarello, Michelangelo [Autor, UKFFFAKRO, 100%]. – [taliančina]. – [OV 020]. – [článok] In: Filologia e critica [textový dokument (print)] . – Rím (Taliansko) : Salerno editrice. – ISSN 0391-2493. – Roč. 30, č. 45 (2020), s. 3-60 [tlačená forma] </t>
  </si>
  <si>
    <t xml:space="preserve">Daniel Grúň : kurátorstvo v rozšírenom poli výskumu / Vilím, Erik [Autor, UKFFFAULK, 100%]. – text. – [slovenčina]. – [OV 020]. – [článok] In: Flash art [textový dokument (print)] [elektronický dokument] : the world's leading art magazine. – Praha (Česko) : Nadace Prague Bienale, Bratislava (Slovensko) : Flash Art SK. – ISSN 1336-9644. – Roč. 13, č. 46 (2018), s. 64-69 [tlačená forma] </t>
  </si>
  <si>
    <t xml:space="preserve">Defining key psychodidactic strategies in branch (professional) didactics and their implementation in undergraduate education of technical teachers / Depešová, Jana [Autor, UKFPFAKTT, 100%]. – text. – [angličtina]. – [OV 010]. – [článok]. – [recenzované] In: R&amp;E-Source [elektronický dokument] . – Baden (Rakúsko) : Pädagogische Hochschule NÖ. – ISSN (online) 2313-1640. – suppl. Engineering pedagogy unites, č. 17 (2019), s. 47-52 [online] </t>
  </si>
  <si>
    <t xml:space="preserve">Dejaki pidchody do pidvyščennja jakosti vykladannja ukrajinskoji movy riznym katehorijam inozemnych studentiv / Rudakova, Tetyana [Autor, UKFFFAKRU, 100%]. – text. – [ukrajinčina]. – [OV 020]. – [článok] In: Mova i kuľtura [textový dokument (print)] [elektronický dokument] . – Kyjev (Ukrajina) : Vydavnyčyj Dim Dmytra Buraho. – ISSN 2522-493X. – ISSN (online) 2522-4948. – Roč. 22, č. 7 (202) (2020), s. 466-473 [tlačená forma] [online] </t>
  </si>
  <si>
    <t xml:space="preserve">Denotatívnosť a konotatívnosť v názvoch bežeckých podujatí / Bánik, Tomáš [Autor, UKFFFASJL, 100%]. – text. – [slovenčina]. – [OV 020]. – [článok] In: Prace Naukowe Akademii im. Jana Długosza w Częstochowie. Językoznawstwo [textový dokument (print)] . – ISSN 2391-8616. – Roč. 13, č. 1 (2018), s. 11-24 [tlačená forma] </t>
  </si>
  <si>
    <t xml:space="preserve">Der Lehrer und seine didaktische Kompetenz / Stančeková, Svetlana [Autor, UKFFFAKRO, 100%]. – text. – [nemčina]. – [OV 010]. – [článok] In: Studia z Teorii Wychowania [textový dokument (print)] . – Varšava (Poľsko) : Chrześcijańska Akademia Teologiczna w Warszawie. Wydawnictwo Naukowe. – ISSN 2083-0998. – Roč. 9, č. 3 (2018), s. 45-56 [tlačená forma] </t>
  </si>
  <si>
    <t xml:space="preserve">Detský hrdina v stredoeurópskych literatúrach s tematikou vojny a šoa = Child Hero in Central European Literatures with the Theme of War and the Shoah / Adamická, Monika [Autor, UKFFSSUSJ, 100%]. – text. – [slovenčina]. – [OV 020]. – [článok] In: Opera Slavica [textový dokument (print)] [elektronický dokument] : slavistické rozhledy. – Brno (Česko) : Masarykova univerzita. Filozofická fakulta. Ústav slavistiky. – ISSN 1211-7676. – ISSN (online) 2336-4459. – Roč. 31, č. 1 (2021), s. 29-40 [tlačená forma] [online] </t>
  </si>
  <si>
    <t xml:space="preserve">Developing Intercultural Communicative Competences With Young Learners? Yes, Of Course / Reid, Eva [Autor, UKFPFAKLI, 100%]. – text. – [angličtina]. – [OV 010]. – [článok] In: Humanising Language Teaching [elektronický dokument] . – Canterbury (Veľká Británia) : Pilgrims. – ISSN 1755-9715. – Roč. 22, č. 5 (2020), s. 1-6 [online] </t>
  </si>
  <si>
    <t xml:space="preserve">Developing Intercultural Competencies through Culture Strategies / Horváthová, Božena [Autor, UKFPFAKLI, 100%]. – [angličtina]. – [OV 020]. – [článok] In: Hradec Králové Journal of Anglophone Studies [textový dokument (print)] [elektronický dokument] . – Hradec Králové (Česko) : Univerzita Hradec Králové. – ISSN 2336-3347. – ISSN (online) 2571-032X. – Roč. 5, č. 1 (2018), s. 78-90 [tlačená forma] [online] </t>
  </si>
  <si>
    <t xml:space="preserve">Developing Teacher Competences in a Student Teacher Population / Gadušová, Zdenka [Autor, UKFFFAKAA, 50%] ; Predanocyová, Ľubica [Autor, UKFFFAKFI, 50%]. – text. – [angličtina]. – [OV 010]. – [článok] In: Education Research &amp; Perspectives [textový dokument (print)] : an international journal. – Crawley (Austrália) : The University of Western Australia. – ISSN 1446-0017. – Roč. 45, č. 1 (2018), s. 98-123 [tlačená forma] </t>
  </si>
  <si>
    <t xml:space="preserve">Development of teacher trainees’ digital competence / Hašková, Alena [Autor, UKFPFAKTT, 50%] ; Záhorec, Ján [Autor, UKOPDDPP, 50%]. – text, graf., tab. – [angličtina]. – [OV 010]. – [článok]. – SIGN-UKO PD DP/20 In: R&amp;E-Source [elektronický dokument] . – Baden (Rakúsko) : Pädagogische Hochschule NÖ. – ISSN (online) 2313-1640. – suppl. Enter new engineering pedagogy curriculum , č. 18 (2020), s. 29-36 [online] </t>
  </si>
  <si>
    <t xml:space="preserve">Diagnostika úrovne a vzťah komponentov agility vo vybraných kategóriách v hádzanej / Horička, Pavol [Autor, UKFPFAKTV, 60%] ; Šimonek, Jaromír [Autor, UKFPFAKTV, 40%]. – text. – [slovenčina]. – [OV 210]. – [článok] In: Studia kinanthropologica [textový dokument (print)] [elektronický dokument] : the scientific journal for kinanthropology = vědecký časopis pro kinantropologii. – České Budějovice (Česko) : Jihočeská univerzita v Českých Budějovicích. Pedagogická fakulta. – ISSN 1213-2101. – Roč. 20, č. 1 (2019), s. 17-26 [tlačená forma] [online] </t>
  </si>
  <si>
    <t xml:space="preserve">Diagnostikovanie čitateľskej gramotnosti na základných školách / Gallik, Ján [Autor, UKFFSSUSJ, 50%] ; Pavlová, Renáta [Autor, UKFFFAJZC, 50%]. – text. – [slovenčina]. – [OV 020]. – [článok] In: Lingua Viva [textový dokument (print)] [elektronický dokument] : odborný časopis pro teorii a praxi vyučování cizím jazykům a češtině jako cizímu jazyku. – České Budějovice (Česko) : Jihočeská univerzita v Českých Budějovicích. Pedagogická fakulta. – ISSN 1801-1489. – ISSN (online) 2336-8136. – Roč. 16, č. 30 (2020), s. 48-58 [tlačená forma] [online] </t>
  </si>
  <si>
    <t xml:space="preserve">Differences in physical activity, joy of movement and quality of life of pupils of secondary schools with different levels of sport / Broďáni, Jaroslav [Autor, UKFPFAKTV, 33%] ; Kováčová, Natália [Autor, UKFPFAKTV, 33%] ; Šiška, Ľuboslav [Autor, UKFPFAKTV, 32%] ; Páleníková, Bianka [Autor, 2%]. – text. – [angličtina]. – [OV 210]. – [článok] In: Studia kinanthropologica [textový dokument (print)] [elektronický dokument] : the scientific journal for kinanthropology = vědecký časopis pro kinantropologii. – České Budějovice (Česko) : Jihočeská univerzita v Českých Budějovicích. Pedagogická fakulta. – ISSN 1213-2101. – Roč. 19, č. 3 (2018), s. 171-181 [tlačená forma] [online] </t>
  </si>
  <si>
    <t xml:space="preserve">Digitalizace a digitální technologie ve školství / Serafín, Čestmír [Autor, 50%] ; Depešová, Jana [Autor, UKFPFAKTT, 50%]. – text. – [slovenčina]. – [OV 010]. – [článok] In: Trendy ve vzdělávání [textový dokument (print)] [elektronický dokument] : Informační technologie a technické vzdělávání = Information Technologies and Technical Education. – Olomouc (Česko) : Univerzita Palackého v Olomouci. Pedagogická fakulta. Katedra technické a informační výchovy. – ISSN 1805-8949. – Roč. 11, č. 2 (2018), s. 68-77 [tlačená forma] [online] </t>
  </si>
  <si>
    <t xml:space="preserve">Digitálne technológie ako prostriedok naplnenia tradičného poslania umenia (nielen) v čase globálnej pandémie Covid-19 / Hodinková, Dana [Autor, UKFFFAKMR, 50%] ; Púchovská, Oľga [Autor, UKFFFAKMR, 50%]. – text. – [slovenčina]. – [OV 060]. – [článok] In: Marketing a komunikace [textový dokument (print)] . – Praha (Česko) : Česká marketingová společnost, Brno (Česko) : Česká společnost pro propagaci a public relations - MOSPRA. – ISSN 1211-5622. – Roč. 26, č. 1 (2021), s. 23-25 [tlačená forma] </t>
  </si>
  <si>
    <t xml:space="preserve">Digizalizace a digitální technologie ve školství / Serafín, Čestmír [Autor, 50%] ; Depešová, Jana [Autor, UKFPFAKTT, 50%]. – text. – [čeština]. – [OV 010]. – [článok] In: Trendy ve vzdělávání [textový dokument (print)] [elektronický dokument] : Informační technologie a technické vzdělávání = Information Technologies and Technical Education. – Olomouc (Česko) : Univerzita Palackého v Olomouci. Pedagogická fakulta. Katedra technické a informační výchovy. – ISSN 1805-8949. – Roč. 11, č. 2 (2018), s. 68-77 [tlačená forma] [online] </t>
  </si>
  <si>
    <t xml:space="preserve">Dimensions of CSR in Online Communication of Pharmaceutical Companies: A Comparative Study / Džupina, Milan [Autor, UKFFFAKMR, 50%] ; Džupinová, Zuzana [Autor, 50%]. – [angličtina]. – [OV 020]. – [článok] In: International Journal of Entrepreneurial Knowledge [textový dokument (print)] [elektronický dokument] . – Ostrava (Česko) : Vysoká škola podnikání. – ISSN 2336-2952. – ISSN (online) 2336-2960. – Roč. 7, č. 2 (2019), s. 41-52 [tlačená forma] [online] </t>
  </si>
  <si>
    <t xml:space="preserve">Discourses on older people : themes of social inclusion / Lehoczká, Lýdia [Autor, UKFFSVURS, 100%]. – text. – [angličtina]. – [OV 060]. – [článok]. – DOI 10.37200/IJPR/V23I4/PR190540 In: International journal of psychosocial rehabilitation [elektronický dokument] . – Londýn (Veľká Británia) : Hampstead Psychological Associates. – ISSN (online) 1475-7192. – Roč. 23, č. 4 (2019), s. 2036-2048 [online] . – SJR: 0,111 ; CiteScore: 0,2 ; SNIP: 0,155 Scimago - Clinical psychology - Q4, Psychiatric mental health - Q4, Psychiatry and mental health - Q4 </t>
  </si>
  <si>
    <t xml:space="preserve">Divine Command Theory - a Critical Reflections / Máhrik, Tibor [Autor, UKFFFAKAE 06.2022, 100%]. – [angličtina]. – [OV 020]. – [článok] In: Idei [textový dokument (print)] [elektronický dokument] : filosofskij časopis : specijalni naukovi vipuski = Philosophical Journal : Special Scientific Issues = ФИЛОСОФСКО СПИСАНИЕ. – Plovdiv (Bulharsko) : Humanus. – ISSN 1313-9703. – ISSN (online) 2367-6108. – DOI 10.34017. – Roč. 6, č. 1 (2018), s. 10-16 [tlačená forma] </t>
  </si>
  <si>
    <t xml:space="preserve">Do Today ́s Pupils Fall behind Their Peers from 15 Years Ago? / Šimonek, Jaromír [Autor, UKFPFAKTV, 100%]. – text. – [angličtina]. – [OV 210]. – [článok]. – DOI 10.24193/subbeag.63(1) In: Studia Universitatis Babes-Bolyai. Educatio Artis Gymnasticae [textový dokument (print)] [elektronický dokument] . – Kluž (Rumunsko) : Presa Universitara Clujeana. – ISSN 1453-4223. – ISSN (online) 2065-9547. – Roč. 63, č. 1 (2018), s. 5-11 [tlačená forma] [online] </t>
  </si>
  <si>
    <t xml:space="preserve">Dopady pandémie COVID-19 ako insight študentských kampaní / Szabóová, Veronika [Autor, UKFFFAKMR, 50%] ; Spálová, Lucia [Autor, UKFFFAKMR, 50%]. – text. – [slovenčina]. – [OV 020]. – [článok] In: Marketing a komunikace [textový dokument (print)] . – Praha (Česko) : Česká marketingová společnost, Brno (Česko) : Česká společnost pro propagaci a public relations - MOSPRA. – ISSN 1211-5622. – Roč. 26, č. 4 (2021), s. 18-19 [tlačená forma] </t>
  </si>
  <si>
    <t xml:space="preserve">Dos campos del Existencialismo : S. Kierkegaard y J. P. Sartre. La Mirada Kiekegaardiana / Máhrik, Tibor [Autor, UKFFFAKAE 06.2022, 100%]. – text. – [španielčina]. – [OV 020]. – [článok] In: La Mirada Kierkegaardiana [elektronický dokument] . – ISSN (online) 1989-2322. – Roč. 7, č. 2 (2018), s. 23-32 [online] </t>
  </si>
  <si>
    <t xml:space="preserve">Dramatic and Movement Expression of a Song for Children / Sondorová, Dominika [Autor, UKFPFAKHU, 50%] ; Hubinská, Zuzana [Autor, UKFPFAKHU, 50%]. – text. – [angličtina]. – [OV 010]. – [článok] In: GRANT journal [elektronický dokument] : European Grant Projects, Results, Research &amp; Development, Science : Peer-Reviewed Scientific Journal. – Hradec Králové (Česko) : Magnanimitas akademické sdružení. – ISSN (online) 1805-0638. – ISSN (online) 1805-062X. – Roč. 10, č. 1 (2021), s. 15-17 [CD-ROM] [online] </t>
  </si>
  <si>
    <t xml:space="preserve">Dual Education in Slovakia under New Conditions / Zmeková, Dagmar [Autor, UKFPFAKTT, 50%] ; Lukáčová, Danka [Autor, UKFPFAKTT, 50%]. – text. – [angličtina]. – [OV 010]. – [článok]. – DOI 10.5507/jtie.2019.004 In: Journal of Technology and Information Education [textový dokument (print)] [elektronický dokument] . – Olomouc (Česko) : Univerzita Palackého v Olomouci. Pedagogická fakulta. Katedra technické a informační výchovy. – ISSN 1803-537X. – ISSN (online) 1803-6805. – Roč. 11, č. 1 (2019), s. 5-11 [tlačená forma] [online] </t>
  </si>
  <si>
    <t xml:space="preserve">Duálny model duševného zdravia a sociálna opora  u žiakov stredných škôl / Šeboková, Gabriela [Autor, UKFFSVKPV, 100%]. – text. – [slovenčina]. – [OV 060]. – [článok] In: Školský psychológ/Školní psycholog [textový dokument (print)] [elektronický dokument] : časopis Asociácie školskej psychológie. – Brno (Česko) : Asociace školní psychologie. – ISSN 1212-0529. – Roč. 19, č. 1 (2018), s. 2-13 [tlačená forma] [online] </t>
  </si>
  <si>
    <t xml:space="preserve">Education and training of industrial sector employees / Kuna, Peter [Autor, UKFPFAKTT, 40%] ; Hodál, Peter [Autor, UKFPFAKTT, 30%] ; Hašková, Alena [Autor, UKFPFAKTT, 30%]. – text. – [angličtina]. – [OV 010]. – [článok] In: R&amp;E-Source [elektronický dokument] . – Baden (Rakúsko) : Pädagogische Hochschule NÖ. – ISSN (online) 2313-1640. – suppl. On First Impressions, č. 13 (2018), s. 80-84 [online] </t>
  </si>
  <si>
    <t xml:space="preserve">Education of Disabled Adult People / Jedličková, Petra [Autor, UKFPFAKPE, 100%]. – text. – [angličtina]. – [OV 010]. – [článok] In: International Journal of Liberal Arts and Social Science [elektronický dokument] . – Veľká Británia : Center for Enhancing Knowledge. – ISSN 2307-924X. – Roč. 7, č. 9 (2019), s. 22-36 [online] </t>
  </si>
  <si>
    <t xml:space="preserve">Education of the Convicts Serving their Prison Terms in the Slovak Republic / Jusko, Peter [Autor, 34%] ; Temiaková, Dominika [Autor, UKFPFAKPE, 33%] ; Papšo, Peter [Autor, 33%]. – [angličtina]. – [OV 010]. – [článok] In: Hungarian Educational Research Journal [textový dokument (print)] [elektronický dokument] . – Debrecín (Maďarsko) : Hungarian Educational Research. – ISSN 2064-2199. – Roč. 8, č. 4 (2018), s. 70-79 [tlačená forma] [online] </t>
  </si>
  <si>
    <t xml:space="preserve">Educational role of language - past, present and future visions? / Kováčiková, Elena [Autor, UKFPFAKLI, 100%]. – text. – [angličtina]. – [OV 010]. – [článok] In: ERL Journal [elektronický dokument] . – Gdaňsk (Poľsko) : International Association for the Educational Role of Language. – ISSN 2657-9774. – Roč. 1, č. 1 (2019), s. 149-151 [online] </t>
  </si>
  <si>
    <t xml:space="preserve">Efektivita na človeka zameranej psychoterapie a zážitkových psychoterapií / Pilárik, Ľubor [Autor, UKFFSVKPV, 100%]. – text. – [slovenčina]. – [OV 060]. – [článok] In: Psychoterapie [textový dokument (print)] [elektronický dokument] : praxe - inspirace - konfrontace. – Brno (Česko) : Masarykova univerzita. Fakulta sociálních studií. – ISSN 1802-3983. – ISSN (online) 2695-0200. – Roč. 12, č. 3 (2019), s. 26-32 [tlačená forma] [online] </t>
  </si>
  <si>
    <t xml:space="preserve">El papel de los parlamentos nacionales en los procesos de decisión de la Unión Europea / Brhlíková, Radoslava [Autor, UKFFFAKPO, 100%]. – [španielčina]. – [OV 060]. – [článok] In: Revista Cubana de Derecho [textový dokument (print)] [elektronický dokument] . – Havana (Kuba) : Unión Nacional de Juristas de Cuba. – ISSN 0864-165X. – ISSN (online) 2788-6670. – Roč. 1, č. 2 (2021), s. 414-442 [tlačená forma] [online] </t>
  </si>
  <si>
    <t xml:space="preserve">El tema de la dictadura en la obra de Isabel Allende / Brezováková, Monika [Autor, UKFFFAKRO, 100%]. – text. – [španielčina]. – [OV 020]. – [článok] In: Écho des Études Romanes [textový dokument (print)] [elektronický dokument] : Revue semestrielle de linguistique et littératures romanes. – České Budějovice (Česko) : l'Institut de langues et littératures romanes de la Faculté des Lettres. – ISSN 1801-0865. – ISSN (online) 1804-8358. – Roč. 16, č. 2 (2020), s. 5-9 [tlačená forma] [online] </t>
  </si>
  <si>
    <t xml:space="preserve">E-learning course for pre-service chemistry teachers: with a focus on working safely with chemicals / Feszterová, Melánia [Autor, UKFFPVKCH, 100%]. – text. – [angličtina]. – [OV 010]. – [článok]. – [recenzované] In: R&amp;E-Source [elektronický dokument] . – Baden (Rakúsko) : Pädagogische Hochschule NÖ. – ISSN (online) 2313-1640. – suppl. Engineering pedagogy unites, č. 17 (2019), s. 47-52 [online] </t>
  </si>
  <si>
    <t xml:space="preserve">Enclosure of La Tène Graves in the Territory of Slovakia / Repka, Dominik [Autor, UKFFFAKAR, 100%]. – text. – [angličtina]. – [OV 030]. – [článok] In: Studia Hercynia [textový dokument (print)] [elektronický dokument] : Journal of the Institute of Classical Archaeology Charles University in Prague. – Praha (Česko) : Česká archeologická společnost, Praha (Česko) : Univerzita Karlova v Praze. Filozofická fakulta. Ústav pro klasickou archeologii. – ISSN 1212-5865. – ISSN (online) 2336-8144. – Roč. 24, č. 2 (2020), s. 127-154 [tlačená forma] [online] </t>
  </si>
  <si>
    <t xml:space="preserve">Energia podnetu : K recepcii diela Viktora Šklovského na Slovensku / Teplan, Dušan [Autor, UKFFFASJL, 100%]. – text. – [slovenčina]. – [OV 020]. – [článok] In: Bohemica Olomucensia [textový dokument (print)] : časopis pro filologická a mezioborová studia. – Olomouc (Česko) : Univerzita Palackého v Olomouci. – ISSN 1803-876X. – Roč. 13, č. 1 (2021), s. 142-172 [tlačená forma] </t>
  </si>
  <si>
    <t xml:space="preserve">Environmental aspects in the subject technique = Environmentálne aspekty v predmete technika / Bilčíková, Jana [Autor, UKFPFAKTT, 34%] ; Tureková, Ivana [Autor, UKFPFAKTT, 33%] ; Bilčík, Alexander [Autor, KDOP, 33%]. – text. – [angličtina]. – [OV 010, 100]. – [článok] In: Journal of Technology and Information Education [textový dokument (print)] [elektronický dokument] . – Olomouc (Česko) : Univerzita Palackého v Olomouci. Pedagogická fakulta. Katedra technické a informační výchovy. – ISSN 1803-537X. – ISSN (online) 1803-6805. – Roč. 12, č. 1 (2020), s. 69-80 [tlačená forma] [online] </t>
  </si>
  <si>
    <t xml:space="preserve">Environmental consequnces of the rural abandonment - A pilot survey of gardens in a Hungarian ghost village / Hardi, Tamás [Autor, UKFFSSKCR, 34%] ; Csontos, Peter [Autor, 33%] ; Tamás, Júlia [Autor, 33%]. – text. – [angličtina]. – [OV 092]. – [článok] In: Tájökológiai Lapok [textový dokument (print)] . – Gödöllő (Maďarsko) : Szent István Egyetem. – ISSN 1589-4673. – Roč. 17, č. 1 (2019), s. 121-129 [tlačená forma] . – SJR: 0,148 ; CiteScore: 0,6 ; SNIP: 0,162 Scimago - Nature and landscape conservation - Q4 </t>
  </si>
  <si>
    <t xml:space="preserve">Environmental impacts of urbanization processes on the examples of Kecskemét and Győr functional urban areas / Hoyk, Edit [Autor, 33%] ; Hardi, Tamás [Autor, UKFFSSKCR, 34%] ; Farkas, Jenő Zsolt [Autor, 33%]. – text. – [angličtina]. – [OV 092]. – [článok] In: Journal of Central European Green Innovation [elektronický dokument] . – ISSN (online) 2064-3004. – Roč. 7, č. 1 (2019), s. 13-33 [online] </t>
  </si>
  <si>
    <t xml:space="preserve">Evaluation of Tax Incomes of Municipalities in Conditions of the Slovak and Czech Republics / Papcunová, Viera [Autor, UKFFPVUMI, 34%] ; Országhová, Dana [Autor, SPUFEM07, 33%] ; Hornyák Gregáňová, Radomíra [Autor, SPUFEM07, 33%]. – [angličtina]. – [OV 080]. – [článok] In: Acta Universitatis Bohemiae Meridionalis [textový dokument (print)] : vědecký časopis pro ekonomiku, řízení a obchod = the scientific journal for economics, management and trade. – České Budejovice (Česko) : Jihočeská univerzita v Českých Budějovicích. Ekonomická fakulta. – ISSN 1212-3285. – ISSN (online) 2336-4297. – Roč. 21, č. 2 (2018), s. 1-12 [tlačená forma] [online] </t>
  </si>
  <si>
    <t xml:space="preserve">Evolúcia zábavných rozhlasových žánrov na Slovensku / Timko, Štefan [Autor, UKFFSSUSJ, 100%]. – text. – [slovenčina]. – [OV 020]. – [článok] In: Medias res [textový dokument (print)] : odborný časopis pro aktuální otázky společenských věd. – ISSN 2464-6334. – Roč. 5, č. 3-4 (2020), s. 71-75 </t>
  </si>
  <si>
    <t xml:space="preserve">Experience of students of University of Constantine the Philosopher in Nitra with distance education / Tomková, Viera [Autor, UKFPFAKTT, 50%] ; Bánesz, Gabriel [Autor, UKF.Nitra, 50%]. – text. – [angličtina]. – [OV 010]. – [článok]. – [recenzované] In: R&amp;E-Source [elektronický dokument] . – Baden (Rakúsko) : Pädagogische Hochschule NÖ. – ISSN (online) 2313-1640. – suppl. Engineering pedagogy unites, č. 17 (2019), s. 262-268 [online] </t>
  </si>
  <si>
    <t xml:space="preserve">Exposure Therapy by Virtual Reality and Its Monitoring by Biofeedback / Šlepecký, Miloš [Autor, UKFFSVKPV, 90%] ; Škobrtal, Pavel [Autor, 3%] ; Novotný, Mirek [Autor, 3%] ; Bazinková, Eva [Autor, 2%] ; Kotianová, Antónia [Autor, UKFFSVKPV, 2%]. – text. – [angličtina]. – [OV 060]. – [článok] In: Cognitive Remedation Journal [elektronický dokument] . – ISSN (online) 1805-7225. – Roč. 7, č. 2 (2018), s. 4-9 [online] </t>
  </si>
  <si>
    <t xml:space="preserve">Faktory ovplyvňujúce zvyšovanie záujmu o technické vzdelávanie = Factors influencing  increasing increasing interest in technical education / Ažaltovičová, Michaela [Autor, UKFPFAKTT, 50%] ; Tomková, Viera [Autor, UKFPFAKTT, 50%]. – [slovenčina]. – [OV 010]. – [článok]. – DOI 10.5507/jtie.2019.012 In: Journal of Technology and Information Education [textový dokument (print)] [elektronický dokument] . – Olomouc (Česko) : Univerzita Palackého v Olomouci. Pedagogická fakulta. Katedra technické a informační výchovy. – ISSN 1803-537X. – ISSN (online) 1803-6805. – Roč. 11, č. 2 (2019), s. 78-84 [tlačená forma] [online] </t>
  </si>
  <si>
    <t xml:space="preserve">Family environment as a predictor of online threats / Židová, Monika [Autor, UKFPFAKPE, 100%]. – text. – [slovenčina]. – [OV 010]. – [článok] In: GRANT journal [elektronický dokument] : European Grant Projects, Results, Research &amp; Development, Science : Peer-Reviewed Scientific Journal. – Hradec Králové (Česko) : Magnanimitas akademické sdružení. – ISSN (online) 1805-0638. – ISSN (online) 1805-062X. – Roč. 10, č. 2 (2021), s. 71-75 [CD-ROM] [online] </t>
  </si>
  <si>
    <t xml:space="preserve">Filial Therapy and Intrafamiliar Violence Prevention / Juhásová, Andrea [Autor, UKFPFAKAP, 50%] ; Lulei, Martin [Autor, 50%]. – text. – [angličtina]. – [OV 010]. – [článok] In: SAR Journal - Science and Research [textový dokument (print)] [elektronický dokument] . – Novi Pazar (Srbsko) : Association for Information Communication Technology Education and Science. – ISSN 2619-9955. – ISSN (online) 2619-9963. – Roč. 2, č. 4 (2019), s. 147-152 [tlačená forma] [online] </t>
  </si>
  <si>
    <t xml:space="preserve">Filozofická a psychologická interpretácia slobody / Kondrla, Peter [Autor, UKFFFAKNS, 100%]. – text. – [slovenčina]. – [OV 020]. – [článok] In: Aplikovaná psychologie [textový dokument (print)] [elektronický dokument] . – Terezín (Česko) : Vysoká škola aplikované psychologie. – ISSN 2336-8276. – Roč. 6, č. 10 (2021), s. 797-808 [tlačená forma] [online] </t>
  </si>
  <si>
    <t xml:space="preserve">Filozofický literárny príbeh ako prostriedok k utváraniu hodnotového systému / Borisová, Simona [Autor, UKFPFAKPE, 100%]. – text. – [slovenčina]. – [OV 010]. – [článok] In: GRANT journal [elektronický dokument] : European Grant Projects, Results, Research &amp; Development, Science : Peer-Reviewed Scientific Journal. – Hradec Králové (Česko) : Magnanimitas akademické sdružení. – ISSN (online) 1805-0638. – ISSN (online) 1805-062X. – Roč. 9, č. 2 (2021), s. 6-10 [CD-ROM] [online] </t>
  </si>
  <si>
    <t xml:space="preserve">Food Safety Challenges in the Tourism Processes / Balazs Zsarnoczky, Martin [Autor, 20%] ; Zsarnoczky - Dulhazy, Fanni [Autor, 20%] ; Collins Adol, Gogo Frederick [Autor, 20%] ; Barczak, Mariusz [Autor, 20%] ; Dávid, Lóránt Dénes [Autor, UKFFSSKCR, 20%]. – text. – [angličtina]. – [OV 190]. – [článok]. – DOI 10.2478/plua-2019-0005 In: Rural Sustainability Research [elektronický dokument] . – Riga (Lotyšsko) : Latvia University of Life Sciences and Technologies. – ISSN (online) 2256-0939. – Roč. 41, č. 336 (2019), s. 26-31 [online] </t>
  </si>
  <si>
    <t xml:space="preserve">Foreign language anxiety - an issue of (Czech) Slovak teachers - critical review / Tanistráková-Mikulová, Gabriela [Autor, UKFPFAKLI, 100%]. – text. – [angličtina]. – [OV 010]. – [článok] In: ERL Journal [elektronický dokument] . – Gdaňsk (Poľsko) : International Association for the Educational Role of Language. – ISSN 2657-9774. – Roč. 2, č. 2 (2019), s. 143-145 [online] </t>
  </si>
  <si>
    <t xml:space="preserve">Formalism and Digital Research of Literature / Debnár, Marek [Autor, UKFFFAKAE 06.2022, 100%]. – text. – [angličtina]. – [OV 020]. – [článok] In: Digital Age in Semiotics and Communication [textový dokument (print)] : Journal. – Sofia (Bulharsko) : New Bulgarian University. – ISSN 2603-3585. – Roč. 1, č. 1 (2018), s. 113-120 [tlačená forma] </t>
  </si>
  <si>
    <t xml:space="preserve">Formation of cultural identity and ones relation to a region through the project of regional education and folk culture / Mendelová, Eleonóra [Autor, UKFPFAKPE, 34%] ; Grofčíková, Soňa [Autor, UKFPFAKPE, 33%] ; Máčajová, Monika [Autor, UKFPFAKPE, 33%]. – text. – [maďarčina]. – [OV 020]. – [článok] In: Docere [textový dokument (print)] . – Szeged (Maďarsko) : SZTE JGYPK TÓKI. – ISSN 2559-9240. – Roč. 3, č. 1-2 (2019), s. 69-80 [tlačená forma] </t>
  </si>
  <si>
    <t xml:space="preserve">Formirovanije professionaľnoj perevodčeskoj kompetencii v ramkach discipliny „Osnovy ustnogo perevoda po russkomu jazyku“ v slovackom vuze = Formation of professional interpreter’s competence in the context of the course “The basis of interpretation of the Russian language” in the Slovak university / Zahorák, Andrej [Autor, UKFFFAKTR, 100%]. – text. – [ruština]. – [OV 020]. – [článok] In: Izvestija Volgogradskogo gosudarstvennogo pedagogičeskogo universiteta [textový dokument (print)] . – Volgograd (Ruská federácia) : Volgogradskij gosudarstvennyj sociaľno-pedagogičeskij universitet. – ISSN 1815-9044. – Roč. 12, č. 2 (2021), s. 93-98 [tlačená forma] </t>
  </si>
  <si>
    <t xml:space="preserve">Fostering function of speaking talk as performance / Horváthová, Božena [Autor, UKFPFAKLI, 90%] ; Galbová, Martina [Autor, 10%]. – text. – [angličtina]. – [OV 010]. – [článok]. – DOI 10.36534/erlj.2021.01.08 In: ERL Journal [elektronický dokument] . – Gdaňsk (Poľsko) : International Association for the Educational Role of Language. – ISSN 2657-9774. – Roč. 5, č. 1 (2021), s. 62-74 [online] </t>
  </si>
  <si>
    <t xml:space="preserve">Fülek/Fiľakovo névszemiotikai tájképe / Angyal, Ladislav [Autor, UKFFSSUML, 100%]. – text. – [maďarčina]. – [OV 020]. – [článok] In: Tanulmányok [textový dokument (print)] : Az Újvidéki Egyetem Magyar Tanszékének kiadványa. – Nový Sad (Srbsko) : Univerzitet u Novom Sadu. Filozofski fakultet. Katedra za mađarski jezik i književnost. – ISSN 0354-9690. – ISSN (online) 2466-4545. – Roč. 6, č. 1 (2020), s. 21-32 [tlačená forma] </t>
  </si>
  <si>
    <t xml:space="preserve">Funkcionaľno-semantičeskije osobennosti giperteksta = Functional and Semantic features of Hypertext / Gallo, Ján [Autor, UKFFFAKRU, 100%]. – text. – [angličtina]. – [OV 020]. – [článok]. – DOI 10.24411/2470-1262-2021-10102 In: Cross-cultural studies [textový dokument (print)] : education and science. – Middlebury (USA) : Russian Department, Middlebury College. – ISSN 2470-1262. – Roč. 6, č. 1 (2021), s. 41-52 [tlačená forma] </t>
  </si>
  <si>
    <t xml:space="preserve">Gaming and gambling disorders among elderly and challenges for public health policy and social work / Tokovská, Miroslava [Autor, 40%] ; Kozubík, Michal [Autor, UKFFSVKSP, 30%] ; Seberíni, Andrea [Autor, UMBEF02, 20%] ; Weihe, Hans-Jorgen Wallin [Autor, 10%]. – text. – [angličtina]. – [OV 060]. – [článok] In: Fórum sociální práce [textový dokument (print)] [elektronický dokument] . – Praha  (Česko) : Univerzita Karlova v Praze. – ISSN 1804-3070. – ISSN (online) 2336-6664. – č. 1 (2021), s. 35-51 [tlačená forma] [online] </t>
  </si>
  <si>
    <t xml:space="preserve">Generation Y and its view on online advertising in Slovakia / Koprda, Tomáš [Autor, UKFFFAKMR, 40%] ; Bulanda, Ivana [Autor, 40%] ; Kurimská, Zuzana [Autor, 20%]. – text. – [angličtina]. – [OV 060]. – [článok] In: VŠPP Entrepreneurship studies [elektronický dokument] . – Praha (Česko) : Vysoká škola podnikání a práva. – ISSN 1802-0453. – Roč. 9, č. 1 (2020), s. 5-12 [online] </t>
  </si>
  <si>
    <t xml:space="preserve">Generation Y Preferences in Online Content Consumption: Content Marketing Implications for the Arts / Štrbová, Edita [Autor, UKFFFAKMR, 50%] ; Boldišová, Simona [Autor, 50%]. – [angličtina]. – [OV 060]. – [článok]. – DOI 10.2478/sc-2021-0001 In: Social Communication [elektronický dokument] : Online Journal = Czasopismo elektroniczne. – ISSN (online) 2299-5382. – ISSN (online) 2450-7563. – Roč. 7, č. 1 (2021), s. 1-17 [online] </t>
  </si>
  <si>
    <t xml:space="preserve">GeoGebra as a Tool to Improve Visual Image / Vágová, Renáta [Autor, UKFFPVKMA, 50%] ; Kmeťová, Mária [Autor, UKFFPVKMA, 50%]. – text. – [angličtina]. – [OV 010]. – [článok] In: Acta Didactica Napocensia [elektronický dokument] . – Cluj (Rumunsko) : Universitatea Babes-Bolyai. – ISSN (online) 2065-1430. – Roč. 12, č. 2 (2019), s. 225-237 [online] </t>
  </si>
  <si>
    <t xml:space="preserve">Geometriai vizualizáció a gyakorlatban / Tóth, Attila [Autor, UKFFSSUVP, 30%] ; Nagyová Lehocká, Zuzana [Autor, UKFFSSUVP, 30%] ; Csáky, Antal [Autor, UKFFSSUVP, 20%] ; Sedláková, Margaréta [Autor, 20%]. – text. – [maďarčina]. – [OV 010]. – [článok]. – DOI 10.35405/OXIPO.2021.1.83 In: OxIPO [elektronický dokument] : e-folyóirat. – Debrecen (Maďarsko) : K+F Stúdió. – ISSN 2676-8771. – Roč. 3, č. 1 (2021), s. 83-95 [online] </t>
  </si>
  <si>
    <t xml:space="preserve">Grandmother’s Narrating Recipes : Food and Identity in Contemporary Arab American Writing / Tabačková, Zuzana [Autor, UKFPFAKLI, 100%]. – [angličtina]. – [OV 020]. – [článok] In: Hradec Králové Journal of Anglophone Studies [textový dokument (print)] [elektronický dokument] . – Hradec Králové (Česko) : Univerzita Hradec Králové. – ISSN 2336-3347. – ISSN (online) 2571-032X. – Roč. 5, č. 2 (2018), s. 119-130 [tlačená forma] [online] </t>
  </si>
  <si>
    <t xml:space="preserve">Habitat Preference of the Carabidae (Coleoptera) of the Dunaj (Danube) River Inundation Area = Preferencje siedliskowe Carbidae (Coleoptera)  z obszaru zalewowego rzeki Dunaj / Petrovičová, Kornélia [Autor, SPUFAP26, 30%] ; Langraf, Vladimír [Autor, UKFFPVKEE, 60%] ; David, Stanislav [Autor, UKFFPVKEE, 5%] ; Schlarmannová, Janka [Autor, UKFFPVKZA, 5%]. – text. – [angličtina]. – [OV 130]. – [článok] In: Zeszyty naukowe. – Sucha Beskidzka (Poľsko) : Wyżsa Szkoła Turystyki i Ekologii. – ISSN 2084-8722. – Roč. 10, č. 1 (2021), s. 54-66 [tlačená forma] </t>
  </si>
  <si>
    <t xml:space="preserve">Habitual Subjective Well-Being and Movement Activity of Female Adolescents / Broďáni, Jaroslav [Autor, UKFPFAKTV, 50%] ; Šiška, Ľuboslav [Autor, UKFPFAKTV, 50%]. – text. – [poľština]. – [OV 210]. – [článok]. – DOI http://dx.doi.org/10.16926/sit.2018.01.06 In: Sport i turystyka [textový dokument (print)] [elektronický dokument] : środkowoeuropejskie czasopismo naukowe. – Čestochova (Poľsko) : Uniwersytet Humanistyczno-Przyrodniczy im. Jana Dlugosza w Czestochowie. – ISSN 2545-3211. – ISSN (online) 2657-4322. – Roč. 1, č. 1 (2018), s. 81-91 [tlačená forma] [online] </t>
  </si>
  <si>
    <t xml:space="preserve">Hacia una semiótica del eros: el aspecto lexicográfico. Los diccionarios de la lengua española / Lampis, Mirko [Autor, UKFFFAKRO, 100%]. – text. – [španielčina]. – [OV 020]. – [článok] In: Revista chilena de semiótica [elektronický dokument] . – Santiago de Chile (Čile) : Universidad Central de Chile. – ISSN 0717-3075. – Roč. 25, č. 13 (2020), s. 164-181 [online] </t>
  </si>
  <si>
    <t xml:space="preserve">Hand an sich legen : Über die Alltäglichkeit des (unliterarischen) Suizids = Committing suicide. On the everydayness of (non-literary) suicide / Horyna, Břetislav [Autor, UKFFFAKFI, 100%]. – text. – [nemčina]. – [OV 020]. – [článok]. – DOI 10.5817/BBGN2018-S-12 In: Brünner Beiträge zur Germanistik und Nordistik [textový dokument (print)] [elektronický dokument] . – Brno (Česko) : Masarykova univerzita. Filozofická fakulta. – ISSN 1803-7380. – ISSN (online) 2336-4408. – suppl. Supplementum Roč. 32 (2018), s. 177-190 [tlačená forma] [online] </t>
  </si>
  <si>
    <t xml:space="preserve">Historical and cultural aspects in Slovak color naming / Dudová, Katarína [Autor, UKFFFASJL, 100%]. – text. – [angličtina]. – [OV 020]. – [článok] In: Komunikacja i Konteksty [textový dokument (print)] . – Częstochowa (Poľsko) : Akademia im. Jana Długosza w Częstochowie. Wydawnictwo Im. Stanisława Podobińskiego Akademii Im. Jana Długosza W Częstochowie. – ISSN 2657-3695. – Roč. 14, č. 1 (2018), s. 13-25 </t>
  </si>
  <si>
    <t xml:space="preserve">Hlavné tematické línie v tvorbe Jacoponeho z Todi / Šavelová, Monika [Autor, UKFFFAKRO, 100%]. – text. – [slovenčina]. – [OV 020]. – [článok] In: Proudy [elektronický dokument] : středoevropský časopis pro vědu a literaturu : literární časopis středoevropského centra slovanských studií a ústavu slavistiky FF MU. – Brno (Česko) : Středoevropské centrum slovanských studií. – ISSN (online) 1804-7246. – č. 2 (2019), s. 1-8 [online] </t>
  </si>
  <si>
    <t xml:space="preserve">How technical teacher use digital means in their teaching practice / Hašková, Alena [Autor, UKFPFAKTT, 50%] ; Záhorec, Ján [Autor, UKOPDDPP, 50%]. – text, tab. – [angličtina]. – [OV 010]. – [článok]. – [recenzované] In: R&amp;E-Source [elektronický dokument] . – Baden (Rakúsko) : Pädagogische Hochschule NÖ. – ISSN (online) 2313-1640. – suppl. Engineering pedagogy unites, č. 17 (2019), s. 146-149 [online] </t>
  </si>
  <si>
    <t xml:space="preserve">How to respond to changes in technologies in occupational safety and health experts  ́ training? / Tureková, Ivana [Autor, UKFPFAKTT, 100%]. – text. – [angličtina]. – [OV 010]. – [článok]. – [recenzované] In: R&amp;E-Source [elektronický dokument] . – Baden (Rakúsko) : Pädagogische Hochschule NÖ. – ISSN (online) 2313-1640. – suppl. On First Impressions, č. 13 (2018), s. 153-162 [online] </t>
  </si>
  <si>
    <t xml:space="preserve">Hugo Rahner e il suo messagio teologico dopo 50 anmi : riflessione kerygmatica, cordiale e ludica / Hlad, Ľubomír [Autor, UKFFFAKNS, 100%]. – text. – [taliančina]. – [OV 020]. – [článok] In: Rivista teologica di Lugano [textový dokument (print)] . – Lugano (Švajčiarsko) : Facoltà di Teologia di Lugano. – ISSN 1420-6730. – Roč. 24, č. 2 (2019), s. 345-365 [tlačená forma] </t>
  </si>
  <si>
    <t xml:space="preserve">Human-Computer Interaction in Translation Activity:  Fluency of Machine Translation / Welnitzová, Katarína [Autor, UKFFFAKTR, 75%] ; Jakubičková, Barbara [Autor, UKFFFAKTR, 15%] ; Králik, Roman [Autor, 10%]. – text. – [angličtina]. – [OV 020]. – [článok]. – DOI 10.22363/2313-1683-2021-18-1-217-234 In: RUDN Journal of Psychology and Pedagogics [textový dokument (print)] [elektronický dokument] . – Moscow (Ruská federácia) : People's Friendship University of Russia. – ISSN 2313-1683. – ISSN (online) 2313-1705. – Roč. 18, č. 1 (2021), s. 217-234 [tlačená forma] [online] </t>
  </si>
  <si>
    <t xml:space="preserve">Humanization of migration through art - discursive contexts of digitization, participation and solidarity / Spálová, Lucia [Autor, UKFFFAKMR, 33.334%] ; Petrová, Elena [Autor, UKFFFAKZU, 33.333%] ; Balážiová, Iveta [Autor, UKFFFAKMR, 33.333%]. – [angličtina]. – [OV 060]. – [článok]. – DOI 10.26821/IJSRC.8.7.2020.8710 In: IJournals: International Journal of Social Relevance &amp; Concern [elektronický dokument] . – Indore (India) : IJournals Publication. – ISSN (online) 2347-9698. – Roč. 8, č. 7 (2020), s. 55-65 [online] </t>
  </si>
  <si>
    <t xml:space="preserve">Humor and Satire in Terry Pratchett’s Discworld series / Ondrušeková, Judita [Autor, UKFFFAKAA, 100%]. – text. – [angličtina]. – [OV 020]. – [článok] In: Hradec Králové Journal of Anglophone Studies [textový dokument (print)] [elektronický dokument] . – Hradec Králové (Česko) : Univerzita Hradec Králové. – ISSN 2336-3347. – ISSN (online) 2571-032X. – Roč. 6, č. 2 (2019), s. 158-165 [tlačená forma] [online] </t>
  </si>
  <si>
    <t xml:space="preserve">Characteristics of communication strategy in selected non-profit organizations in the Trnava region / Janková, Györgyi [Autor, UKFFFAKMR, 60%] ; Javorová, Zuzana [Autor, 40%]. – text. – [angličtina]. – [OV 060]. – [článok] In: VŠPP Entrepreneurship studies [elektronický dokument] . – Praha (Česko) : Vysoká škola podnikání a práva. – ISSN 1802-0453. – Roč. 9, č. 1 (2020), s. 13-27 [online] </t>
  </si>
  <si>
    <t xml:space="preserve">Children in Roma families / Selická, Denisa [Autor, UKFFFAKSO, 100%]. – text. – [angličtina]. – [OV 060]. – [článok] In: e-Pedagogium [textový dokument (print)] [elektronický dokument] : an independent scientific journal for interdisciplinary research in pedagogy = nezávislý odborný časopis určený pedagogickým pracovníkom všech typů : nezávislý vědecký časopis pro interdisciplinární výzkum v pedagogice. – Olomouc (Česko) : Univerzita Palackého v Olomouci. – ISSN 1213-7758. – ISSN (online) 1213-7499. – Roč. 19, č. 2 (2019), s. 21-31 [tlačená forma] [online] </t>
  </si>
  <si>
    <t xml:space="preserve">ICT as an Enhancing Tool of Foreign Language Teaching Children with Autistic Spectrum Disorders / Jelínková, Beáta [Autor, UKFPFAKLI, 100%]. – text. – [angličtina]. – [OV 010]. – [článok] In: ICTE Journal [elektronický dokument] : an International Journal of Information and Communication Technologies in Education : the Journal of University of Ostrava. – Ostrava (Česko) : Ostravská univerzita. – ISSN (online) 1805-3726. – Roč. 8, č. 1 (2019), s. 39-47 [online] </t>
  </si>
  <si>
    <t xml:space="preserve">Identifikovanie prvej slabiky slov ako súčasť hodnotenia fonematického uvedomovania / Máčajová, Monika [Autor, UKFPFAKPE, 100%]. – text. – [slovenčina]. – [OV 010]. – [článok] In: Gramotnost, pregramotnost a vzdělávání [textový dokument (print)] [elektronický dokument] : odborný recenzovaný časopis zaměřený na problematiku čtenářské, matematické, informační a přírodovědecké gramotnosti a pregramotnosti. – Praha (Česko) : Univerzita Karlova v Praze. Pedagogická fakulta. – ISSN 2533-7882. – ISSN (online) 2533-7890. – Roč. 4, č. 1 (2020), s. 10-16 [tlačená forma] [online] </t>
  </si>
  <si>
    <t xml:space="preserve">Il corbaccio nel contesto della tradizione misogina e moralistica medievale : annotazioni generali e proposte specifiche / Zaccarello, Michelangelo [Autor, UKFFFAKRO, 100%]. – text. – [taliančina]. – [OV 020]. – [článok] In: Chroniques italiennes [elektronický dokument] : Présentation de la revue. – Paris (Francúzsko) : Université de la Sorbonne-Nouvelle. – ISSN 1634-0272. – Roč. 36, č. 2 (2019), s. 162-179 [online] [tlačená forma] </t>
  </si>
  <si>
    <t xml:space="preserve">Imaginatívne procesy vo vokálnej edukácii so zameraním na nonartificiálny spev / Štrbák Pandiová, Iveta [Autor, UKFPFAKHU, 100%]. – text. – [slovenčina]. – [OV 010]. – [článok] In: GRANT journal [elektronický dokument] : European Grant Projects, Results, Research &amp; Development, Science : Peer-Reviewed Scientific Journal. – Hradec Králové (Česko) : Magnanimitas akademické sdružení. – ISSN (online) 1805-0638. – ISSN (online) 1805-062X. – Roč. 8, č. 1 (2019), s. 86-89 [CD-ROM] [online] </t>
  </si>
  <si>
    <t xml:space="preserve">Improving English Reading and Spelling by Intact Learners and Learners with Dyslexia in English Language Classrooms / Sorádová, Daniela [Autor, UKFPFAKLI, 50%] ; Kráľová, Zdena [Autor, UKFPFAKLI, 50%]. – text. – [angličtina]. – [OV 010]. – [článok] In: Literacy Information and Computer Education Journal [elektronický dokument] . – ISSN (online) 2040-2589. – Roč. 9, č. 2 (2018), s. 2940-2948 [online] </t>
  </si>
  <si>
    <t xml:space="preserve">Influence of power yoga on the explosive strength of upper and lower limbs and heart performance of dancers / Czaková, Monika [Autor, UKFPFAKTV, 25%] ; Kováčová, Natália [Autor, UKFPFAKTV, 25%] ; Šutka, Vladimír [Autor, UKFPFAKTV, 25%] ; Škultétyová, Dominika [Autor, 25%]. – text. – [angličtina]. – [OV 210]. – [článok] In: International Journal of Yoga, Physiotherapy and Physical Education [elektronický dokument] . – Delhi (India) : Gupta Publications. – ISSN (online) 2456-5067. – Roč. 4, č. 6 (2019), s. 1-5 [online] </t>
  </si>
  <si>
    <t xml:space="preserve">Inkubátor multimediálnej digitálnej produkcie - recipročný transfer vedy, umenia a kreatívnych priemyslov / Spálová, Lucia [Autor, UKFFFAKMR, 34%] ; Mikuláš, Peter [Autor, UKFFFAKMR, 33%] ; Szabóová, Veronika [Autor, UKFFFAKMR, 33%]. – text. – [slovenčina]. – [OV 060]. – [článok] In: Marketing a komunikace [textový dokument (print)] . – Praha (Česko) : Česká marketingová společnost, Brno (Česko) : Česká společnost pro propagaci a public relations - MOSPRA. – ISSN 1211-5622. – Roč. 25, č. 3 (2020), s. 10-11 [tlačená forma] </t>
  </si>
  <si>
    <t xml:space="preserve">Innovative approach to the concept of innovation in public administration / Papcunová, Viera [Autor, UKFFPVUMI, 34%] ; Balážová, Eva [Autor, SPUFES14, 33%] ; Hornyák Gregáňová, Radomíra [Autor, SPUFEM07, 33%]. – text. – [angličtina]. – [OV 080, 060]. – [článok]. – [recenzované]. – DOI 10.33605/croma-022018-009 In: CROMA Journal [elektronický dokument] : Contemporary Research on Organization Management and Administration. – Bratislava (Slovensko) : Vysoká škola ekonómie a manažmentu verejnej správy v Bratislave, Vilnius (Litva) : Akademinė vadybos ir administravimo asociacija. – ISSN (online) 2335-7959. – Roč. 6, č. 2 (2018), s. 6-18 [online] </t>
  </si>
  <si>
    <t xml:space="preserve">Inovácie pregraduálnej prípravy učiteľov v zameraní na formovanie ich digitálnych kompetencií = Innovations of teacher trainees pregradual training aimed at forming their digital competences / Záhorec, Ján [Autor, UKOPDDPP, 34%] ; Hašková, Alena [Autor, UKFPFAKTT, 33%] ; Poliaková, Adriana [Autor, UKOPDPED, 33%]. – text, graf., tab. – [slovenčina]. – [OV 010]. – [článok]. – DOI 10.5507/jtie.2020.013. – SIGN-UKO PD DP, PE/20 In: Journal of Technology and Information Education [textový dokument (print)] [elektronický dokument] . – Olomouc (Česko) : Univerzita Palackého v Olomouci. Pedagogická fakulta. Katedra technické a informační výchovy. – ISSN 1803-537X. – ISSN (online) 1803-6805. – Roč. 12, č. 2 (2020), s. 80-92 [tlačená forma] [online] </t>
  </si>
  <si>
    <t xml:space="preserve">Integrating Intercultural Aspects In EFL Lessons At Slovak Secondary Schools / Sándorová, Zuzana [Autor, UKFFSSKCR, 100%]. – [angličtina]. – [OV 010]. – [článok]. – DOI 10.31618/ESU.2413-9335.2020.1.78.1005 In: The Eurasian Union of Scientists [textový dokument (print)] . – Moskva (Ruská federácia) : Eurasian Union of Scientists. – ISSN 2411-6467. – ISSN (online) 2413-9335. – Roč. 9, č. 78 (2020), s. 12-20 [tlačená forma] [online] </t>
  </si>
  <si>
    <t xml:space="preserve">Intensive basic swimming courses and their effect on children ́s swimming literacy / Kováčová, Natália [Autor, UKFPFAKTV, 34%] ; Czaková, Monika [Autor, UKFPFAKTV, 33%] ; Broďáni, Jaroslav [Autor, UKFPFAKTV, 33%]. – text. – [angličtina]. – [OV 010]. – [článok]. – DOI 10.5281/zenodo.3746133 In: Journal of Physical Education &amp; Health [textový dokument (print)] [elektronický dokument] : Social Perspective. – Opole (Poľsko) : Politechnika Opolska. – ISSN 2084-7971. – ISSN (online) 2084-6002. – Roč. 8, č. 14 (2019), s. 18-24 [tlačená forma] [online] </t>
  </si>
  <si>
    <t xml:space="preserve">Interaction of physical activity, joy of physical activity and quality of life of high school students with different level of sport performance / Broďáni, Jaroslav [Autor, UKFPFAKTV, 33%] ; Šiška, Ľuboslav [Autor, UKFPFAKTV, 34%] ; Kováčová, Natália [Autor, UKFPFAKTV, 33%]. – text. – [angličtina]. – [OV 210]. – [článok] In: International journal of physical education, sports and health [textový dokument (print)] [elektronický dokument] . – Dillí (India) : Tirupati Journal Solutions. – ISSN 2394-1685. – ISSN (online) 2394-1693. – Roč. 5, č. 3 (2018), s. 12-18 [tlačená forma] [online] </t>
  </si>
  <si>
    <t xml:space="preserve">Interakció a számítógéppel a képzőművészetben / Szalai, Daniel [Autor, UKFPFAKVV, 100%]. – text, ilustr. – [maďarčina]. – [OV 010]. – [článok] In: Vizuális kultúra [textový dokument (print)] . – Budapešť (Maďarsko) : Magyar Rajztanárok Országos Egyesülete. – ISSN 2732-2971. – Roč. 1, č. 4 (2021), s. 51-53 [online] </t>
  </si>
  <si>
    <t xml:space="preserve">Interdisciplinary approach and implementation of modern trends into the education in the category waste / Feszterová, Melánia [Autor, UKFFPVKCH, 100%]. – text. – [angličtina]. – [OV 120]. – [článok] In: Journal of Technology and Information Education [textový dokument (print)] [elektronický dokument] . – Olomouc (Česko) : Univerzita Palackého v Olomouci. Pedagogická fakulta. Katedra technické a informační výchovy. – ISSN 1803-537X. – ISSN (online) 1803-6805. – Roč. 10, č. 2 (2018), s. 54-64 [tlačená forma] [online] </t>
  </si>
  <si>
    <t xml:space="preserve">Interest of Slovak Tourists in Creative Tourism Activities on Their Holiday Abroad / Hrubalová, Lucia [Autor, UKFFSSKCR, 50%] ; Palenčíková, Zuzana [Autor, UKFFSSKCR, 50%]. – text. – [angličtina]. – [OV 080]. – [článok] In: Czech hospitality and tourism papers [textový dokument (print)] : hotelnictví, lázeňství, turismus. – Praha (Česko) : Vysoká škola hotelová v Praze. – ISSN 1801-1535. – Roč. 14, č. 31 (2018), s. 3-16 [tlačená forma] </t>
  </si>
  <si>
    <t xml:space="preserve">Intersexual Differences in Executive Functions in Adolescents / Gatial, Viktor [Autor, UKFPFAKAP, 50%] ; Juhásová, Andrea [Autor, UKFPFAKAP, 50%]. – text. – [angličtina]. – [OV 010]. – [článok] In: SAR Journal - Science and Research [textový dokument (print)] [elektronický dokument] . – Novi Pazar (Srbsko) : Association for Information Communication Technology Education and Science. – ISSN 2619-9955. – ISSN (online) 2619-9963. – Roč. 3, č. 1 (2020), s. 31-36 [tlačená forma] [online] </t>
  </si>
  <si>
    <t xml:space="preserve">Intertekstuaľnyje elementy v perevode chudožestvennogo teksta (na materiale esse V. Jerofejeva Vasilij Rozanov glazami ekscentrika) = Intertextual Elements in the Translation of a Literary Text (by the Material of the Essay by V. Erofeev “Vasily Rozanov through the Eyes of an Eccentric”) / Zahorák, Andrej [Autor, UKFFFAKTR, 100%]. – text. – [ruština]. – [OV 010]. – [článok] In: Vestnik Rossijskogo novogo universiteta [textový dokument (print)] [elektronický dokument] . – Moskva (Ruská federácia) : Rossijskij novyj universitet. – ISSN 1998-4618. – Roč. 12, č. 1 (2021), s. 63-69 [tlačená forma] [online] </t>
  </si>
  <si>
    <t xml:space="preserve">Jak postupovat, když se škola setká s kyberšikanou / Mikulcová, Klára [Autor, 25%] ; Židová, Monika [Autor, UKFPFAKPE, 25%] ; Kutáčová, Pavla [Autor, 25%] ; Kopecký, Kamil [Autor, 25%]. – text. – [slovenčina]. – [OV 010]. – [článok] In: Prevence [textový dokument (print)] . – Praha (Česko) : Život bez závislostí. – ISSN 1214-8717. – Roč. 18, č. 3 (2021), s. 27-29 [tlačená forma] </t>
  </si>
  <si>
    <t xml:space="preserve">Játékos kreativitás fejlesztés tapasztalatai egy szlovákiai óvodában / Nagyová Lehocká, Zuzana [Autor, UKFFSSUVP, 50%] ; Juhos, Flóra [Autor, 50%]. – text. – [maďarčina]. – [OV 010]. – [článok]. – DOI 10.35405/OXIPO.2021.4.51 In: OxIPO [elektronický dokument] : e-folyóirat. – Debrecen (Maďarsko) : K+F Stúdió. – ISSN 2676-8771. – Roč. 3, č. 4 (2021), s. 51-62 [online] </t>
  </si>
  <si>
    <t xml:space="preserve">Jazyk romana „Pochoždenija bravogo soldata Švejka vo vremija mirovoj vojny” v sravniteľnoj perspektive (primečanija k jazyku i stilju narrativa romana) / Mikulášek, Alexej [Autor, UKFFSSUSJ, 100%]. – [ruština]. – [OV 020]. – [článok] In: Philology [textový dokument (print)] [elektronický dokument] : international scientific journal. – Volgograd (Ruská federácia) : Publishing House “Scientific survey”. – ISSN 2414-4452. – č. 5 (23) (2019), s. 26-66 [tlačená forma] [online] </t>
  </si>
  <si>
    <t xml:space="preserve">Jevrejskaja tematika v romane Jana Tužinskogo Kto brosit kameň : refleksii i zametki po teme „inkljuzivnoe i ekskljuzivnoe prostranstvo“ / Mikulášek, Alexej [Autor, UKFFSSUSJ, 100%]. – [ruština]. – [OV 020]. – [článok] In: Philology [textový dokument (print)] [elektronický dokument] : international scientific journal. – Volgograd (Ruská federácia) : Publishing House “Scientific survey”. – ISSN 2414-4452. – č. 5 (17) (2018), s. 37-42 [tlačená forma] [online] </t>
  </si>
  <si>
    <t xml:space="preserve">Jewish Heroes in Film Adaptations by Director Ján Kadár / Timko, Štefan [Autor, UKFFSSUSJ, 100%]. – text. – [angličtina]. – [OV 020]. – [článok] In: Slavica litteraria [textový dokument (print)] [elektronický dokument] : vědecký recenzovaný časopis publikující odborné práce z oblasti literárněvědné slavistiky. – Brno (Česko) : Masarykova univerzita. – ISSN 1212-1509. – ISSN (online) 2336-4491. – Roč. 24, č. 2 (2021), s. 51-62 [tlačená forma] [online] </t>
  </si>
  <si>
    <t xml:space="preserve">K nekotorym didaktičeskim aspektam prepodavanija perevoda chudožestvennogo teksta = On selected didactic Aspects of Teaching Literary Translation / Zahorák, Andrej [Autor, UKFFFAKTR, 100%]. – text. – [ruština]. – [OV 010, 020]. – [článok]. – DOI 10.31862/2218-8711-2020-5-180-188 In: Problemy sovremennogo obrazovanija [textový dokument (print)] . – Moskva (Ruská federácia) : Moskovskij pedagogičeskij gosudarstvennyj universitet. – ISSN 2218-8711. – Roč. 11, č. 5 (2020), s. 180-188 [tlačená forma] </t>
  </si>
  <si>
    <t xml:space="preserve">K problematike dištančného vzdelávania v Slovenskej republike = The Issue of Distance Education in the Slovak Republik / Tomková, Viera [Autor, UKFPFAKTT, 100%]. – text. – [slovenčina]. – [OV 010]. – [článok]. – DOI 10.15584/eti.2018.4.15 In: Edukacja - Technika - Informatyka [textový dokument (print)] [elektronický dokument] . – Rzeszów (Poľsko) : Wydawnictwo Oświatowe FOSZE. – ISSN 2080-9069. – ISSN (online) 2450-9221. – ERIHplus 487724. – Roč. 26, č. 4 (2018), s. 112-118 [tlačená forma] [online] </t>
  </si>
  <si>
    <t xml:space="preserve">K voprosu o sfere občšenija v povsednevnych ustnych dialogach (na materiale sovremennogo slovackogo jazyka) = On Issue of Communication Sphere in Everyday Spoken Dialoges (on the Material of Contemporary Slovak Language) / Gallo, Ján [Autor, UKFFFAKRU, 100%]. – text. – [angličtina, ruština]. – [OV 020]. – [článok] In: Cross-cultural studies [textový dokument (print)] : education and science. – Middlebury (USA) : Russian Department, Middlebury College. – ISSN 2470-1262. – Roč. 5, č. 2 (2020), s. 59-66 [tlačená forma] </t>
  </si>
  <si>
    <t xml:space="preserve">Kafka's Metamorphoses in Film Mirrors = Kafkovy Proměny ve filmovém zrcadlení / Mikulášek, Alexej [Autor, UKFFSSUSJ, 100%]. – text. – [angličtina]. – [OV 020]. – [článok] In: Philologia Rossica [textový dokument (print)] : časopis pro ruskou filologii a výuku ruského jazyka. – Hradec Králové (Česko) : Univerzita Hradec Králové. – ISSN 2694-8826. – Roč. 2, č. 3 (2020), s. 36-56 [tlačená forma] </t>
  </si>
  <si>
    <t xml:space="preserve">Kenya’s Standard Gauge Railway Project in the Context of Theory and Practice of Regional Planning / Juma, Leanard Otwori [Autor, 25%] ; Adol Gogo, Fredrick [Autor, 25%] ; Abdulkadr, Ahmed Abduletif [Autor, 25%] ; Dávid, Lóránt Dénes [Autor, UKFFSSKCR, 25%]. – text. – [angličtina]. – [OV 080]. – [článok]. – DOI 10.33032/acr.2479 In: Acta Carolus Robertus [textový dokument (print)] : Károly Róbert Főiskola Gazdaság- És Társadalomtudományi Kar Tudományos Közleményei. – ISSN 2062-8269. – ISSN (online) 2498-9312. – Roč. 10, č. 2 (2020), s. 85-96 [tlačená forma] </t>
  </si>
  <si>
    <t xml:space="preserve">Kommunikacija v verbaľnom tekste, verbaľnyj tekst v kommunikacii = Communication in Verbal Text, Verbal Text in Communication / Gallo, Ján [Autor, UKFFFAKRU, 100%]. – text. – [ruština]. – [OV 020]. – [článok]. – DOI 10.14746/strp.2019.44.1.29 In: Studia Rossica Posnaniensia [textový dokument (print)] . – Poznan (Poľsko) : Uniwersytet im. Adama Mickiewicza w Poznaniu. Wydawnictwo naukowe Uniwersytetu im. A. Mickiewicza. – ISSN 0081-6884. – Roč. 44, č. 1 (2019), s. 309-318 [tlačená forma] </t>
  </si>
  <si>
    <t xml:space="preserve">Kompetenzentwicklung bei den angehenden Lehrern im Fremdsprachenunterricht der begabten Schüler / Stranovská, Eva [Autor, UKFFFAKGE, 100%]. – text. – [nemčina]. – [OV 010]. – [článok] In: Studia z Teorii Wychowania [textový dokument (print)] . – Varšava (Poľsko) : Chrześcijańska Akademia Teologiczna w Warszawie. Wydawnictwo Naukowe. – ISSN 2083-0998. – Roč. 9, č. 3 (2018), s. 29-44 [tlačená forma] </t>
  </si>
  <si>
    <t xml:space="preserve">Konfraternia żagańskiego konwentu kanoników regularnych z 1401 roku / Krafl, Pavel Otmar [Autor, UKFFFAKHI, 70%] ; Blechová-Čelebić, Lenka [Autor, 30%]. – text. – [poľština]. – [OV 030]. – [článok] In: Historia Slavorum Occidentis [textový dokument (print)] : czasopismo historyczne = časopis historický. – Torun (Poľsko) : Wydawnictwo Adam Marszalek. – ISSN 2084-1213. – Roč. 21, č. 1 (2020), s. 35-43 [tlačená forma] </t>
  </si>
  <si>
    <t xml:space="preserve">Konzum ako hodnota postmodernej spoločnosti / Selická, Denisa [Autor, UKFFFAKSO, 50%] ; Štrbová, Monika [Autor, UKFFFAKSO, 50%]. – text. – [slovenčina]. – [OV 060]. – [článok] In: e-Pedagogium [textový dokument (print)] [elektronický dokument] : an independent scientific journal for interdisciplinary research in pedagogy = nezávislý odborný časopis určený pedagogickým pracovníkom všech typů : nezávislý vědecký časopis pro interdisciplinární výzkum v pedagogice. – Olomouc (Česko) : Univerzita Palackého v Olomouci. – ISSN 1213-7758. – ISSN (online) 1213-7499. – Roč. 18, č. 1 (2018), s. 33-46 [tlačená forma] [online] </t>
  </si>
  <si>
    <t xml:space="preserve">Kuľturno-markirovannaja leksika v russko-slovackom dialoge kuľtur (na primere proizvedenija I. Iľfa i J. Petrova Odnoetažnaja Amerika) = Culturally Marked Lexicon in Russian-Slovak Dialogue of Cultures (on the Example of the Work by I. Ilf and Ye. Petrov „One-storeyed America“) / Zahorák, Andrej [Autor, UKFFFAKTR, 100%]. – text. – [ruština]. – [OV 020]. – [článok] In: BSPU Bulletin [textový dokument (print)] : Scientific-methodical Journal. Series 1 Pedagogic. Psychology. Philology. – Minsk (Bielorusko (predtým ako Bieloruská SSR)) : Belorusskij gosudarstvennyj pedagogičeskij universitet imeni Maxima Tanka. – ISSN 1818-8559. – Roč. 27, č. 1 (2021), s. 70-74 [tlačená forma] </t>
  </si>
  <si>
    <t xml:space="preserve">La traduction audiovisuelle multilingue: le cas de « Demain tout commence » / Ukušová, Jana [Autor, UKFFFAKTR, 100%]. – text. – [francúzština]. – [OV 020]. – [článok] In: Atelier de traduction [textový dokument (print)] . – Suceava (Rumunsko) : Editura Universitatii din Suceava. – ISSN 2344-5610. – ISSN 1584-1804. – Roč. 17, č. 35-36 (2021), s. 91-105 [tlačená forma] [online] </t>
  </si>
  <si>
    <t xml:space="preserve">La verita come elevazione della persona : Considerazioni sulla verita alla luce dei pensieri di Lev Šestov / Pružinec, Tomáš [Autor, UKFFFAKFI, 100%]. – text. – [taliančina]. – [OV 020]. – [článok] In: Orientalia Christiana Periodica [textový dokument (print)] . – Roma (Taliansko) : Edizioni Orientalia Christiana. – ISSN 0030-5375. – Roč. 84, č. 1 (2018), s. 243-257 [tlačená forma] . – SJR: 0,1 ; CiteScore: 0,2 ; SNIP: 0,173 Scimago - Archeology - Q4, Archeology (arts and humanities) - Q4, History - Q4, Religious studies - Q4 </t>
  </si>
  <si>
    <t xml:space="preserve">Language Problems from the Perspective of the Roma in the Context of the Romani Language Network / Samko, Milan [Autor, UKFFSVURS, 100%]. – text. – [angličtina]. – [OV 060]. – [článok]. – DOI 10.15640/ijlc.v7n2a5 In: International Journal of Linguistics &amp; Communication. – Madison (USA) : American Research Institute for Policy Development. – ISSN 2372-479X. – ISSN (online) 2372-4803. – Roč. 7, č. 2 (2019), s. 29-34 [tlačená forma] [online] </t>
  </si>
  <si>
    <t xml:space="preserve">Language Problems from the Perspective of the Roma in the School Environment / Samko, Milan [Autor, UKFFSVURS, 100%]. – text. – [angličtina]. – [OV 060]. – [článok]. – DOI 10.15640/jflcc.v8n1a5 In: Journal of Foreign Languages, Cultures &amp; Civilizations [textový dokument (print)] [elektronický dokument] . – Madison (USA) : American Research Institute for Policy Development. – ISSN 2333-5882. – ISSN (online) 2333-5890. – Roč. 8, č. 1 (2020), s. 52-56 [tlačená forma] [online] </t>
  </si>
  <si>
    <t xml:space="preserve">Laudatio na Alžbetu Uhrinovú-Hornokovú pri udeľovaní Ceny Ondreja Štefanka / Michalík, Boris [Autor, UKFFFAKMK, 100%]. – text. – [slovenčina]. – [OV 030]. – [článok] In: Dolnozemský Slovák [textový dokument (print)] : časopis Slovákov v Maďarsku, Rumunsku a Srbsku. – Arad (Rumunsko) : Demokratický zväz Slovákov a Čechov v Rumunsku. – ISSN 1454-5489. – Roč. 23, č. 1-2 (2018), s. 7-8 [tlačená forma] </t>
  </si>
  <si>
    <t xml:space="preserve">Levý a sociológia prekladu? : inšpirácie a paralely - náčrt problematiky / Djovčoš, Martin [Autor, UMBFF06, 50%] ; Tyšš, Igor [Autor, UKFFFAKTR, 50%]. – text. – [slovenčina]. – [OV 020]. – [článok] In: Acta Universitatis Carolinae : Philologica [textový dokument (print)] [elektronický dokument] . – Praha (Česko) : Univerzita Karlova v Praze. Nakladatelství Karolinum. – ISSN 0567-8269. – ISSN (online) 2464-6830. – č. 2 (2018), s. 43-58 [tlačená forma] [online] </t>
  </si>
  <si>
    <t xml:space="preserve">Limiting factors of skating performance in ice hockey / Blanár, Michal [Autor, UMBFF09, 60%] ; Broďáni, Jaroslav [Autor, UKFPFAKTV, 10%] ; Kováčová, Natália [Autor, UKFPFAKTV, 10%] ; Czaková, Monika [Autor, 10%] ; Šiška, Ľuboslav [Autor, UKFPFAKTV, 10%]. – text. – [angličtina]. – [OV 210]. – [článok] In: International Journal of Physiology, Nutrition and Physical Education [textový dokument (print)] [elektronický dokument] . – Naí Dillí (India) : AkiNik Publications. – ISSN 2456-0057. – Roč. 4, č. 1 (2019), s. 871-875 [tlačená forma] [online] </t>
  </si>
  <si>
    <t xml:space="preserve">Lingvističeskaja refleksija intencionaľnosti slovackogo mediadiskursa / Adamka, Pavol [Autor, UKFFFAKRU, 100%]. – text. – [ruština]. – [OV 020]. – [článok]. – DOI 10.21638/spbu22.2019.106 In: Medialingvistika [textový dokument (print)] [elektronický dokument] . – Petrohrad (Ruská federácia) : Izdateľstvo Sankt-Peterburgskogo gosudarstvennogo universiteta. Vysšaja škola žurnalistiki i massovych kommunikacij. – ISSN 2312-0274. – ISSN (online) 2312-9263. – Roč. 6, č. 1 (2019), s. 75-86 [tlačená forma] [online] </t>
  </si>
  <si>
    <t xml:space="preserve">LMS Moodle benefits reflected by students’ performance in blended learning course / Gajdáčová Veselá, Katerina [Autor, UKFPFAKLI, 50%] ; Puschenreiterová, Jana [Autor, 50%]. – text. – [angličtina]. – [OV 010]. – [článok] In: ICTE Journal [elektronický dokument] : an International Journal of Information and Communication Technologies in Education : the Journal of University of Ostrava. – Ostrava (Česko) : Ostravská univerzita. – ISSN (online) 1805-3726. – Roč. 8, č. 2 (2019), s. 13-21 [online] </t>
  </si>
  <si>
    <t xml:space="preserve">Management of teacher education for safe work / Tureková, Ivana [Autor, UKFPFAKTT, 50%] ; Bilčíková, Jana [Autor, UKFPFAKTT, 50%]. – text. – [angličtina]. – [OV 010]. – [článok] In: R&amp;E-Source [elektronický dokument] . – Baden (Rakúsko) : Pädagogische Hochschule NÖ. – ISSN (online) 2313-1640. – suppl. Enter new engineering pedagogy curriculum , č. 18 (2020), s. 172-179 [online] </t>
  </si>
  <si>
    <t xml:space="preserve">Mathematics Anxiety and Other Psycho Didactic Aspects in University Students / Švecová, Valéria [Autor, UKFFPVKMA, 100%]. – text. – [angličtina]. – [OV 010]. – [článok] In: Journal of Education &amp; Social Policy [elektronický dokument] . – Athens (USA) : Center for Promoting Ideas. – ISSN 2375-0782. – ISSN (online) 2375-0790. – Roč. 5, č. 4 (2018), s. 246-250 [tlačená forma] [online] </t>
  </si>
  <si>
    <t xml:space="preserve">Media Literacy as a Vital Part of Teaching English as a Foreign Language / Bohuslavska, Olha [Autor, UKFFFAKAA, 50%] ; György, Erik [Autor, UKFFFAKAA, 50%]. – text. – [angličtina]. – [OV 010]. – [článok] In: ELT voices [textový dokument (print)] . – Kudasan (India) : Divyajyban Aura. – ISSN 2230-9136. – Roč. 11, č. 2 (2021), s. 107-128 [tlačená forma] </t>
  </si>
  <si>
    <t xml:space="preserve">Mediálna gramotnosť a vekové rozdiely žiakov / Bielčiková, Kristína [Autor, UKFPFAKPE, 100%]. – text. – [slovenčina]. – [OV 010]. – [článok] In: GRANT journal [elektronický dokument] : European Grant Projects, Results, Research &amp; Development, Science : Peer-Reviewed Scientific Journal. – Hradec Králové (Česko) : Magnanimitas akademické sdružení. – ISSN (online) 1805-0638. – ISSN (online) 1805-062X. – Roč. 10, č. 2 (2021), s. 6-9 [CD-ROM] [online] </t>
  </si>
  <si>
    <t xml:space="preserve">Mediating the Subjective Experience of a Troubled and Troubling World: Storytelling in Dystopian Novels by Margaret Atwood and Johanna Sinisalo / Klimková, Simona [Autor, UKFFFAKAA, 50%] ; Boszorád, Martin [Autor, UKFFFAULK, 50%]. – text. – [angličtina]. – [OV 020]. – [článok] In: HyperCultura. – Bukurešť (Rumunsko) : Universitatea Hyperion. – ISSN 2285-2115. – ISSN (online) 2559-2025. – Roč. 8, č. 1 (2019), s. 1-10 </t>
  </si>
  <si>
    <t xml:space="preserve">Mikroklimatické podmienky v odbornej učebni = Microclimatic Conditions in a Vocational Classroom / Bánesz, Gabriel [Autor, UKFPFAKTT, 50%] ; Lukáčová, Danka [Autor, UKFPFAKTT, 50%]. – text. – [slovenčina]. – [OV 010]. – [článok]. – DOI 10.15584/eti.2018.4.5 In: Edukacja - Technika - Informatyka [textový dokument (print)] [elektronický dokument] . – Rzeszów (Poľsko) : Wydawnictwo Oświatowe FOSZE. – ISSN 2080-9069. – ISSN (online) 2450-9221. – ERIHplus 487724. – Roč. 26, č. 4 (2018), s. 49-54 [tlačená forma] [online] </t>
  </si>
  <si>
    <t xml:space="preserve">Mixed marriages with foreigners in Slovakia / Letavajová, Silvia [Autor, UKFFFAKMK, 70%] ; Hučková, Jana [Autor, UKFFFAKMK, 30%]. – text. – [angličtina]. – [OV 060]. – [článok] In: Kulturní studia [textový dokument (print)] [elektronický dokument] . – Praha (Česko) : Česká zemědelská univerzita v Praze. – ISSN 2533-7599. – ISSN 2336-2766. – Roč. 6, č. 2 (2018), s. 36-53 [tlačená forma] [online] </t>
  </si>
  <si>
    <t xml:space="preserve">Mobile applications in language learning / Poláková, Petra [Autor, UKFPFAKLI, 100%]. – text. – [angličtina]. – [OV 010]. – [článok] In: Hradec Králové Journal of Anglophone Studies [textový dokument (print)] [elektronický dokument] . – Hradec Králové (Česko) : Univerzita Hradec Králové. – ISSN 2336-3347. – ISSN (online) 2571-032X. – Roč. 6, č. 2 (2019), s. 88-93 [tlačená forma] [online] </t>
  </si>
  <si>
    <t xml:space="preserve">Moholy-Nagy Vizuális Modulok: szabadság és sokszínűség a vizuális nevelésben : „Moholy-Nagy Vizuális Modulok - a 21. század képi nyelvének tanítása” cikksorozat, I. / Kárpáti, Andrea [Autor, UKFFSSUVP, 100%]. – [maďarčina]. – [OV 010]. – [článok] In: Tanító [textový dokument (print)] : a Művelődési Minisztérium módszertani folyóirata. – ISSN 0496-8387. – Roč. 56, č. 4 (2018), s. 8-11 [tlačená forma] </t>
  </si>
  <si>
    <t xml:space="preserve">Moodle as a form of distance learning during the Covid-19 pandemic = Moodle ako forma dištančného vzdelávania počas pandémie Covid 19 / Tomková, Viera [Autor, UKFPFAKTT, 80%] ; Valentová, Monika [Autor, UKFPFAKTT, 20%]. – text. – [slovenčina]. – [OV 010]. – [článok]. – [recenzované] In: Inovace a technologie ve vzdělávání. – Plzeň (Česko) : Západočeská univerzita v Plzni. – ISSN 2571-2519. – Roč. 3, č. 1 (2020), s. 76-81 [online] </t>
  </si>
  <si>
    <t xml:space="preserve">Motív transformácie ľudskej figúry v arcinaratívoch ako rezíduum rituálov prechodu / Danišová, Nikola [Autor, UKFFFAULK, 100%]. – [slovenčina]. – [OV 020]. – [článok] In: Anthropologia Integra [textový dokument (print)] : Journal for general anthropology and related disciplines = Časopis pro obecnou antropologii a příbuzné obory. – Brno (Česko) : Masarykova univerzita. Akademické nakladatelství CERM. – ISSN 1804-6657. – ISSN (online) 1804-6665. – Roč. 10, č. 2 (2019), s. 59-67 [tlačená forma] </t>
  </si>
  <si>
    <t xml:space="preserve">Motivational Structure in Education / Ficzere, Anikó [Autor, UKFFFAKGE, 34%] ; Ďurková, Simona [Autor, UKFFFAKAA, 33%] ; Stranovská, Eva [Autor, UKFFFAKGE, 33%]. – text. – [angličtina]. – [OV 010]. – [článok] In: R&amp;E-Source [elektronický dokument] . – Baden (Rakúsko) : Pädagogische Hochschule NÖ. – ISSN (online) 2313-1640. – suppl. On First Impressions, č. 13 (2018), s. 47-54 [online] </t>
  </si>
  <si>
    <t xml:space="preserve">Motor Performance of Austrian and Slovak Pupils : A Comparative Analysis / Šimonek, Jaromír [Autor, UKFPFAKTV, 100%]. – [angličtina]. – [OV 210]. – [článok] In: Studia Universitatis Babes-Bolyai. Educatio Artis Gymnasticae [textový dokument (print)] [elektronický dokument] . – Kluž (Rumunsko) : Presa Universitara Clujeana. – ISSN 1453-4223. – ISSN (online) 2065-9547. – Roč. 63, č. 2 (2018), s. 5-16 [tlačená forma] [online] </t>
  </si>
  <si>
    <t xml:space="preserve">Motorické kompetencie 6–8 ročných detí v okrese Nitra / Halmová, Nora [Autor, UKFPFAKTV, 70%] ; Šimonek, Jaromír [Autor, UKFPFAKTV, 30%]. – text. – [slovenčina]. – [OV 210]. – [článok] In: Studia kinanthropologica [textový dokument (print)] [elektronický dokument] : the scientific journal for kinanthropology = vědecký časopis pro kinantropologii. – České Budějovice (Česko) : Jihočeská univerzita v Českých Budějovicích. Pedagogická fakulta. – ISSN 1213-2101. – Roč. 21, č. 2 (2020), s. 129-137 [tlačená forma] [online] </t>
  </si>
  <si>
    <t xml:space="preserve">Možnosti prevencie adaptačných ťažkostí žiakov 1. ročníka základnej školy / Teleková, Radka [Autor, UKFPFAKPE, 100%]. – text. – [slovenčina]. – [OV 010]. – [článok] In: GRANT journal [elektronický dokument] : European Grant Projects, Results, Research &amp; Development, Science : Peer-Reviewed Scientific Journal. – Hradec Králové (Česko) : Magnanimitas akademické sdružení. – ISSN (online) 1805-0638. – ISSN (online) 1805-062X. – Roč. 10, č. 2 (2021), s. 53-55 [CD-ROM] [online] </t>
  </si>
  <si>
    <t xml:space="preserve">Multicultural Education in Slovakia: Perspectives and Risks / Kondrla, Peter [Autor, UKFFFAKNS, 100%]. – text. – [angličtina]. – [OV 010]. – [článok]. – DOI 10.22363/2313-1683-2021-18-3-507-519 In: RUDN Journal of Psychology and Pedagogics [textový dokument (print)] [elektronický dokument] . – Moscow (Ruská federácia) : People's Friendship University of Russia. – ISSN 2313-1683. – ISSN (online) 2313-1705. – Roč. 18, č. 3 (2021), s. 507-519 [tlačená forma] [online] </t>
  </si>
  <si>
    <t xml:space="preserve">Multidisciplinary Approach to Diagnosis of Primary Progressive Aphasia in a Younger Middle Aged Patient / Krause, Robert [Autor, UKFPFAKAP, 100%]. – text. – [angličtina]. – [OV 060]. – [článok] In: World Academy of Science, Engineering and Technology [elektronický dokument] : International Journal of Cognitive and Language Sciences. – Turecko : World Academy of Science, Engineering and Technology. – ISSN (online) 1307-6892. – Roč. 14, č. 9 (2020), s. 222-225 [online] </t>
  </si>
  <si>
    <t xml:space="preserve">Multimediálna podpora vzdelávania sestier v paliatívnej starostlivosti = Multimedia support for nursing education in palliative care / Slamková, Alica [Autor, UKFFSVKOS, 50%] ; Poledníková, Ľubica [Autor, UKFFSVKOS, 50%]. – text. – [slovenčina]. – [OV 180]. – [článok] In: Ošetřovatelské perspektivy [elektronický dokument] [textový dokument (print)] . – Opava (Česko) : Slezská univerzita v Opavě. – ISSN 2570-785X. – ISSN (online) 2571-0702. – Roč. 2, č. 1 (2019), s. 39-50 [tlačená forma] [online] </t>
  </si>
  <si>
    <t xml:space="preserve">Na margo románu Mistr a Markétka (Text ako záhada, šifra, odkaz doby?) = On the Margin of the Novel Master and Margarita (Text as Mystery, Cipher, Message of Epoch) / Muránska, Natália [Autor, UKFFFAKRU, 100%]. – text. – [slovenčina]. – [OV 020]. – [článok] In: Novaja rusistika [textový dokument (print)] [elektronický dokument] : meždunarodnyj žurnal sovremennoj filologičeskoj i areal'noj rusistiky. – Brno (Česko) : Česká asociace slavistů. – ISSN 1803-4950. – ISSN (online) 2336-4564. – Roč. 14, č. 1 (2021), s. 41-50 [tlačená forma] [online] </t>
  </si>
  <si>
    <t xml:space="preserve">Najstaršie vyobrazenie a plán Levíc / Martinák, Matúš [Autor, UKFFFAKMU, 100%]. – text. – [slovenčina]. – [OV 030]. – [článok] In: Zprávy památkové péče [textový dokument (print)] : časopis státní památkové péče. – Praha (Česko) : Národní památkový ústav. Územní odborné pracoviště středních Čech v Praze. – ISSN 1210-5538. – Roč. 81, č. 3 (2021), s. 294-301 [tlačená forma] </t>
  </si>
  <si>
    <t xml:space="preserve">Néhány gondolat Francine Rivers Rendíthetetlenül (a kegyelem vonala.Ruth) címűregényéről / Hrbáček, Magdaléna [Autor, UKFFSSUSJ, 100%]. – [maďarčina]. – [OV 010]. – [článok] In: Szőrös Kő [textový dokument (print)] : irodalom, müvészet, kritika = literatúra, umenie, kritika. – Bratislava (Slovensko) : AB-ART Kiadó. – ISSN 1335-6321. – Roč. 22, č. 2 (2018), s. 65-71 [tlačená forma] </t>
  </si>
  <si>
    <t xml:space="preserve">Nekotoryje problemy porjadka slov v russko-slovackom sopostavlenii = Some Problems of Word Order in Russian and Slovak Comparison / Gallo, Ján [Autor, UKFFFAKRU, 100%]. – text. – [angličtina, ruština]. – [OV 010, 020]. – [článok] In: Cross-cultural studies [textový dokument (print)] : education and science. – Middlebury (USA) : Russian Department, Middlebury College. – ISSN 2470-1262. – Roč. 4, č. 1 (2019), s. 6-14 [tlačená forma] </t>
  </si>
  <si>
    <t xml:space="preserve">Nekotoryje vozmožnosti primenenija russkij paremij na zanjatijach po RKI v Slovakii = Some Opportunities of Applying Russian Paremises at Russian Foreign Teaching in Slovakia / Gallo, Ján [Autor, UKFFFAKRU, 100%]. – text. – [ruština]. – [OV 020]. – [článok] In: Philologia Rossica [textový dokument (print)] : časopis pro ruskou filologii a výuku ruského jazyka. – Hradec Králové (Česko) : Univerzita Hradec Králové. – ISSN 2694-8826. – Roč. 3, č. 4 (2021), s. 20-32 [tlačená forma] </t>
  </si>
  <si>
    <t xml:space="preserve">Nemzeti identitás és népszámlálás / Öllös, László [Autor, UKFFFAKPO, 100%]. – text. – [maďarčina]. – [OV 060]. – [článok] In: Fórum Társadalomtudományi Szemle [textový dokument (print)] . – Šamorín (Slovensko) : Fórum inštitút pre výskum menšín. – ISSN 1335-4361. – Roč. 22, č. 4 (2020), s. 103-113 [tlačená forma] </t>
  </si>
  <si>
    <t xml:space="preserve">Neoficiálne v oficiálnom alebo O slovenskom preklade videohry Sherlock Holmes vs. Arsene Lupin / Koscelníková, Mária [Autor, UKFFFAKTR, 100%]. – [slovenčina]. – [OV 020]. – [článok] In: Kritika prekladu [textový dokument (print)] [elektronický dokument] . – Banská Bystrica (Slovensko) : Univerzita Mateja Bela v Banskej Bystrici. Vydavateľstvo Univerzity Mateja Bela v Banskej Bystrici - Belianum. – ISSN 1339-3405. – Roč. 6, č. 1 (2018), s. 81-103 [tlačená forma] [online] </t>
  </si>
  <si>
    <t xml:space="preserve">Névszemiotikai tájkép - társadalom - identitás = Name Semiotic Landscape - Society - Identity / Bauko, Ján [Autor, UKFFSSUML, 100%]. – text. – [maďarčina]. – [OV 020]. – [článok]. – DOI 10.19090/hk.2019.4.61-80 In: Hungarológiai közlemények [textový dokument (print)] [elektronický dokument] : az újvidéki Bölcsészettudományi Kar Magyar Nyelv és Irodalom Tanszékének folyóirata. – Novi Sad (Srbsko) : Újvidéki Egyetem Bölcsészettudományi Kar Magyar Nyelv és Irodalom Tanszék. – ISSN 0350-2430. – ISSN (online) 2406-3266. – Roč. 20, č. 4 (2019), s. 61-80 [tlačená forma] [online] </t>
  </si>
  <si>
    <t xml:space="preserve">Noetické a ontologické přesahy v slovesné tvorbě mentálně nemocných: terapie a umělecké slovo z pohledu literární vědy / Mikulášek, Alexej [Autor, UKFFSSUSJ, 100%]. – text. – [čeština]. – [OV 020]. – [článok] In: GRANT journal [elektronický dokument] : European Grant Projects, Results, Research &amp; Development, Science : Peer-Reviewed Scientific Journal. – Hradec Králové (Česko) : Magnanimitas akademické sdružení. – ISSN (online) 1805-0638. – ISSN (online) 1805-062X. – Roč. 8, č. 1 (2019), s. 30-35 [CD-ROM] [online] </t>
  </si>
  <si>
    <t xml:space="preserve">Non-Native Teachers' Foreign Language Pronunciation Anxiety / Kráľová, Zdena [Autor, UKFPFAKLI, 50%] ; Malá, Eva [Autor, UKFPFAKLI, 50%]. – text. – [angličtina]. – [OV 010]. – [článok]. – DOI 10.20533/ijtie.2047.0533.2018.0161 In: International Journal of Technology and Inclusive Education [textový dokument (print)] . – Basildon (Veľká Británia) : Infonomics Society. – ISSN 2047-0533. – ISSN (online) 2046-4568. – Roč. 7, č. 2 (2018), s. 1322-1330 [tlačená forma] </t>
  </si>
  <si>
    <t xml:space="preserve">Nuove tessere d’archivio per rileggere la biografia dantesca (il periodo ravennate e la prima circolazione del poema) / Zaccarello, Michelangelo [Autor, UKFFFAKRO, 100%]. – text. – [taliančina]. – [OV 020]. – [článok] In: Dante [textový dokument (print)] : Rivista internazionale di studi  su Dante Alighieri. – Rím (Taliansko) : Fabrizio Serra Editore. – ISSN 1724-9058. – ISSN (online) 1824-9272. – č. 15 (2018), s. 93-102 [tlačená forma] </t>
  </si>
  <si>
    <t xml:space="preserve">Objawy i zagrożenia nadmiernego korzystania z internetu przez młodych ludzi. Próba definicji zjawiska i raport z badań / Kwadrans, Lukasz [Autor, 50%] ; Rác, Ivan [Autor, UKFFSVURS, 50%]. – text. – [poľština]. – [OV 060]. – [článok] In: Probacja [textový dokument (print)] [elektronický dokument] : kwartalnik Ministerstwa Sprawiedliwości. – Varšava (Poľsko) : Ministerstwo Sprawiedliwości. – ISSN 1689-6122. – Roč. 3, č. 2 (2019), s. 79-94 [tlačená forma] [online] </t>
  </si>
  <si>
    <t xml:space="preserve">Objectivity of Teachers' Assessment / Gadušová, Zdenka [Autor, UKFFFAKAA, 33.334%] ; Müglová, Daniela [Autor, UKFFFAKTR, 33.333%] ; Malá, Eva [Autor, 33.333%]. – text. – [angličtina]. – [OV 010]. – [článok]. – DOI 10.18421/SAR32‐05 In: SAR Journal - Science and Research [textový dokument (print)] [elektronický dokument] . – Novi Pazar (Srbsko) : Association for Information Communication Technology Education and Science. – ISSN 2619-9955. – ISSN (online) 2619-9963. – Roč. 3, č. 2 (2020), s. 79-83 [tlačená forma] [online] </t>
  </si>
  <si>
    <t xml:space="preserve">Obraščenija kak sposob vyraženija emocij (na materiale russkogo, belorusskogo i slovackogo jazykov) / Kalechyts, Alena [Autor, UKFFFAKRU, 100%]. – text. – [ruština]. – [OV 020]. – [článok]. – DOI 10.14746/strp.2019.44.1.29 In: Studia Rossica Posnaniensia [textový dokument (print)] . – Poznan (Poľsko) : Uniwersytet im. Adama Mickiewicza w Poznaniu. Wydawnictwo naukowe Uniwersytetu im. A. Mickiewicza. – ISSN 0081-6884. – Roč. 44, č. 2 (2019), s. 195-207 [tlačená forma] </t>
  </si>
  <si>
    <t xml:space="preserve">Obsah vzdelávania vyučovacieho predmetu Prvouka na Slovensku a v zahraničí / Nagyová, Alexandra [Autor, UKFPFAKPE, 100%]. – text. – [slovenčina]. – [OV 010]. – [článok] In: GRANT journal [elektronický dokument] : European Grant Projects, Results, Research &amp; Development, Science : Peer-Reviewed Scientific Journal. – Hradec Králové (Česko) : Magnanimitas akademické sdružení. – ISSN (online) 1805-0638. – ISSN (online) 1805-062X. – Roč. 8, č. 2 (2019), s. 55-59 [CD-ROM] [online] </t>
  </si>
  <si>
    <t xml:space="preserve">Optimism and pessimism in teaching process / Stančeková, Svetlana [Autor, UKFFFAKRO, 40%] ; Chválová, Katarína [Autor, UKFFFAKRO, 40%] ; Weiss, Ervín [Autor, UKFFFAKGE, 20%]. – text. – [angličtina]. – [OV 010]. – [článok]. – DOI 10.17846/AMN.2019.5.1.14-22 In: R&amp;E-Source [elektronický dokument] . – Baden (Rakúsko) : Pädagogische Hochschule NÖ. – ISSN (online) 2313-1640. – suppl. On First Impressions, č. 13 (2018), sp. iss., s. 136-142 [online] </t>
  </si>
  <si>
    <t xml:space="preserve">Osobennosti perevoda jevrejskich realij v chudožestvennom tekste = Specifics of Translating Jewish Realia in a Literary Text / Zahorák, Andrej [Autor, UKFFFAKTR, 100%]. – text. – [ruština]. – [OV 020]. – [článok] In: Filologičeskij aspekt [textový dokument (print)] : meždunarodnyj naučno-praktičeskij žurnal. – Nižnij Novgorod (Ruská federácia) : Filologičeskij aspekt. – ISSN 2412-8953. – Roč. 6, č. 10 (2020), s. 71-78 [tlačená forma] </t>
  </si>
  <si>
    <t xml:space="preserve">Osobnosť pacienta ako determinant v procese rekonvalescencie po cievnej mozgovej príhode = The personality of the patient as a determinant in the recovery after stroke / Dančová, Katarína [Autor, UKFFSVUAP, 50%] ; Sollár, Tomáš [Autor, UKFFSVUAP, 50%]. – [slovenčina]. – [OV 060]. – [článok]. – DOI 10.5507/dvp.2020.002 In: Diskuze v psychologii [elektronický dokument] . – Olomouc (Česko) : Univerzita Palackého v Olomouci. – ISSN 2694-8338. – Roč. 2, č. 1 (2020), s. 1-6 [online] </t>
  </si>
  <si>
    <t xml:space="preserve">Osobnosť učiteľa a motivácia žiakov učiť sa cudzí jazyk / Uhláriková, Jana [Autor, UKFFSVKPV, 100%]. – text. – [slovenčina]. – [OV 060]. – [článok] In: Školský psychológ/Školní psycholog [textový dokument (print)] [elektronický dokument] : časopis Asociácie školskej psychológie. – Brno (Česko) : Asociace školní psychologie. – ISSN 1212-0529. – Roč. 19, č. 1 (2018), s. 52-60 [tlačená forma] [online] </t>
  </si>
  <si>
    <t xml:space="preserve">Osobnostné a sociálne faktory prokrastinácie u študentov / Uhláriková, Jana [Autor, UKFFSVKPV, 50%] ; Križmová, Miriam [Autor, 50%]. – text. – [slovenčina]. – [OV 060, 010]. – [článok] In: Školský psychológ/Školní psycholog [textový dokument (print)] [elektronický dokument] : časopis Asociácie školskej psychológie. – Brno (Česko) : Asociace školní psychologie. – ISSN 1212-0529. – Roč. 20, č. 2 (2019), s. 58-66 [tlačená forma] [online] </t>
  </si>
  <si>
    <t xml:space="preserve">Ostaňme verní sebe... / Lauková, Silvia [Autor, UKFFFASJL, 100%]. – text. – [slovenčina]. – [OV 020]. – [článok]. – DOI 10.5817/SL2021-1-12 In: Slavica litteraria [textový dokument (print)] [elektronický dokument] : vědecký recenzovaný časopis publikující odborné práce z oblasti literárněvědné slavistiky. – Brno (Česko) : Masarykova univerzita. – ISSN 1212-1509. – ISSN (online) 2336-4491. – Roč. 24, č. 1 (2021), s. 145-147 [tlačená forma] [online] </t>
  </si>
  <si>
    <t xml:space="preserve">Parser a diskurzívne ohnisko z aspektu porozumenia textu = Discursive Focus from the Aspect of Understanding the Text / Kováčová, Zuzana [Autor, UKFFFASJL, 100%]. – text. – [slovenčina]. – [OV 020]. – [článok] In: Didaktické studie [textový dokument (print)] [elektronický dokument] . – Praha (Česko) : Univerzita Karlova v Praze. – ISSN 1804-1221. – ISSN (online) 2571-0400. – Roč. 11, č. 1 (2019), s. 39-55 [tlačená forma] [online] </t>
  </si>
  <si>
    <t xml:space="preserve">Perceived Social Competences and Quality of Relations of Future Teachers in Slovakia / Čerešník, Michal [Autor, UKFPFAKAP, 45%] ; Gatial, Viktor [Autor, UKFPFAKAP, 25%] ; Juhásová, Andrea [Autor, UKFPFAKAP, 25%] ; Verešová, Marcela [Autor, UKFPFAKAP, 5%]. – [angličtina]. – [OV 060]. – [článok] In: SAR Journal - Science and Research [textový dokument (print)] [elektronický dokument] . – Novi Pazar (Srbsko) : Association for Information Communication Technology Education and Science. – ISSN 2619-9955. – ISSN (online) 2619-9963. – Roč. 1, č. 4 (2018), s. 148-154 [tlačená forma] [online] </t>
  </si>
  <si>
    <t xml:space="preserve">Personalized e-course implementation in university environment / Mudrák, Marián [Autor, UKFFPVKIN, 100%]. – text. – [angličtina]. – [OV 010]. – [článok]. – DOI 10.2478/ijicte-2018-0006 In: ICTE Journal [elektronický dokument] : an International Journal of Information and Communication Technologies in Education : the Journal of University of Ostrava. – Ostrava (Česko) : Ostravská univerzita. – ISSN (online) 1805-3726. – Roč. 7, č. 2 (2018), s. 17-29 [online] </t>
  </si>
  <si>
    <t xml:space="preserve">Phraseological Units with Biblical, Mythical and Classical Names in the English and Russian Languages / Zelenická, Elena [Autor, UKFFFAJZC, 25%] ; Byiyk, Iana [Autor, 25%] ; Arsenteva, Elena [Autor, 25%] ; Gilazetdinova, Gelinya [Autor, 25%]. – text. – [slovenčina]. – [OV 020]. – [článok] In: Herald HAMSA [textový dokument (print)] . – Kyiv (Ukrajina) : National Academy of Managerial Staff of Culture and Arts. – ISSN 2226-3209. – ISSN (online) 2409-0506. – Roč. 2, č. 2 (2018), s. 1-4 [tlačená forma] </t>
  </si>
  <si>
    <t xml:space="preserve">Physical activity in the time of Covid-19 pandemic / Markovič, Roman [Autor, AOSKTTVS, 40%] ; Žiška, Peter [Autor, AOSKTTVS, 40%] ; Šimonek, Jaromír [Autor, UKFPFAKTV, 20%]. – text. – [angličtina]. – [OV 210]. – [ŠO 7418]. – [článok]. – DOI 10.24193/subbeag.66(2).13. – SIGN-AOS KTTVS 2/2021 In: Studia Universitatis Babes-Bolyai. Educatio Artis Gymnasticae [textový dokument (print)] [elektronický dokument] . – Kluž (Rumunsko) : Presa Universitara Clujeana. – ISSN 1453-4223. – ISSN (online) 2065-9547. – Roč. 66, č. 2 (2021), s. 19-28 [tlačená forma] [online] </t>
  </si>
  <si>
    <t xml:space="preserve">Pneumatická a hydraulická regulácia výrobných systémov v študijných programoch / Lukáčová, Danka [Autor, UKFPFAKTT, 50%] ; Bánesz, Gabriel [Autor, UKFPFAKTT, 50%]. – text. – [slovenčina]. – [OV 010]. – [článok] In: Edukacja - Technika - Informatyka [textový dokument (print)] [elektronický dokument] . – Rzeszów (Poľsko) : Wydawnictwo Oświatowe FOSZE. – ISSN 2080-9069. – ISSN (online) 2450-9221. – ERIHplus 487724. – Roč. 25, č. 3 (2018), s. 334-339 [tlačená forma] [online] </t>
  </si>
  <si>
    <t xml:space="preserve">Podoby (duše) redukovaného človeka podľa Pavla Straussa / Hlad, Ľubomír [Autor, UKFFFAKNS, 100%]. – text. – [angličtina]. – [OV 020]. – [článok] In: Aplikovaná psychologie [textový dokument (print)] [elektronický dokument] . – Terezín (Česko) : Vysoká škola aplikované psychologie. – ISSN 2336-8276. – Roč. 8, č. 8 (2020), s. 627-636 [tlačená forma] [online] </t>
  </si>
  <si>
    <t xml:space="preserve">Pojmové mapovanie na hodinách matematiky na primárnom stupni vzdelávania / Švecová, Valéria [Autor, UKFFPVKMA, 100%]. – text. – [slovenčina]. – [OV 010]. – [článok] In: Učitel matematiky [textový dokument (print)] . – Brno (Česko) : Masarykova univerzita. Přírodovědecká fakulta. – ISSN 1210-9037. – Roč. 27, č. 4 (2019), s. 252-264 [tlačená forma] </t>
  </si>
  <si>
    <t xml:space="preserve">Pokus o definíciu archetypálnej postavy šibala / Danišová, Nikola [Autor, UKFFFAULK, 100%]. – text. – [slovenčina]. – [OV 020]. – [článok] In: Anthropologia Integra [textový dokument (print)] : Journal for general anthropology and related disciplines = Časopis pro obecnou antropologii a příbuzné obory. – Brno (Česko) : Masarykova univerzita. Akademické nakladatelství CERM. – ISSN 1804-6657. – ISSN (online) 1804-6665. – Roč. 12, č. 2 (2021), s. 35-45 [tlačená forma] </t>
  </si>
  <si>
    <t xml:space="preserve">Ponuka služieb pre rodiny s deťmi vo vybraných hoteloch na Slovensku = The offer of services for families with children in selected hotels in Slovakia / Mazúchová, Ľudmila [Autor, UKFFSSKCR, 95%] ; Gálová, Nikola [Autor, 5%]. – [slovenčina]. – [OV 080]. – [článok] In: Studia Turistica [elektronický dokument] : online časopis pro vzdělávání v cestovním ruchu. – Jihlava (Česko) : Vysoká škola polytechnická Jihlava. – ISSN (online) 1804-252X. – Roč. 9, č. 3 (2018), s. 54-65 [online] </t>
  </si>
  <si>
    <t xml:space="preserve">Power Comparisons of Shapiro-Wilk, Kolmogorov-Smirnov and Jarque-Bera Tests / Tomšik, Robert [Autor, UKFPFAKAP, 100%]. – text. – [angličtina]. – [OV 010]. – [článok] In: Scholars Journal of Research in Mathematics and Computer Science [elektronický dokument] . – Dillí (India) : Scholars Scitech Research Organization. – ISSN (online) 2581-3064. – Roč. 3, č. 3 (2019), s. 228-234 </t>
  </si>
  <si>
    <t xml:space="preserve">Pragmatičeskaja funkcija intertekstem v veb-mediatekstach belorusskich i rossijskich internet-SMI / Kalechyts, Alena [Autor, UKFFFAKRU, 100%]. – text. – [ruština]. – [OV 020]. – [článok]. – DOI 10.14746/strp.2021.46.2.14 In: Studia Rossica Posnaniensia [textový dokument (print)] . – Poznan (Poľsko) : Uniwersytet im. Adama Mickiewicza w Poznaniu. Wydawnictwo naukowe Uniwersytetu im. A. Mickiewicza. – ISSN 0081-6884. – Roč. 46, č. 2 (2021), s. 201-214 [tlačená forma] </t>
  </si>
  <si>
    <t xml:space="preserve">Predoperačná úzkosť vo vzťahu k veku pacienta a času do operácie / Solgajová, Andrea [Autor, UKFFSVKOS, 25%] ; Sollár, Tomáš [Autor, UKFFSVUAP, 25%] ; Vörösová, Gabriela [Autor, UKFFSVKOS, 25%] ; Zrubcová, Dana [Autor, UKFFSVKOS, 25%]. – text. – [slovenčina]. – [OV 180]. – [článok] In: Logos Polytechnikos [textový dokument (print)] [elektronický dokument] . – Jihlava (Česko) : Vysoká škola polytechnická Jihlava. – ISSN 1804-3682. – ISSN (online) 2464-7551. – Roč. 9, č. 1 (2018), s. 132-142 [tlačená forma] [online] </t>
  </si>
  <si>
    <t xml:space="preserve">Preparation of Teachers of Technical Subjects in the Field of Occupational Safety / Lukáčová, Danka [Autor, UKFPFAKTT, 100%]. – text. – [angličtina]. – [OV 010]. – [článok] In: Journal of Technology and Information Education [textový dokument (print)] [elektronický dokument] . – Olomouc (Česko) : Univerzita Palackého v Olomouci. Pedagogická fakulta. Katedra technické a informační výchovy. – ISSN 1803-537X. – ISSN (online) 1803-6805. – Roč. 10, č. 2 (2018), s. 94-99 [tlačená forma] [online] </t>
  </si>
  <si>
    <t xml:space="preserve">Príbeh Orffovho Schulwerku na Slovensku - príspevok k 20. výročiu vzniku Slovenskej Orffovej spoločnosti / Blažeková, Miroslava [Autor, UKFPFAKHU, 100%]. – [slovenčina]. – [OV 010]. – [článok] In: Slovenská hudba [textový dokument (print)] : revue pre hudobnú kultúru. – Bratislava (Slovensko) : Slovenská muzikologická asociácia pri Slovenskej hudobnej únii. – ISSN 1335-2458. – ISSN (zrušené) 0037-6965. – Roč. 44, č. 3 (2018), s. 290-310 [tlačená forma] </t>
  </si>
  <si>
    <t xml:space="preserve">Priestorová predstavivosť a schopnosť vizualizácie pri riešení jedného neštandardného problému / Pavlovičová, Gabriela [Autor, UKFFPVKMA, 50%] ; Vágová, Renáta [Autor, UKFFPVKMA, 50%]. – text. – [slovenčina]. – [OV 010, 240]. – [článok] In: Učitel matematiky [textový dokument (print)] . – Brno (Česko) : Masarykova univerzita. Přírodovědecká fakulta. – ISSN 1210-9037. – Roč. 28, č. 1 (2020), s. 12-25 [tlačená forma] </t>
  </si>
  <si>
    <t xml:space="preserve">Pripomínať holokaust. Ako? : (Čítanie vojnového príbehu v optike detských rovesníkov) / Zeleňáková, Hana [Autor, UKFFFAULK, 100%]. – text. – [slovenčina]. – [OV 020]. – [článok] In: Jazyk - literatura - komunikace [elektronický dokument] : recenzovaný časopis KČJL UP Olomouc. – Olomouc (Česko) : Univerzita Palackého v Olomouci. Pedagogická fakulta. Katedra českého jazyka a literatury. – ISSN (online) 1805-689X. – Roč. 8, č. 1 (2019), s. 20-34 [online] </t>
  </si>
  <si>
    <t xml:space="preserve">Problémová mládež a jej nejednotná terminológia v československom priestore medzi rokmi 1918-1945 / Rigová, Viktória [Autor, UKFFFAKHI, 100%]. – text. – [slovenčina]. – [OV 030]. – [článok] In: Východočeské listy historické [textový dokument (print)] . – ISSN 1211-8184. – č. 43 (2021), s. 33-48 [tlačená forma] </t>
  </si>
  <si>
    <t xml:space="preserve">Progetto di un Osservatorio Permanente sulle Edizioni Digitali di autori ITaliani (OPEDIT). Prime indagini sulle pratiche di digitalizzazione e sull’autorevolezza dell’edizione di testi letterari italiani in formato elettronico / Zaccarello, Michelangelo [Autor, UKFFFAKRO, 100%]. – text. – [taliančina]. – [OV 020]. – [článok] In: Prassi ecdotiche della modernità letteraria [textový dokument (print)] : Rivista di studi di ecdotica e filologia d'autore. – Milano (Taliansko) : Universitá degli Studi di Milano. – ISSN 2499-6637. – Roč. 3, č. 3 (2018), s. 1-11 [tlačená forma] </t>
  </si>
  <si>
    <t xml:space="preserve">Project Based Learning and Its Effective Management in Pre-Primary Education / Horváthová, Ivana [Autor, UKFFFAKAA, 100%]. – text. – [angličtina]. – [OV 010]. – [článok] In: Studia z Teorii Wychowania [textový dokument (print)] . – Varšava (Poľsko) : Chrześcijańska Akademia Teologiczna w Warszawie. Wydawnictwo Naukowe. – ISSN 2083-0998. – Roč. 9, č. 4 (2018), s. 259-266 [tlačená forma] </t>
  </si>
  <si>
    <t xml:space="preserve">Proposal for a Reference Framework and Tools for the Evaluation of Teachers' Professional Competences in Slovakia / Lalinská, Mária [Autor, UKFFFAKRO, 50%] ; Stranovská, Eva [Autor, UKFFFAKGE, 50%]. – text. – [angličtina]. – [OV 010]. – [článok] In: International Journal of Economic Research [textový dokument (print)] . – Delhi (India) : Serials Publications. – ISSN 0972-9380. – Roč. 15, č. 2 (2018), s. 289-298 [tlačená forma] Scimago - Business, management and accounting (miscellaneous) - Q4, Economics, econometrics and finance (miscellaneous) - Q4 </t>
  </si>
  <si>
    <t xml:space="preserve">Psychological and Spiritual Dimension of the Disease in Optics of te Experience of Paul Strauss II / Hlad, Ľubomír [Autor, UKFFFAKNS, 100%]. – text. – [angličtina]. – [OV 020]. – [článok] In: Aplikovaná psychologie [textový dokument (print)] [elektronický dokument] . – Terezín (Česko) : Vysoká škola aplikované psychologie. – ISSN 2336-8276. – Roč. 6, č. 10 (2021), s. 898-911 [tlačená forma] [online] </t>
  </si>
  <si>
    <t xml:space="preserve">Psychological and Spiritual Dimension of the Disease in Optics of the Experience of Paul Strauss I. / Hlad, Ľubomír [Autor, UKFFFAKNS, 100%]. – [angličtina]. – [OV 020]. – [článok] In: Aplikovaná psychologie [textový dokument (print)] [elektronický dokument] . – Terezín (Česko) : Vysoká škola aplikované psychologie. – ISSN 2336-8276. – Roč. 6, č. 9 (2021), s. 752-762 [tlačená forma] [online] </t>
  </si>
  <si>
    <t xml:space="preserve">Psychologické aspekty epistemického procesu / Kondrla, Peter [Autor, UKFFFAKNS, 90%] ; Kocev, Pavle [Autor, 10%]. – [slovenčina]. – [OV 020]. – [článok] In: Aplikovaná psychologie [textový dokument (print)] [elektronický dokument] . – Terezín (Česko) : Vysoká škola aplikované psychologie. – ISSN 2336-8276. – Roč. 6, č. 10 (2021), s. 788-796 [tlačená forma] [online] </t>
  </si>
  <si>
    <t xml:space="preserve">Public Disengagement from Environmental Issues in Relation to Their Media Coverage = Desinteresse público nos media sobre temas ambientais / Skačan, Juraj [Autor, UKFFFAKFI, 100%]. – text. – [angličtina, portugalčina]. – [OV 020]. – [článok] In: Revista Multidisciplinar [textový dokument (print)] : revue multidisciplinaire . – Algarve (Portugalsko) : Universidade do Algarve. – ISSN 2184-5492. – Roč. 2, č. 1 (2020), s. 15-23 [tlačená forma] </t>
  </si>
  <si>
    <t xml:space="preserve">Reading habits and reading comprehension skills among primary school students / Gergelyová, Viktória [Autor, UKFFSSUML, 100%]. – text. – [angličtina]. – [OV 010]. – [článok]. – DOI 10.35603/ssa2021/issue1.02 In: SWS Journal of Social Sciences and Art [textový dokument (print)] [elektronický dokument] . – Viedeň (Rakúsko) : SWS Scientific Society. – ISSN 2664-0104. – Roč. 3, č. 1 (2021), s. 8-18 [tlačená forma] [online] </t>
  </si>
  <si>
    <t xml:space="preserve">Reading Habits and Self-Assessment of Reading Comprehension Skills Among Hungarian Students in Slovakia / Gergelyová, Viktória [Autor, UKFFSSUML, 100%]. – text. – [angličtina]. – [OV 020]. – [článok] In: SWS Journal of Social Sciences and Art [textový dokument (print)] [elektronický dokument] . – Viedeň (Rakúsko) : SWS Scientific Society. – ISSN 2664-0104. – Roč. 1, č. 1 (2019), s. 79-89 [tlačená forma] [online] </t>
  </si>
  <si>
    <t xml:space="preserve">Reflections on distance learning when teaching english primary school children, children with special educational needs and adult learners at language school during covid-19 pandemic / Romanová, Iveta [Autor, UKFFFAKAA, 34%] ; Bekešová, Jana [Autor, UKFPFAKLI, 33%] ; Jelínková, Beáta [Autor, UKFPFAKLI, 33%]. – text. – [angličtina]. – [OV 010]. – [článok] In: ICTE Journal [elektronický dokument] : an International Journal of Information and Communication Technologies in Education : the Journal of University of Ostrava. – Ostrava (Česko) : Ostravská univerzita. – ISSN (online) 1805-3726. – Roč. 10, č. 1 (2021), s. 39-48 [online] </t>
  </si>
  <si>
    <t xml:space="preserve">Reflexia kulturém v literárno-prekladovej komunikácii súčasnej slovenskej prózy / Zahorák, Andrej [Autor, UKFFFAKTR, 100%]. – text. – [slovenčina]. – [OV 020]. – [článok] In: Proudy [elektronický dokument] : středoevropský časopis pro vědu a literaturu : literární časopis středoevropského centra slovanských studií a ústavu slavistiky FF MU. – Brno (Česko) : Středoevropské centrum slovanských studií. – ISSN (online) 1804-7246. – Roč. 12, č. 1 (2021), s. 1-10 [online] </t>
  </si>
  <si>
    <t xml:space="preserve">Religijność młodzieży słowackiej w procesie przemian / Štefaňak, Ondrej [Autor, UKFFFAKSO, 100%]. – text. – [poľština]. – [OV 020]. – [článok] In: Przegląd Religioznawczy [textový dokument (print)] : kwartalnik naukowy. – Warszawa (Poľsko) : Wydawnictwo Polskiego Towarzystwa Religioznawczego. – ISSN 1230-4379. – Roč. 62, č. 2 (2018), s. 113-129 [tlačená forma] </t>
  </si>
  <si>
    <t xml:space="preserve">Religiosity of Slovakian youth and its typology / Štefaňak, Ondrej [Autor, UKFFFAKSO, 100%]. – text. – [angličtina]. – [OV 060]. – [článok] In: Hungarian Educational Research Journal [textový dokument (print)] [elektronický dokument] . – Debrecín (Maďarsko) : Hungarian Educational Research. – ISSN 2064-2199. – Roč. 9, č. 1 (2019), s. 88-99 [tlačená forma] [online] </t>
  </si>
  <si>
    <t xml:space="preserve">Research on elisions in preschool age children / Grofčíková, Soňa [Autor, UKFPFAKPE, 50%] ; Máčajová, Monika [Autor, UKFPFAKPE, 50%]. – text. – [angličtina]. – [OV 010]. – [článok]. – DOI 10.34630/sensose.v7i3.3277 In: Sensos-e [textový dokument (print)] [elektronický dokument] : multimedia Journal of Research in Education. – Porto (Portugalsko) : Escola Superior de Educação do Ipp. – ISSN 2183-1432. – Roč. 7, č. 3 (2020), s. 15-23 [tlačená forma] [online] </t>
  </si>
  <si>
    <t xml:space="preserve">Resisting Arab American Label in Diana Abu-Jaber's Origin : from Descent to Consent, from Origin to Originality / Tabačková, Zuzana [Autor, UKFPFAKLI, 100%]. – [angličtina]. – [OV 020]. – [článok] In: Ostrava Journal of English Philology [textový dokument (print)] . – Ostrava (Česko) : Ostravská univerzita. Filozofická fakulta. – ISSN 1803-8174. – ISSN (zrušené) 1803-4174. – Roč. 10, č. 1 (2018), s. 89-101 [tlačená forma] </t>
  </si>
  <si>
    <t xml:space="preserve">Results of research project Remote laboratories in distance forms of education focused on practical skills of students / Bánesz, Gabriel [Autor, UKF.Nitra, 25%] ; Tomková, Viera [Autor, UKFPFAKTT, 25%] ; Lukáčová, Danka [Autor, UKFPFAKTT, 25%] ; Širka, Ján [Autor, UKFPFAKTT, 25%]. – text. – [angličtina]. – [OV 010]. – [článok]. – [recenzované] In: R&amp;E-Source [elektronický dokument] . – Baden (Rakúsko) : Pädagogische Hochschule NÖ. – ISSN (online) 2313-1640. – suppl. Engineering pedagogy unites, č. 17 (2019), s. 32-36 [online] </t>
  </si>
  <si>
    <t xml:space="preserve">Rizikové faktory správania sa detí a mládeže v kontexte vzťahov v rodinnom a školskom prostredí / Juhásová, Andrea [Autor, UKFPFAKAP, 50%] ; Foglová, Lucia [Autor, UKFPFAKAP, 50%]. – text. – [slovenčina]. – [OV 060, 010]. – [článok] In: Školský psychológ/Školní psycholog [textový dokument (print)] [elektronický dokument] : časopis Asociácie školskej psychológie. – Brno (Česko) : Asociace školní psychologie. – ISSN 1212-0529. – Roč. 20, č. 1 (2019), s. 47-57 [tlačená forma] [online] </t>
  </si>
  <si>
    <t xml:space="preserve">Rodina v kontexte adaptácie žiaka na začiatku školskej dochádzky / Teleková, Radka [Autor, UKFPFAKPE, 100%]. – text. – [slovenčina]. – [OV 010]. – [článok] In: GRANT journal [elektronický dokument] : European Grant Projects, Results, Research &amp; Development, Science : Peer-Reviewed Scientific Journal. – Hradec Králové (Česko) : Magnanimitas akademické sdružení. – ISSN (online) 1805-0638. – ISSN (online) 1805-062X. – Roč. 9, č. 2 (2021), s. 69-73 [CD-ROM] [online] </t>
  </si>
  <si>
    <t xml:space="preserve">Rozhovor o etice / Blaščíková, Andrea [Autor, UKFFFAKNS, 50%] ; Svobodová, Zuzana [Autor, 50%]. – text. – [slovenčina]. – [OV 020]. – [článok] In: Paideia [elektronický dokument] : Philosophical E-Journal of Charles University. – Praha (Česko) : Univerzita Karlova v Praze. Pedagogická fakulta. Katedra občanské výchovy a filosofie. – ISSN (online) 1214-8725. – Roč. 17, č. 1 (2020), s. 1-12 [online] </t>
  </si>
  <si>
    <t xml:space="preserve">Rozvíjanie vyšších kognitívnych procesov ako predpoklad zvyšovania úrovne tvorivého a kritického myslenia žiakov / Šutovcová, Lenka [Autor, UKFPFAKPE, 100%]. – text. – [slovenčina]. – [OV 010]. – [článok] In: GRANT journal [elektronický dokument] : European Grant Projects, Results, Research &amp; Development, Science : Peer-Reviewed Scientific Journal. – Hradec Králové (Česko) : Magnanimitas akademické sdružení. – ISSN (online) 1805-0638. – ISSN (online) 1805-062X. – Roč. 9, č. 2 (2021), s. 64-68 [CD-ROM] [online] </t>
  </si>
  <si>
    <t xml:space="preserve">Selected aspects of creative drama and special needs learners in foreign language education / Hvozdíková, Silvia [Autor, UKFFFAKAA, 100%]. – text. – [angličtina]. – [OV 010]. – [článok]. – DOI 10.14529/ped210210 In: Bulletin of the South Ural State University [elektronický dokument] : Serie Education. Educational Sciences. – Čeľjabinsk (Ruská federácia) : Nacionnaľnyj issledovateľskij universitet. – ISSN 2411-0906. – Roč. 13, č. 2 (2021), s. 107-112 [online] </t>
  </si>
  <si>
    <t xml:space="preserve">Selfie w medialnych digitalnych platformach - ukierunkowanie komunikacji marketingowej / Fichnová, Katarína [Autor, UKFFFAKMR, 50%] ; Wojciechowski, Łukasz Pawel [Autor, UCMFMKKMSK, 50%]. – text. – [poľština]. – [OV 020]. – [článok]. – DOI 10.24917/20837275.10.4.7 In: Annales Universitatis Paedagogicae Cracoviensis [elektronický dokument] [textový dokument (print)] : Studia de Cultura. – Kraków (Poľsko) : Uniwersytet Pedagogiczny im. Komisji Edukacji Narodowej w Krakowie. Wydawnictwo Naukowe Uniwersytetu Pedagogicznego. – ISSN 2083-7275. – ISSN (online) 2391-4432. – DOI 10.24917/20837275.10.2. – Roč. 10, č. 4 (2018), s. 74-91 [online] </t>
  </si>
  <si>
    <t xml:space="preserve">Sintaktiko-semantičeskije osobennosti russkich i slovackich jazykovych aforizmov = Syntactic  and  Semantic Features of Russian and Slovak  Language Aphorisms / Gallo, Ján [Autor, UKFFFAKRU, 100%]. – text. – [ruština]. – [OV 020]. – [článok] In: Studia Rossica Posnaniensia [textový dokument (print)] . – Poznan (Poľsko) : Uniwersytet im. Adama Mickiewicza w Poznaniu. Wydawnictwo naukowe Uniwersytetu im. A. Mickiewicza. – ISSN 0081-6884. – Roč. 45, č. 2 (2020), s. 137-146 [tlačená forma] </t>
  </si>
  <si>
    <t xml:space="preserve">Six Technological Innovations that Changed English Language Teaching / Bekešová, Jana [Autor, UKFPFAKLI, 50%] ; Romanová, Iveta [Autor, UKFFFAKAA, 50%]. – text. – [angličtina]. – [OV 010]. – [článok]. – DOI 10.2478/ijicte-2019-0003 In: ICTE Journal [elektronický dokument] : an International Journal of Information and Communication Technologies in Education : the Journal of University of Ostrava. – Ostrava (Česko) : Ostravská univerzita. – ISSN (online) 1805-3726. – Roč. 8, č. 1 (2019), s. 30-38 [online] </t>
  </si>
  <si>
    <t xml:space="preserve">Skúsenosti so vzdelávaním počas koronakrízy / Šebo, Miroslav [Autor, UKFPFAKTT, 100%]. – text. – [slovenčina]. – [OV 010]. – [článok]. – [recenzované] In: Inovace a technologie ve vzdělávání. – Plzeň (Česko) : Západočeská univerzita v Plzni. – ISSN 2571-2519. – Roč. 3, č. 1 (2020), s. 64-69 [online] </t>
  </si>
  <si>
    <t xml:space="preserve">Slovackaja poezija v russkich perevodach / Muránska, Natália [Autor, UKFFFAKRU, 100%]. – text. – [ruština]. – [OV 020]. – [článok] In: Voprosy obrazovanija [textový dokument (print)] [elektronický dokument] : jazyki i specialnosti. Vestnik RUDN. – Moskva (Ruská federácia) : People's Friendship University of Russia. – ISSN 2312-8011. – ISSN (online) 2312-802X. – Roč. 14, č. 2 (2019), s. 102-109 [tlačená forma] [online] </t>
  </si>
  <si>
    <t xml:space="preserve">Slovak modal verbs polysemy in political discourse / Dudová, Katarína [Autor, UKFFFASJL, 100%]. – text. – [angličtina]. – [OV 020]. – [článok] In: Studia Philologica Universitatis Velikotarnovensis [textový dokument (print)] [elektronický dokument] . – Veliko Tarnovo (Bulharsko) : St. Cyril and St. Methodius University of Veliko Tarnovo. – ISSN 2534-918X. – ISSN (online) 2534-9236. – Roč. 37, č. 1 (2020), s. 185-194 [tlačená forma] [online] </t>
  </si>
  <si>
    <t xml:space="preserve">Slovenské školy a vyučovanie slovenského jazyka v Rumunsku = Slovak Schools and Teaching the Slovak Language in Romania / Bires, Marka [Autor, UKFFFASJL, 100%]. – text. – [slovenčina]. – [OV 010]. – [článok] In: Didaktické studie [textový dokument (print)] [elektronický dokument] . – Praha (Česko) : Univerzita Karlova v Praze. – ISSN 1804-1221. – ISSN (online) 2571-0400. – Roč. 10, č. 1 (2018), s. 31-42 [tlačená forma] [online] </t>
  </si>
  <si>
    <t xml:space="preserve">Slovenský skladateľ Jozef Podprocký a jeho tvorba pre akordeón : pedagogicko-interpretačná analýza vybraných inštruktívnych skladieb / Haragová, Paulína [Autor, UKFPFAKHU, 100%]. – text. – [slovenčina]. – [OV 010]. – [článok] In: Hudební výchova [textový dokument (print)] : časopis pro hudební a obecně estetickou výchovu školní a mimoškolní. – Praha (Česko) : Univerzita Karlova v Praze. Pedagogická fakulta. – ISSN 1210-3683. – Roč. 26, č. 1 (2018), s. 15-18 [tlačená forma] </t>
  </si>
  <si>
    <t xml:space="preserve">Society and name use. Hungarian onomastic research projects in Slovakia. A summary of a habilitation dissertation = Társadalom és névhasználat. Magyar névtani kutatások Szlovákiában. Habilitációs értekezés összefoglalója / Bauko, Ján [Autor, UKFFSSUML, 100%]. – text. – [angličtina]. – [OV 020]. – [článok] In: Névtani Értesítő [textový dokument (print)] [elektronický dokument] . – Budapešť (Maďarsko) : Magyar nyelvtudományi társaság, Budapešť (Maďarsko) : Eötvös Loránd Tudományegyetem. ELTE Bölcsészettudományi Kar. Magyar Nyelvtudományi és Finnugor Intézet. – ISSN 0139-2190. – ISSN (online) 2064-7484. – Roč. 40, č. 2 (2018), s. 163-166 [tlačená forma] . – SJR: 0,316 ; CiteScore: 0,5 ; SNIP: 0,671 Scimago - Language and linguistics - Q1, Linguistics and language - Q2 </t>
  </si>
  <si>
    <t xml:space="preserve">Sokszínű névszemiotikai tájkép Rimaszombatban / Angyal, Ladislav [Autor, UKFFSSUML, 100%]. – [maďarčina]. – [OV 020]. – [článok] In: Tanulmányok [textový dokument (print)] : Az Újvidéki Egyetem Magyar Tanszékének kiadványa. – Nový Sad (Srbsko) : Univerzitet u Novom Sadu. Filozofski fakultet. Katedra za mađarski jezik i književnost. – ISSN 0354-9690. – ISSN (online) 2466-4545. – Roč. 7, č. 1 (2021), s. 21-32 [tlačená forma] </t>
  </si>
  <si>
    <t xml:space="preserve">Solving some specific tasks by Euler's and Fermat's Little theorem / Ďuriš, Viliam [Autor, UKFFPVKMA, 100%]. – text. – [angličtina]. – [OV 240]. – [článok] In: Ratio Mathematica [textový dokument (print)] : Journal of Mathematics, Statistics, and Applications. – ISSN 1592-7415. – ISSN (online) 2282-8214. – č. 37 (2019), s. 39-48 [tlačená forma] </t>
  </si>
  <si>
    <t xml:space="preserve">Spotrebiteľské preferencie v kontexte lojálnosti ku značke vybraných potravinárskych produktov = Consumer preferences in the context of loyalty for the brand of selected food products / Kádeková, Zdenka [Autor, SPUFEM16, 35%] ; Košičiarová, Ingrida [Autor, SPUFEM16, 35%] ; Džupina, Milan [Autor, UKFFFAKMR, 30%]. – text. – [slovenčina]. – [OV 080, 190]. – [článok]. – [recenzované] In: VŠPP Entrepreneurship studies [elektronický dokument] . – Praha (Česko) : Vysoká škola podnikání a práva. – ISSN 1802-0453. – Roč. 9, č. 1 (2020), s. 36-51 [online] </t>
  </si>
  <si>
    <t xml:space="preserve">Ss. Cyril and Methodius in the Slovak literature of the 20th century / Ivanič, Peter [Autor, UKFFFAUKD, 100%]. – text. – [angličtina]. – [OV 030]. – [ŠO 7115]. – [článok] In: Spektar [textový dokument (print)] : spisanie na Institutot za literatura pri Filološkiot fakultet. – ISSN 0352-2423. – č. 77 (2021), s. 169-186 [tlačená forma] </t>
  </si>
  <si>
    <t xml:space="preserve">Startups Support in Slovak Republic / Hudáková, Jarmila [Autor, UKFFPVUMI, 100%]. – text. – [angličtina]. – [OV 060]. – [článok] In: Management Studies [textový dokument (print)] [elektronický dokument] . – Valley Cottage (USA) : David Publishing Company. – ISSN 2328-2185. – Roč. 7, č. 1 (2019), s. 85-87 [tlačená forma] </t>
  </si>
  <si>
    <t xml:space="preserve">Stratégie čítania s porozumením v anglickom jazyku ako podpora žiakov s dyslexiou / Vogelová, Zuzana [Autor, 50%] ; Gadušová, Zdenka [Autor, UKFFFAKAA, 50%]. – text. – [slovenčina]. – [OV 010]. – [článok] In: Lingua Viva [textový dokument (print)] [elektronický dokument] : odborný časopis pro teorii a praxi vyučování cizím jazykům a češtině jako cizímu jazyku. – České Budějovice (Česko) : Jihočeská univerzita v Českých Budějovicích. Pedagogická fakulta. – ISSN 1801-1489. – ISSN (online) 2336-8136. – Roč. 17, č. 33 (2021), s. 9-24 [tlačená forma] [online] </t>
  </si>
  <si>
    <t xml:space="preserve">Súčasný stav lokalizácie videohier  na Slovensku / Koscelníková, Mária [Autor, UKFFFAKTR, 100%]. – text. – [slovenčina]. – [OV 020]. – [článok] In: Acta Universitatis Carolinae : Philologica [textový dokument (print)] [elektronický dokument] . – Praha (Česko) : Univerzita Karlova v Praze. Nakladatelství Karolinum. – ISSN 0567-8269. – ISSN (online) 2464-6830. – č. 4 (2019), s. 131-142 [tlačená forma] [online] </t>
  </si>
  <si>
    <t xml:space="preserve">Sustainability of U-CALL / Gajdáčová Veselá, Katerina [Autor, UKFPFAKLI, 100%]. – text. – [angličtina]. – [OV 010]. – [článok] In: ICTE Journal [elektronický dokument] : an International Journal of Information and Communication Technologies in Education : the Journal of University of Ostrava. – Ostrava (Česko) : Ostravská univerzita. – ISSN (online) 1805-3726. – Roč. 7, č. 2 (2018), s. 30-38 [online] </t>
  </si>
  <si>
    <t xml:space="preserve">Sustainabilityof project results workshops in primary school condituions in Slovakia / Felixová, Eva [Autor, 50%] ; Bánesz, Gabriel [Autor, UKFPFAKTT, 50%]. – text. – [angličtina]. – [OV 010]. – [článok] In: Journal of Technology and Information Education [textový dokument (print)] [elektronický dokument] . – Olomouc (Česko) : Univerzita Palackého v Olomouci. Pedagogická fakulta. Katedra technické a informační výchovy. – ISSN 1803-537X. – ISSN (online) 1803-6805. – Roč. 12, č. 1 (2020), s. 38-43 [tlačená forma] [online] </t>
  </si>
  <si>
    <t xml:space="preserve">Svátost manželství v legátských statutech Filipa z Fermo z roku 1279 / Krafl, Pavel Otmar [Autor, UKFFFAKHI, 100%]. – text. – [čeština]. – [OV 030]. – [článok] In: Sborník prací Pedagogické fakulty Masarykovy univerzity v Brně [textový dokument (print)] . – ISSN 1211-6068. – Roč. 33, č. 2 (2019), s. 157-159 [tlačená forma] </t>
  </si>
  <si>
    <t xml:space="preserve">Swiaty wartosci mieszkancow miasta. Na przykladzie badan socjologicznych w Zabrzu / Swiatkiewicz, Wojciech  Krzysztof [Autor, UKFFFAKSO, 100%]. – text. – [poľština]. – [OV 020]. – [článok]. – DOI 10.31743/zn.2020.63.1.01 In: Zeszyty Naukowe Katolickiego Uniwersytetu Lubelskiego [textový dokument (print)] [elektronický dokument] . – Lublin (Poľsko) : Katolicki Uniwersytet Lubelski Jana Pawła II. – ISSN 0044-4405. – ISSN (online) 2543-9715. – Roč. 63, č. 1 (2020), s. 5-22 [tlačená forma] [online] </t>
  </si>
  <si>
    <t xml:space="preserve">System of preparation of pupils in technical education and its application in school practice / Bilčík, Alexander [Autor, KDOP, 40%] ; Tureková, Ivana [Autor, UKFPFAKTT, 30%] ; Bilčíková, Jana [Autor, 30%]. – text. – [angličtina]. – [OV 010]. – [článok]. – [recenzované] In: R&amp;E-Source [elektronický dokument] . – Baden (Rakúsko) : Pädagogische Hochschule NÖ. – ISSN (online) 2313-1640. – suppl. Engineering pedagogy unites, č. 17 (2019), s. 47-52 [online] </t>
  </si>
  <si>
    <t xml:space="preserve">Školské sebapoňatie a kvalita interpersonálnych vzťahov adolescenta / Balážová, Miroslava [Autor, UKFFSVKPV, 50%] ; Popelková, Marta [Autor, UKFFSVKPV, 50%]. – text. – [slovenčina]. – [OV 060]. – [článok] In: Psychologie a její kontexty [textový dokument (print)] [elektronický dokument] : odborný recenzovaný časopis pro teoretické i praktické otázky uplatnění psychologie v životě dnešního člověka = Peer-reviewed Journal for Theoretical and Practical Issues of the Psychology in Modern Life . – Ostrava (Česko) : Ostravská univerzita. Filozofická fakulta. – ISSN 1803-9278. – ISSN (online) 1805-9023. – Roč. 9, č. 1 (2018), s. 29-40 [tlačená forma] [online] </t>
  </si>
  <si>
    <t xml:space="preserve">Špecifiká humoristickej tvorby na Slovensku a jej miesto v stredoeurópskom kontexte / Timko, Štefan [Autor, UKFFSSUSJ, 100%]. – [slovenčina]. – [OV 020]. – [článok] In: Slavica litteraria [textový dokument (print)] [elektronický dokument] : vědecký recenzovaný časopis publikující odborné práce z oblasti literárněvědné slavistiky. – Brno (Česko) : Masarykova univerzita. – ISSN 1212-1509. – ISSN (online) 2336-4491. – Roč. 24, č. 1 (2021), s. 63-74 [tlačená forma] [online] </t>
  </si>
  <si>
    <t xml:space="preserve">Štúdium kvality vnútorného prostredia a jeho vplyv na výkon žiaka vo výchovno-vzdelávacom procese : Study of the Quality of the Interior Environment and its Impact on a Student’s Performance in the Education and Learning Process / Depešová, Jana [Autor, UKFPFAKTT, 100%]. – text. – [slovenčina]. – [OV 010]. – [článok]. – DOI 10.15584/eti.2018.4.8 In: Edukacja - Technika - Informatyka [textový dokument (print)] [elektronický dokument] . – Rzeszów (Poľsko) : Wydawnictwo Oświatowe FOSZE. – ISSN 2080-9069. – ISSN (online) 2450-9221. – ERIHplus 487724. – Roč. 26, č. 4 (2018), s. 68-74 [tlačená forma] [online] </t>
  </si>
  <si>
    <t xml:space="preserve">Teacher education in Slovakia: an analysis an inputs for indian system / Misra, Pradeep Kumar [Autor, 34%] ; Pupala, Branislav [Autor, TUTPFSPD, 33%] ; Gadušová, Zdenka [Autor, UKFFFAKAA, 33%]. – text. – [angličtina]. – [OV 010, 020]. – [článok]. – [recenzované]. – TUTPFSPD signatúra E075506 In: Journal of All India Association for Educational Research. – Bharatpur (India) : All India Association for Educational Research. – ISSN 0970-9827. – Roč. 30, č. 1-2 (2018), s. 19-44 </t>
  </si>
  <si>
    <t xml:space="preserve">Teachers' beliefs about creativity and its nurture: A systematic review of the recent research literature / Bereczki, Enikő Orsolya [Autor, 10%] ; Kárpáti, Andrea [Autor, UKFFSSUVP, 90%]. – [angličtina]. – [OV 010]. – [článok] In: Educational Research Review [textový dokument (print)] : The Journal of the European Association for Research on Learning and Instruction. – Amsterdam (India) : Elsevier. – ISSN 1747-938X. – č. 23 (2018), s. 25-56 [tlačená forma] . – SJR: 2,827 ; CiteScore: 10,4 ; SNIP: 5,741 ; IF: 5.204 JIF - Education &amp; educational research - Q1 Scimago - Education - Q1 </t>
  </si>
  <si>
    <t xml:space="preserve">Teachers' individual concept aimed at cooperation with pupils' / Mendelová, Eleonóra [Autor, UKFPFAKPE, 40%] ; Zelená, Hana [Autor, UKFPFAKPE, 30%] ; Grofčíková, Soňa [Autor, UKFPFAKPE, 30%]. – text. – [angličtina]. – [OV 010]. – [článok] In: Docere [textový dokument (print)] . – Szeged (Maďarsko) : SZTE JGYPK TÓKI. – ISSN 2559-9240. – Roč. 3, č. 3-4 (2019), s. 65-81 [tlačená forma] </t>
  </si>
  <si>
    <t xml:space="preserve">Teaching English to Exceptional Learners : Examples of Good Practice from Slovak Schools / Vogelová, Zuzana [Autor, 40%] ; Gadušová, Zdenka [Autor, UKFFFAKAA, 60%]. – text. – [angličtina]. – [OV 020, 010]. – [článok] In: Izuzetna deca: obrazovanje i tretman [elektronický dokument] . – Novi Sad (Srbsko) : Društvo defektologa Vojvodine. – ISSN 2683-3603. – suppl. Educational Practices Roč. 2, č. 4 (2020), s. 364-375 [online] </t>
  </si>
  <si>
    <t xml:space="preserve">Teaching Reading Comprehension in Foreign Language at Secondary Schools through Intervention / Stranovská, Eva [Autor, UKFFFAKGE, 34%] ; Ficzere, Anikó [Autor, UKFFSSKCR, 33%] ; Szabó, Erzsébet [Autor, UKFFFAKGE, 33%]. – text. – [angličtina]. – [OV 010]. – [článok] In: Vestnik Južnouraľskovo gosudarstvennovo universiteta [textový dokument (print)] . – ISSN 2073-7602. – ISSN (online) 2412-0553. – Roč. 13, č. 1 (2021), s. 94-102 [tlačená forma] </t>
  </si>
  <si>
    <t xml:space="preserve">Teatarskogo delo kako interpretacisko bitije / Inštitorisová, Dagmar [Autor, UKFFFAKMR, 100%]. – text. – [macedónčina]. – [OV 020]. – [článok] In: Kulturen život [textový dokument (print)] [elektronický dokument] : spisanie za kultura, umetnost, opštestveni prašanja. – Skopje (Macedónsko) : Кulturno-prosvetnatа zaednica nа Мakedonija. – ISSN 0047-3731. – Roč. 64, č. 1-2 (2020), s. 92-99 [tlačená forma] [online] </t>
  </si>
  <si>
    <t xml:space="preserve">Teatarskoto delo kako interpretacisko bitje / Inštitorisová, Dagmar [Autor, UKFFFAKMR, 100%]. – text. – [angličtina]. – [OV 020]. – [článok] In: SUM [textový dokument (print)] : SPISANIE ZA UMETNOST. – Skopje (Macedónsko) : Institut otvoreno opštestvo. – ISSN 1409-6455. – Roč. 25, č. 2 (2019), s. 83-98 [tlačená forma] </t>
  </si>
  <si>
    <t xml:space="preserve">Technická gramotnosť žiaka základnej školy, status a osobnosť učiteľa technických predmetov = Technical literacy of elementary school pupils, status and personality of technical subjects teacher / Janíček, Patrik [Autor, UKFPFAKTT, 50%] ; Depešová, Jana [Autor, UKFPFAKTT, 50%]. – text. – [angličtina]. – [OV 010]. – [článok] In: Journal of Technology and Information Education [textový dokument (print)] [elektronický dokument] . – Olomouc (Česko) : Univerzita Palackého v Olomouci. Pedagogická fakulta. Katedra technické a informační výchovy. – ISSN 1803-537X. – ISSN (online) 1803-6805. – Roč. 12, č. 1 (2020), s. 19-26 [tlačená forma] [online] </t>
  </si>
  <si>
    <t xml:space="preserve">Technické vzdelávanie a profesijná orientácia žiakov základných škôl = Technical Education and Professional Orientation of Primary School Pupils / Ažaltovičová, Michaela [Autor, UKFPFAKTT, 50%] ; Tomková, Viera [Autor, UKFPFAKTT, 50%]. – text. – [slovenčina]. – [OV 010]. – [článok]. – DOI 10.15584/eti.2019.4.11 In: Edukacja - Technika - Informatyka [textový dokument (print)] [elektronický dokument] . – Rzeszów (Poľsko) : Wydawnictwo Oświatowe FOSZE. – ISSN 2080-9069. – ISSN (online) 2450-9221. – ERIHplus 487724. – Roč. 30, č. 4 (2019), s. 85-91 [tlačená forma] [online] </t>
  </si>
  <si>
    <t xml:space="preserve">Technické vzdelávanie v kontexte vplyvu faktorov na priebeh edukačného procesu = Technical Education in the Context of the Influence of Factors on the Educational Process / Depešová, Jana [Autor, UKFPFAKTT, 100%]. – text. – [slovenčina]. – [OV 010]. – [článok]. – DOI 10.15584/eti.2019.4.12 In: Edukacja - Technika - Informatyka [textový dokument (print)] [elektronický dokument] . – Rzeszów (Poľsko) : Wydawnictwo Oświatowe FOSZE. – ISSN 2080-9069. – ISSN (online) 2450-9221. – ERIHplus 487724. – Roč. 30, č. 4 (2019), s. 92-97 [tlačená forma] [online] </t>
  </si>
  <si>
    <t xml:space="preserve">Techniky rolovej hry pri práci s rozprávkou s dôrazom na počúvanie a porozumenie textu / Kollárová, Dana [Autor, UKFPFAKPE, 100%]. – text. – [slovenčina]. – [OV 010]. – [článok] In: Jazyk - literatura - komunikace [elektronický dokument] : recenzovaný časopis KČJL UP Olomouc. – Olomouc (Česko) : Univerzita Palackého v Olomouci. Pedagogická fakulta. Katedra českého jazyka a literatury. – ISSN (online) 1805-689X. – Roč. 7, č. 1 (2018), s. 133-146 [online] </t>
  </si>
  <si>
    <t xml:space="preserve">Teorie světové literatury na XXII. kongresu ICLA/AILC v Macau / Pokrivčák, Anton [Autor, TUTPFKAJ, 50%] ; Zelenka, Miloš [Autor, UKFFSSUSJ, 50%]. – [čeština]. – [OV 020]. – [článok]. – [recenzované]. – TUTPFKAJ signatúra E078490 In: Slavica litteraria [textový dokument (print)] [elektronický dokument] : vědecký recenzovaný časopis publikující odborné práce z oblasti literárněvědné slavistiky. – Brno (Česko) : Masarykova univerzita. – ISSN 1212-1509. – ISSN (online) 2336-4491. – Roč. 22, č. 2 (2019), s. 99-108 [tlačená forma] [online] </t>
  </si>
  <si>
    <t xml:space="preserve">Terminological and historical background of guerilla marketing as a marketing communication strategy / Spálová, Lucia [Autor, UKFFFAKMR, 50%] ; Balážiová, Iveta [Autor, UKFFFAKMR, 50%]. – text. – [angličtina]. – [OV 060]. – [článok]. – DOI 10.2478/sc-2020-0009 In: Social Communication [elektronický dokument] : Online Journal = Czasopismo elektroniczne. – ISSN (online) 2299-5382. – ISSN (online) 2450-7563. – Roč. 6, č. 1 (2020), s. 81-92 [online] </t>
  </si>
  <si>
    <t xml:space="preserve">Térszemlélet-fejlesztést segítő foglalkozások Lego eszközök segítségével / Beták, Norbert [Autor, UKFFSSKCR, 60%] ; Szabó, Tibor [Autor, UKFFSSUVP, 40%]. – text. – [maďarčina]. – [OV 010, 020, 080]. – [článok]. – DOI 10.35405/OXIPO.2020.4.71 In: OxIPO [elektronický dokument] : e-folyóirat. – Debrecen (Maďarsko) : K+F Stúdió. – ISSN 2676-8771. – Roč. 2, č. 4 (2020), s. 71-81 [online] </t>
  </si>
  <si>
    <t xml:space="preserve">The action of oil-related environmental pollutants on male reproductive system / Sirotkin, Alexander [Autor, UKFFPVKZA, 100%]. – text. – [angličtina]. – [OV 130]. – [článok] In: Austin Journal of Reproductive Medicine &amp; Infertility [textový dokument (print)] . – Austin (USA) : Austin Publications. – ISSN 2471-0393. – Roč. 7, č. 1 (2021), s. 1-5 [tlačená forma] </t>
  </si>
  <si>
    <t xml:space="preserve">The Analysis of the Marketing Activities of Destination Managment Organisations in Slovakia / Palenčíková, Zuzana [Autor, UKFFSSKCR, 50%] ; Mazúchová, Ľudmila [Autor, UKFFSSKCR, 50%]. – text. – [angličtina]. – [OV 080]. – [článok] In: Turisztikai és Vidékfejlesztési Tanulmányok [textový dokument (print)] . – ISSN 2498-6984. – Roč. 4, č. 1-2 (2019), s. 85-93 [tlačená forma] </t>
  </si>
  <si>
    <t xml:space="preserve">The bronze figurine of a Celt with golden eyes from Jánovce (Poprad, Slovakia) / Hudáková, Mária [Autor, 30%] ; Repka, Dominik [Autor, UKFFFAKAR, 50%] ; Furman, Martin [Autor, 10%] ; Hložek, Martin [Autor, 10%]. – text. – [francúzština]. – [OV 030]. – [článok] In: Instrumentum [textový dokument (print)] : Bulletin du Groupe de travail européen sur l’artisanat et les productions manufacturées de l’Antiquité à l’époque moderne. – Chauvigny (Francúzsko) : Instrumentum Europe. – ISSN 1680-0443. – Roč. 27, č. 54 (2021), s. 44-47 [tlačená forma] </t>
  </si>
  <si>
    <t xml:space="preserve">The development of technical competences in the context of the future performance of secondary school pupils / Ažaltovičová, Michaela [Autor, UKFPFAKTT, 30%] ; Kostolanský, Lukáš [Autor, UKFPFAKTT, 10%] ; Vaněk, Lukáš [Autor, 10%] ; Depešová, Jana [Autor, UKFPFAKTT, 25%] ; Tomková, Viera [Autor, UKFPFAKTT, 25%]. – text. – [angličtina]. – [OV 010]. – [článok]. – [recenzované] In: R&amp;E-Source [elektronický dokument] . – Baden (Rakúsko) : Pädagogische Hochschule NÖ. – ISSN (online) 2313-1640. – suppl. Engineering pedagogy unites, č. 17 (2019), s. 13-20 [online] </t>
  </si>
  <si>
    <t xml:space="preserve">The goal of the truth in forming the conscience / Lyko, Miroslav [Autor, UKFFFAKNS, 100%]. – text. – [angličtina]. – [OV 020]. – [článok] In: Idei [textový dokument (print)] [elektronický dokument] : filosofskij časopis : specijalni naukovi vipuski = Philosophical Journal : Special Scientific Issues = ФИЛОСОФСКО СПИСАНИЕ. – Plovdiv (Bulharsko) : Humanus. – ISSN 1313-9703. – ISSN (online) 2367-6108. – DOI 10.34017. – Roč. 6, č. 1 (2018), s. 67-70 [tlačená forma] </t>
  </si>
  <si>
    <t xml:space="preserve">The inclusion and exclusion principle in view of number theory / Ďuriš, Viliam [Autor, UKFFPVKMA, 70%] ; Lengyelfalusy, Tomáš [Autor, 30%]. – text. – [angličtina]. – [OV 240]. – [článok] In: Ratio Mathematica [textový dokument (print)] : Journal of Mathematics, Statistics, and Applications. – ISSN 1592-7415. – ISSN (online) 2282-8214. – č. 36 (2019), s. 43-52 [tlačená forma] </t>
  </si>
  <si>
    <t xml:space="preserve">The issue of active ageing and active old age in the education and social policy of Slovakia, Germany and Spain / Határ, Ctibor [Autor, UKFPFAKPE, 50%] ; Jedličková, Petra [Autor, UKFPFAKPE, 50%]. – text. – [angličtina]. – [OV 010]. – [článok]. – DOI 10.11118/lifele20201003311 In: Lifelong learning [textový dokument (print)] [elektronický dokument] : celoživotní vzdělávání. – Brno (Česko) : Mendelova univerzita v Brně. Institut celoživotního vzdělávání. – ISSN 1804-526X. – ISSN (online) 1805-8868. – Roč. 10, č. 3 (2020), s. 311-331 [tlačená forma] [online] </t>
  </si>
  <si>
    <t xml:space="preserve">The issue of distance education in the Slovak Republic / Tomková, Viera [Autor, UKFPFAKTT, 34%] ; Lukáčová, Danka [Autor, UKFPFAKTT, 33%] ; Bánesz, Gabriel [Autor, UKFPFAKTT, 33%]. – text. – [angličtina]. – [OV 010]. – [článok] In: R&amp;E-Source [elektronický dokument] . – Baden (Rakúsko) : Pädagogische Hochschule NÖ. – ISSN (online) 2313-1640. – suppl. On First Impressions, č. 13 (2018), sp. iss., s. 148-152 [online] </t>
  </si>
  <si>
    <t xml:space="preserve">The Nature of the Facebook Group Learning Environment : Insights from University Students / Datko, Juraj [Autor, UKFPFAKLI, 100%]. – text. – [angličtina]. – [OV 020]. – [článok] In: ICTE Journal [elektronický dokument] : an International Journal of Information and Communication Technologies in Education : the Journal of University of Ostrava. – Ostrava (Česko) : Ostravská univerzita. – ISSN (online) 1805-3726. – Roč. 8, č. 1 (2019), s. 49-54 [online] </t>
  </si>
  <si>
    <t xml:space="preserve">The Phenomenon of Believing without Belonging among Slovak Youth : What does a youth who does not identify with any religion believe in? / Štefaňak, Ondrej [Autor, UKFFFAKSO, 100%]. – text. – [angličtina]. – [OV 060]. – [článok]. – DOI 10.5507/rh.2020.008 In: e-Rhizome [elektronický dokument] : journal for the study of religion, culture, society and cognition . – ISSN (online) 2571-242X. – Roč. 2, č. 2 (2020), s. 111-123 [online] </t>
  </si>
  <si>
    <t xml:space="preserve">The position of environmental protection in the value ranking of vocational education actors / Bilčík, Alexander [Autor, KDOP, 60%] ; Bilčíková, Jana [Autor, UKFPFAKTT, 30%] ; Hanák, Michal [Autor, 10%]. – text. – [angličtina]. – [OV 010, 100]. – [článok]. – DOI 10.47577/tssj.v11i1.1418 In: Technium social sciences journal [elektronický dokument] [textový dokument (print)] . – Constanta (Rumunsko) : Technium Science. – ISSN 2668-7798. – ISSN (online) 2668-778X. – Roč. 2, č. 11 (2020), s. 13-22 [online] </t>
  </si>
  <si>
    <t xml:space="preserve">The Possible Worlds of Electronic Literature : E-Literature in the Service of Foreign Language Teaching / György, Erik [Autor, UKFFFAKAA, 100%]. – text. – [angličtina]. – [OV 020]. – [článok] In: ELT voices [textový dokument (print)] . – Kudasan (India) : Divyajyban Aura. – ISSN 2230-9136. – Roč. 11, č. 1 (2021), s. 165-175 [tlačená forma] </t>
  </si>
  <si>
    <t xml:space="preserve">The semantic field Nation,State,People and Ctizen from another than legal point of view : origin,forms and dynamics in European languages and cultures / Štúr, Martin [Autor, UKFFFAKRO, 50%] ; Kopecký, Peter [Autor, UKFFFAKTR, 50%]. – text. – [angličtina]. – [OV 020]. – [článok] In: Studia Securitatis Magazine [textový dokument (print)] [elektronický dokument] : Research Center in Political Science, International Relations and European Studies. – Sibiu (Rumunsko) : Lucian Blaga University of Sibiu. – ISSN 1843-1925. – Roč. 15, č. 1 (2021), s. 6-13 [tlačená forma] [online] </t>
  </si>
  <si>
    <t xml:space="preserve">The Use of TV Game Shows in Grammar Teaching / Gergelyová, Viktória [Autor, UKFFSSUML, 100%]. – text. – [angličtina]. – [OV 010]. – [článok] In: Practice and Theory in Systems of Education [textový dokument (print)] . – Budapešť (Slovensko) : Neveléstudományi Egyesület. – ISSN 1788-2583. – ISSN (online) 1788-2591. – Roč. 14, č. 1 (2019), s. 37-42 [tlačená forma] </t>
  </si>
  <si>
    <t xml:space="preserve">The Use of TV Game Shows in the Classroom / Gergelyová, Viktória [Autor, UKFFSSUML, 100%]. – text. – [angličtina]. – [OV 010]. – [článok] In: Humanising Language Teaching [elektronický dokument] . – Canterbury (Veľká Británia) : Pilgrims. – ISSN 1755-9715. – Roč. 22, č. 5 (2020), s. 1-5 [online] </t>
  </si>
  <si>
    <t xml:space="preserve">The very Hungry Caterpillar: Story Reading as an Effective Strategy Toward Achieving Proficiency in Efl in very Young Learners / Hornáčková Klapicová, Edita [Autor, UKFFFAKTR, 50%] ; Reister, Megan A. [Autor, 50%]. – text. – [angličtina]. – [OV 020]. – [článok] In: Seminare [textový dokument (print)] [elektronický dokument] : Poszukiwania naukowe. – Warszawa (Poľsko) : Towarzystwo Naukowe Franciszka Salezego. – ISSN 1232-8766. – ISSN (online) 2450-1328. – Roč. 41, č. 4 (2020), s. 12-31 [tlačená forma] </t>
  </si>
  <si>
    <t xml:space="preserve">Theoretical essay in pragmatic and semantic aetetics : (about the theatrical form) / Inštitorisová, Dagmar [Autor, UKFFFAKMR, 100%]. – text. – [angličtina]. – [OV 020]. – [článok] In: Ecoletra.com [elektronický dokument] : Scientific eJournal. – ISSN (online) 2377-9748. – Roč. 4, č. 1 (2018), s. 49-64 [online] </t>
  </si>
  <si>
    <t xml:space="preserve">Thermal Studying Dry Chemicals as Hygienically Safe Extinguishing Substances / Tureková, Ivana [Autor, UKFPFAKTT, 80%] ; Marková, Iveta [Autor, ZUZFBIPŽI, 20%]. – text. – [angličtina]. – [OV 010]. – [článok]. – DOI 10.26717/BJSTR.2018.11.002175 In: Biomedical Journal of Scientific &amp; Technical Research [elektronický dokument] . – New York (USA) : Biomedical Research Network+. – ISSN (online) 2574-1241. – Roč. 11, č. 8 (2018), s. 8873-8875 [online] </t>
  </si>
  <si>
    <t xml:space="preserve">Timing of Tracheostomy for Prolonged Respiratory Wean in Critically Ill Coronavirus Disease 2019 Patients: A Machine Learning Approach / Takhar, Arunjit [Autor, 5.568%] ; Šurda, Pavol [Autor, 5.552%] ; Ahmad, Imran [Autor, 5.552%] ; Amin, Nikul [Autor, 5.552%] ; Arora, Asit [Autor, 5.552%] ; Camporota, Luigi [Autor, 5.552%] ; Denniston, Poppy [Autor, 5.552%] ; El-Boghdadly, Kariem [Autor, 5.552%] ; Kvaššay, Miroslav [Autor, ZUZRIAKIN, 5.552%] ; Maceková, Denisa [Autor, ZUZRIAKIN, 5.552%] ; Munk, Michal [Autor, UKFFPVKIN, 5.552%] ; Ranford, David [Autor, 5.552%] ; Rabčan, Ján [Autor, ZUZRIAKIN, 5.552%] ; Tomari, Chysostomos [Autor, 5.6%] ; Wyncoll, Duncan [Autor, 5.552%] ; Zaitseva, Elena [Autor, ZUZRIAKIN, 5.552%] ; Hart, Nicolas [Autor, 5.552%] ; Tricklebank, Stephen [Autor, 5.552%]. – text. – [angličtina]. – [OV 160]. – [článok]. – DOI 10.1097/CCE.0000000000000279 In: Critical Care Explorations [elektronický dokument] : An Official Journal of the Society of Critical Care Medicine. – New York (USA) : Wolters Kluwer. – ISSN (online) 2639-8028. – Roč. 2, č. 11 (2020), s. 1-12 [online] </t>
  </si>
  <si>
    <t xml:space="preserve">To the Jaspers’s interpretation of transcendence / Pavlíková, Martina [Autor, UKFFFAKZU, 50%] ; Kondrla, Peter [Autor, UKFFFAKNS, 50%]. – [angličtina]. – [OV 020]. – [článok] In: Idei [textový dokument (print)] [elektronický dokument] : filosofskij časopis : specijalni naukovi vipuski = Philosophical Journal : Special Scientific Issues = ФИЛОСОФСКО СПИСАНИЕ. – Plovdiv (Bulharsko) : Humanus. – ISSN 1313-9703. – ISSN (online) 2367-6108. – DOI 10.34017. – Roč. 6, č. 1 (2018), s. 36-40 [tlačená forma] </t>
  </si>
  <si>
    <t xml:space="preserve">Tolerance of Ambiguity and the Linguistic Intervention Program / Stranovská, Eva [Autor, UKFFFAKGE, 50%] ; Hvozdíková, Silvia [Autor, UKFFFAKAA, 50%]. – text. – [angličtina]. – [OV 010]. – [článok] In: International Journal of English and Cultural Studies [textový dokument (print)] . – Beaverton (USA) : RedFame Publishing. – ISSN 2575-811X. – ISSN (online) 2575-8101. – Roč. 1, č. 2 (2018), s. 14-20 [tlačená forma] [online] </t>
  </si>
  <si>
    <t xml:space="preserve">Tradičná kultúra a jej využitie v cestovnom ruchu na príklade obce Ždiar / Urbanová, Lucia [Autor, UKFFFAKMK, 90%] ; Michalík, Boris [Autor, UKFFFAKMK, 10%]. – text. – [slovenčina]. – [OV 020]. – [článok] In: Studia Turistica [elektronický dokument] : online časopis pro vzdělávání v cestovním ruchu. – Jihlava (Česko) : Vysoká škola polytechnická Jihlava. – ISSN (online) 1804-252X. – Roč. 9, č. 3 (2018), s. 103-112 [online] </t>
  </si>
  <si>
    <t xml:space="preserve">Transformation of Slovakian Youth Religiosity / Štefaňak, Ondrej [Autor, UKFFFAKSO, 100%]. – text. – [angličtina]. – [OV 010, 020]. – [článok]. – DOI 10.37441/CEJER/2020/2/2/7911 In: Central European Journal of Educational Research [textový dokument (print)] [elektronický dokument] . – Debrecen (Maďarsko) : Debreceni Egyetem. – ISSN 2677-0326. – Roč. 2, č. 2 (2020), s. 27-37 [tlačená forma] </t>
  </si>
  <si>
    <t xml:space="preserve">Transzkulturális sokféleség Zehra Çirak költészetében / Brutovszky, Gabriella [Autor, UKFFSSUML, 100%]. – text. – [maďarčina]. – [OV 020]. – [článok] In: Szépirodalmi figyelő [textový dokument (print)] : irodalmi, kritikai, szemléző folyóirat. – Budapešť (Maďarsko) : Fiatal Írók Szövetsége. – ISSN 1585-3829. – Roč. 18, č. 6 (2019), s. 60-67 [tlačená forma] </t>
  </si>
  <si>
    <t xml:space="preserve">Tri makedonski narodni baladi od komparativen aspekt / Taneski, Martina [Autor, UKFFFASJL, 100%]. – [macedónčina]. – [OV 010]. – [článok] In: Slavistički studii [textový dokument (print)] . – Skopje (Macedónsko) : Univerzitet Sv. Kiril i Metodij. Filološki fakultet Blaže Koneski. – ISSN 0352-3055. – č. 18 (2018), s. 269-280 [tlačená forma] </t>
  </si>
  <si>
    <t xml:space="preserve">Tři konfraternitní listiny řeholních kanovníků sv. Augustina z přelomu 80. a 90. let 14. století / Krafl, Pavel Otmar [Autor, UKFFFAKHI, 100%]. – text. – [čeština]. – [OV 030]. – [článok] In: Sborník prací Pedagogické fakulty Masarykovy univerzity v Brně [textový dokument (print)] . – ISSN 1211-6068. – Roč. 33, č. 1 (2019), s. 103-107 [tlačená forma] </t>
  </si>
  <si>
    <t xml:space="preserve">Učebné úlohy v Prvouke vo vzťahu k Bloomovej taxonómii kognitívnych cieľov / Nagyová, Alexandra [Autor, UKFPFAKPE, 50%] ; Kollárová, Dana [Autor, UKFPFAKPE, 50%]. – text. – [slovenčina]. – [OV 010]. – [článok] In: GRANT journal [elektronický dokument] : European Grant Projects, Results, Research &amp; Development, Science : Peer-Reviewed Scientific Journal. – Hradec Králové (Česko) : Magnanimitas akademické sdružení. – ISSN (online) 1805-0638. – ISSN (online) 1805-062X. – Roč. 9, č. 2 (2021), s. 50-53 [CD-ROM] [online] </t>
  </si>
  <si>
    <t xml:space="preserve">Učebné zdroje učiteľov techniky na základných školách v SR / Lukáčová, Danka [Autor, UKFPFAKTT, 60%] ; Bánesz, Gabriel [Autor, UKFPFAKTT, 30%] ; Vraňáková, Zuzana [Autor, 10%]. – text. – [slovenčina]. – [OV 010]. – [článok]. – DOI 10.5507/tvv.2021.004 In: Trendy ve vzdělávání [textový dokument (print)] [elektronický dokument] : Informační technologie a technické vzdělávání = Information Technologies and Technical Education. – Olomouc (Česko) : Univerzita Palackého v Olomouci. Pedagogická fakulta. Katedra technické a informační výchovy. – ISSN 1805-8949. – Roč. 14, č. 1 (2021), s. 28-34 [tlačená forma] [online] </t>
  </si>
  <si>
    <t xml:space="preserve">Učiteľ v druhošancovom vzdelávaní dospelých a jeho profesijné kompetencie / Temiaková, Dominika [Autor, UKFPFAKPE, 100%]. – text. – [slovenčina]. – [OV 020, 010]. – [článok] In: GRANT journal [elektronický dokument] : European Grant Projects, Results, Research &amp; Development, Science : Peer-Reviewed Scientific Journal. – Hradec Králové (Česko) : Magnanimitas akademické sdružení. – ISSN (online) 1805-0638. – ISSN (online) 1805-062X. – Roč. 9, č. 2 (2020), s. 74-78 [CD-ROM] [online] </t>
  </si>
  <si>
    <t xml:space="preserve">Udržateľnosť výsledkov projektu dielne v podmienkach základných škôl na Slovensku = Sustainability of project results workshops in primary school conditions in Slovakia / Felixová, Eva [Autor, 50%] ; Bánesz, Gabriel [Autor, UKFPFAKTT, 50%]. – text. – [angličtina]. – [OV 010]. – [článok] In: Journal of Technology and Information Education [textový dokument (print)] [elektronický dokument] . – Olomouc (Česko) : Univerzita Palackého v Olomouci. Pedagogická fakulta. Katedra technické a informační výchovy. – ISSN 1803-537X. – ISSN (online) 1803-6805. – Roč. 12, č. 1 (2020), s. 38-43 [tlačená forma] [online] </t>
  </si>
  <si>
    <t xml:space="preserve">Úlohy slovenského divadelníctva v predstavách autoritatívneho režimu Slovenskej republiky v rokoch 1939-1945 / Palárik, Miroslav [Autor, UKFFFAKHI, 100%]. – text. – [slovenčina]. – [OV 020]. – [článok] In: Marginalia historica [textový dokument (print)] : časopis pro dějiny vzdělanosti a kultury. – Praha (Česko) : Univerzita Karlova v Praze. Pedagogická fakulta. – ISSN 1804-5367. – Roč. 10, č. 1 (2019), s. 61-86 [tlačená forma] </t>
  </si>
  <si>
    <t xml:space="preserve">Un regard condensé sur les relations tchéco/slovaco-roumaines au 20eme siecle = A short Survey on Czechoslovak / Slovak Romanian Relations in 20th Century / Kopecký, Peter [Autor, UKFFFAKTR, 100%]. – text. – [francúzština]. – [OV 020]. – [článok] In: Studia Universitatis Babeş-Bolyai.  Philologia [textový dokument (print)] [elektronický dokument] . – Cluj-Napoca (Rumunsko) : Universitatea Babes-Bolyai. – ISSN 1220-0484. – ISSN (online) 2065-9652. – Roč. 63, č. 3 (2018), s. 173-182 [tlačená forma] [online] </t>
  </si>
  <si>
    <t xml:space="preserve">Una incursión en la teoría sociocrítica desde la semiótica / Lampis, Mirko [Autor, UKFFFAKRO, 100%]. – text. – [španielčina]. – [OV 020]. – [článok] In: Sociocriticism [textový dokument (print)] : Revistas de la Universidad de Granada. – ISSN 0985-5939. – Roč. 33, č. 1-2 (2018), s. 33-49 [tlačená forma] </t>
  </si>
  <si>
    <t xml:space="preserve">Una lectura semiótica del Cours en el año de su centenario (tercera parte) / Lampis, Mirko [Autor, UKFFFAKRO, 100%]. – text. – [španielčina]. – [OV 020]. – [článok] In: Revista chilena de semiótica [elektronický dokument] . – Santiago de Chile (Čile) : Universidad Central de Chile. – ISSN 0717-3075. – Roč. 25, č. 14 (2020), s. 116-132 [online] </t>
  </si>
  <si>
    <t xml:space="preserve">Use of monologues, games and problem solving activities for development of speaking skills / Pauliková, Klaudia [Autor, UKFPFAKLI, 100%]. – text. – [angličtina]. – [OV 010]. – [článok] In: ERL Journal [elektronický dokument] . – Gdaňsk (Poľsko) : International Association for the Educational Role of Language. – ISSN 2657-9774. – Roč. 1, č. 1 (2019), s. 83-92 [online] </t>
  </si>
  <si>
    <t xml:space="preserve">Useful Techniques for Developing Communicative Competence at the Primary Level / Pauliková, Klaudia [Autor, UKFPFAKLI, 100%]. – text. – [angličtina]. – [OV 010]. – [článok] In: Humanising Language Teaching [elektronický dokument] . – Canterbury (Veľká Británia) : Pilgrims. – ISSN 1755-9715. – Roč. 22, č. 5 (2020), s. 1-7 [online] </t>
  </si>
  <si>
    <t xml:space="preserve">Using podcasts to support learners` positive attitude to listening comprehension in TEFL / Horváthová, Božena [Autor, UKFPFAKLI, 80%] ; Krištofovičová, Katarína [Autor, 20%]. – text. – [angličtina]. – [OV 010]. – [článok] In: ERL Journal [elektronický dokument] . – Gdaňsk (Poľsko) : International Association for the Educational Role of Language. – ISSN 2657-9774. – Roč. 3, č. 1 (2020), s. 91-105 [online] </t>
  </si>
  <si>
    <t xml:space="preserve">Úvod do problematiky benchmarkingu nezávislých kultúrnych centier / Moravčíková, Veronika [Autor, UKFFFAKKU, 100%]. – text. – [slovenčina]. – [OV 060]. – [článok] In: GRANT journal [elektronický dokument] : European Grant Projects, Results, Research &amp; Development, Science : Peer-Reviewed Scientific Journal. – Hradec Králové (Česko) : Magnanimitas akademické sdružení. – ISSN (online) 1805-0638. – ISSN (online) 1805-062X. – Roč. 7, č. 2 (2018), s. 45-47 [CD-ROM] [online] </t>
  </si>
  <si>
    <t xml:space="preserve">Value of humanities and humanities research. Exploring the influence of Byzantine value system in Slavic environment / Zozuľaková, Viera [Autor, UKFFFAKSO, 100%]. – text. – [angličtina]. – [OV 020]. – [článok] In: Zeszyty Naukowe Politechniki Śląskiej [elektronický dokument] [textový dokument (print)] : organizacja i zarządzanie. – Gliwice (Poľsko) : Wydawnictwo Politechniki Śląskiej. – ISSN 1641-3466. – č. 122 (2018), s. 221-228 [online] [tlačená forma] </t>
  </si>
  <si>
    <t xml:space="preserve">Včasná diagnostika fake news = Early Diagnosis of Fake News / Petrová, Elena [Autor, UKFFFAKZU, 100%]. – text. – [slovenčina]. – [OV 060]. – [článok]. – DOI 10.24917/20837275.11.1.3 In: Annales Universitatis Paedagogicae Cracoviensis [elektronický dokument] [textový dokument (print)] : Studia de Cultura. – Kraków (Poľsko) : Uniwersytet Pedagogiczny im. Komisji Edukacji Narodowej w Krakowie. Wydawnictwo Naukowe Uniwersytetu Pedagogicznego. – ISSN 2083-7275. – ISSN (online) 2391-4432. – DOI 10.24917/20837275.10.2. – Roč. 11, č. 1 (2019), s. 32-36 [online] </t>
  </si>
  <si>
    <t xml:space="preserve">Verso una semiotica dell'eros / Lampis, Mirko [Autor, UKFFFAKRO, 100%]. – text. – [taliančina]. – [OV 020]. – [článok] In: E/C [textový dokument (print)] : rivista dell’Associazione Italiana di studi semiotici. – ISSN 1973-2716. – ISSN (online) 1970-7452. – Roč. 16, č. 28 (2020), s. 1-12 [tlačená forma] </t>
  </si>
  <si>
    <t xml:space="preserve">Virtuálne a hybridné eventy - východisko z núdze alebo udržateľný trend? / Štrbová, Monika [Autor, UKFFFAKSO, 100%]. – text. – [slovenčina]. – [OV 060]. – [článok] In: Marketing a komunikace [textový dokument (print)] . – Praha (Česko) : Česká marketingová společnost, Brno (Česko) : Česká společnost pro propagaci a public relations - MOSPRA. – ISSN 1211-5622. – Roč. 26, č. 2 (2021), s. 1-5 [tlačená forma] </t>
  </si>
  <si>
    <t xml:space="preserve">Vnímané stereotypy, nebo stereotypy vnímání? / Mikulášek, Alexej [Autor, UKFFSSUSJ, 100%]. – [čeština]. – [OV 020]. – [článok] In: Medias res [textový dokument (print)] : odborný časopis pro aktuální otázky společenských věd. – ISSN 2464-6334. – Roč. 3, č. 2 (2018), s. 17-28 </t>
  </si>
  <si>
    <t xml:space="preserve">Vnímanie neúspechu žiakov pri práci s textom v nemeckom jazyku / Stančeková, Svetlana [Autor, UKFFFAKRO, 50%] ; Szabó, Erzsébet [Autor, UKFFFAKGE, 50%]. – text. – [slovenčina]. – [OV 010]. – [článok] In: Lingua Viva [textový dokument (print)] [elektronický dokument] : odborný časopis pro teorii a praxi vyučování cizím jazykům a češtině jako cizímu jazyku. – České Budějovice (Česko) : Jihočeská univerzita v Českých Budějovicích. Pedagogická fakulta. – ISSN 1801-1489. – ISSN (online) 2336-8136. – Roč. 17, č. 33 (2021), s. 51-63 [tlačená forma] [online] </t>
  </si>
  <si>
    <t xml:space="preserve">Vnímanie výchovných štýlov a prejavy rizikového správania dospievajúcich v systéme nižšieho sekundárneho vzdelávania = The personality of the patient as a determinant in the recovery after stroke / Čerešník, Michal [Autor, UKFPFAKAP, 50%] ; Čerešníková, Miroslava [Autor, UKFFSVURS, 50%]. – [slovenčina]. – [OV 060, 010]. – [článok]. – DOI 10.5507/dvp.2020.002 In: Diskuze v psychologii [elektronický dokument] . – Olomouc (Česko) : Univerzita Palackého v Olomouci. – ISSN 2694-8338. – Roč. 1, č. 1 (2019), s. 1-6 [online] </t>
  </si>
  <si>
    <t xml:space="preserve">Vplyv obsahu športovej prípravy na rozvoj agility vo vrcholovom družstve vo volejbale / Paška, Ľubomír [Autor, UKFPFAKTV, 25%] ; Horička, Pavol [Autor, UKFPFAKTV, 25%] ; Šimonek, Jaromír [Autor, UKFPFAKTV, 25%] ; Gavronová, Anna [Autor, 25%]. – text. – [slovenčina]. – [OV 210]. – [článok] In: Studia kinanthropologica [textový dokument (print)] [elektronický dokument] : the scientific journal for kinanthropology = vědecký časopis pro kinantropologii. – České Budějovice (Česko) : Jihočeská univerzita v Českých Budějovicích. Pedagogická fakulta. – ISSN 1213-2101. – Roč. 20, č. 2 (2019), s. 183-188 [tlačená forma] [online] </t>
  </si>
  <si>
    <t xml:space="preserve">Vplyv uvoľňovacích cvičení na skrátené svaly futbalistov = Impact of mobilization exercises on shortened muscles in football players / Kanásová, Janka [Autor, UKFPFAKTV, 40%] ; Bakaľár, Igor [Autor, UKFPFAKTV, 25%] ; Divinec, Lenka [Autor, UKFPFAKTV, 25%] ; Runčáková, Jana [Autor, 10%]. – text. – [slovenčina]. – [OV 210]. – [článok] In: Studia kinanthropologica [textový dokument (print)] [elektronický dokument] : the scientific journal for kinanthropology = vědecký časopis pro kinantropologii. – České Budějovice (Česko) : Jihočeská univerzita v Českých Budějovicích. Pedagogická fakulta. – ISSN 1213-2101. – Roč. 21, č. 3 (2020), s. 235-242 [tlačená forma] [online] </t>
  </si>
  <si>
    <t xml:space="preserve">Všetko mohlo byť inak : pohľad na uzatvorené dielo Mariána Žilíka / Kapsová, Eva [Autor, UKFFFAULK, 100%]. – [slovenčina]. – [OV 020]. – [článok] In: Prostor Zlín [textový dokument (print)] : výtvarné umění - architektura - historie - poesie. – Zlín (Česko) : Krajská galerie výtvarného umění ve Zlíně. – ISSN 1212-1398. – Roč. 26, č. 3 (2019), s. 36-40 [tlačená forma] </t>
  </si>
  <si>
    <t xml:space="preserve">Vybrané faktory ovplyvňujúce výber strednej školy absolventmi základnej školy / Tomková, Viera [Autor, UKFPFAKTT, 100%]. – text. – [slovenčina]. – [OV 010]. – [článok] In: Edukacja - Technika - Informatyka [textový dokument (print)] [elektronický dokument] . – Rzeszów (Poľsko) : Wydawnictwo Oświatowe FOSZE. – ISSN 2080-9069. – ISSN (online) 2450-9221. – ERIHplus 487724. – Roč. 29, č. 3 (2019), s. 224-229 [tlačená forma] [online] </t>
  </si>
  <si>
    <t xml:space="preserve">Výsledky pilotného testovania všeobecnej pohybovej výkonnosti žiakov 1. ročníka ZŠ v regióne Nitra / Paška, Ľubomír [Autor, UKFPFAKTV, 20%] ; Czaková, Natália [Autor, UKFPFAKTV, 20%] ; Horička, Pavol [Autor, UKFPFAKTV, 20%] ; Šimonek, Jaromír [Autor, UKFPFAKTV, 20%] ; Divinec, Lenka [Autor, UKFPFAKTV, 20%]. – text. – [slovenčina]. – [OV 210]. – [článok] In: Studia kinanthropologica [textový dokument (print)] [elektronický dokument] : the scientific journal for kinanthropology = vědecký časopis pro kinantropologii. – České Budějovice (Česko) : Jihočeská univerzita v Českých Budějovicích. Pedagogická fakulta. – ISSN 1213-2101. – Roč. 19, č. 3 (2018), s. 245-250 [tlačená forma] [online] </t>
  </si>
  <si>
    <t xml:space="preserve">Výsledky testov e-learningového kurzu pre elektropneumatické systémy = Results of e-Learning Course Tests for Electropneumatic Systems / Bánesz, Gabriel [Autor, UKFPFAKTT, 50%] ; Lukáčová, Danka [Autor, UKFPFAKTT, 50%]. – text. – [slovenčina]. – [OV 010]. – [článok] In: Edukacja - Technika - Informatyka [textový dokument (print)] [elektronický dokument] . – Rzeszów (Poľsko) : Wydawnictwo Oświatowe FOSZE. – ISSN 2080-9069. – ISSN (online) 2450-9221. – ERIHplus 487724. – Roč. 29, č. 3 (2019), s. 192-196 [tlačená forma] [online] </t>
  </si>
  <si>
    <t xml:space="preserve">Využitie horných končatín v jazzovom tanci / Hubinská, Zuzana [Autor, UKFPFAKHU, 100%]. – text. – [slovenčina]. – [OV 010]. – [článok] In: GRANT journal [elektronický dokument] : European Grant Projects, Results, Research &amp; Development, Science : Peer-Reviewed Scientific Journal. – Hradec Králové (Česko) : Magnanimitas akademické sdružení. – ISSN (online) 1805-0638. – ISSN (online) 1805-062X. – Roč. 9, č. 2 (2020), s. 23-26 [CD-ROM] [online] </t>
  </si>
  <si>
    <t xml:space="preserve">Využitie intervenčného programu na zníženie agresie a predsudkov u žiakov ZŠ / Uhláriková, Jana [Autor, UKFFSVKPV, 50%] ; Kľačanská, Veronika [Autor, 50%]. – text. – [slovenčina]. – [OV 010]. – [článok] In: Školský psychológ/Školní psycholog [textový dokument (print)] [elektronický dokument] : časopis Asociácie školskej psychológie. – Brno (Česko) : Asociace školní psychologie. – ISSN 1212-0529. – Roč. 20, č. 1 (2019), s. 40-46 [tlačená forma] [online] </t>
  </si>
  <si>
    <t xml:space="preserve">Vyvučeňňe frazealahizmav na zaňatkach pa belaruskaj move jak inšaslavianskaj / Kalechyts, Alena [Autor, UKFFFAKRU, 100%]. – text. – [bieloruština]. – [OV 010]. – [článok] In: Belaruskaja mova jak zamežnaja [elektronický dokument] . – ISSN 2544-5448. – Roč. 3, č. 3 (2019), s. 19-25 [online] </t>
  </si>
  <si>
    <t xml:space="preserve">Vzdelávanie v paliatívnej starostlivosti s využitím multimediálnych prostriedkov / Slamková, Alica [Autor, UKFFSVKOS, 50%] ; Poledníková, Ľubica [Autor, UKFFSVKOS, 50%]. – text. – [slovenčina]. – [OV 180]. – [článok] In: GRANT journal [elektronický dokument] : European Grant Projects, Results, Research &amp; Development, Science : Peer-Reviewed Scientific Journal. – Hradec Králové (Česko) : Magnanimitas akademické sdružení. – ISSN (online) 1805-0638. – ISSN (online) 1805-062X. – Roč. 7, č. 1 (2018), s. 127-132 [CD-ROM] [online] </t>
  </si>
  <si>
    <t xml:space="preserve">Vzdelávanie zamerané na odpady s cieľom ochrany prostredia / Feszterová, Melánia [Autor, UKFFPVKCH, 100%]. – text. – [slovenčina]. – [OV 010]. – [článok] In: Edukacja - Technika - Informatyka [textový dokument (print)] [elektronický dokument] . – Rzeszów (Poľsko) : Wydawnictwo Oświatowe FOSZE. – ISSN 2080-9069. – ISSN (online) 2450-9221. – ERIHplus 487724. – Roč. 25, č. 3 (2018), s. 364-370 [tlačená forma] [online] </t>
  </si>
  <si>
    <t xml:space="preserve">Wartości prorodzinne w świadomości młodzieży słowackiej w procesie przemian (2006 - 2011 - 2016) / Štefaňak, Ondrej [Autor, UKFFFAKSO, 100%]. – text. – [poľština]. – [OV 020]. – [článok]. – DOI 10.31743/zn.2020.63.1.01 In: Zeszyty Naukowe Katolickiego Uniwersytetu Lubelskiego [textový dokument (print)] [elektronický dokument] . – Lublin (Poľsko) : Katolicki Uniwersytet Lubelski Jana Pawła II. – ISSN 0044-4405. – ISSN (online) 2543-9715. – Roč. 63, č. 1 (2020), s. 23-45 [tlačená forma] [online] </t>
  </si>
  <si>
    <t xml:space="preserve">Well-being of teachers  in the context of remote training of future translators and interpreters / Hodáková, Soňa [Autor, UKFFFAKTR, 100%]. – text. – [angličtina]. – [OV 020]. – [článok] In: International Journal of Arts and Commerce [elektronický dokument] . – [S.l.] (Veľká Británia) : Center for Enhancing Knowledge. – ISSN 1929-7106. – TUTPR signatúra E074776. – Roč. 10, č. 9 (2021), s. 41-49 [online] </t>
  </si>
  <si>
    <t xml:space="preserve">What Motivates Slovak Students to Become English Teachers? / Kováčiková, Elena [Autor, UKFPFAKLI, 100%]. – text. – [angličtina]. – [OV 010]. – [článok] In: Humanising Language Teaching [elektronický dokument] . – Canterbury (Veľká Británia) : Pilgrims. – ISSN 1755-9715. – Roč. 22, č. 5 (2020), s. 1-5 [online] </t>
  </si>
  <si>
    <t xml:space="preserve">Wie attribuieren die Schüler die Ursachen des Misserfolgs / Stančeková, Svetlana [Autor, UKFFFAKRO, 50%] ; Stranovská, Eva [Autor, UKFFFAKGE, 50%]. – text. – [nemčina]. – [OV 020]. – [článok] In: Brünner Hefte zu Deutsch als Fremdsprache [textový dokument (print)] . – ISSN 1803-4411. – Roč. 11, č. 1 (2018), s. 67-77 [tlačená forma] </t>
  </si>
  <si>
    <t xml:space="preserve">Willingness to Communicate and Motivation of English Language Learners / Hvozdíková, Silvia [Autor, UKFFFAKAA, 100%]. – text. – [angličtina]. – [OV 020]. – [článok] In: American Journal of Educational Research [textový dokument (print)] . – ISSN 2327-6126. – ISSN (online) 2327-6150. – Roč. 9, č. 8 (2021), s. 345-348 [tlačená forma] </t>
  </si>
  <si>
    <t xml:space="preserve">Z dosvedu vykladaňňa belaruskaj movy jak zamežnaj (va umovach padrychtovky specyjalistav pa prahrame Uschodneslavianskija movy i kuľtury va Universitece imia Kanstancina Filosafa v Nitry (Slavakija)) / Kalechyts, Alena [Autor, UKFFFAKRU, 100%]. – [bieloruština]. – [OV 020]. – [článok] In: Belaruskaja mova jak zamežnaja [elektronický dokument] . – ISSN 2544-5448. – Roč. 2, č. 2 (2018), s. 45-49 [online] </t>
  </si>
  <si>
    <t xml:space="preserve">Zajímavé bryofloristické nálezy XXXV = Interesting bryofloristic records, XXXV / Dřevojan, Pavel [Autor, 20%] ; Hradílek, Zbyněk [Autor, 3%] ; Hrivnáková, Kristína [Autor, UKFFPVKEE, 2%] ; Janišová, Monika [Autor, UMBFP09, 2%] ; Košnar, Jiří [Autor, 3%] ; Koval, Štěpán [Autor, 10%] ; Kubešová, Svatava [Autor, 3%] ; Kučera, Jan [Autor, 30%] ; Širka, Pavel [Autor, KF, 21%] ; Tkáčiková, Jana [Autor, 6%]. – [čeština]. – [OV 190, 100]. – [článok]. – [recenzované] In: Bryonora [textový dokument (print)] : zpravodaj Brynologicko-lichenologické sekce ČBS. – Praha (Česko) : Česká botanická společnost. – ISSN 0862-8904. – č. 67 (2021), s. 42-52 [tlačená forma] </t>
  </si>
  <si>
    <t xml:space="preserve">Záujmové preferencie adolescentov o jednotlivé oblasti športových aktivít / Broďáni, Jaroslav [Autor, UKFPFAKTV, 34%] ; Šutka, Vladimír [Autor, UKFPFAKTV, 33%] ; Šiška, Ľuboslav [Autor, UKFPFAKTV, 33%]. – text. – [slovenčina]. – [OV 210]. – [článok] In: Studia kinanthropologica [textový dokument (print)] [elektronický dokument] : the scientific journal for kinanthropology = vědecký časopis pro kinantropologii. – České Budějovice (Česko) : Jihočeská univerzita v Českých Budějovicích. Pedagogická fakulta. – ISSN 1213-2101. – Roč. 20, č. 1 (2019), s. 9-15 [tlačená forma] [online] </t>
  </si>
  <si>
    <t xml:space="preserve">Zmeny vo výskyte porušených pohybových stereotypov u dievčat na 2. stupni ZŠ v Nitre / Kanásová, Janka [Autor, UKFPFAKTV, 30%] ; Halmová, Nora [Autor, UKFPFAKTV, 25%] ; Divinec, Lenka [Autor, UKFPFAKTV, 25%] ; Veis, Alexandra [Autor, UKFPFAKTV, 20%]. – text. – [slovenčina]. – [OV 210]. – [článok] In: Studia kinanthropologica [textový dokument (print)] [elektronický dokument] : the scientific journal for kinanthropology = vědecký časopis pro kinantropologii. – České Budějovice (Česko) : Jihočeská univerzita v Českých Budějovicích. Pedagogická fakulta. – ISSN 1213-2101. – Roč. 19, č. 3 (2018), s. 213-220 [tlačená forma] [online] </t>
  </si>
  <si>
    <t xml:space="preserve">Značenije terminologičeskoj raboty v profesionaľnom podgotovke perevodčikov / Wrede, Oľga [Autor, UKFFFAKGE, 50%] ; Korina, Natália [Autor, 50%]. – text. – [ruština]. – [OV 020]. – [článok] In: Filologija i kultura [textový dokument (print)] . – ISSN 2074-0239. – Roč. 59, č. 1 (2020), s. 45-55 [tlačená forma] </t>
  </si>
  <si>
    <t xml:space="preserve">Zondirovanije cenostnoj platformy vizantijskoj filosofii i jejo poslanija dľa sovremennoj jevropejskoj cennostnoj orientacii : očerk problematiki = Probing the value platform of Byzantine philosophy and its message for a modern European value orientation / Pružinec, Tomáš [Autor, UKFFFAKFI, 100%]. – text. – [ruština]. – [OV 020]. – [článok] In: VOX [textový dokument (print)] . – Moskva (Ruská federácia) : Institut filosofii RAN. – ISSN 2077-6608. – Roč. 14, č. 28 (2020), s. 20-43 [tlačená forma] </t>
  </si>
  <si>
    <t xml:space="preserve">Zpověď v budínských legátských statutech z roku 1279 / Krafl, Pavel Otmar [Autor, UKFFFAKHI, 100%]. – text. – [čeština]. – [OV 020, 030]. – [článok] In: Theologická revue [textový dokument (print)] : náboženský čtvrtletník Husické teologické fakulty Univerzity Karlovy v Praze = quarterly journal published by the Hussite Theological Faculty, Charles University. – Praha (Česko) : Univerzita Karlova v Praze. Husitská teologická fakulta. – ISSN 1211-7617. – Roč. 90, č. 3 (2019), s. 386-390 [tlačená forma] </t>
  </si>
  <si>
    <t xml:space="preserve">Zrod národnej opery v Poľsku / Sondorová, Dominika [Autor, UKFPFAKHU, 100%]. – text. – [slovenčina]. – [OV 010]. – [článok] In: GRANT journal [elektronický dokument] : European Grant Projects, Results, Research &amp; Development, Science : Peer-Reviewed Scientific Journal. – Hradec Králové (Česko) : Magnanimitas akademické sdružení. – ISSN (online) 1805-0638. – ISSN (online) 1805-062X. – Roč. 10, č. 1 (2021), s. 46-48 [CD-ROM] [online] </t>
  </si>
  <si>
    <t xml:space="preserve">Zvládanie záťaže u dialyzovaných pacientov = Coping strategies of dialyzed patients / Solgajová, Andrea [Autor, UKFFSVKOS, 20%] ; Sollár, Tomáš [Autor, UKFFSVUAP, 20%] ; Zrubcová, Dana [Autor, UKFFSVKOS, 20%] ; Vörösová, Gabriela [Autor, UKFFSVKOS, 20%] ; Líšková, Miroslava [Autor, UKFFSVKOS, 20%]. – text. – [slovenčina]. – [OV 180]. – [článok] In: Ošetřovatelské perspektivy [elektronický dokument] [textový dokument (print)] . – Opava (Česko) : Slezská univerzita v Opavě. – ISSN 2570-785X. – ISSN (online) 2571-0702. – Roč. 1, č. 1 (2018), s. 63-73 [tlačená forma] [online] </t>
  </si>
  <si>
    <t xml:space="preserve">Zvyšovanie úrovne kritického myslenia žiakov na primárnom stupni vzdelávania / Šutovcová, Lenka [Autor, UKFPFAKPE, 100%]. – text. – [slovenčina]. – [OV 010]. – [článok] In: GRANT journal [elektronický dokument] : European Grant Projects, Results, Research &amp; Development, Science : Peer-Reviewed Scientific Journal. – Hradec Králové (Česko) : Magnanimitas akademické sdružení. – ISSN (online) 1805-0638. – ISSN (online) 1805-062X. – Roč. 10, č. 2 (2021), s. 49-52 [CD-ROM] [online] </t>
  </si>
  <si>
    <t xml:space="preserve">Žiak s odlišným materinským jazykom v slovenskej škole = Student with a Different Native Language in a Slovak School / Jóbová Sziveková, Katarína [Autor, UKFFFAKSJ, 100%]. – text. – [slovenčina]. – [OV 010]. – [článok] In: Didaktické studie [textový dokument (print)] [elektronický dokument] . – Praha (Česko) : Univerzita Karlova v Praze. – ISSN 1804-1221. – ISSN (online) 2571-0400. – Roč. 11, č. 1 (2019), s. 115-124 [tlačená forma] [online] </t>
  </si>
  <si>
    <t xml:space="preserve">Židovská literatura bez uvozovek: koncepce literatury tří identit / Mikulášek, Alexej [Autor, UKFFSSUSJ, 100%]. – text. – [čeština]. – [OV 020]. – [článok] In: Slavica litteraria [textový dokument (print)] [elektronický dokument] : vědecký recenzovaný časopis publikující odborné práce z oblasti literárněvědné slavistiky. – Brno (Česko) : Masarykova univerzita. – ISSN 1212-1509. – ISSN (online) 2336-4491. – Roč. 23, č. 2 (2020), s. 39-60 [tlačená forma] [online] </t>
  </si>
  <si>
    <t xml:space="preserve">Židovská tematika v česko-židovské perspektivě : cyklus povídek Modche a Rezi / Mikulášek, Alexej [Autor, UKFFSSUSJ, 100%]. – text. – [čeština]. – [OV 030]. – [článok] In: GRANT journal [elektronický dokument] : European Grant Projects, Results, Research &amp; Development, Science : Peer-Reviewed Scientific Journal. – Hradec Králové (Česko) : Magnanimitas akademické sdružení. – ISSN (online) 1805-0638. – ISSN (online) 1805-062X. – Roč. 7, č. 2 (2018), s. 38-44 [CD-ROM] [online] </t>
  </si>
  <si>
    <t>ADF - Vedecké práce v ostatných domácich časopisoch</t>
  </si>
  <si>
    <t xml:space="preserve">"Utrpenie z neúplnosti" v kontextoch románovej tvorby Johna Irvinga / Boszorád, Martin [Autor, UKFFFAULK, 100%]. – text. – [slovenčina]. – [OV 020]. – [článok] In: Litikon [textový dokument (print)] : časopis pre výskum literatúry = journal for literature research. – Nitra (Slovensko) : Univerzita Konštantína Filozofa v Nitre. – ISSN 2453-8507. – Roč. 3, č. 2 (2018), s. 199-204 [tlačená forma] </t>
  </si>
  <si>
    <t xml:space="preserve">„Hijábo beszíll így vagy úgy az embër, akkor is csak a magájjét mongya“ : Száz Pál Fűje sarjad mezőknek című műve nyelvhasználatáról / Petres Csizmadia, Gabriela [Autor, UKFFSSUML, 100%]. – text. – [maďarčina]. – [OV 020]. – [článok] In: Irodalmi Szemle [textový dokument (print)] [elektronický dokument] : irodalom, kritika, társadalomtudomány. – Bratislava (Slovensko) : Madách-Posonium. – ISSN 1336-5088. – Roč. 61, č. 10 (2018), s. 30-43 [tlačená forma] [online] </t>
  </si>
  <si>
    <t xml:space="preserve">„Vek DRONOV” a výskum krajiny / Rusňák, Tomáš [Autor, UKFFPVKEE, 50%] ; Košánová, Svetlana [Autor, UKFFPVKEE, 50%]. – text. – [slovenčina]. – [OV 100]. – [článok] In: Životné prostredie [textový dokument (print)] [elektronický dokument] : revue pre teóriu a starostlivosť o životné prostredie = Revue for Theory and Care of the Environment. – Bratislava (Slovensko) : Slovenská akadémia vied. Pracoviská SAV. Ústav krajinnej ekológie. – ISSN 0044-4863. – ISSN (online) 2585-7800. – Roč. 54, č. 2 (2020), s. 73-77 [tlačená forma] [online] </t>
  </si>
  <si>
    <t xml:space="preserve">«Y? ye» yak sposib samoidentyfikaciji Boha v teksti Svyaščennoho Pysanna / Kumeda, Olena [Autor, UKFFFAKRU, 100%]. – text. – [bieloruština]. – [OV 020]. – [článok] In: Slavica Nitriensia [textový dokument (print)] : časopis pre výskum slovanských filológií. – Nitra (Slovensko) : Univerzita Konštantína Filozofa v Nitre. – ISSN 1338-7464. – Roč. 8, č. 1 (2019), s. 34-46 [tlačená forma] </t>
  </si>
  <si>
    <t xml:space="preserve">60 rokov existencie nitrianskeho geografického pracoviska = 60 Years of Existence of the Geographical Department in Nitra / Boltižiar, Martin [Autor, UKFFPVKGR, 100%]. – text. – [slovenčina]. – [OV 092]. – [článok] In: Geografické informácie [textový dokument (print)] [elektronický dokument] . – Nitra (Slovensko) : Univerzita Konštantína Filozofa v Nitre. – ISSN 1337-9453. – Roč. 23, č. 2 (2019), s. 83-97 [tlačená forma] [online] </t>
  </si>
  <si>
    <t xml:space="preserve">60 rokov Národopisnej spoločnosti Slovenska (1958-2018) / Beňušková, Zuzana [Autor, UKFFFAKEF, 100%]. – text. – [slovenčina]. – [OV 060, 030]. – [článok] In: Etnologické rozpravy [textový dokument (print)] [elektronický dokument] . – Bratislava (Slovensko) : Národopisná spoločnosť Slovenska. – ISSN 1335-5074. – ISSN (online) 2729-9759. – Roč. 27, č. Supplement (2020), s. 28-63 [tlačená forma] [online] </t>
  </si>
  <si>
    <t xml:space="preserve">A 2018-as szlovákiai magyar idenitáskutatás elsődleges eredményei / Mészárosová, Zuzana [Autor, UKFFFAKPO, 100%]. – text. – [maďarčina]. – [OV 060]. – [článok] In: Fórum Társadalomtudományi Szemle [textový dokument (print)] . – Šamorín (Slovensko) : Fórum inštitút pre výskum menšín. – ISSN 1335-4361. – Roč. 21, č. 1 (2019), s. 3-27 [tlačená forma] </t>
  </si>
  <si>
    <t xml:space="preserve">A bársonyos forradalom első magyar dokumentumai / Öllös, László [Autor, UKFFFAKPO, 100%]. – text. – [maďarčina]. – [OV 060]. – [článok] In: Fórum Társadalomtudományi Szemle [textový dokument (print)] . – Šamorín (Slovensko) : Fórum inštitút pre výskum menšín. – ISSN 1335-4361. – Roč. 21, č. 4 (2019), s. 23-30 [tlačená forma] </t>
  </si>
  <si>
    <t xml:space="preserve">A család és az iskola aktív együttműködését befolyásoló tényezők / Pataiová, Helena [Autor, UKFFSSUVP, 100%]. – text. – [maďarčina]. – [OV 010]. – [článok] In: Katedra [elektronický dokument] : szlovákiai magyar pedagógusok és szülők lapja. – Dunajská Streda (Slovensko) : Nadácia Katedra. – ISSN 1335-6445. – ISSN (online) 2729-9066. – Roč. 28, č. 4 (2020), s. 10-12 [tlačená forma] [online] </t>
  </si>
  <si>
    <t xml:space="preserve">A hazai oktatásügy reformtörekvéseinek főbb irányvonalai az elmúlt közel három évtizedben / Pintes, Gábor [Autor, UKFPFAKPE, 100%]. – text. – [maďarčina]. – [OV 010]. – [článok] In: Katedra [elektronický dokument] : szlovákiai magyar pedagógusok és szülők lapja. – Dunajská Streda (Slovensko) : Nadácia Katedra. – ISSN 1335-6445. – ISSN (online) 2729-9066. – Roč. 26, č. 6 (2019), s. 7-8 [tlačená forma] [online] </t>
  </si>
  <si>
    <t xml:space="preserve">A kétnyelvűség komplikációi : Mila Haugová Zrkadlo dovnútra (Belső tükör) című önéletrajzáról / Petres Csizmadia, Gabriela [Autor, UKFFSSUML, 100%]. – text. – [maďarčina]. – [OV 010]. – [článok] In: Irodalmi Szemle [textový dokument (print)] [elektronický dokument] : irodalom, kritika, társadalomtudomány. – Bratislava (Slovensko) : Madách-Posonium. – ISSN 1336-5088. – Roč. 61, č. 3 (2018), s. 50-61 [tlačená forma] [online] </t>
  </si>
  <si>
    <t xml:space="preserve">A matematika online oktatásának megvlósítási lehetőségei / Szabó, Tibor [Autor, UKFFSSUVP, 100%]. – [maďarčina]. – [OV 010, 240]. – [článok]. – TRUNI ohlas E083478 In: Katedra [elektronický dokument] : szlovákiai magyar pedagógusok és szülők lapja. – Dunajská Streda (Slovensko) : Nadácia Katedra. – ISSN 1335-6445. – ISSN (online) 2729-9066. – Roč. 28, č. 5 (2021), s. 21-23 [tlačená forma] [online] </t>
  </si>
  <si>
    <t xml:space="preserve">A motiváció jelentősége az edukációs folyamatban / Pataiová, Helena [Autor, UKFFSSUVP, 50%] ; Kárpáti, Andrea [Autor, UKFFSSUVP, 50%]. – text. – [slovenčina]. – [OV 010]. – [článok] In: Katedra [elektronický dokument] : szlovákiai magyar pedagógusok és szülők lapja. – Dunajská Streda (Slovensko) : Nadácia Katedra. – ISSN 1335-6445. – ISSN (online) 2729-9066. – Roč. 29, č. 2 (2021), s. 24-27 [tlačená forma] [online] </t>
  </si>
  <si>
    <t xml:space="preserve">A Nemeshodosi Horthy-szobor média visszhangja = The Horthy Statue in the Nemeshodos in the Media / Hrbáček, Magdaléna [Autor, UKFFSSUSJ, 100%]. – text. – [maďarčina]. – [OV 020, 060]. – [článok] In: Stredoeurópske pohľady [textový dokument (print)] [elektronický dokument] : časopis pre jazyk, literatúru, kultúru a médiá. – Nitra (Slovensko) : Univerzita Konštantína Filozofa v Nitre. Fakulta stredoeurópskych štúdií. Ústav stredoeurópskych jazykov a kultúr. – ISSN 2644-6367. – ISSN (online) 2644-6472. – Roč. 2, č. 1 (2020), s. 54-61 [tlačená forma] [online] </t>
  </si>
  <si>
    <t xml:space="preserve">A romakérdés megoldását célzó stratégiák 1945 - 1969 között / Sipos, Ladislav [Autor, UKFFSSUSJ, 100%]. – text. – [maďarčina]. – [OV 010]. – [článok] In: Fórum Társadalomtudományi Szemle [textový dokument (print)] . – Šamorín (Slovensko) : Fórum inštitút pre výskum menšín. – ISSN 1335-4361. – Roč. 20, č. 1 (2018), s. 34-42 [tlačená forma] </t>
  </si>
  <si>
    <t xml:space="preserve">A szlovákiai magyarok elvárásai a szlovákiai magyar politikusokkal szemben / Mészárosová, Zuzana [Autor, UKFFFAKPO, 100%]. – text. – [maďarčina]. – [OV 060]. – [článok] In: Fórum Társadalomtudományi Szemle [textový dokument (print)] . – Šamorín (Slovensko) : Fórum inštitút pre výskum menšín. – ISSN 1335-4361. – Roč. 23, č. 4 (2021), s. 149-155 [tlačená forma] </t>
  </si>
  <si>
    <t xml:space="preserve">A szlovákiai magyarok választási magatartásának tendenciái / Mészárosová, Zuzana [Autor, UKFFFAKPO, 100%]. – text. – [maďarčina]. – [OV 020]. – [článok] In: Fórum Társadalomtudományi Szemle [textový dokument (print)] . – Šamorín (Slovensko) : Fórum inštitút pre výskum menšín. – ISSN 1335-4361. – Roč. 21, č. 3 (2019), s. 3-19 [tlačená forma] </t>
  </si>
  <si>
    <t xml:space="preserve">A térszemlélet fejlesztése longitudinális iskolai kísérletben : A térszemlélet fejlődése és óvodai, iskolai fejlesztése (1. rész) / Szabó, Tibor [Autor, UKFFSSUVP, 50%] ; Kárpáti, Andrea [Autor, UKFFSSUVP, 50%]. – text. – [maďarčina]. – [OV 010]. – [článok] In: Katedra [elektronický dokument] : szlovákiai magyar pedagógusok és szülők lapja. – Dunajská Streda (Slovensko) : Nadácia Katedra. – ISSN 1335-6445. – ISSN (online) 2729-9066. – Roč. 29, č. 1 (2021), s. 21-23 [tlačená forma] [online] </t>
  </si>
  <si>
    <t xml:space="preserve">A térszemlélet fejlődése és óvodai, iskolai fejlesztése / Kárpáti, Andrea [Autor, UKFFSSUVP, 100%]. – text. – [slovenčina]. – [OV 010]. – [článok] In: Katedra [elektronický dokument] : szlovákiai magyar pedagógusok és szülők lapja. – Dunajská Streda (Slovensko) : Nadácia Katedra. – ISSN 1335-6445. – ISSN (online) 2729-9066. – Roč. 29, č. 2 (2021), s. 28-30 [tlačená forma] [online] </t>
  </si>
  <si>
    <t xml:space="preserve">A transzkulturalizmus és a szlovák irodalom: az expat, a migráns és a disszidens / Németh, Zoltán [Autor, UKFFSSUML, 100%]. – text. – [maďarčina]. – [OV 020]. – [článok] In: Kalligram [textový dokument (print)] : müvészet és gondolat. – Bratislava (Slovensko) : Kalligram. – ISSN 1335-1826. – Roč. 27, č. 3 (2018), s. 73-79 [tlačená forma] </t>
  </si>
  <si>
    <t xml:space="preserve">Absolventi na trhu práce - očakávania a požiadavky / Šarvajcová, Marcela [Autor, UKFFFAKSO, 90%] ; MIčányiová, Lenka [Autor, 10%]. – text. – [slovenčina]. – [OV 060]. – [článok] In: Mládež a spoločnosť [textový dokument (print)] : slovenský časopis pre štátnu politiku a výskum mládeže = Slovak journal for state policy and youth research. – Bratislava (Slovensko) : Centrum vedecko-technických informácií SR. – ISSN 1335-1109. – Roč. 24, č. 2 (2018), s. 25-30 [tlačená forma] </t>
  </si>
  <si>
    <t xml:space="preserve">Acerca del comparatismo y la comparación. Una mirada semiótica / Lampis, Mirko [Autor, UKFFFAKRO, 100%]. – [španielčina]. – [OV 020]. – [článok] In: Philologia [textový dokument (print)] : časopis Ústavu filologických štúdií Pedagogickej fakulty Univerzity Komenského v Bratislave. – Bratislava (Slovensko) : Univerzita Komenského v Bratislave. Pedagogická fakulta UK. Ústav filologických štúdií. – ISSN 1339-2026. – Roč. 29, č. 1-2 (2019), s. 221-232 [tlačená forma] </t>
  </si>
  <si>
    <t xml:space="preserve">Adaptácia budúcich školákov na začiatočné vyučovanie ako súčasť predškolskej prípravy v materskej škole / Teleková, Radka [Autor, UKFPFAKPE, 100%]. – text. – [slovenčina]. – [OV 010]. – [článok] In: Prohuman [elektronický dokument] : vedecko-odborný interdisciplinárny recenzovaný časopis, zameraný na oblasť spoločenských, sociálnych a humanitných vied : vedecko-odborný internetový časopis. – Bratislava (Slovensko) : Business Intelligence Club. – ISSN (online) 1338-1415. – č. 24. november (2020), s. 1-13 [online] </t>
  </si>
  <si>
    <t xml:space="preserve">Adaptácia na informačno - komunikačné technológie prostredníctvom smartfónu a digitálny detox / Šarvajcová, Marcela [Autor, UKFFFAKSO, 95%] ; Bálintová, Dominika [Autor, 5%]. – text. – [slovenčina]. – [OV 060]. – [článok] In: Mládež a spoločnosť [textový dokument (print)] : slovenský časopis pre štátnu politiku a výskum mládeže = Slovak journal for state policy and youth research. – Bratislava (Slovensko) : Centrum vedecko-technických informácií SR. – ISSN 1335-1109. – Roč. 26, č. 2 (2020), s. 28-35 [tlačená forma] </t>
  </si>
  <si>
    <t xml:space="preserve">Adresácia v poetickej modlitbe a poetickej modlitbičke z aspektu pragmalingvistiky = Addressing in Poetic Prayer and Poetic Prayer for Children from the Pragmalinguistic Perspective / Kováčová, Zuzana [Autor, UKFFFASJL, 100%]. – text. – [slovenčina]. – [OV 020]. – [článok] In: Slavica Nitriensia [textový dokument (print)] : časopis pre výskum slovanských filológií. – Nitra (Slovensko) : Univerzita Konštantína Filozofa v Nitre. – ISSN 1338-7464. – Roč. 10, č. 1 (2021), s. 4-36 [tlačená forma] </t>
  </si>
  <si>
    <t xml:space="preserve">Agilný prístup: ako transformovať dynamiku a motiváciu v tíme? / Silberg, Slavka [Autor, UKFPFAKPE, 100%]. – text. – [slovenčina]. – [OV 010]. – [článok] In: Prohuman [elektronický dokument] : vedecko-odborný interdisciplinárny recenzovaný časopis, zameraný na oblasť spoločenských, sociálnych a humanitných vied : vedecko-odborný internetový časopis. – Bratislava (Slovensko) : Business Intelligence Club. – ISSN (online) 1338-1415. – Roč. 2020, č. 24. september (2020), s. 1-3 [online] </t>
  </si>
  <si>
    <t xml:space="preserve">Akceptácia „inakosti“ vysokoškolákmi na Slovensku a nezastupiteľné miesto médií pri tvorbe verejného diskurzu / Šarvajcová, Marcela [Autor, UKFFFAKSO, 100%]. – text. – [slovenčina]. – [OV 060]. – [článok]. – DOI 10.17846/SS.2021.6.1.119-122 In: Sociológia a spoločnosť [textový dokument (print)] [elektronický dokument] : medzinárodný vedecký sociologický časopis. – Nitra (Slovensko) : Univerzita Konštantína Filozofa v Nitre. – ISSN 2453-8086. – ISSN (online) 2644-5980. – Roč. 6, č. 1 (2021), s. 119-122 [tlačená forma] [online] </t>
  </si>
  <si>
    <t xml:space="preserve">Aktuálne témy občianskeho vzdelávania dospelých / Temiaková, Dominika [Autor, UKFPFAKPE, 100%]. – text. – [slovenčina]. – [OV 010]. – [článok] In: Pedagogika.sk [elektronický dokument] : slovenský časopis pre pedagogické vedy = Slovak Journal for Educational Sciences. – Bratislava (Slovensko) : Slovenská akadémia vied. Slovenská pedagogická spoločnosť pri SAV. – ISSN (online) 1338-0982. – Roč. 11, č. 1 (2020), s. 58-64 [online] </t>
  </si>
  <si>
    <t xml:space="preserve">Akustické vlastnosti synagóg na území Slovenska ako nehmotné kultúrne dedičstvo / Brezina, Pavol [Autor, UKFPFAKHU, 80%] ; Zaťko, Peter [Autor, 20%]. – text. – [slovenčina]. – [OV 020]. – [článok] In: Fyzikálne faktory prostredia [textový dokument (print)] : časopis o problematike fyzikálnych faktorov prostredia. – Košice (Slovensko) : IbSolve. – ISSN 1338-3922. – Roč. VIII, č. 1-2 (2018), s. 20-30 [tlačená forma] </t>
  </si>
  <si>
    <t xml:space="preserve">Akustické Vlastnosti Vybraných Ortodoxných Synagóg Na Slovensku / Brezina, Pavol [Autor, UKFPFAKHU, 33.334%] ; Jarabica, Michal [Autor, 33.333%] ; Zaťko, Peter [Autor, 33.333%]. – text. – [slovenčina]. – [OV 020]. – [článok] In: Fyzikálne faktory prostredia [textový dokument (print)] : časopis o problematike fyzikálnych faktorov prostredia. – Košice (Slovensko) : IbSolve. – ISSN 1338-3922. – Roč. 9, č. 1 (2019), s. 6-11 [tlačená forma] </t>
  </si>
  <si>
    <t xml:space="preserve">Alapiskolás tanulók szövegértési képességeinek felmérése (1. rész) : a kutatási körülmények és a szövegértést mérő tesztek bemutatása / Gergelyová, Viktória [Autor, UKFFSSUML, 100%]. – text. – [maďarčina]. – [OV 010]. – [článok] In: Katedra [elektronický dokument] : szlovákiai magyar pedagógusok és szülők lapja. – Dunajská Streda (Slovensko) : Nadácia Katedra. – ISSN 1335-6445. – ISSN (online) 2729-9066. – Roč. 27, č. 5 (2020), s. 13-15 [tlačená forma] [online] </t>
  </si>
  <si>
    <t xml:space="preserve">Alapiskolás tanulók szövegértési képességeinek felmérése (2. rész) : A felmérés elsődleges eredményei / Gergelyová, Viktória [Autor, UKFFSSUML, 100%]. – text. – [maďarčina]. – [OV 010]. – [článok] In: Katedra [elektronický dokument] : szlovákiai magyar pedagógusok és szülők lapja. – Dunajská Streda (Slovensko) : Nadácia Katedra. – ISSN 1335-6445. – ISSN (online) 2729-9066. – Roč. 27, č. 6 (2020), s. 21-23 [tlačená forma] [online] </t>
  </si>
  <si>
    <t xml:space="preserve">Americká populárna kultúra ako globálny fenomén / Válek, Ján [Autor, UKFFFAKMK, 100%]. – text. – [slovenčina]. – [OV 020]. – [článok] In: Kontexty kultúry a turizmu [textový dokument (print)] . – Nitra (Slovensko) : Univerzita Konštantína Filozofa v Nitre. Filozofická fakulta. – ISSN 1337-7760. – Roč. 14, č. 2 (2021), s. 69-85 [tlačená forma] </t>
  </si>
  <si>
    <t xml:space="preserve">Americká populárna kultúra v digitálnej dobe / Válek, Ján [Autor, UKFFFAKMK, 100%]. – text. – [slovenčina]. – [OV 020]. – [článok] In: Culturologica Slovaca [elektronický dokument] : internetový kulturologický časopis. – Nitra (Slovensko) : Univerzita Konštantína Filozofa v Nitre. – ISSN 2453-9740. – Roč. 6, č. 2 (2021), s. 136-148 [online] </t>
  </si>
  <si>
    <t xml:space="preserve">Americké vplyvy v slovenskej kultúre / Válek, Ján [Autor, UKFFFAKMK, 100%]. – text. – [slovenčina]. – [OV 020]. – [článok] In: Kontexty kultúry a turizmu [textový dokument (print)] . – Nitra (Slovensko) : Univerzita Konštantína Filozofa v Nitre. Filozofická fakulta. – ISSN 1337-7760. – Roč. 13, č. 2 (2020), s. 69-82 [tlačená forma] </t>
  </si>
  <si>
    <t xml:space="preserve">An approach to the notion of love in Lorca's tragedies = Pojem lásky v Lorcových tragédiách / De Miguel Santos, César [Autor, UKFFFAKRO, 100%]. – text. – [angličtina]. – [OV 020]. – [článok] In: Ars pro toto [textový dokument (print)] : vedecký a umelecký časopis = science &amp; art journal. – Banská Štiavnica : Hudobná a umelecká akadémia Jána Albrechta v Banskej Štiavnici. – ISSN 1338-6913. – Roč. 8, č. 2 (2019), s. 14-18 [tlačená forma] </t>
  </si>
  <si>
    <t xml:space="preserve">An overview of coping strategies used by patients after stroke / Dančová, Katarína [Autor, UKFFSVUAP, 33.334%] ; Sollár, Tomáš [Autor, UKFFSVUAP, 33.333%] ; Romanová, Martina [Autor, UKFFSVUAP, 33.333%]. – text. – [angličtina]. – [OV 060]. – [článok] In: Pomáhajúce profesie [textový dokument (print)] : recenzovaný vedecký časopis pre teóriu, výskum, prax a vzdelávanie v pomáhajúcich profesiách. – Nitra (Slovensko) : Univerzita Konštantína Filozofa v Nitre. – ISSN 2585-9447. – Roč. 2, č. 2 (2019), s. 5-17 [tlačená forma] [online] </t>
  </si>
  <si>
    <t xml:space="preserve">Analysis of organic chemistry tasks in textbooks for secondary schools = Analýza úloh z organickej chémie v učebniciach pre stredné školy / Štefánková, Simona [Autor, 10%] ; Braniša, Jana [Autor, UKFFPVKCH, 45%] ; Jenisová, Zita [Autor, UKFFPVKCH, 45%]. – text. – [angličtina]. – [OV 010]. – [článok]. – DOI 10.18355/PG.2018.7.1.2 In: Slavonic Pedagogical Studies Journal [textový dokument (print)] [elektronický dokument] : the Scientific Educational Journal . – Nitra (Slovensko) : Slovenská Vzdelávacia a Obstarávacia. – ISSN 1339-8660. – ISSN (online) 1339-9055. – Roč. 7, č. 1 (2018), s. 11-21 [tlačená forma] [online] </t>
  </si>
  <si>
    <t xml:space="preserve">Analýza originálnej a dabingovej verzie audiovizuálneho diela pre detského recipienta / Zahorák, Andrej [Autor, UKFFFAKTR, 100%]. – text. – [slovenčina]. – [OV 020]. – [článok] In: Jazyk a kultúra [elektronický dokument] : internetový časopis Lingvokulturologického a prekladateľsko-tlmočníckeho centra excelentnosti pri Filozofickej fakulte Prešovskej univerzity. – Prešov (Slovensko) : Prešovská univerzita v Prešove. Lingvokulturologické a prekladateľsko-tlmočnícke centrum excelentnosti. – ISSN (online) 1338-1148. – Roč. 11, č. 43-44 (2020), s. 133-134 [online] </t>
  </si>
  <si>
    <t xml:space="preserve">Analýza prejavov agresivity v asociácii s dĺžkou 2. a 4. prsta hornej končatiny a bmi študentov UKF v Nitre (Slovensko) / Kolena, Branislav [Autor, UKFFPVKZA, 20%] ; Rubíntová, Alexandra [Autor, 20%] ; Petrovičová, Ida [Autor, UKFFPVKZA, 20%] ; Šidlovská, Miroslava [Autor, UKFFPVKZA, 20%] ; Hlisníková, Henrieta [Autor, UKFFPVKZA, 20%]. – text. – [slovenčina]. – [OV 130]. – [článok] In: Slovenská antropológia [textový dokument (print)] : bulletin Slovenskej antropologickej spoločnosti pri SAV. – Bratislava (Slovensko) : Slovenská akadémia vied. Slovenská antropologická spoločnosť pri SAV. – ISSN 1336-5827. – Roč. 22, č. 2 (2019), s. 59-65 [tlačená forma] </t>
  </si>
  <si>
    <t xml:space="preserve">Analýza riešení geometrických úloh a geometrického myslenia žiakov pri ukončení základnej školy / Bočková, Veronika [Autor, UKFFPVKMA, 50%] ; Pavlovičová, Gabriela [Autor, UKFFPVKMA, 50%]. – text. – [slovenčina]. – [OV 010]. – [článok] In: Acta Mathematica Nitriensia [elektronický dokument] . – Nitra (Slovensko) : Univerzita Konštantína Filozofa v Nitre. Fakulta prírodných vied a informatiky. Katedra matematiky. – ISSN 2453-6083. – Roč. 6, č. 1 (2020), s. 21-33 [online] </t>
  </si>
  <si>
    <t xml:space="preserve">Analýza riešení úloh na priestorovú predstavivosť študentov predškolskej a elementárnej pedagogiky / Laššová, Katarína [Autor, UKFFPVKMA, 100%]. – text. – [slovenčina]. – [OV 010]. – [článok] In: Acta Mathematica Nitriensia [elektronický dokument] . – Nitra (Slovensko) : Univerzita Konštantína Filozofa v Nitre. Fakulta prírodných vied a informatiky. Katedra matematiky. – ISSN 2453-6083. – Roč. 7, č. 2 (2021), s. 17-26 [online] </t>
  </si>
  <si>
    <t xml:space="preserve">Analýza telesného zloženia v súbore slovenských vysokoškoláčok / Matejovičová, Barbora [Autor, UKFFPVKZA, 35%] ; Špániková, Dominika [Autor, 35%] ; Schlarmannová, Janka [Autor, UKFFPVKZA, 30%]. – [slovenčina]. – [OV 130]. – [článok] In: Slovenská antropológia [textový dokument (print)] : bulletin Slovenskej antropologickej spoločnosti pri SAV. – Bratislava (Slovensko) : Slovenská akadémia vied. Slovenská antropologická spoločnosť pri SAV. – ISSN 1336-5827. – Roč. 22, č. 2 (2019), s. 26-35 [tlačená forma] </t>
  </si>
  <si>
    <t xml:space="preserve">Analýza učebníc matematiky zameraná na oblasť Geometria a meranie / Bočková, Veronika [Autor, UKFFPVKMA, 100%]. – text. – [slovenčina]. – [OV 240]. – [článok] In: Acta Mathematica Nitriensia [elektronický dokument] . – Nitra (Slovensko) : Univerzita Konštantína Filozofa v Nitre. Fakulta prírodných vied a informatiky. Katedra matematiky. – ISSN 2453-6083. – Roč. 4, č. 2 (2018), s. 14-23 [online] </t>
  </si>
  <si>
    <t xml:space="preserve">Analýza vybraných faktorov prostredia pri hodnotení procesov vodnej erózie v podmienkach nížinnej pahorkatiny = Analysis of Selected Environmental Factors in Evaluation of Water Soil Erosion in Lowland Hill Lands / Petlušová, Viera [Autor, UKFFPVKEE, 50%] ; Petluš, Peter [Autor, UKFFPVKEE, 50%]. – text. – [slovenčina]. – [OV 100]. – [článok] In: Geografické informácie [textový dokument (print)] [elektronický dokument] . – Nitra (Slovensko) : Univerzita Konštantína Filozofa v Nitre. – ISSN 1337-9453. – Roč. 23, č. 1 (2019), s. 48-62 [tlačená forma] [online] </t>
  </si>
  <si>
    <t xml:space="preserve">Analýza zdravotného stavu a expozície ftalátmi v skupine probandiek s ektopickou graviditou zo Slovenska / Kolena, Branislav [Autor, UKFFPVKZA, 60%] ; Petrovičová, Ida [Autor, UKFFPVKZA, 10%] ; Šidlovská, Miroslava [Autor, UKFFPVKZA, 10%] ; Mikolajčíková, Lenka [Autor, 1%] ; Mlynček, Miloš [Autor, UKFFSVKOS, 9%] ; Hlisníková, Henrieta [Autor, UKFFPVKZA, 10%]. – text. – [slovenčina]. – [OV 130]. – [článok] In: Slovenská antropológia [textový dokument (print)] : bulletin Slovenskej antropologickej spoločnosti pri SAV. – Bratislava (Slovensko) : Slovenská akadémia vied. Slovenská antropologická spoločnosť pri SAV. – ISSN 1336-5827. – Roč. 22, č. 1 (2019), s. 55-63 [tlačená forma] </t>
  </si>
  <si>
    <t xml:space="preserve">Anketa o kritike prekladu / Tyšš, Igor [Autor, UKFFFAKTR, 100%]. – text. – [slovenčina]. – [OV 020]. – [článok] In: Kritika prekladu [textový dokument (print)] [elektronický dokument] . – Banská Bystrica (Slovensko) : Univerzita Mateja Bela v Banskej Bystrici. Vydavateľstvo Univerzity Mateja Bela v Banskej Bystrici - Belianum. – ISSN 1339-3405. – Roč. 7, č. 1 (2019), s. 62-66 [tlačená forma] [online] </t>
  </si>
  <si>
    <t xml:space="preserve">Antisemitizmus v básnickej a dramatickej tvorbe Milana Richtera = Anti-Semitism in the Poetic and Dramatic Work of Milan Richter / Adamická, Monika [Autor, UKFFSSUSJ, 100%]. – text. – [slovenčina]. – [OV 020]. – [článok] In: Stredoeurópske pohľady [textový dokument (print)] [elektronický dokument] : časopis pre jazyk, literatúru, kultúru a médiá. – Nitra (Slovensko) : Univerzita Konštantína Filozofa v Nitre. Fakulta stredoeurópskych štúdií. Ústav stredoeurópskych jazykov a kultúr. – ISSN 2644-6367. – ISSN (online) 2644-6472. – Roč. 3, č. 2 (2021), s. 12-20 [tlačená forma] [online] </t>
  </si>
  <si>
    <t xml:space="preserve">Antisemitské nálady v minulosti a dnes = Anti-Semitic Moods in the Past and Today / Hrešková, Sylvia [Autor, UKFFSSUSJ, 100%]. – text. – [slovenčina]. – [OV 030]. – [článok] In: Stredoeurópske pohľady [textový dokument (print)] [elektronický dokument] : časopis pre jazyk, literatúru, kultúru a médiá. – Nitra (Slovensko) : Univerzita Konštantína Filozofa v Nitre. Fakulta stredoeurópskych štúdií. Ústav stredoeurópskych jazykov a kultúr. – ISSN 2644-6367. – ISSN (online) 2644-6472. – Roč. 2, č. 1 (2020), s. 47-53 [tlačená forma] [online] </t>
  </si>
  <si>
    <t xml:space="preserve">Aplikácia výsledkov projektu Dielne v technickom vzdelávaní na základnej škole / Ažaltovičová, Michaela [Autor, UKFPFAKTT, 50%] ; Depešová, Jana [Autor, UKFPFAKTT, 50%]. – text. – [slovenčina]. – [OV 010]. – [článok] In: Technika a vzdelávanie [textový dokument (print)] [elektronický dokument] : časopis zameraný na technické vzdelávanie v základných, stredných i na vysokých školách, na oblasť základného a aplikovaného výskumu, aplikáciu informačných technológií vo výučbe odborných predmetov. – Banská Bystrica (Slovensko) : Univerzita Mateja Bela v Banskej Bystrici. Fakulta prírodných vied. – ISSN 1338-9742. – ISSN (online) 1339-9888. – Roč. 7, č. 2 (2018), s. 19-21 [tlačená forma] [online] </t>
  </si>
  <si>
    <t xml:space="preserve">Archetypy krajiny ako významný fenomén kultúrnej krajiny / Hreško, Juraj [Autor, UKFFPVKEE, 50%] ; Mišovičová, Regína [Autor, UKFFPVKEE, 50%]. – text. – [slovenčina]. – [OV 100]. – [článok] In: Životné prostredie [textový dokument (print)] [elektronický dokument] : revue pre teóriu a starostlivosť o životné prostredie = Revue for Theory and Care of the Environment. – Bratislava (Slovensko) : Slovenská akadémia vied. Pracoviská SAV. Ústav krajinnej ekológie. – ISSN 0044-4863. – ISSN (online) 2585-7800. – Roč. 52, č. 4 (2018), s. 213-218 [tlačená forma] [online] </t>
  </si>
  <si>
    <t xml:space="preserve">Archives, libraries, galleries and  museums  - guardians of the  cultural and scientific heritage . Utilization of the digital and electronic sources of  information in educational practice = Archívy, knižnice , galérie a múzeá  - strážcovia kultúrneho a  vedeckého dedičstva. Využitie digitálnych a elektronických informačných zdrojov v školskej praxi / Tandlich, Tomáš [Autor, UKFFFAKHI, 100%]. – text. – [angličtina]. – [OV 010]. – [článok] In: Slavonic Pedagogical Studies Journal [textový dokument (print)] [elektronický dokument] : the Scientific Educational Journal . – Nitra (Slovensko) : Slovenská Vzdelávacia a Obstarávacia. – ISSN 1339-8660. – ISSN (online) 1339-9055. – Roč. 8, č. 1 (2019), s. 239-244 [tlačená forma] [online] </t>
  </si>
  <si>
    <t xml:space="preserve">Aritmetický priemer a geometrický priemer II / Varga, Marek [Autor, UKFFPVKMA, 100%]. – [slovenčina]. – [OV 010]. – [článok] In: Acta Mathematica Nitriensia [elektronický dokument] . – Nitra (Slovensko) : Univerzita Konštantína Filozofa v Nitre. Fakulta prírodných vied a informatiky. Katedra matematiky. – ISSN 2453-6083. – Roč. 4, č. 1 (2018), s. 13-18 [online] </t>
  </si>
  <si>
    <t xml:space="preserve">Art-education potential of the exhibition named the floor / Kratochvil, Martin [Autor, UKFPFAKVV, 100%]. – text. – [angličtina]. – [OV 010]. – [článok] In: Slavonic Pedagogical Studies Journal [textový dokument (print)] [elektronický dokument] : the Scientific Educational Journal . – Nitra (Slovensko) : Slovenská Vzdelávacia a Obstarávacia. – ISSN 1339-8660. – ISSN (online) 1339-9055. – Roč. 9, č. 2 (2020), s. 152-163 [tlačená forma] [online] </t>
  </si>
  <si>
    <t xml:space="preserve">Asablivasci samaidentyfikaciji i samaprezentaciji v dziciačym dyskurse Uladzimira Lipskaha / Kalechyts, Alena [Autor, UKFFFAKRU, 100%]. – text. – [bieloruština]. – [OV 020]. – [článok] In: Slavica Nitriensia [textový dokument (print)] : časopis pre výskum slovanských filológií. – Nitra (Slovensko) : Univerzita Konštantína Filozofa v Nitre. – ISSN 1338-7464. – Roč. 7, č. 2 (2018), s. 50-60 [tlačená forma] </t>
  </si>
  <si>
    <t xml:space="preserve">Asertivita ako jedna z kľúčových zručností v práci manažéra / Hučková, Jana [Autor, UKFFFAKMK, 100%]. – text. – [slovenčina]. – [OV 020]. – [článok] In: Kontexty kultúry a turizmu [textový dokument (print)] . – Nitra (Slovensko) : Univerzita Konštantína Filozofa v Nitre. Filozofická fakulta. – ISSN 1337-7760. – Roč. 12, č. 1 (2019), s. 7-12 [tlačená forma] </t>
  </si>
  <si>
    <t xml:space="preserve">Aspekty prezentácie ženských a mužských rolí v slovenských printových médiách pre ženy / Rožňová, Jitka [Autor, UKFFFAKZU, 100%]. – text. – [slovenčina]. – [OV 020, 060]. – [článok] In: Dot.comm [elektronický dokument] : časopis pre teóriu, výskum a prax mediálnej a marketingovej komunikácie = journal for the theory, research and practice of media and marketing communication. – Bratislava (Slovensko) : Európska akadémia manažmentu marketingu a médií. – ISSN 1339-5181. – Roč. 7, č. 1-2 (2019), s. 73-81 [online] </t>
  </si>
  <si>
    <t xml:space="preserve">Ateliérový modus výučby / Ballay, Miroslav [Autor, UKFFFAKKU, 100%]. – text. – [slovenčina]. – [OV 060]. – [článok] In: Culturologica Slovaca [elektronický dokument] : internetový kulturologický časopis. – Nitra (Slovensko) : Univerzita Konštantína Filozofa v Nitre. – ISSN 2453-9740. – Roč. 6, č. 1 (2021), s. 50-59 [online] </t>
  </si>
  <si>
    <t xml:space="preserve">Autoevalvačné  modely a úspešné školské  systémy / Pisoňová, Mária [Autor, UKFPFAKPE, 100%]. – text. – [slovenčina]. – [OV 010]. – [článok] In: Studia Scientifica Facultatis Paedagogicae [textový dokument (print)] [elektronický dokument] . – Ružomberok (Slovensko) : Katolícka univerzita v Ružomberku. VERBUM - vydavateľstvo KU. – ISSN 1336-2232. – Roč. 17, č. 1 (2018), s. 124-131 [tlačená forma] [online] </t>
  </si>
  <si>
    <t xml:space="preserve">Autor v sieti (alebo niekoľko poznámok k stopám postštrukturalizmu v dobe internetu) / Debnár, Marek [Autor, UKFFFAKAE 06.2022, 100%]. – text. – [slovenčina]. – [OV 020]. – [článok] In: Vlna [textový dokument (print)] : časopis o súčasnom umení a kultúre. – Bratislava (Slovensko) : Drewo a srd. – ISSN 1335-5341. – ISSN (chybné) ISSN 1335-969X. – Roč. 20, č. 74 (2018), s. 33-45 [tlačená forma] </t>
  </si>
  <si>
    <t xml:space="preserve">Axiologické významy partnerskej lásky = Axiological meanings of partner love / Marková, Dagmar [Autor, UKFFFAKAE 06.2022, 100%]. – text. – [slovenčina]. – [OV 020]. – [článok] In: Prohuman [elektronický dokument] : vedecko-odborný interdisciplinárny recenzovaný časopis, zameraný na oblasť spoločenských, sociálnych a humanitných vied : vedecko-odborný internetový časopis. – Bratislava (Slovensko) : Business Intelligence Club. – ISSN (online) 1338-1415. – č. 30. december (2021), s. 1-16 [online] </t>
  </si>
  <si>
    <t xml:space="preserve">Az együttműködés formái - a család és az iskola közötti együttműködés alapvető feltételei / Pataiová, Helena [Autor, UKFFSSUVP, 100%]. – text. – [maďarčina]. – [OV 010]. – [článok] In: Katedra [elektronický dokument] : szlovákiai magyar pedagógusok és szülők lapja. – Dunajská Streda (Slovensko) : Nadácia Katedra. – ISSN 1335-6445. – ISSN (online) 2729-9066. – Roč. 28, č. 5 (2021), s. 15-17 [tlačená forma] [online] </t>
  </si>
  <si>
    <t xml:space="preserve">Az utazás interferenciája : start és cél között rázkódik a test / Petres Csizmadia, Gabriela [Autor, UKFFSSUML, 100%]. – text. – [maďarčina]. – [OV 010]. – [článok] In: Irodalmi Szemle [textový dokument (print)] [elektronický dokument] : irodalom, kritika, társadalomtudomány. – Bratislava (Slovensko) : Madách-Posonium. – ISSN 1336-5088. – Roč. 62, č. 9 (2019), s. 43-55 [tlačená forma] [online] </t>
  </si>
  <si>
    <t xml:space="preserve">Bádateľská aktivita vo vyučovaní geometrie na základnej škole a postrehy učiteľov k danej aktivite / Laššová, Katarína [Autor, UKFFPVKMA, 100%]. – text. – [slovenčina]. – [OV 010, 240]. – [článok]. – DOI 10.17846/AMN.2020.6.2.18-23 In: Acta Mathematica Nitriensia [elektronický dokument] . – Nitra (Slovensko) : Univerzita Konštantína Filozofa v Nitre. Fakulta prírodných vied a informatiky. Katedra matematiky. – ISSN 2453-6083. – Roč. 6, č. 2 (2020), s. 24-33 [online] </t>
  </si>
  <si>
    <t xml:space="preserve">Bádateľská aktivita vo vyučovaní geometrie na základnej škole a postrehy učiteľov k danej aktivite / Rumanová, Lucia [Autor, UKFFPVKMA, 100%]. – text. – [slovenčina]. – [OV 010, 240]. – [článok]. – DOI 10.17846/AMN.2020.6.2.18-23 In: Acta Mathematica Nitriensia [elektronický dokument] . – Nitra (Slovensko) : Univerzita Konštantína Filozofa v Nitre. Fakulta prírodných vied a informatiky. Katedra matematiky. – ISSN 2453-6083. – Roč. 6, č. 2 (2020), s. 18-23 [online] </t>
  </si>
  <si>
    <t xml:space="preserve">Básnické obrazy v pohybovom vyjadrení detí / Kollárová, Dana [Autor, UKFPFAKPE, 100%]. – text. – [slovenčina]. – [OV 010]. – [článok] In: Pán učiteľ [textový dokument (print)] : časopis pre učiteľov, rodičov a žiakov. – Bratislava (Slovensko) : AG Musica Liturgica. – ISSN 1336-7161. – Roč. 8, č. 5 (2018), s. 18-21 [tlačená forma] </t>
  </si>
  <si>
    <t xml:space="preserve">Bewertung der Qualität maschineller Übersetzung journalistischer Texte aus dem Deutschen ins Slowakische / Wrede, Oľga [Autor, UKFFFAKGE, 33.334%] ; Munková, Daša [Autor, UKFFFAKTR, 33.333%] ; Pavlová, Renáta [Autor, UKFFFAJZC, 33.333%]. – text. – [nemčina]. – [OV 020]. – [článok] In: Jazyk a kultúra [elektronický dokument] : internetový časopis Lingvokulturologického a prekladateľsko-tlmočníckeho centra excelentnosti pri Filozofickej fakulte Prešovskej univerzity. – Prešov (Slovensko) : Prešovská univerzita v Prešove. Lingvokulturologické a prekladateľsko-tlmočnícke centrum excelentnosti. – ISSN (online) 1338-1148. – Roč. 11, č. 41-42 (2020), s. 173-185 [online] </t>
  </si>
  <si>
    <t xml:space="preserve">Beyond Czech and Slovak  differences in Hofstede's Masculinity index : an investigation of cross-cultural  differences using Hofstede’s and Schwartz’s framework / Brezina, Ivan [Autor, 34%] ; Bašnáková, Jana [Autor, 33%] ; Sollár, Tomáš [Autor, UKFFSVUAP, 33%]. – text. – [angličtina]. – [OV 060]. – [článok] In: Človek a spoločnosť [elektronický dokument] : internetový časopis pre pôvodné, teoretické a výskumné štúdie z oblasti spoločenských vied. – ISSN (online) 1335-3608. – Roč. 22, č. 1 (2019), s. 16-33 [online] </t>
  </si>
  <si>
    <t xml:space="preserve">Biblické motívy v Balážovej tvorbe s tematikou židovstva / Adamická, Monika [Autor, UKFFSSUSJ, 100%]. – text. – [slovenčina]. – [OV 020]. – [článok] In: Romboid [textový dokument (print)] : časopis pre literatúru a umeleckú komunikáciu. – Bratislava (Slovensko) : Zväz slovenských spisovateľov, Bratislava (Slovensko) : Asociácia organizácií spisovateľov Slovenska. – ISSN 0231-6714. – Roč. 55, č. 2 (2020), s. 28-36 [tlačená forma] </t>
  </si>
  <si>
    <t xml:space="preserve">Bilaterálne dohody o obrannej spolupráci - dohoda medzi Slovenskom a USA / Brhlíková, Radoslava [Autor, UKFFFAKPO, 100%]. – text. – [slovenčina]. – [OV 060]. – [článok]. – DOI 10.31577/SPS.2020-2.1 In: Studia Politica Slovaca [textový dokument (print)] [elektronický dokument] : časopis pre politické vedy, najnovšie politické dejiny a medzinárodné vzťahy. – Bratislava (Slovensko) : Slovenská akadémia vied. – ISSN 1337-8163. – ISSN (online) 2585-8459. – Roč. 13, č. 2 (2020), s. 4-18 [tlačená forma] [online] </t>
  </si>
  <si>
    <t xml:space="preserve">Biológia a umenie - medzi prírodou, vedou, umením a literatúrou / Štúr, Martin [Autor, UKFFFAKRO, 100%]. – text. – [slovenčina]. – [OV 020]. – [článok] In: Ars pro toto [textový dokument (print)] : vedecký a umelecký časopis = science &amp; art journal. – Banská Štiavnica : Hudobná a umelecká akadémia Jána Albrechta v Banskej Štiavnici. – ISSN 1338-6913. – Roč. 9, č. 2 (2020), s. 26-29 [tlačená forma] </t>
  </si>
  <si>
    <t xml:space="preserve">Blažený život podľa Aristotela a podmienky k jeho naplneniu / Kňažko, Boris [Autor, UKFFFAKAE 06.2022, 100%]. – text. – [slovenčina]. – [OV 020]. – [článok] In: Prohuman [elektronický dokument] : vedecko-odborný interdisciplinárny recenzovaný časopis, zameraný na oblasť spoločenských, sociálnych a humanitných vied : vedecko-odborný internetový časopis. – Bratislava (Slovensko) : Business Intelligence Club. – ISSN (online) 1338-1415. – Roč. 2020, č. 5. máj (2020), s. 1-9 [online] </t>
  </si>
  <si>
    <t xml:space="preserve">Boncolókés alá helyezett pillanatképek / Petres Csizmadia, Gabriela [Autor, UKFFSSUML, 100%]. – text. – [maďarčina]. – [OV 020]. – [článok] In: Irodalmi Szemle [textový dokument (print)] [elektronický dokument] : irodalom, kritika, társadalomtudomány. – Bratislava (Slovensko) : Madách-Posonium. – ISSN 1336-5088. – Roč. 60, č. 7-8 (2018), s. 145-150 [tlačená forma] [online] </t>
  </si>
  <si>
    <t xml:space="preserve">Brain-compatible teaching and psycho-didactic aspects of education as determinants supporting the development of critical thinking in students / Gunišová, Denisa [Autor, UKFPFAKPE, 50%] ; Kozárová, Nina [Autor, UKFPFAKPE, 50%]. – text. – [angličtina]. – [OV 010]. – [článok] In: Slavonic Pedagogical Studies Journal [textový dokument (print)] [elektronický dokument] : the Scientific Educational Journal . – Nitra (Slovensko) : Slovenská Vzdelávacia a Obstarávacia. – ISSN 1339-8660. – ISSN (online) 1339-9055. – Roč. 7, č. 1 (2018), s. 164-177 [tlačená forma] [online] </t>
  </si>
  <si>
    <t xml:space="preserve">Cognitive Competences of English Language Teachers and Their Impact on Use of Teaching Methods with Learners at Lower Secondary School / Harťanská, Jana [Autor, UKFFFAKAA, 70%] ; Muchálová, Zuzana [Autor, 30%]. – text. – [angličtina]. – [OV 020]. – [článok] In: Acta Educationis Generalis [textový dokument (print)] [elektronický dokument] . – Dubnica nad Váhom (Slovensko) : Vysoká škola DTI. – ISSN 2585-741X. – ISSN (online) 2585-7444. – Roč. 8, č. 3 (2018), s. 50-68 [tlačená forma] </t>
  </si>
  <si>
    <t xml:space="preserve">Communicative Competence in English and its Development at the Primary Level of Education / Pauliková, Klaudia [Autor, UKFPFAKLI, 100%]. – text. – [angličtina]. – [OV 010]. – [článok]. – DOI 10.18355/PG.2021.10.1.3 In: Slavonic Pedagogical Studies Journal [textový dokument (print)] [elektronický dokument] : the Scientific Educational Journal . – Nitra (Slovensko) : Slovenská Vzdelávacia a Obstarávacia. – ISSN 1339-8660. – ISSN (online) 1339-9055. – Roč. 10, č. 1 (2021), s. 31-46 [tlačená forma] [online] . – Nordic List: 1 </t>
  </si>
  <si>
    <t xml:space="preserve">Comparison of three different methods for the analysis of ram sperm concentration / Baláži, Andrej [Autor, 16%] ; Vašíček, Jaromír [Autor, SPUFBP01, 12%] ; Svoradová, Andrea [Autor, UKFFPVKZA, 12%] ; Macháč, Marián [Autor, 12%] ; Jurčík, Rastislav [Autor, 12%] ; Huba, Ján [Autor, 12%] ; Pavlík, I. [Autor, 12%] ; Chrenek, Peter [Autor, SPUFBP01, 12%]. – [angličtina]. – [OV 190]. – [článok] In: Slovak Journal of Animal Science [textový dokument (print)] [elektronický dokument] . – Nitra (Slovensko) : Národné poľnohospodárske a potravinárske centrum. Výskumný ústav živočíšnej výroby Nitra. – ISSN 1337-9984. – ISSN (online) 1338-0095. – Roč. 53, č. 2 (2020), s. 53-59 [tlačená forma] [online] </t>
  </si>
  <si>
    <t xml:space="preserve">Creation and Implementation of Sustainable Development Strategies on Municipal Level in Germany / Michalina, Denis [Autor, UKFFPVKEE, 50%] ; Mederly, Peter [Autor, UKFFPVKEE, 50%]. – text. – [angličtina]. – [OV 100]. – [článok]. – DOI 10.17846/GI.2020.24.1.186-205 In: Geografické informácie [textový dokument (print)] [elektronický dokument] . – Nitra (Slovensko) : Univerzita Konštantína Filozofa v Nitre. – ISSN 1337-9453. – Roč. 24, č. 1 (2020), s. 186-205 [tlačená forma] [online] </t>
  </si>
  <si>
    <t xml:space="preserve">Creative Activities Offered by Selected Hotels in Slovakia / Mazúchová, Ľudmila [Autor, UKFFSSKCR, 40%] ; Sándorová, Zuzana [Autor, UKFPFAKLI, 40%] ; Profietová, Barbora [Autor, 20%]. – text. – [slovenčina]. – [OV 080]. – [článok]. – DOI 10.17846/GI.2020.24.2.207-218 In: Geografické informácie [textový dokument (print)] [elektronický dokument] . – Nitra (Slovensko) : Univerzita Konštantína Filozofa v Nitre. – ISSN 1337-9453. – Roč. 24, č. 2 (2020), s. 207-218 [tlačená forma] [online] </t>
  </si>
  <si>
    <t xml:space="preserve">Creative warm-ups and time fillers for a successful english language class / Pauliková, Klaudia [Autor, UKFPFAKLI, 100%]. – text. – [angličtina]. – [OV 010]. – [článok]. – DOI 10.18355/PG.2018.7.1.4 In: Slavonic Pedagogical Studies Journal [textový dokument (print)] [elektronický dokument] : the Scientific Educational Journal . – Nitra (Slovensko) : Slovenská Vzdelávacia a Obstarávacia. – ISSN 1339-8660. – ISSN (online) 1339-9055. – Roč. 7, č. 1 (2018), s. 41-49 [tlačená forma] [online] </t>
  </si>
  <si>
    <t xml:space="preserve">Crossing Borders through Translation : On Reception of Slovak Literature in English­‐Speaking Countries / Adamová, Ľudmila [Autor, UKFFFAKTR, 100%]. – text. – [angličtina]. – [OV 020, 010]. – [článok] In: Scientia et Eruditio [elektronický dokument] . – Trnava (Slovensko) : Trnavská univerzita v Trnave. – ISSN (online) 2585-8556. – Roč. 3, č. 3 (2019), s. 62-75 [online] </t>
  </si>
  <si>
    <t xml:space="preserve">Cyrilo-metodská tematika v literatúre pre deti a mládež / Gallik, Ján [Autor, UKFFSSUSJ, 100%]. – text. – [slovenčina]. – [OV 020]. – [článok] In: Bibiana [textový dokument (print)] : revue o umení pre deti a mládež. – Bratislava (Slovensko) : Bibiana. – ISSN 1335-7263. – Roč. 25, č. 1 (2018), s. 36-45 [tlačená forma] </t>
  </si>
  <si>
    <t xml:space="preserve">Čítanie a porozumenie textu v lingvopragmatických (modálnych) súvislostiach / Sokolová, Jana [Autor, UKFFFAKRU, 50%] ; Sokol, Augustín [Autor, UKFFFAKRO, 50%]. – text. – [slovenčina]. – [OV 020]. – [článok] In: Jazyk a kultúra [elektronický dokument] : internetový časopis Lingvokulturologického a prekladateľsko-tlmočníckeho centra excelentnosti pri Filozofickej fakulte Prešovskej univerzity. – Prešov (Slovensko) : Prešovská univerzita v Prešove. Lingvokulturologické a prekladateľsko-tlmočnícke centrum excelentnosti. – ISSN (online) 1338-1148. – Roč. 12, č. 47-48 (2021), s. 57-68 [online] </t>
  </si>
  <si>
    <t xml:space="preserve">Čitateľské preferencie a záujmy študentov : pozorovania a pripomienky k výučbe literatúry na bakalárskom stupni vysokoškolského vzdelávania / Hricková, Mária [Autor, UKFFFAKAA, 50%] ; Klimková, Simona [Autor, UKFFFAKAA, 50%]. – text. – [slovenčina]. – [OV 020, 010]. – [článok] In: Litikon [textový dokument (print)] : časopis pre výskum literatúry = journal for literature research. – Nitra (Slovensko) : Univerzita Konštantína Filozofa v Nitre. – ISSN 2453-8507. – Roč. 4, č. 1 (2019), s. 7-20 [tlačená forma] </t>
  </si>
  <si>
    <t xml:space="preserve">Človek a krajina : jej využívanie a starostlivosť na príklade obce Oščadnica / Drábová, Dominika [Autor, UKFFFAKHI, 100%]. – text. – [slovenčina]. – [OV 030]. – [článok] In: Acta regionalia [textový dokument (print)] : interdisciplinárne vedecké periodikum. – Čadca (Slovensko) : Kysucké múzeum v Čadci. – ISSN 2453-9252. – Roč. 3, č. 1-2 (2018), s. 167-172 [tlačená forma] </t>
  </si>
  <si>
    <t xml:space="preserve">Dalla neoavanguardia alla poesia totale: il percorso poetico di Adriano Spatola / Gritti, Fabiano [Autor, UKFFFAKRO, 100%]. – text. – [taliančina]. – [OV 020]. – [článok] In: Studia Scientifica Facultatis Paedagogicae [textový dokument (print)] [elektronický dokument] . – Ružomberok (Slovensko) : Katolícka univerzita v Ružomberku. VERBUM - vydavateľstvo KU. – ISSN 1336-2232. – Roč. 18, č. 2 (2019), s. 62-78 [tlačená forma] [online] </t>
  </si>
  <si>
    <t xml:space="preserve">Dejiny výučby hry na akordeóne na Slovensku a najvýznamnejšie pedagogické osobnosti / Haragová, Paulína [Autor, UKFPFAKHU, 100%]. – text. – [slovenčina]. – [OV 010]. – [článok] In: Slovenská hudba [textový dokument (print)] : revue pre hudobnú kultúru. – Bratislava (Slovensko) : Slovenská muzikologická asociácia pri Slovenskej hudobnej únii. – ISSN 1335-2458. – ISSN (zrušené) 0037-6965. – Roč. 44, č. 3 (2018), s. 277-289 [tlačená forma] </t>
  </si>
  <si>
    <t xml:space="preserve">Dependence of swimming performance to 25 meters backstroke from selected factors of explosive strenght of lower limbs / Kováčová, Natália [Autor, UKFPFAKTV, 50%] ; Broďáni, Jaroslav [Autor, UKFPFAKTV, 50%]. – text. – [angličtina]. – [OV 210]. – [článok] In: Acta Facultatis Educationis Physicae Universitatis Comenianae [elektronický dokument] . – Bratislava (Slovensko) : Univerzita Komenského v Bratislave. Centrálne súčasti UK. Vydavateľstvo Univerzity Komenského, Warszawa (Poľsko) : De Gruyter. De Gruyter Open. – ISSN 2585-8777. – ISSN (online) 0520-7371. – Roč. 59, č. 2 (2019), s. 203-213 [online] </t>
  </si>
  <si>
    <t xml:space="preserve">Determinujúce aspekty v národnostne zmiešaných rodinách / Selická, Denisa [Autor, UKFFFAKSO, 100%]. – [slovenčina]. – [OV 060]. – [článok] In: Vychovávateľ [textový dokument (print)] : časopis pedagógov. – Bratislava (Slovensko) : Educatio. – ISSN 0139-6919. – Roč. 66, č. 1-2 (2018), s. 17-24 [tlačená forma] </t>
  </si>
  <si>
    <t xml:space="preserve">Deti v sieti digitálnych médií / Moravčíková, Erika [Autor, UKFFFAKKU, 100%]. – text. – [slovenčina]. – [OV 010, 060]. – [článok] In: Kontexty kultúry a turizmu [textový dokument (print)] . – Nitra (Slovensko) : Univerzita Konštantína Filozofa v Nitre. Filozofická fakulta. – ISSN 1337-7760. – Roč. 12, č. 2 (2019), s. 81-92 [tlačená forma] </t>
  </si>
  <si>
    <t xml:space="preserve">Developing Critical and Creative Thinking Skills in The Primary and Secondary Schools = Rozvíjanie kritického a tvorivého myslenia na základných a stredných školách / Tomšik, Robert [Autor, UKFPFAKPE, 40%] ; Duchovičová, Jana [Autor, UKFPFAKPE, 30%] ; Fenyvesiová, Lívia [Autor, UKFPFAKPE, 30%]. – text. – [angličtina]. – [OV 010]. – [článok] In: Slavonic Pedagogical Studies Journal [textový dokument (print)] [elektronický dokument] : the Scientific Educational Journal . – Nitra (Slovensko) : Slovenská Vzdelávacia a Obstarávacia. – ISSN 1339-8660. – ISSN (online) 1339-9055. – Roč. 7, č. 2 (2018), s. 268-280 [tlačená forma] [online] </t>
  </si>
  <si>
    <t xml:space="preserve">Developing Critical Thinking by Enhancing Compensation Strategies in TEFL / Horváthová, Božena [Autor, UKFPFAKLI, 100%]. – text. – [angličtina]. – [OV 020, 010]. – [článok] In: Slavonic Pedagogical Studies Journal [textový dokument (print)] [elektronický dokument] : the Scientific Educational Journal . – Nitra (Slovensko) : Slovenská Vzdelávacia a Obstarávacia. – ISSN 1339-8660. – ISSN (online) 1339-9055. – Roč. 9, č. 2 (2020), s. 181-197 [tlačená forma] [online] </t>
  </si>
  <si>
    <t xml:space="preserve">Development of future teachers ́ critical thinking  through pedagogical disciplines / Grofčíková, Soňa [Autor, UKFPFAKPE, 34%] ; Duchovičová, Jana [Autor, UKFPFAKPE, 33%] ; Fenyvesiová, Lívia [Autor, UKFPFAKPE, 33%]. – text. – [angličtina]. – [OV 010]. – [článok] In: Slavonic Pedagogical Studies Journal [textový dokument (print)] [elektronický dokument] : the Scientific Educational Journal . – Nitra (Slovensko) : Slovenská Vzdelávacia a Obstarávacia. – ISSN 1339-8660. – ISSN (online) 1339-9055. – Roč. 7, č. 1 (2018), s. 101-109 [tlačená forma] [online] </t>
  </si>
  <si>
    <t xml:space="preserve">Devoping the reading skills by the aid of chosen strategies = Rozvíjanie čitatelských zručností pomocou vybraných stratégií / Hošová, Dominika [Autor, UKFPFAKPE, 100%]. – text. – [angličtina]. – [OV 010]. – [článok]. – DOI 10.18355/PG.2019.8.1.12 In: Slavonic Pedagogical Studies Journal [textový dokument (print)] [elektronický dokument] : the Scientific Educational Journal . – Nitra (Slovensko) : Slovenská Vzdelávacia a Obstarávacia. – ISSN 1339-8660. – ISSN (online) 1339-9055. – Roč. 8, č. 1 (2019), s. 176-184 [tlačená forma] [online] </t>
  </si>
  <si>
    <t xml:space="preserve">Didaktická výstava "Variabilita Interdisciplinarita Interaktivita" = The Art Education Exhibition "Variability Interdisciplinarity Interactivity" / Kratochvil, Martin [Autor, UKFPFAKVV, 100%]. – text. – [slovenčina]. – [OV 020]. – [článok] In: Studia Scientifica Facultatis Paedagogicae [textový dokument (print)] [elektronický dokument] . – Ružomberok (Slovensko) : Katolícka univerzita v Ružomberku. VERBUM - vydavateľstvo KU. – ISSN 1336-2232. – Roč. 17, č. 5 (2018), s. 35-44 [tlačená forma] [online] </t>
  </si>
  <si>
    <t xml:space="preserve">Digital humanities ako komunita a sieť / Maximová, Jarmila [Autor, UKFFFAKAE 06.2022, 100%]. – text. – [slovenčina]. – [OV 020, 060]. – [článok] In: Art communication &amp; popculture [textový dokument (print)] : časopis pre umeleckú komunikáciu a popkultúru. – Nitra (Slovensko) : Univerzita Konštantína Filozofa v Nitre. – ISSN 1339-9284. – Roč. 5, č. 1-2 (2019), s. 187-194 [tlačená forma] </t>
  </si>
  <si>
    <t xml:space="preserve">Digitálny marketing zo zreteľa Cialdiniho persuazívnych princípov implementovaných do prostredia webových platforiem = Digital marketing in view of Cialdini's principles of persuasion implemented on the website environment / Balážiová, Iveta [Autor, UKFFFAKMR, 100%]. – text. – [slovenčina]. – [OV 020]. – [článok] In: Dot.comm [elektronický dokument] : časopis pre teóriu, výskum a prax mediálnej a marketingovej komunikácie = journal for the theory, research and practice of media and marketing communication. – Bratislava (Slovensko) : Európska akadémia manažmentu marketingu a médií. – ISSN 1339-5181. – Roč. 7, č. 1-2 (2019), s. 37-53 [online] </t>
  </si>
  <si>
    <t xml:space="preserve">Disorders of behavior in pupils in the context of work of a special pedagogue / Jedličková, Petra [Autor, UKFPFAKPE, 100%]. – text. – [angličtina]. – [OV 010]. – [článok] In: Slavonic Pedagogical Studies Journal [textový dokument (print)] [elektronický dokument] : the Scientific Educational Journal . – Nitra (Slovensko) : Slovenská Vzdelávacia a Obstarávacia. – ISSN 1339-8660. – ISSN (online) 1339-9055. – Roč. 9, č. 1 (2020), s. 12-20 [tlačená forma] [online] </t>
  </si>
  <si>
    <t xml:space="preserve">Divadelné reflexie Slovenskej republiky 1939-1945 v 21. storočí / Mihalová, Lucia [Autor, UKFFFAULK, 100%]. – text. – [slovenčina]. – [OV 020]. – [článok] In: Slovenské divadlo [textový dokument (print)] [elektronický dokument] : revue dramatických umení. – Bratislava (Slovensko) : Slovenská akadémia vied. Pracoviská SAV. Ústav divadelnej a filmovej vedy. – ISSN 0037-699X. – ISSN (online) 1336-8605. – Roč. 66, č. 2 (2018), s. 173-194 [tlačená forma] [online] </t>
  </si>
  <si>
    <t xml:space="preserve">Divadlo ako architektúra pamäti a národnej identity. Russian Case - Zlatá maska 2018 / Spodniaková, Zuzana [Autor, UKFFFAULK, 100%]. – text. – [slovenčina]. – [OV 020]. – [článok]. – DOI 10.2478/sd-2018-0013 In: Slovenské divadlo [textový dokument (print)] [elektronický dokument] : revue dramatických umení. – Bratislava (Slovensko) : Slovenská akadémia vied. Pracoviská SAV. Ústav divadelnej a filmovej vedy. – ISSN 0037-699X. – ISSN (online) 1336-8605. – Roč. 66, č. 2 (2018), s. 9-22 [tlačená forma] [online] </t>
  </si>
  <si>
    <t xml:space="preserve">Diverzifikácia a posilnenie pregraduálnej prípravy budúcich učiteľov s dôrazom na technické vzdelávanie / Stebila, Ján [Autor, UMBFP07, 50%] ; Depešová, Jana [Autor, UKFPFAKTT, 50%]. – text. – [slovenčina]. – [OV 010]. – [článok] In: Technika a vzdelávanie [textový dokument (print)] [elektronický dokument] : časopis zameraný na technické vzdelávanie v základných, stredných i na vysokých školách, na oblasť základného a aplikovaného výskumu, aplikáciu informačných technológií vo výučbe odborných predmetov. – Banská Bystrica (Slovensko) : Univerzita Mateja Bela v Banskej Bystrici. Fakulta prírodných vied. – ISSN 1338-9742. – ISSN (online) 1339-9888. – Roč. 7, č. 1 (2018), s. 37-40 [tlačená forma] [online] </t>
  </si>
  <si>
    <t xml:space="preserve">Dobrovoľnícke aktivity vysokoškolských študentov odborov sociálnej práce a psychológie FSVaZ UKF v Nitre v čase pandémie / Vanková, Katarína [Autor, UKFFSVURS, 100%]. – text. – [slovenčina]. – [OV 060]. – [článok] In: Sociálno-zdravotnícke spektrum [elektronický dokument] [textový dokument (print)] : vedecko-odborný časopis pre sociálnych pracovníkov a chronicky chorých : vedecko-odborný časopis pre sociálnych pracovníkov a zdravotníkov. – Prešov (Slovensko) : Vysoká škola zdravotníctva a sociálnej práce sv. Alžbety v Bratislave. Inštitút sociálnych vied a zdravotníctva bl. P. P. Gojdiča. – ISSN 1339-1577. – ISSN (online) 1339-2379. – č. 03.08.2021 (2021), s. 1-16 [tlačená forma] [online] </t>
  </si>
  <si>
    <t xml:space="preserve">Dobrovoľníctvo ako reakcia občianskej spoločnosti na tzv. migračnú krízu v rokoch 2015 - 2016 : na príklade Iniciatívy Kto pomôže? a dobrovoľníckeho programu občianskeho združenia Mareena / Bošelová, Miriama [Autor, UKFFFAKEF, 100%]. – text. – [slovenčina]. – [OV 030]. – [článok] In: Culturologica Slovaca [elektronický dokument] : internetový kulturologický časopis. – Nitra (Slovensko) : Univerzita Konštantína Filozofa v Nitre. – ISSN 2453-9740. – Roč. 6, č. 2 (2021), s. 90-117 [online] </t>
  </si>
  <si>
    <t xml:space="preserve">Dodatky k faune bĺch (Siphonaptera) a drobných zemných cicavcov (Eulipotyphla, Rodentia) Požitavia v okolí mesta Vráble / Baláž, Ivan [Autor, UKFFPVKEE, 100%]. – text. – [slovenčina]. – [OV 100]. – [článok] In: Bulletin Slovenskej zoologickej spoločnosti pri SAV [elektronický dokument] . – Bratislava (Slovensko) : Slovenská akadémia vied. Slovenská zoologická spoločnosť pri SAV. – ISSN (online) 1339-178X. – Roč. 8, č. 1 (2019), s. 4-12 [online] </t>
  </si>
  <si>
    <t xml:space="preserve">Doing Business of agricultural small and medium Enterprises in Slovakia / Gajdová, Denisa [Autor, EUBFPMKPO, 50%] ; Levický, Michal [Autor, UKFFPVUMI, 50%]. – [angličtina]. – [OV 060]. – [článok] In: Verejná správa a regionálny rozvoj [textový dokument (print)] : vedecký časopis Vysokej školy ekonómie a manažmentu verejnej správy v Bratislave : Ekonómia a manažment. – Bratislava (Slovensko) : Vysoká škola ekonómie a manažmentu verejnej správy v Bratislave. – ISSN 1337-2955. – Roč. 15, č. 1 (2019), s. 50-59 [tlačená forma] </t>
  </si>
  <si>
    <t xml:space="preserve">Druhošancové vzdelávanie dospelých odsúdených vo výkone trestu odňatia slobody na Slovensku / Lukáčová, Silvia [Autor, PUPHUAN, 50%] ; Temiaková, Dominika [Autor, UKFPFAKPE, 50%]. – text. – [slovenčina]. – [OV 010]. – [článok]. – SIGN-PU FHPV-20 173/20 In: Mladá veda [elektronický dokument] . – Prešov (Slovensko) : Vydavateľstvo Universum EU. – ISSN (online) 1339-3189. – Roč. 8, č. 1 (2020), s. 167-179 [online] </t>
  </si>
  <si>
    <t xml:space="preserve">Druhý stupeň psychologickej starostlivosti o duševné zdravie / Šlepecký, Miloš [Autor, UKFFSVKPV, 33.334%] ; Praško Pavlov, Ján [Autor, UKFFSVKPV, 33.333%] ; Jandová, Katarína [Autor, 33.333%]. – text. – [slovenčina]. – [OV 060]. – [článok] In: Psychiatria pre prax [textový dokument (print)] [elektronický dokument] : slovenské vydanie časopisu Psychiatrie pro praxi. – Bratislava (Slovensko) : Solen (SK). – ISSN 1335-9584. – ISSN (online) 1339-4258. – Roč. 21, č. 1 (2020), s. 1-4 [tlačená forma] [online] </t>
  </si>
  <si>
    <t xml:space="preserve">Edukácia k trvalo udržateľnému rozvoju v technickom vzdelávaní = Education for Sustainable Development  in Technical Education / Bilčík, Alexander [Autor, KDOP, 50%] ; Bilčíková, Jana [Autor, UKFPFAKTT, 50%]. – [slovenčina]. – [OV 010]. – [článok] In: Studia Scientifica Facultatis Paedagogicae [textový dokument (print)] [elektronický dokument] . – Ružomberok (Slovensko) : Katolícka univerzita v Ružomberku. VERBUM - vydavateľstvo KU. – ISSN 1336-2232. – Roč. 19, č. 5 (2020), s. 95-103 [tlačená forma] [online] </t>
  </si>
  <si>
    <t xml:space="preserve">Edukácia vo veku digitálnych médií / Moravčíková, Erika [Autor, UKFFFAKKU, 100%]. – text. – [slovenčina]. – [OV 020, 010]. – [článok] In: Mládež a spoločnosť [textový dokument (print)] : slovenský časopis pre štátnu politiku a výskum mládeže = Slovak journal for state policy and youth research. – Bratislava (Slovensko) : Centrum vedecko-technických informácií SR. – ISSN 1335-1109. – Roč. 26, č. 1 (2020), s. 12-19 [tlačená forma] </t>
  </si>
  <si>
    <t xml:space="preserve">Edukačná klíma a jej vplyv na vyučovací proces v tanečnom odbore na základných umeleckých školách / Hubinská, Zuzana [Autor, UKFPFAKHU, 100%]. – text. – [slovenčina]. – [OV 010]. – [článok] In: Slovenská hudba [textový dokument (print)] : revue pre hudobnú kultúru. – Bratislava (Slovensko) : Slovenská muzikologická asociácia pri Slovenskej hudobnej únii. – ISSN 1335-2458. – ISSN (zrušené) 0037-6965. – Roč. 45, č. 3 (2019), s. 282-287 [tlačená forma] </t>
  </si>
  <si>
    <t xml:space="preserve">Efekt microdacynu v procese hojenia chronických rán / Pavelová, Ľuboslava [Autor, UKFFSVKOS, 14.29%] ; Krištofová, Erika [Autor, UKFFSVKOS, 14.285%] ; Mesárošová, Jozefína [Autor, UKFFSVKOS, 14.285%] ; Zrubcová, Dana [Autor, UKFFSVKOS, 14.285%] ; Vörösová, Gabriela [Autor, UKFFSVKOS, 14.285%] ; Solgajová, Andrea [Autor, UKFFSVKOS, 14.285%] ; Beťková, Melanie [Autor, UKFFSVKOS, 14.285%]. – text. – [slovenčina]. – [OV 180]. – [článok]. – DOI 10.17846/PP.2019.2.2.40-51 In: Pomáhajúce profesie [textový dokument (print)] : recenzovaný vedecký časopis pre teóriu, výskum, prax a vzdelávanie v pomáhajúcich profesiách. – Nitra (Slovensko) : Univerzita Konštantína Filozofa v Nitre. – ISSN 2585-9447. – Roč. 2, č. 2 (2019), s. 40-51 [tlačená forma] [online] </t>
  </si>
  <si>
    <t xml:space="preserve">Efektívnosť implementácie bádateľsky orientovaných aktivít do výučby geografie na príklade demografických ukazovateľov / Vilinová, Katarína [Autor, UKFFPVKGR, 60%] ; Maníkova, Lenka [Autor, 20%] ; Pukáčová, Michaela [Autor, 20%]. – [slovenčina]. – [OV 092]. – [článok]. – DOI 10.24040/GR.2021.17.1.21-37 In: Geografická revue [elektronický dokument] [textový dokument (print)] : časopis Katedry geografie a krajinnej ekológie Fakulty prírodných vied Univerzity Mateja Bela v Banskej Bystrici. – Banská Bystrica (Slovensko) : Univerzita Mateja Bela v Banskej Bystrici. Fakulta prírodných vied. Katedra geografie a geológie. – ISSN 2585-8955. – ISSN (online) 1336-7072. – ISSN (online) 2585-8947. – Roč. 17, č. 1 (2021), s. 21-37 [CD-ROM] [tlačená forma] </t>
  </si>
  <si>
    <t xml:space="preserve">Effect of chamomile and common agrimony extracts on biomass of pea roots in the cadmium-present environment / Rozsival, Marcel [Autor, UKFFPVKBG, 15%] ; Mészáros, Patrik [Autor, UKFFPVKBG, 20%] ; Piršelová, Beáta [Autor, UKFFPVKBG, 30%] ; Koníčková, Monika [Autor, 5%] ; Lengyelová, Libuša [Autor, UKFFPVKBG, 15%] ; Galuščáková, Ľudmila [Autor, UKFFPVKBG, 15%]. – text. – [angličtina]. – [OV 130]. – [článok] In: GRANT journal [elektronický dokument] : European Grant Projects, Results, Research &amp; Development, Science : Peer-Reviewed Scientific Journal. – Hradec Králové (Česko) : Magnanimitas akademické sdružení. – ISSN (online) 1805-0638. – ISSN (online) 1805-062X. – Roč. 10, č. 1 (2021), s. 66-69 [CD-ROM] [online] </t>
  </si>
  <si>
    <t xml:space="preserve">Effect of vegetation structure on urban climate mitigation / Rózová, Zdenka [Autor, UKFFPVKEE, 20%] ; Supuka, Ján [Autor, SPUFZK09, 16%] ; Klein, Ján [Autor, 16%] ; Jasenka, Matej [Autor, 16%] ; Tóth, Attila [Autor, SPUFZK09, 16%] ; Štefl, Lukáš [Autor, 16%]. – [angličtina]. – [OV 190]. – [článok]. – DOI 10.2478/ahr-2020-0013 In: Acta Horticulturae et Regiotecturae [textový dokument (print)] [elektronický dokument] : vedecký časopis pre záhradníctvo, krajinné inžinierstvo, architekrúru a ekológiu = The Scientific Journal for Horticulture, Landscape Engineering and Architecture. – Nitra (Slovensko) : Slovenská poľnohospodárska univerzita v Nitre. Vydavateľstvo SPU. – ISSN 1335-2563. – ISSN (online) 1338-5259. – Roč. 23, č. 2 (2020), s. 60-65 [online] [tlačená forma] </t>
  </si>
  <si>
    <t xml:space="preserve">Effektivität des Post-Editings maschineller Übersetzung : Eine Fallstudie zur Übersetzung von Rechtstexten aus dem Slowakischen / Wrede, Oľga [Autor, UKFFFAKGE, 33.334%] ; Munková, Daša [Autor, UKFFFAKTR, 33.333%] ; Welnitzová, Katarína [Autor, UKFFFAKTR, 33.333%]. – text. – [nemčina]. – [OV 020]. – [článok] In: Lingua et vita [textový dokument (print)] [elektronický dokument] : vedecký časopis pre výskum jazykov a interkultúrnej komunikácie. – Bratislava (Slovensko) : Ekonomická univerzita v Bratislave. Celouniverzitné pracovisko EUBA. Vydavateľstvo EKONÓM. – ISSN 1338-6743. – Roč. 9, č. 17 (1) (2020), s. 117-127 [tlačená forma] [online] </t>
  </si>
  <si>
    <t xml:space="preserve">Egocentrizmus vo verbálnych asociáciách = Egocentrism in Verbal Associations / Zsarnóczaiová, Žaneta [Autor, UKFFFAKRU, 100%]. – text. – [slovenčina]. – [OV 020]. – [článok] In: Slavica Nitriensia [textový dokument (print)] : časopis pre výskum slovanských filológií. – Nitra (Slovensko) : Univerzita Konštantína Filozofa v Nitre. – ISSN 1338-7464. – Roč. 9, č. 1 (2020), s. 161-177 [tlačená forma] </t>
  </si>
  <si>
    <t xml:space="preserve">Egoprezentácia v sémantickej štruktúre nominácií času, dĺžky, objemu... ako výraz antropocentrizmu v jazyku = Egoprezentation in Semantic Structure of Nominations of Time, Lenght, Volume... as an Expression of Antropocentrism in Language / Kováčová, Zuzana [Autor, UKFFFASJL, 100%]. – text. – [slovenčina]. – [OV 020]. – [článok] In: Slavica Nitriensia [textový dokument (print)] : časopis pre výskum slovanských filológií. – Nitra (Slovensko) : Univerzita Konštantína Filozofa v Nitre. – ISSN 1338-7464. – Roč. 8, č. 1 (2019), s. 4-21 [tlačená forma] </t>
  </si>
  <si>
    <t xml:space="preserve">Egoprezentácia z aspektu MY / Sokolová, Jana [Autor, UKFFFAKRU, 100%]. – text. – [slovenčina]. – [OV 020]. – [článok] In: Slavica Nitriensia [textový dokument (print)] : časopis pre výskum slovanských filológií. – Nitra (Slovensko) : Univerzita Konštantína Filozofa v Nitre. – ISSN 1338-7464. – Roč. 7, č. 2 (2018), s. 35-49 [tlačená forma] </t>
  </si>
  <si>
    <t xml:space="preserve">Einstellungen von SchülerInnen zur deutschen Sprache / Vergeiner, Elisabeth [Autor, UKFFFAKGE, 50%] ; Stančeková, Svetlana [Autor, UKFFFAKRO, 50%]. – text. – [nemčina]. – [OV 010]. – [článok] In: Slowakische Zeitschrift für Germanistik [textový dokument (print)] [elektronický dokument] . – Bratislava (Slovensko) : Spoločnosť učiteľov nemeckého jazyka a germanistov Slovenska. – ISSN 1338-0796. – ISSN (online) 2729-8361. – Roč. 11, č. 2 (2019), s. 61-68 [tlačená forma] [online] </t>
  </si>
  <si>
    <t xml:space="preserve">Ekologická charakteristika bystruškovitých (Coleoptera, Carabidae) Stolických vrchov a Lučenskej kotliny / Langraf, Vladimír [Autor, UKFFPVKEE, 50%] ; David, Stanislav [Autor, UKFFPVKEE, 25%] ; Schlarmannová, Janka [Autor, UKFFPVKZA, 25%]. – text. – [slovenčina]. – [OV 100]. – [článok] In: Ochrana prírody [elektronický dokument] [textový dokument (print)] . – Banská Bystrica (Slovensko) : Štátna ochrana prírody SR. – ISSN 0862-4992. – ISSN (online) 2453-8183. – č. 31 (2018), s. 13-19 [online] [tlačená forma] </t>
  </si>
  <si>
    <t xml:space="preserve">Ekologicky významné krajinné prvky v obciach okresu Nitra = Ecologically Important Landscape Elements in the Municipalities of Nitra District / Bugár, Gabriel [Autor, UKFFPVKEE, 50%] ; Pucherová, Zuzana [Autor, UKFFPVKEE, 50%]. – text. – [slovenčina]. – [OV 100]. – [článok]. – DOI 10.17846/GI.2019.23.1.15-29 In: Geografické informácie [textový dokument (print)] [elektronický dokument] . – Nitra (Slovensko) : Univerzita Konštantína Filozofa v Nitre. – ISSN 1337-9453. – Roč. 23, č. 1 (2019), s. 15-29 [tlačená forma] [online] </t>
  </si>
  <si>
    <t xml:space="preserve">Ektoparazity drobných zemných cicavcov chránených vtáčích území juhozápadného Slovenska / Híveš Holečková, Klaudia [Autor, UKOLJ151, 40%] ; Baláž, Ivan [Autor, UKFFPVKEE, 20%] ; Tulis, Filip [Autor, UKFFPVKEE, 20%] ; Klimant, Peter [Autor, 20%]. – text. – [slovenčina]. – [OV 100]. – [článok]. – SIGN-UKO LJ800/19 In: Ekologické štúdie [textový dokument (print)] : recenzovaný vedecký časopis venovaný aktuálnym problémom ekológie, krajinnej ekológie a príbuzných vedných disciplín. – Nitra (Slovensko) : Slovenská akadémia vied. Slovenská ekologická spoločnosť pri SAV. – ISSN 1338-2853. – Roč. 10, č. 1 (2019), s. 106-118 [tlačená forma] </t>
  </si>
  <si>
    <t xml:space="preserve">Elektronnyje teksty v refleksii povsednevnogo pismennogo obščenija (na materiale slovackogo jazyka) = Electronic  Texts  in  the  Reflection  of Everyday  Written  Communication  (on  the  Material  of  the  Slovak Language) / Gallo, Ján [Autor, UKFFFAKRU, 100%]. – text. – [ruština]. – [OV 020, 010]. – [článok] In: Jazyk a kultúra [elektronický dokument] : internetový časopis Lingvokulturologického a prekladateľsko-tlmočníckeho centra excelentnosti pri Filozofickej fakulte Prešovskej univerzity. – Prešov (Slovensko) : Prešovská univerzita v Prešove. Lingvokulturologické a prekladateľsko-tlmočnícke centrum excelentnosti. – ISSN (online) 1338-1148. – Roč. 11, č. 41-42 (2020), s. 20-31 [online] </t>
  </si>
  <si>
    <t xml:space="preserve">Eliminácia diskriminačných praktík v školskom prostredí formou mediácie / Vanková, Katarína [Autor, UKFFSVURS, 100%]. – text. – [slovenčina]. – [OV 060, 010]. – [článok] In: Rodina a škola [textový dokument (print)] : mesačník pre rodičov a učiteľov založený pred ... rokmi. – Bratislava (Slovensko) : Parentes. – ISSN 0231-6463. – ISSN (chybné) 0483-2655. – Roč. 68, č. 2 (2019), s. 14-15 [tlačená forma] </t>
  </si>
  <si>
    <t xml:space="preserve">English teacher education in Slovakia / Kováčiková, Elena [Autor, UKFPFAKLI, 50%] ; Pechočiak, Tomáš [Autor, 50%]. – text. – [angličtina]. – [OV 010]. – [článok]. – DOI 10.18355/PG.2021.10.2.3 In: Slavonic Pedagogical Studies Journal [textový dokument (print)] [elektronický dokument] : the Scientific Educational Journal . – Nitra (Slovensko) : Slovenská Vzdelávacia a Obstarávacia. – ISSN 1339-8660. – ISSN (online) 1339-9055. – Roč. 10, č. 2 (2021), s. 122-140 [tlačená forma] [online] . – Nordic List: 1 </t>
  </si>
  <si>
    <t xml:space="preserve">Epické princípy v slovenských divadelných inscenáciách po roku 2000 : spomínanie na Holokaust / Mihalová, Lucia [Autor, UKFFFAULK, 100%]. – text. – [slovenčina]. – [OV 020]. – [článok] In: Art communication &amp; popculture [textový dokument (print)] : časopis pre umeleckú komunikáciu a popkultúru. – Nitra (Slovensko) : Univerzita Konštantína Filozofa v Nitre. – ISSN 1339-9284. – Roč. 4, č. 2 (2018), s. 52-76 [tlačená forma] </t>
  </si>
  <si>
    <t xml:space="preserve">Epigeické pavúčie spoločenstvá (araneae) na území bývalého rímskeho vojenského tábora kelemantia pri Iži (južné Slovensko) / Gajdoš, Peter [Autor, 35%] ; David, Stanislav [Autor, UKFFPVKEE, 35%] ; Purgat, Pavol [Autor, UKFFPVKEE, 30%]. – text. – [slovenčina]. – [OV 100]. – [článok] In: Naturae tutela [textový dokument (print)] [elektronický dokument] : vedecký časopis Slovenského múzea ochrany prírody a jaskyniarstva v Liptovskom Mikuláši. – Liptovský Mikuláš (Slovensko) : Slovenské múzeum ochrany prírody a jaskyniarstva. – ISSN 1336-7609. – Roč. 24, č. 2 (2021), s. 183-194 [tlačená forma] [online] </t>
  </si>
  <si>
    <t xml:space="preserve">Epigeické pavúčie spoločenstvá (Arańeae) pieskovej duny v Tomášikove ( južné Slovensko) / Gajdoš, Peter [Autor, 40%] ; David, Stanislav [Autor, UKFFPVKEE, 30%] ; Purgat, Pavol [Autor, UKFFPVKEE, 30%]. – text. – [slovenčina]. – [OV 100]. – [článok] In: Entomofauna Carpathica [textový dokument (print)] [elektronický dokument] . – Bratislava (Slovensko) : Slovenská akadémia vied. Slovenská entomologická spoločnosť pri SAV. – ISSN 1335-1214. – Roč. 31, č. 2 (2019), s. 25-36 [tlačená forma] [online] </t>
  </si>
  <si>
    <t xml:space="preserve">Epoxidom vyplnené akvamaríny = Epoxy Resin Filled Aquamarine / Štubňa, Ján [Autor, UKFFPVGMU, 100%]. – text. – [slovenčina]. – [OV 092]. – [článok] In: Gemologický spravodajca [textový dokument (print)] : časopis gemológov pri FPV UKF v Nitre. – Nitra (Slovensko) : Univerzita Konštantína Filozofa v Nitre. Fakulta prírodných vied. – ISSN 1337-6136. – ISSN (online) 1338-5275. – Roč. 9, č. 1 (2019), s. 5-13 [tlačená forma] </t>
  </si>
  <si>
    <t xml:space="preserve">Estetická gramotnosť a kulturologické minimum vo vzdelávaní budúcich novinárov / Rožňová, Jitka [Autor, UKFFFAKZU, 100%]. – text. – [slovenčina]. – [OV 020]. – [článok] In: Culturologica Slovaca [elektronický dokument] : internetový kulturologický časopis. – Nitra (Slovensko) : Univerzita Konštantína Filozofa v Nitre. – ISSN 2453-9740. – Roč. 5, č. 1 (2020), s. 111-122 [online] </t>
  </si>
  <si>
    <t xml:space="preserve">Estetický postoj u Th. W. Adorna - „zdání obnovy jiného, co bylo poškozeno, do vlastní podoby“ / Brezňan, Peter [Autor, UKFFFAULK, 100%]. – text. – [slovenčina]. – [OV 020]. – [článok] In: Art communication &amp; popculture [textový dokument (print)] : časopis pre umeleckú komunikáciu a popkultúru. – Nitra (Slovensko) : Univerzita Konštantína Filozofa v Nitre. – ISSN 1339-9284. – Roč. 5, č. 1-2 (2019), s. 161-172 [tlačená forma] </t>
  </si>
  <si>
    <t xml:space="preserve">Etika umelej inteligencie (prehľadová štúdia) / Bartal, Jana [Autor, UKFFFAKAE 06.2022, 100%]. – [slovenčina]. – [OV 020]. – [článok] In: Prohuman [elektronický dokument] : vedecko-odborný interdisciplinárny recenzovaný časopis, zameraný na oblasť spoločenských, sociálnych a humanitných vied : vedecko-odborný internetový časopis. – Bratislava (Slovensko) : Business Intelligence Club. – ISSN (online) 1338-1415. – č. 5. júl (2020), s. 1-3 [online] </t>
  </si>
  <si>
    <t xml:space="preserve">Európske súčasné pohanstvo ako jedna z foriem alternatívnej spirituality / Švajdová, Adriana [Autor, UKFFFAKKU, 100%]. – text. – [slovenčina]. – [OV 020]. – [článok] In: Culturologica Slovaca [elektronický dokument] : internetový kulturologický časopis. – Nitra (Slovensko) : Univerzita Konštantína Filozofa v Nitre. – ISSN 2453-9740. – Roč. 5, č. 1 (2020), s. 77-84 [online] </t>
  </si>
  <si>
    <t xml:space="preserve">Event marketing as part of corporate social responsibility in the food enterprises in Slovakia / Kádeková, Zdenka [Autor, SPUFEM16, 20%] ; Košičiarová, Ingrida [Autor, SPUFEM16, 20%] ; Holienčinová, Mária [Autor, SPUFEM16, 20%] ; Kubicová, Ľubica [Autor, SPUFEM16, 20%] ; Koprda, Tomáš [Autor, UKFFFAKMR, 20%]. – text. – [slovenčina]. – [OV 080]. – [článok]. – [recenzované] In: Analýza a výskum v marketingovej komunikácii [textový dokument (print)] . – Nitra (Slovensko) : Univerzita Konštantína Filozofa v Nitre. Filozofická fakulta. – ISSN 1339-3715. – Roč. 6, č. 1 (2018), s. 5-15 [tlačená forma] </t>
  </si>
  <si>
    <t xml:space="preserve">Exhibition as a (Subjective) Confession. Tales of Death in the Nitra Gallery / Kapsová, Eva [Autor, UKFFFAULK, 100%]. – [angličtina]. – [OV 010]. – [článok] In: Profil [textový dokument (print)] : súčasného výtvarného umenia. – Bratislava (Slovensko) : Kruh súčasného umenia Profil. – ISSN 1335-9770. – Roč. 25, č. 1 (2018), s. 48-67 [tlačená forma] </t>
  </si>
  <si>
    <t xml:space="preserve">Existenciálny rozmer krízy kultúry / Gabašová, Katarína [Autor, UKFFFAKKU, 100%]. – text. – [slovenčina]. – [OV 020]. – [článok] In: Slovenské pohľady [textový dokument (print)] : na literatúru, umenie a vedu. – Bratislava (Slovensko) : Slovenský spisovateľ, Martin (Slovensko) : Matica slovenská, Bratislava (Slovensko) : Zväz slovenských spisovateľov. – ISSN 1335-7786. – Roč. 4+136, č. 3 (2020), s. 53-60 [tlačená forma] </t>
  </si>
  <si>
    <t xml:space="preserve">Existenciály / Plesník, Ľubomír [Autor, UKFFFAULK, 100%]. – text. – [slovenčina]. – [OV 020]. – [článok] In: Litikon [textový dokument (print)] : časopis pre výskum literatúry = journal for literature research. – Nitra (Slovensko) : Univerzita Konštantína Filozofa v Nitre. – ISSN 2453-8507. – Roč. 6, č. 1-2 (2021), s. 128-131 [tlačená forma] </t>
  </si>
  <si>
    <t xml:space="preserve">Exploring Creative Tourism as a New Tourism Product in Slovakia - Analysis of The Primary Results / Csapó, János [Autor, UKFFSSKCR, 100%]. – text. – [angličtina]. – [OV 080]. – [článok]. – DOI 10.17846/GI.2020.24.2.28-42 In: Geografické informácie [textový dokument (print)] [elektronický dokument] . – Nitra (Slovensko) : Univerzita Konštantína Filozofa v Nitre. – ISSN 1337-9453. – Roč. 24, č. 2 (2020), s. 28-42 [tlačená forma] [online] </t>
  </si>
  <si>
    <t xml:space="preserve">Extrémizmus ako pedagogická výzva / Komárik, Emil [Autor, UKFPFAKAP, 100%]. – text. – [slovenčina]. – [OV 010]. – [článok] In: Studia Scientifica Facultatis Paedagogicae [textový dokument (print)] [elektronický dokument] . – Ružomberok (Slovensko) : Katolícka univerzita v Ružomberku. VERBUM - vydavateľstvo KU. – ISSN 1336-2232. – Roč. 17, č. 1 (2018), s. 250-254 [tlačená forma] [online] </t>
  </si>
  <si>
    <t xml:space="preserve">Ezoterika, mágia a virtuálny svet / Kondrla, Peter [Autor, UKFFFAKNS, 100%]. – text. – [slovenčina]. – [OV 020]. – [článok] In: Rozmer [textový dokument (print)] : časopis pre kresťanskú duchovnú orientáciu. – Bratislava (Slovensko) : Ekumenická rada cirkví v Slovenskej republike, Bratislava (Slovensko) : Redakcia časopisu Rozmer. – ISSN 1335-2660. – Roč. 22, č. 3 (2019), s. 23-30 [tlačená forma] </t>
  </si>
  <si>
    <t xml:space="preserve">Fabryho choroba ako multisystémove ochorenie / Brázdilová, Dana [Autor, UKFFSVKUM, 100%]. – text. – [slovenčina]. – [OV 180]. – [článok] In: Ošetrovateľstvo a pôrodná asistencia [textový dokument (print)] [elektronický dokument] . – Bratislava (Slovensko) : Slovenská komora sestier a pôrodných asistentiek. – ISSN 1336-183X. – ISSN (online) 1339-5920. – Roč. 16, č. 1 (2018), s. 21-22 [tlačená forma] [online] </t>
  </si>
  <si>
    <t xml:space="preserve">Falošné rubíny, zafíry a smaragdy z Indie (zafarbený silimanit) = Fake rubies, sapphires and emeralds from India (dyed sillimanite) / Štubňa, Ján [Autor, UKFFPVGMU, 100%]. – text. – [slovenčina]. – [OV 092]. – [článok] In: Gemologický spravodajca [textový dokument (print)] : časopis gemológov pri FPV UKF v Nitre. – Nitra (Slovensko) : Univerzita Konštantína Filozofa v Nitre. Fakulta prírodných vied. – ISSN 1337-6136. – ISSN (online) 1338-5275. – Roč. 8, č. 1 (2018), s. 5-11 [tlačená forma] </t>
  </si>
  <si>
    <t xml:space="preserve">Fausts Erkenntnis im Kontext der Platonischen Ideenlehre und der Schopenhauer’schen Willensmetaphysik / Čakanek, Ján [Autor, UKFFFAKGE, 100%]. – text. – [nemčina]. – [OV 020]. – [článok] In: Slowakische Zeitschrift für Germanistik [textový dokument (print)] [elektronický dokument] . – Bratislava (Slovensko) : Spoločnosť učiteľov nemeckého jazyka a germanistov Slovenska. – ISSN 1338-0796. – ISSN (online) 2729-8361. – Roč. 11, č. 2 (2019), s. 4-27 [tlačená forma] [online] </t>
  </si>
  <si>
    <t xml:space="preserve">Fekete, fehér, színes, szürke : Vizuális hatások a Mimi és Liza c. mesekönyvben / Petres Csizmadia, Gabriela [Autor, UKFFSSUML, 100%]. – [maďarčina]. – [OV 010]. – [článok] In: Partitúra [textový dokument (print)] : irodalomtudományi folyóirat. – Nitra (Slovensko) : Univerzita Konštantína Filozofa v Nitre. Fakulta stredoeurópskych štúdií. Ústav stredoeurópskych jazykov a kultúr. – ISSN 1336-7307. – Roč. 15, č. 2 (2020), s. 51-62 [tlačená forma] </t>
  </si>
  <si>
    <t xml:space="preserve">Fibonacci Numbers and Selected Practical Applications in the Matlab Computing Environment / Ďuriš, Viliam [Autor, UKFFPVKMA, 25%] ; Rumanová, Lucia [Autor, UKFFPVKMA, 25%] ; Vallo, Dušan [Autor, UKFFPVKMA, 25%] ; Záhorská, Júlia [Autor, UKFFPVKMA, 25%]. – text. – [angličtina]. – [OV 240]. – [článok] In: Acta Mathematica Nitriensia [elektronický dokument] . – Nitra (Slovensko) : Univerzita Konštantína Filozofa v Nitre. Fakulta prírodných vied a informatiky. Katedra matematiky. – ISSN 2453-6083. – Roč. 5, č. 1 (2019), s. 14-22 [online] </t>
  </si>
  <si>
    <t xml:space="preserve">Filmovosť v životopisnom románe / Žilka, Tibor [Autor, UKFFSSUSJ, 100%]. – text. – [slovenčina]. – [OV 020]. – [článok] In: Romboid [textový dokument (print)] : časopis pre literatúru a umeleckú komunikáciu. – Bratislava (Slovensko) : Zväz slovenských spisovateľov, Bratislava (Slovensko) : Asociácia organizácií spisovateľov Slovenska. – ISSN 0231-6714. – Roč. 53, č. 8 (2018), s. 8-15 [tlačená forma] </t>
  </si>
  <si>
    <t xml:space="preserve">Filozofická kritika kultúry v koncepcii Byunga - Chul Hana : spoločnosť vyhorenia a subjekt výkonnosti / Gabašová, Katarína [Autor, UKFFFAKKU, 100%]. – text. – [slovenčina]. – [OV 020]. – [článok] In: Kontexty kultúry a turizmu [textový dokument (print)] . – Nitra (Slovensko) : Univerzita Konštantína Filozofa v Nitre. Filozofická fakulta. – ISSN 1337-7760. – Roč. 13, č. 1 (2020), s. 21-27 [tlačená forma] </t>
  </si>
  <si>
    <t xml:space="preserve">Filozofické východiská postmodernej religiozity / Kondrla, Peter [Autor, UKFFFAKNS, 100%]. – text. – [slovenčina]. – [OV 020]. – [článok] In: Rozmer [textový dokument (print)] : časopis pre kresťanskú duchovnú orientáciu. – Bratislava (Slovensko) : Ekumenická rada cirkví v Slovenskej republike, Bratislava (Slovensko) : Redakcia časopisu Rozmer. – ISSN 1335-2660. – Roč. 24, č. 2 (2021), s. 28-34 [tlačená forma] </t>
  </si>
  <si>
    <t xml:space="preserve">Financovanie predprimárneho vzdelávania zo strany štátu (na príklade Slovenskej republiky) / Papcunová, Viera [Autor, UKFFPVUMI, 100%]. – text. – [angličtina]. – [OV 060]. – [článok] In: Verejná správa a spoločnosť [textový dokument (print)] [elektronický dokument] . – Košice (Slovensko) : Univerzita Pavla Jozefa Šafárika v Košiciach. Fakulta verejnej správy. – ISSN 1335-7182. – ISSN (online) 2453-9236. – Roč. 19, č. 1 (2018), s. 25-37 [tlačená forma] [online] </t>
  </si>
  <si>
    <t xml:space="preserve">Floristicko-vegetačný, odonatologický a arachnologický prieskum retenčných systémov areálu Jaguár Land Rover v Nitre = Floristic-vegetation, odonatological and arachnological survey of retention systems in the Jaguár Land Rover area in Nitra / David, Stanislav [Autor, UKFFPVKEE, 34%] ; Krumpálová, Zuzana [Autor, UKFFPVKEE, 33%] ; Petrovičová, Kornélia [Autor, SPUFAP26, 33%]. – [slovenčina]. – [OV 190]. – [článok] In: Ekologické štúdie [textový dokument (print)] : recenzovaný vedecký časopis venovaný aktuálnym problémom ekológie, krajinnej ekológie a príbuzných vedných disciplín. – Nitra (Slovensko) : Slovenská akadémia vied. Slovenská ekologická spoločnosť pri SAV. – ISSN 1338-2853. – Roč. 11, č. 2 (2020), s. 97-115 [tlačená forma] </t>
  </si>
  <si>
    <t xml:space="preserve">Fluktuácia početnosti hraboša poľného na západnom Slovensku a možnosti jeho monitoringu / Baláž, Ivan [Autor, UKFFPVKEE, 25%] ; Tulis, Filip [Autor, UKFFPVKEE, 25%] ; Kovárová, Nikola [Autor, 25%] ; Šumichrast, Jozef [Autor, 25%]. – [slovenčina]. – [OV 100]. – [článok] In: Ekologické štúdie [textový dokument (print)] : recenzovaný vedecký časopis venovaný aktuálnym problémom ekológie, krajinnej ekológie a príbuzných vedných disciplín. – Nitra (Slovensko) : Slovenská akadémia vied. Slovenská ekologická spoločnosť pri SAV. – ISSN 1338-2853. – Roč. 10, č. 1 (2019), s. 25-40 [tlačená forma] </t>
  </si>
  <si>
    <t xml:space="preserve">Food as a Storyteller in Diana Abu­‐Jaber’s Life without a Recipe / Tabačková, Zuzana [Autor, UKFPFAKLI, 100%]. – text. – [angličtina]. – [OV 020]. – [článok] In: Scientia et Eruditio [elektronický dokument] . – Trnava (Slovensko) : Trnavská univerzita v Trnave. – ISSN (online) 2585-8556. – Roč. 2, č. 2 (2018), s. 56-66 [online] </t>
  </si>
  <si>
    <t xml:space="preserve">Forest pedagogics potential in primary education = Potencial lesnej pedagogiky v primárnom vzdelávaní / Kollárová, Dana [Autor, UKFPFAKPE, 100%]. – text. – [slovenčina]. – [OV 010]. – [článok]. – DOI 10.18355/PG.2018.7.1.15 In: Slavonic Pedagogical Studies Journal [textový dokument (print)] [elektronický dokument] : the Scientific Educational Journal . – Nitra (Slovensko) : Slovenská Vzdelávacia a Obstarávacia. – ISSN 1339-8660. – ISSN (online) 1339-9055. – Roč. 7, č. 1 (2018), s. 155-163 [tlačená forma] [online] </t>
  </si>
  <si>
    <t xml:space="preserve">Formy, obsah a riadenie prípravy na (aktívne) starnutie a (aktívnu) starobu = Forms, contents and management of preparation for (active) ageing and (active) old age / Határ, Ctibor [Autor, UKFPFAKPE, 100%]. – text. – [slovenčina]. – [OV 010]. – [článok]. – DOI 10.18355/PG.2021.10.2.7 In: Slavonic Pedagogical Studies Journal [textový dokument (print)] [elektronický dokument] : the Scientific Educational Journal . – Nitra (Slovensko) : Slovenská Vzdelávacia a Obstarávacia. – ISSN 1339-8660. – ISSN (online) 1339-9055. – Roč. 10, č. 2 (2021), s. 175-193 [tlačená forma] [online] . – Nordic List: 1 </t>
  </si>
  <si>
    <t xml:space="preserve">Futbalové bitky o Britániu / Varga, Marek [Autor, UKFFPVKMA, 50%] ; Rybanský, Ľubomír [Autor, UKFFPVKMA, 50%]. – text. – [slovenčina]. – [OV 010, 240]. – [článok] In: Acta Mathematica Nitriensia [elektronický dokument] . – Nitra (Slovensko) : Univerzita Konštantína Filozofa v Nitre. Fakulta prírodných vied a informatiky. Katedra matematiky. – ISSN 2453-6083. – Roč. 6, č. 1 (2020), s. 26-36 [online] </t>
  </si>
  <si>
    <t xml:space="preserve">Gastronómia a jej historické kontexty / Kompasová, Katarína [Autor, UKFFFAKMK, 100%]. – [slovenčina]. – [OV 060]. – [článok] In: Kontexty kultúry a turizmu [textový dokument (print)] . – Nitra (Slovensko) : Univerzita Konštantína Filozofa v Nitre. Filozofická fakulta. – ISSN 1337-7760. – Roč. 13, č. 1 (2020), s. 37-48 [tlačená forma] </t>
  </si>
  <si>
    <t xml:space="preserve">Gastronómia v kontexte cestovného ruchu - kulinársky cestovný ruch / Kompasová, Katarína [Autor, UKFFFAKMK, 100%]. – text. – [slovenčina]. – [OV 020]. – [článok] In: Kontexty kultúry a turizmu [textový dokument (print)] . – Nitra (Slovensko) : Univerzita Konštantína Filozofa v Nitre. Filozofická fakulta. – ISSN 1337-7760. – Roč. 13, č. 2 (2020), s. 101-121 [tlačená forma] </t>
  </si>
  <si>
    <t xml:space="preserve">Gemologická a spektroskopická charakteristika bezfarebného forsteritu z Mogoku v Mjanmarsku (Barme) = Gemmological a spectroscopy investigation of colourless forsterite from Mogok area in Myanmar (Burma) / Štubňa, Ján [Autor, UKFFPVGMU, 100%]. – text. – [slovenčina]. – [OV 092]. – [článok] In: Gemologický spravodajca [textový dokument (print)] : časopis gemológov pri FPV UKF v Nitre. – Nitra (Slovensko) : Univerzita Konštantína Filozofa v Nitre. Fakulta prírodných vied. – ISSN 1337-6136. – ISSN (online) 1338-5275. – Roč. 8, č. 1 (2018), s. 12-18 [tlačená forma] </t>
  </si>
  <si>
    <t xml:space="preserve">Gemologická charakteristika drevného opálu z lokality Veľký Ďur - Rohožnica = Gemmological investigation of wood opal from the Veľký Ďur - Rohožnica locality / Štubňa, Ján [Autor, UKFFPVGMU, 50%] ; Illášová, Ľudmila [Autor, UKFFPVGMU, 50%]. – text. – [slovenčina]. – [OV 092]. – [článok] In: Esemestník [textový dokument (print)] [elektronický dokument] : spravodajca Slovenskej mineralogickej spoločnosti. – Bratislava (Slovensko) : Slovenská mineralogická spoločnosť. – ISSN 1338-6425. – ISSN (online) 1338-7189. – Roč. 7, č. 1 (2018), s. 14-17 [tlačená forma] [online] </t>
  </si>
  <si>
    <t xml:space="preserve">Gemologická charakteristika lazulitu z pohoria Tribeč / Štubňa, Ján [Autor, UKFFPVGMU, 40%] ; Jahn, Ján [Autor, 25%] ; Antala, Miroslav [Autor, 25%] ; Illášová, Ľudmila [Autor, UKFFPVGMU, 10%]. – text. – [slovenčina]. – [OV 092]. – [článok] In: Esemestník [textový dokument (print)] [elektronický dokument] : spravodajca Slovenskej mineralogickej spoločnosti. – Bratislava (Slovensko) : Slovenská mineralogická spoločnosť. – ISSN 1338-6425. – ISSN (online) 1338-7189. – Roč. 8, č. 2 (2019), s. 56-61 [tlačená forma] [online] </t>
  </si>
  <si>
    <t xml:space="preserve">Gemologická charakteristika pseudomalachitu z lokality Ľubietová - Podlipa = Gemmological investigation of pseudomalachite from the Ľubietová - Podlipa locality / Štubňa, Ján [Autor, UKFFPVGMU, 75%] ; Galád, Radovan [Autor, 3%] ; Laciková, Mária [Autor, 2%] ; Illášová, Ľudmila [Autor, UKFFPVGMU, 20%]. – text. – [slovenčina]. – [OV 092]. – [článok] In: Esemestník [textový dokument (print)] [elektronický dokument] : spravodajca Slovenskej mineralogickej spoločnosti. – Bratislava (Slovensko) : Slovenská mineralogická spoločnosť. – ISSN 1338-6425. – ISSN (online) 1338-7189. – Roč. 7, č. 2 (2018), s. 55-59 [tlačená forma] [online] </t>
  </si>
  <si>
    <t xml:space="preserve">Gemologická charakteristika rodochrozitu z Banskej Štiavnice = Gemmological investigation of rhodochrosite from Banská Štiavnica / Štubňa, Ján [Autor, UKFFPVGMU, 100%]. – text. – [slovenčina]. – [OV 092]. – [článok] In: Esemestník [textový dokument (print)] [elektronický dokument] : spravodajca Slovenskej mineralogickej spoločnosti. – Bratislava (Slovensko) : Slovenská mineralogická spoločnosť. – ISSN 1338-6425. – ISSN (online) 1338-7189. – Roč. 9, č. 2 (2020), s. 36-39 [tlačená forma] [online] </t>
  </si>
  <si>
    <t xml:space="preserve">Gender differences in quality of life and physical activity of high school students / Broďáni, Jaroslav [Autor, UKFPFAKTV, 33.334%] ; Kováčová, Natália [Autor, UKFPFAKTV, 33.333%] ; Czaková, Monika [Autor, UKFPFAKTV, 33.333%]. – text. – [angličtina]. – [OV 210]. – [článok] In: Acta Facultatis Educationis Physicae Universitatis Comenianae [elektronický dokument] . – Bratislava (Slovensko) : Univerzita Komenského v Bratislave. Centrálne súčasti UK. Vydavateľstvo Univerzity Komenského, Warszawa (Poľsko) : De Gruyter. De Gruyter Open. – ISSN 2585-8777. – ISSN (online) 0520-7371. – Roč. 59, č. 2 (2019), s. 96-110 [online] </t>
  </si>
  <si>
    <t xml:space="preserve">Gender differences in the level of interactions between the physical activity and quality of life of 10 years old children / Czaková, Monika [Autor, UKFPFAKTV, 50%] ; Broďáni, Jaroslav [Autor, UKFPFAKTV, 45%] ; Dvořáčková, Natália [Autor, UKFPFAKTV, 5%]. – text. – [angličtina]. – [OV 210]. – [článok]. – DOI 10.24040/sjss.2021.7.2.64-73 In: Slovak journal of sport science [elektronický dokument] [textový dokument (print)] : scientific peer-reviewed journal. – Banská Bystrica (Slovensko) : Univerzita Mateja Bela v Banskej Bystrici. – ISSN 2453-7659. – ISSN (online) 2453-9325. – Roč. 7, č. 2 (2021), s. 64-73 [online] [tlačená forma] </t>
  </si>
  <si>
    <t xml:space="preserve">Genéza osídlenia Slovenska nemeckým obyvateľstvom s akcentom na obec Čermany / Molnárová, Andrea [Autor, UKFFFAKMK, 100%]. – text. – [slovenčina]. – [OV 020]. – [článok] In: Kontexty kultúry a turizmu [textový dokument (print)] . – Nitra (Slovensko) : Univerzita Konštantína Filozofa v Nitre. Filozofická fakulta. – ISSN 1337-7760. – Roč. 13, č. 1 (2020), s. 7-20 [tlačená forma] </t>
  </si>
  <si>
    <t xml:space="preserve">Geografické špecifiká maloobchodnej siete v meste Báčsky Petrovec (Srbsko) / Trembošová, Miroslava [Autor, UKFFPVKGR, 90%] ; Dubcová, Alena [Autor, UKFFPVKGR, 5%] ; Šramka, Martin [Autor, 5%]. – text. – [slovenčina]. – [OV 092]. – [článok] In: Geografické informácie [textový dokument (print)] [elektronický dokument] . – Nitra (Slovensko) : Univerzita Konštantína Filozofa v Nitre. – ISSN 1337-9453. – Roč. 24, č. 1 (2020), s. 269-287 [tlačená forma] [online] </t>
  </si>
  <si>
    <t xml:space="preserve">Giuseppe Prezzolini dal diario spirituale ai mistici tedeschi / Gritti, Fabiano [Autor, UKFFFAKRO, 100%]. – text. – [taliančina]. – [OV 020]. – [článok] In: Studi italo-slovacchi [textový dokument (print)] . – Nitra (Slovensko) : Univerzita Konštantína Filozofa v Nitre. Filozofická fakulta, Bratislava (Slovensko) : Slovenská akadémia vied. – ISSN 1338-6778. – Roč. 9, č. 2 (2020), s. 12-23 [tlačená forma] </t>
  </si>
  <si>
    <t xml:space="preserve">Goetheho Venovanie v Sládkovičovom preklade / Čakanek, Ján [Autor, UKFFFAKGE, 100%]. – text. – [slovenčina]. – [OV 020]. – [článok] In: Litikon [textový dokument (print)] : časopis pre výskum literatúry = journal for literature research. – Nitra (Slovensko) : Univerzita Konštantína Filozofa v Nitre. – ISSN 2453-8507. – Roč. 4, č. 1 (2019), s. 65-81 [tlačená forma] </t>
  </si>
  <si>
    <t xml:space="preserve">Grammar as an „Art of Letters" in Foreign Language Teaching : A Study of Teaching English Verb Tenses in Lower and Upper Secondary Schools / Gadušová, Zdenka [Autor, UKFFFAKAA, 30%] ; Harťanská, Jana [Autor, UKFFFAKAA, 30%] ; Horváthová, Ivana [Autor, UKFFFAKAA, 40%]. – text. – [angličtina]. – [OV 020]. – [článok]. – DOI 10.2478/atd-2018-0005 In: Acta Educationis Generalis [textový dokument (print)] [elektronický dokument] . – Dubnica nad Váhom (Slovensko) : Vysoká škola DTI. – ISSN 2585-741X. – ISSN (online) 2585-7444. – Roč. 8, č. 1 (2018), s. 76-93 [tlačená forma] </t>
  </si>
  <si>
    <t xml:space="preserve">Graphic expression as support of critical thinking in natural sciences subjects / Malá, Radka [Autor, UKFFPVKCH, 50%] ; Jenisová, Zita [Autor, UKFFPVKCH, 50%]. – text. – [angličtina]. – [OV 120]. – [článok] In: Slavonic Pedagogical Studies Journal [textový dokument (print)] [elektronický dokument] : the Scientific Educational Journal . – Nitra (Slovensko) : Slovenská Vzdelávacia a Obstarávacia. – ISSN 1339-8660. – ISSN (online) 1339-9055. – Roč. 8, č. 1 (2019), s. 185-195 [tlačená forma] [online] </t>
  </si>
  <si>
    <t xml:space="preserve">Gravidita v interakcii s chronickým stresom u žien z Nitrianskeho kraja (Slovensko) / Petrovičová, Ida [Autor, UKFFPVKZA, 24%] ; Hlisníková, Henrieta [Autor, UKFFPVKZA, 30%] ; Šidlovská, Miroslava [Autor, UKFFPVKZA, 23%] ; Kolena, Branislav [Autor, UKFFPVKZA, 23%]. – [slovenčina]. – [OV 130]. – [článok] In: Slovenská antropológia [textový dokument (print)] : bulletin Slovenskej antropologickej spoločnosti pri SAV. – Bratislava (Slovensko) : Slovenská akadémia vied. Slovenská antropologická spoločnosť pri SAV. – ISSN 1336-5827. – Roč. 21, č. 2 (2018), s. 17-21 [tlačená forma] </t>
  </si>
  <si>
    <t xml:space="preserve">Hagyomány és korszerűség / Pintes, Gábor [Autor, UKFPFAKPE, 100%]. – text. – [maďarčina]. – [OV 010]. – [článok] In: Katedra [elektronický dokument] : szlovákiai magyar pedagógusok és szülők lapja. – Dunajská Streda (Slovensko) : Nadácia Katedra. – ISSN 1335-6445. – ISSN (online) 2729-9066. – Roč. 29, č. 4 (2021), s. 12-14 [tlačená forma] [online] </t>
  </si>
  <si>
    <t xml:space="preserve">Hippies a ich vplyv na hudobnú kultúru / Mudrák, Marcel [Autor, UKFFFAKMK, 100%]. – text. – [slovenčina]. – [OV 020]. – [článok] In: Kontexty kultúry a turizmu [textový dokument (print)] . – Nitra (Slovensko) : Univerzita Konštantína Filozofa v Nitre. Filozofická fakulta. – ISSN 1337-7760. – Roč. 11, č. 1 (2018), s. 61-71 [tlačená forma] </t>
  </si>
  <si>
    <t xml:space="preserve">Hodnotenie duálneho vzdelávania na Slovensku / Hašková, Alena [Autor, UKFPFAKTT, 60%] ; Čech, Jozef [Autor, 40%]. – [slovenčina]. – [OV 010]. – [článok] In: Technika a vzdelávanie [textový dokument (print)] [elektronický dokument] : časopis zameraný na technické vzdelávanie v základných, stredných i na vysokých školách, na oblasť základného a aplikovaného výskumu, aplikáciu informačných technológií vo výučbe odborných predmetov. – Banská Bystrica (Slovensko) : Univerzita Mateja Bela v Banskej Bystrici. Fakulta prírodných vied. – ISSN 1338-9742. – ISSN (online) 1339-9888. – Roč. 7, č. 1 (2018), s. 18-20 [tlačená forma] [online] </t>
  </si>
  <si>
    <t xml:space="preserve">Hodnotenie kompetencií učiteľov / Jakubovská, Viera [Autor, UKFFFAKFI, 100%]. – text. – [slovenčina]. – [OV 010]. – [článok] In: Mládež a spoločnosť [textový dokument (print)] : slovenský časopis pre štátnu politiku a výskum mládeže = Slovak journal for state policy and youth research. – Bratislava (Slovensko) : Centrum vedecko-technických informácií SR. – ISSN 1335-1109. – Roč. 24, č. 2 (2018), s. 71-72 [tlačená forma] </t>
  </si>
  <si>
    <t xml:space="preserve">Hodnotenie vybavenosti vegetačných plôch v rámci rekreačných služieb v meste Nitra = Evaluation of Amenities Facilities of Urban Greenery for Recreational Services in Nitra / Rózová, Zdenka [Autor, UKFFPVKEE, 50%] ; Turanovičová, Martina [Autor, UKFFPVKEE, 50%]. – text. – [slovenčina]. – [OV 100]. – [článok] In: Geografické informácie [textový dokument (print)] [elektronický dokument] . – Nitra (Slovensko) : Univerzita Konštantína Filozofa v Nitre. – ISSN 1337-9453. – Roč. 23, č. 1 (2019), s. 63-72 [tlačená forma] [online] </t>
  </si>
  <si>
    <t xml:space="preserve">Hodnotenie vývoja novovzniknutých a zaniknutých podnikateľských subjektov na Slovensku v predpandemickom období / Fiľa, Milan [Autor, UKFFPVUMI, 50%] ; Levický, Michal [Autor, UKFFPVUMI, 50%]. – text. – [slovenčina]. – [OV 060]. – [článok] In: Verejná správa a regionálny rozvoj [textový dokument (print)] : vedecký časopis Vysokej školy ekonómie a manažmentu verejnej správy v Bratislave : Ekonómia a manažment. – Bratislava (Slovensko) : Vysoká škola ekonómie a manažmentu verejnej správy v Bratislave. – ISSN 1337-2955. – Roč. 17, č. 1 (2021), s. 46-53 [tlačená forma] </t>
  </si>
  <si>
    <t xml:space="preserve">Hodnotenie zdravotného stavu a imunogenetickej predispozície u pacientov s ankylozujúcou spondylitídou zo Slovenska / Kolena, Branislav [Autor, UKFFPVKZA, 70%] ; Vojteková, Lucia [Autor, 10%] ; Bošák, Vladimír [Autor, TUTZSLVM, 20%]. – text. – [slovenčina]. – [OV 130, 180]. – [článok]. – TUT ID E073983 In: Slovenská antropológia [textový dokument (print)] : bulletin Slovenskej antropologickej spoločnosti pri SAV. – Bratislava (Slovensko) : Slovenská akadémia vied. Slovenská antropologická spoločnosť pri SAV. – ISSN 1336-5827. – Roč. 21, č. 1 (2018), s. 11-16 [tlačená forma] </t>
  </si>
  <si>
    <t xml:space="preserve">Hodnotiace nástroje a ich využívanie u seniorov = Evaluation of the instrument and their use in seniors / Libová, Ľubica [Autor, 20%] ; Solgajová, Andrea [Autor, UKFFSVKOS, 20%] ; Jankechová, Monika [Autor, 20%] ; Otrubová, Jana [Autor, VSSVArektorat, 20%] ; Balková, Hilda [Autor, 20%]. – text. – [slovenčina]. – [OV 180]. – [článok] In: Zdravotnícke listy [textový dokument (print)] [elektronický dokument] : vedecký recenzovaný časopis. – Trenčín (Slovensko) : Trenčianska univerzita Alexandra Dubčeka v Trenčíne. Fakulta zdravotníctva. – ISSN 1339-3022. – ISSN (online) 2644-4909. – Roč. 6, č. 1 (2018), s. 33-39 [tlačená forma] [online] </t>
  </si>
  <si>
    <t xml:space="preserve">Horizontálne a vertikálne vzťahy v hudbe z pohľadu vokálneho pedagóga a interpreta / Pastorková, Jana [Autor, UKFPFAKHU, 100%]. – [slovenčina]. – [OV 010]. – [článok] In: Slovenská hudba [textový dokument (print)] : revue pre hudobnú kultúru. – Bratislava (Slovensko) : Slovenská muzikologická asociácia pri Slovenskej hudobnej únii. – ISSN 1335-2458. – ISSN (zrušené) 0037-6965. – Roč. 47, č. 3 (2021), s. 278-283 [tlačená forma] </t>
  </si>
  <si>
    <t xml:space="preserve">How do personality characteristics influence recovery after stroke? : A literature review / Dančová, Katarína [Autor, UKFFSVUAP, 25%] ; Turzáková, Jana [Autor, UKFFSVUAP, 25%] ; Baňasová, Katarína [Autor, UKFFSVUAP, 25%] ; Romanová, Martina [Autor, UKFFSVUAP, 25%]. – text. – [angličtina]. – [OV 060]. – [článok] In: Pomáhajúce profesie [textový dokument (print)] : recenzovaný vedecký časopis pre teóriu, výskum, prax a vzdelávanie v pomáhajúcich profesiách. – Nitra (Slovensko) : Univerzita Konštantína Filozofa v Nitre. – ISSN 2585-9447. – Roč. 2, č. 1 (2019), s. 17-29 [tlačená forma] [online] </t>
  </si>
  <si>
    <t xml:space="preserve">How to Enjoy the Journey : Foreign Language Vocabulary Learning and Teaching / Kamenická, Jana [Autor, UKFPFAKLI, 100%]. – text. – [angličtina]. – [OV 010]. – [článok] In: Slavonic Pedagogical Studies Journal [textový dokument (print)] [elektronický dokument] : the Scientific Educational Journal . – Nitra (Slovensko) : Slovenská Vzdelávacia a Obstarávacia. – ISSN 1339-8660. – ISSN (online) 1339-9055. – Roč. 8, č. 2 (2019), s. 277-295 [tlačená forma] [online] </t>
  </si>
  <si>
    <t xml:space="preserve">Hra ukrytá v poézii / Kollárová, Dana [Autor, UKFPFAKPE, 100%]. – text. – [slovenčina]. – [OV 010]. – [článok] In: Pán učiteľ [textový dokument (print)] : časopis pre učiteľov, rodičov a žiakov. – Bratislava (Slovensko) : AG Musica Liturgica. – ISSN 1336-7161. – Roč. 8, č. 4 (2018), s. 19-21 [tlačená forma] </t>
  </si>
  <si>
    <t xml:space="preserve">Hudobná zložka tancov Rómov v Telgárte : čardaši a ženské kruho / Ambrózová, Jana [Autor, UKFFFAKEF, 100%]. – text. – [slovenčina]. – [OV 030]. – [článok] In: Etnologické rozpravy [textový dokument (print)] [elektronický dokument] . – Bratislava (Slovensko) : Národopisná spoločnosť Slovenska. – ISSN 1335-5074. – ISSN (online) 2729-9759. – Roč. 28, č. 1 (2021), s. 111-143 [tlačená forma] [online] </t>
  </si>
  <si>
    <t xml:space="preserve">Hudobné idiómy ako významové a výrazové konštanty Marek Piaček: Apolloopera, melodráma o jednom bombardovaní pre zbor, herca a trombón = Musical Idioms as Meaningful and Expressive Constants. Marek Piaček: Apolloopera - A Melodrama about Bombing for the Choir, Actor and Trombone / Beličová, Renáta [Autor, UKFFFAULK, 100%]. – [angličtina]. – [OV 020]. – [článok] In: ESPES [elektronický dokument] : Electronic Magazine of the Society for Aesthetics in Slovakia : Journal of Society for Aesthetics in Slovakia and Institute of Aesthetics and Art Culture = Elektronický časopis Spoločnosti pre estetiku na Slovensku. – Prešov (Slovensko) : Prešovská univerzita v Prešove. Filozofická fakulta. Inštitút estetiky a umeleckej kultúry. – ISSN (online) 1339-1119. – Roč. 7, č. 2 (2018), s. 4-13 [online] </t>
  </si>
  <si>
    <t xml:space="preserve">Hudobnopsychologický profil rockovej opery Jesus Christ Superstar / Lacková, Ivana [Autor, UKFPFAKHU, 34%] ; Sondorová, Dominika [Autor, UKFPFAKHU, 33%] ; Hubinská, Zuzana [Autor, UKFPFAKHU, 33%]. – text. – [slovenčina]. – [OV 010]. – [článok] In: Slovenská hudba [textový dokument (print)] : revue pre hudobnú kultúru. – Bratislava (Slovensko) : Slovenská muzikologická asociácia pri Slovenskej hudobnej únii. – ISSN 1335-2458. – ISSN (zrušené) 0037-6965. – Roč. 47, č. 3 (2021), s. 225-250 [tlačená forma] </t>
  </si>
  <si>
    <t xml:space="preserve">Hudobný portrét Doriana Graya v opere Ľubice Čekovskej / Lacková, Ivana [Autor, UKFPFAKHU, 100%]. – text. – [slovenčina]. – [OV 010]. – [článok] In: Slovenská hudba [textový dokument (print)] : revue pre hudobnú kultúru. – Bratislava (Slovensko) : Slovenská muzikologická asociácia pri Slovenskej hudobnej únii. – ISSN 1335-2458. – ISSN (zrušené) 0037-6965. – Roč. 47, č. 1 (2021), s. 12-55 [tlačená forma] </t>
  </si>
  <si>
    <t xml:space="preserve">Hungarian–Slovak Reconciliation and the National Peace / Öllös, László [Autor, UKFFFAKPO, 100%]. – [angličtina]. – [OV 060]. – [ŠO 6718]. – [článok] In: Fórum Társadalomtudományi Szemle [textový dokument (print)] . – Šamorín (Slovensko) : Fórum inštitút pre výskum menšín. – ISSN 1335-4361. – Roč. 23, č. 5 (2021), s. 3-12 [tlačená forma] </t>
  </si>
  <si>
    <t xml:space="preserve">Chápanie slobody v dielach Jean-Paula Sartra / Palitefka, Jozef [Autor, UKFFFAKKU, 100%]. – text. – [slovenčina]. – [OV 020]. – [článok] In: Culturologica Slovaca [elektronický dokument] : internetový kulturologický časopis. – Nitra (Slovensko) : Univerzita Konštantína Filozofa v Nitre. – ISSN 2453-9740. – Roč. 5, č. 1 (2020), s. 100-110 [online] </t>
  </si>
  <si>
    <t xml:space="preserve">Characteristics of the family environment of the children with disability / Beliková, Vladimíra [Autor, UKFPFAKPE, 50%] ; Zelená, Hana [Autor, UKFPFAKPE, 50%]. – text. – [slovenčina]. – [OV 010]. – [článok] In: Pedagogika.sk [elektronický dokument] : slovenský časopis pre pedagogické vedy = Slovak Journal for Educational Sciences. – Bratislava (Slovensko) : Slovenská akadémia vied. Slovenská pedagogická spoločnosť pri SAV. – ISSN (online) 1338-0982. – Roč. 9, č. 4 (2018), s. 184-195 [online] </t>
  </si>
  <si>
    <t xml:space="preserve">Charakter skládky z výroby niklu v meste Sereď = The nature of the landfill from the nickel production in town Sereď / Michaeli, Eva [Autor, PUPHUGG, 35%] ; Boltižiar, Martin [Autor, UKFFPVKGR, 35%] ; Solár, Vladimír [Autor, PUPHUGG, 20%] ; Maxin, Matúš [Autor, PUPHUGG, 10%]. – text. – [slovenčina]. – [OV 092]. – [článok]. – DOI 10.17846/GI.2020.24.2.219-232. – SIGN-PU FHPV-21 279/20 In: Geografické informácie [textový dokument (print)] [elektronický dokument] . – Nitra (Slovensko) : Univerzita Konštantína Filozofa v Nitre. – ISSN 1337-9453. – Roč. 24, č. 2 (2020), s. 219-232 [tlačená forma] [online] </t>
  </si>
  <si>
    <t xml:space="preserve">Chemické laboratórium: Správna manipulácia  s chemikáliami a likvidácia odpadov / Feszterová, Melánia [Autor, UKFFPVKCH, 100%]. – text. – [slovenčina]. – [OV 120]. – [článok] In: Technika a vzdelávanie [textový dokument (print)] [elektronický dokument] : časopis zameraný na technické vzdelávanie v základných, stredných i na vysokých školách, na oblasť základného a aplikovaného výskumu, aplikáciu informačných technológií vo výučbe odborných predmetov. – Banská Bystrica (Slovensko) : Univerzita Mateja Bela v Banskej Bystrici. Fakulta prírodných vied. – ISSN 1338-9742. – ISSN (online) 1339-9888. – Roč. 7, č. 2 (2018), s. 28-32 [tlačená forma] [online] </t>
  </si>
  <si>
    <t xml:space="preserve">Chrobáky (Coleoptera) inundačného územia rieky Dunaj / Langraf, Vladimír [Autor, UKFFPVKZA, 70%] ; Petrovičová, Kornélia [Autor, SPUFAP26, 25%] ; Schlarmannová, Janka [Autor, UKFFPVKZA, 5%]. – text. – [slovenčina]. – [OV 130, 190]. – [článok] In: Ochrana prírody [elektronický dokument] [textový dokument (print)] . – Banská Bystrica (Slovensko) : Štátna ochrana prírody SR. – ISSN 0862-4992. – ISSN (online) 2453-8183. – č. 37 (2021), s. 27-34 [online] [tlačená forma] </t>
  </si>
  <si>
    <t xml:space="preserve">Chybovosť v predikatívnosti a kvalita strojového prekladu / Welnitzová, Katarína [Autor, UKFFFAKTR, 33.334%] ; Munková, Daša [Autor, UKFFFAKTR, 33.333%] ; Wrede, Oľga [Autor, UKFFFAKGE, 33.333%]. – [slovenčina]. – [OV 020]. – [článok] In: Jazyk a kultúra [elektronický dokument] : internetový časopis Lingvokulturologického a prekladateľsko-tlmočníckeho centra excelentnosti pri Filozofickej fakulte Prešovskej univerzity. – Prešov (Slovensko) : Prešovská univerzita v Prešove. Lingvokulturologické a prekladateľsko-tlmočnícke centrum excelentnosti. – ISSN (online) 1338-1148. – Roč. 11, č. 41-42 (2020), s. 160-172 [online] </t>
  </si>
  <si>
    <t xml:space="preserve">Chyby v riešeniach vybraných úloh z geometrie / Rumanová, Lucia [Autor, UKFFPVKMA, 50%] ; Záhorská, Júlia [Autor, UKFFPVKMA, 50%]. – text. – [slovenčina]. – [OV 010, 240]. – [článok] In: Acta Mathematica Nitriensia [elektronický dokument] . – Nitra (Slovensko) : Univerzita Konštantína Filozofa v Nitre. Fakulta prírodných vied a informatiky. Katedra matematiky. – ISSN 2453-6083. – Roč. 5, č. 2 (2019), s. 23-29 [online] </t>
  </si>
  <si>
    <t xml:space="preserve">I rapporti diplomatici e culturali tra Italia e Cecoslovacchia dalla fine della missione militare italiana all'avvento del Fascismo alla luce dei documenti diplomatici italiani / Gritti, Fabiano [Autor, UKFFFAKRO, 100%]. – text. – [taliančina]. – [OV 020]. – [článok] In: Studi italo-slovacchi [textový dokument (print)] . – Nitra (Slovensko) : Univerzita Konštantína Filozofa v Nitre. Filozofická fakulta, Bratislava (Slovensko) : Slovenská akadémia vied. – ISSN 1338-6778. – Roč. 8, č. 1 (2019), s. 6-22 [tlačená forma] </t>
  </si>
  <si>
    <t xml:space="preserve">Identifikácia „hroznového chalcedónu“ z Indonézie = Identification of "grape chalcedony" from Indonesia / Štubňa, Ján [Autor, UKFFPVKGR, 100%]. – text. – [slovenčina]. – [OV 010]. – [článok] In: Gemologický spravodajca [textový dokument (print)] : časopis gemológov pri FPV UKF v Nitre. – Nitra (Slovensko) : Univerzita Konštantína Filozofa v Nitre. Fakulta prírodných vied. – ISSN 1337-6136. – ISSN (online) 1338-5275. – Roč. 11, č. 1 (2021), s. 5-10 [tlačená forma] </t>
  </si>
  <si>
    <t xml:space="preserve">Identifikácia poľných opevnení z druhej svetovej vojny na juhozápadnom Slovensku a náčrt ich typológie / Šteiner, Pavol [Autor, UKFFFAKMU, 100%]. – text. – [slovenčina]. – [OV 030]. – [článok] In: Musaica archaeologica [textový dokument (print)] [elektronický dokument] . – Bratislava (Slovensko) : Univerzita Komenského v Bratislave. Filozofická fakulta UK. – ISSN 2453-8612. – ISSN (online) 2453-8701. – Roč. 5, č. 2 (2020), s. 87-94 [tlačená forma] [online] </t>
  </si>
  <si>
    <t xml:space="preserve">Identita - Autenticita - Diference - Distance : základní problémy kulturní a národní sebeidentifikace = Identity - Authenticity - Difference - Distance. The Basic Problems of Cultural and National Self-identification / Horyna, Břetislav [Autor, UKFFFAKFI, 100%]. – text. – [čeština]. – [OV 020]. – [článok] In: Philosophica critica [textový dokument (print)] : medzinárodný vedecký filozofický časopis = international scientific journal of philosophy. – Nitra (Slovensko) : Univerzita Konštantína Filozofa v Nitre. Filozofická fakulta. Katedra filozofie. – ISSN 1339-8970. – ISSN (online) 2585-7479. – Roč. 6, č. 2 (2020), s. 56-71 [tlačená forma] </t>
  </si>
  <si>
    <t xml:space="preserve">Identita a tradičná kultúra Slovákov v Sarvaši / Letavajová, Silvia [Autor, UKFFFAKMK, 100%]. – text. – [slovenčina]. – [OV 030]. – [článok] In: Kontexty kultúry a turizmu [textový dokument (print)] . – Nitra (Slovensko) : Univerzita Konštantína Filozofa v Nitre. Filozofická fakulta. – ISSN 1337-7760. – Roč. 13, č. 2 (2020), s. 17-36 [tlačená forma] </t>
  </si>
  <si>
    <t xml:space="preserve">Ideologické hry na pravdu v ére postfaktuálnej / Moravčíková, Erika [Autor, UKFFFAKKU, 100%]. – text. – [slovenčina]. – [OV 020]. – [článok] In: Culturologica Slovaca [elektronický dokument] : internetový kulturologický časopis. – Nitra (Slovensko) : Univerzita Konštantína Filozofa v Nitre. – ISSN 2453-9740. – Roč. 5, č. 1 (2020), s. 15-26 [online] </t>
  </si>
  <si>
    <t xml:space="preserve">Il difficile equilibrio di un triangoloprecario : i rapporti diplomatici tra l'Italia, la Ceco-Slovacchia e l'area jugoslava all'inizio degli anni Venti / Rusnáková, Natália [Autor, UKFFFAKRO, 100%]. – text. – [taliančina]. – [OV 020]. – [článok] In: Studi italo-slovacchi [textový dokument (print)] . – Nitra (Slovensko) : Univerzita Konštantína Filozofa v Nitre. Filozofická fakulta, Bratislava (Slovensko) : Slovenská akadémia vied. – ISSN 1338-6778. – Roč. 8, č. 1 (2019), s. 23-34 [tlačená forma] </t>
  </si>
  <si>
    <t xml:space="preserve">Implementácia integrovaného manažmentu krajiny a udržateľného rozvoja do výchovy a vzdelávania = Implementing Integrated Management Landscape and Sustainable Development in Education / Szabová, Lucia [Autor, UKFFPVKEE, 50%] ; Jakab, Imrich [Autor, UKFFPVKEE, 50%]. – text. – [slovenčina]. – [OV 100]. – [článok] In: Geografické informácie [textový dokument (print)] [elektronický dokument] . – Nitra (Slovensko) : Univerzita Konštantína Filozofa v Nitre. – ISSN 1337-9453. – Roč. 23, č. 2 (2019), s. 54-65 [tlačená forma] [online] </t>
  </si>
  <si>
    <t xml:space="preserve">Improving the language skills of pupils in kindergarten - an example of good practice / Gatial, Viktor [Autor, UKFPFAKAP, 100%]. – text. – [angličtina]. – [OV 010]. – [článok] In: Slavonic Pedagogical Studies Journal [textový dokument (print)] [elektronický dokument] : the Scientific Educational Journal . – Nitra (Slovensko) : Slovenská Vzdelávacia a Obstarávacia. – ISSN 1339-8660. – ISSN (online) 1339-9055. – Roč. 9, č. 2 (2020), s. 164-180 [tlačená forma] [online] </t>
  </si>
  <si>
    <t xml:space="preserve">Incidencia zhubných nádorov na území NUTS II Stredné Slovensko = Cancer Incidence in NUTS II Central Slovakia / Vilinová, Katarína [Autor, UKFFPVKGR, 100%]. – text. – [slovenčina]. – [OV 092]. – [článok]. – DOI 10.24040/GR.2019.15.1.22-42 In: Geografická revue [elektronický dokument] [textový dokument (print)] : časopis Katedry geografie a krajinnej ekológie Fakulty prírodných vied Univerzity Mateja Bela v Banskej Bystrici. – Banská Bystrica (Slovensko) : Univerzita Mateja Bela v Banskej Bystrici. Fakulta prírodných vied. Katedra geografie a geológie. – ISSN 2585-8955. – ISSN (online) 1336-7072. – ISSN (online) 2585-8947. – Roč. 15, č. 1 (2019), s. 22-42 [CD-ROM] [tlačená forma] </t>
  </si>
  <si>
    <t xml:space="preserve">Indikátory kvality operačnej liečby pokročilého karcinómu ovária Európskej spoločnosti gynekologickej onkológie = European Society of Gynaecological Oncology Quality Indicators for Advanced Ovarian Cancer Surgical Treatment / Kubalová, Mária [Autor, UKOLF1GK, 25%] ; Mlynček, Miloš [Autor, UKFFSVKOS, 25%] ; Hanzelová, Veronika [Autor, UKOLF1GK, 25%] ; Debnár, Tomáš [Autor, UKOLF1GK, 25%]. – text. – [slovenčina]. – [OV 180]. – [článok]. – SIGN-UKO LF 1GK/21. – SIGN-UKO LJ677/21 In: Slovenská gynekológia a pôrodníctvo [textový dokument (print)] : časopis Slovenskej gynekologicko-pôrodníckej spoločnosti. – Bratislava (Slovensko) : A-medi management. – ISSN 1335-0862. – Roč. 28, č. 3 (2021), s. 125-130 [tlačená forma] </t>
  </si>
  <si>
    <t xml:space="preserve">Influenceri a občianska participácia v otázke migrácie – reflexia in/kongruencie sociálneho posolstva a identity influencera v prostredí sociálnych sietí / Hodinková, Dana [Autor, UKFFFAKMR, 50%] ; Spálová, Lucia [Autor, UKFFFAKMR, 50%]. – text. – [slovenčina]. – [OV 060]. – [článok] In: Dot.comm [elektronický dokument] : časopis pre teóriu, výskum a prax mediálnej a marketingovej komunikácie = journal for the theory, research and practice of media and marketing communication. – Bratislava (Slovensko) : Európska akadémia manažmentu marketingu a médií. – ISSN 1339-5181. – Roč. 8, č. 1 (2020), s. 17-34 [online] </t>
  </si>
  <si>
    <t xml:space="preserve">Informačné a komunikačné technológie vo vzdelávaní seniorov / Schunová, Romana [Autor, UKFPFAKPE, 100%]. – text. – [slovenčina]. – [OV 010]. – [článok] In: Pedagogika.sk [elektronický dokument] : slovenský časopis pre pedagogické vedy = Slovak Journal for Educational Sciences. – Bratislava (Slovensko) : Slovenská akadémia vied. Slovenská pedagogická spoločnosť pri SAV. – ISSN (online) 1338-0982. – Roč. 11, č. 1 (2020), s. 38-45 [online] </t>
  </si>
  <si>
    <t xml:space="preserve">Inkluzív edukáció - rögös út a kirekesztéstől a teljes, feltétel nélküli befogadásig / Pintes, Gábor [Autor, UKFPFAKPE, 100%]. – [maďarčina]. – [OV 010]. – [článok] In: Katedra [elektronický dokument] : szlovákiai magyar pedagógusok és szülők lapja. – Dunajská Streda (Slovensko) : Nadácia Katedra. – ISSN 1335-6445. – ISSN (online) 2729-9066. – Roč. 25, č. 8 (2018), s. 18-19 [tlačená forma] [online] </t>
  </si>
  <si>
    <t xml:space="preserve">Inovačné procesy v Európskej únii a na Slovensku / Vojtech, František [Autor, VŠEMVSÚEMKMSP, 50%] ; Fiľa, Milan [Autor, UKFFPVUMI, 50%]. – text. – [slovenčina]. – [OV 080]. – [článok]. – [recenzované] In: Verejná správa a regionálny rozvoj [textový dokument (print)] : vedecký časopis Vysokej školy ekonómie a manažmentu verejnej správy v Bratislave : Ekonómia a manažment. – Bratislava (Slovensko) : Vysoká škola ekonómie a manažmentu verejnej správy v Bratislave. – ISSN 1337-2955. – Roč. 17, č. 1 (2021), s. 81-89 [tlačená forma] </t>
  </si>
  <si>
    <t xml:space="preserve">Inquiry-based Mathematics Education : Examples of Solved Tasks of Primary School / Rumanová, Lucia [Autor, UKFFPVKMA, 25%] ; Záhorská, Júlia [Autor, UKFFPVKMA, 25%] ; Ďuriš, Viliam [Autor, UKFFPVKMA, 25%] ; Vallo, Dušan [Autor, UKFFPVKMA, 25%]. – text. – [angličtina]. – [OV 240]. – [článok]. – DOI 10.17846/AMN.2018.4.1.19-23 In: Acta Mathematica Nitriensia [elektronický dokument] . – Nitra (Slovensko) : Univerzita Konštantína Filozofa v Nitre. Fakulta prírodných vied a informatiky. Katedra matematiky. – ISSN 2453-6083. – Roč. 5, č. 1 (2019), s. 23-28 [online] </t>
  </si>
  <si>
    <t xml:space="preserve">Inscenovanie politiky v tradičných a nových médiách / Chlebcová Hečková, Andrea [Autor, UKFFFAKZU, 100%]. – text. – [slovenčina]. – [OV 020]. – [článok] In: Culturologica Slovaca [elektronický dokument] : internetový kulturologický časopis. – Nitra (Slovensko) : Univerzita Konštantína Filozofa v Nitre. – ISSN 2453-9740. – Roč. 5, č. 1 (2020), s. 5-14 [online] </t>
  </si>
  <si>
    <t xml:space="preserve">Interaktivita a inscenované svety (s dôrazom na otázky simulácie a inscenácie vo videohrách) / Búry, Juraj [Autor, UKFFFAULK, 100%]. – text. – [slovenčina]. – [OV 020]. – [článok] In: Slovenské divadlo [textový dokument (print)] [elektronický dokument] : revue dramatických umení. – Bratislava (Slovensko) : Slovenská akadémia vied. Pracoviská SAV. Ústav divadelnej a filmovej vedy. – ISSN 0037-699X. – ISSN (online) 1336-8605. – Roč. 67, č. 1 (2019), s. 85-91 [tlačená forma] [online] </t>
  </si>
  <si>
    <t xml:space="preserve">Interaktívna prezentácia produktov v digitálnom prostredí a jej kognitívne spracovanie / Štrbová, Edita [Autor, UKFFFAKMR, 50%] ; Mišík, Ondrej [Autor, 50%]. – [slovenčina]. – [OV 060]. – [článok] In: Culturologica Slovaca [elektronický dokument] : internetový kulturologický časopis. – Nitra (Slovensko) : Univerzita Konštantína Filozofa v Nitre. – ISSN 2453-9740. – Roč. 6, č. 2 (2021), s. 5-25 [online] </t>
  </si>
  <si>
    <t xml:space="preserve">Interdisciplinárne vzdelávanie zvyšuje vedomosti študentov-budúcich učiteľov chémie / Feszterová, Melánia [Autor, UKFFPVKCH, 100%]. – text. – [slovenčina]. – [OV 120]. – [článok] In: Technika a vzdelávanie [textový dokument (print)] [elektronický dokument] : časopis zameraný na technické vzdelávanie v základných, stredných i na vysokých školách, na oblasť základného a aplikovaného výskumu, aplikáciu informačných technológií vo výučbe odborných predmetov. – Banská Bystrica (Slovensko) : Univerzita Mateja Bela v Banskej Bystrici. Fakulta prírodných vied. – ISSN 1338-9742. – ISSN (online) 1339-9888. – Roč. 8, č. 1 (2019), s. 19-22 [tlačená forma] [online] </t>
  </si>
  <si>
    <t xml:space="preserve">Intermedialitás a bábszínházban = Intermedialita v bábkovom divadle / Tóth, Anikó [Autor, UKFFSSUML, 100%]. – text. – [maďarčina]. – [OV 020]. – [článok] In: Partitúra [textový dokument (print)] : irodalomtudományi folyóirat. – Nitra (Slovensko) : Univerzita Konštantína Filozofa v Nitre. Fakulta stredoeurópskych štúdií. Ústav stredoeurópskych jazykov a kultúr. – ISSN 1336-7307. – Roč. 15, č. 2 (2020), s. 15-30 [tlačená forma] </t>
  </si>
  <si>
    <t xml:space="preserve">Interpretation of visual stimulus as a strategy for developing the critical and creative thinking : Interpretácia vizuálneho podnetu ako stratégia rozvoja kritického a tvorivého myslenia / Récka, Adriana [Autor, UKFPFAKVV, 100%]. – text. – [angličtina]. – [OV 010]. – [článok]. – DOI 10.18355/PG.2019.8.1.16 In: Slavonic Pedagogical Studies Journal [textový dokument (print)] [elektronický dokument] : the Scientific Educational Journal . – Nitra (Slovensko) : Slovenská Vzdelávacia a Obstarávacia. – ISSN 1339-8660. – ISSN (online) 1339-9055. – Roč. 8, č. 1 (2019), s. 225-238 [tlačená forma] [online] </t>
  </si>
  <si>
    <t xml:space="preserve">Interpretazioni del Rinascimento / Gritti, Fabiano [Autor, UKFFFAKRO, 100%]. – text. – [taliančina]. – [OV 020]. – [článok] In: Studi italo-slovacchi [textový dokument (print)] . – Nitra (Slovensko) : Univerzita Konštantína Filozofa v Nitre. Filozofická fakulta, Bratislava (Slovensko) : Slovenská akadémia vied. – ISSN 1338-6778. – Roč. 9, č. 2 (2020), s. 24-33 [tlačená forma] </t>
  </si>
  <si>
    <t xml:space="preserve">Invadovaná vegetácia lesných porastov európsky významných biotopov Veľký les a Dolný háj na Podunajsku / Sofková, Monika [Autor, UKFFPVKEE, 35%] ; Čistoňová, Zuzana [Autor, UKFFPVKEE, 35%] ; David, Stanislav [Autor, UKFFPVKEE, 30%]. – [slovenčina]. – [OV 100]. – [článok] In: Ekologické štúdie [textový dokument (print)] : recenzovaný vedecký časopis venovaný aktuálnym problémom ekológie, krajinnej ekológie a príbuzných vedných disciplín. – Nitra (Slovensko) : Slovenská akadémia vied. Slovenská ekologická spoločnosť pri SAV. – ISSN 1338-2853. – Roč. 10, č. 1 (2019), s. 4-24 [tlačená forma] </t>
  </si>
  <si>
    <t xml:space="preserve">Invázny potenciál slizovca iberského (Arion vulgaris) v urbárnom prostredí Nitry / Krumpálová, Zuzana [Autor, UKFFPVKEE, 60%] ; Mesárošová, Jana [Autor, 20%] ; Petrovičová, Kornélia [Autor, SPUFAP26, 20%]. – text. – [slovenčina]. – [OV 100]. – [článok]. – [recenzované] In: Ekologické štúdie [textový dokument (print)] : recenzovaný vedecký časopis venovaný aktuálnym problémom ekológie, krajinnej ekológie a príbuzných vedných disciplín. – Nitra (Slovensko) : Slovenská akadémia vied. Slovenská ekologická spoločnosť pri SAV. – ISSN 1338-2853. – Roč. 10, č. 2 (2019), s. 65-74 [tlačená forma] </t>
  </si>
  <si>
    <t xml:space="preserve">Irodalomnépszerűsítés egyetemi közegben / Tóth, Anikó [Autor, UKFFSSUML, 50%] ; Petres Csizmadia, Gabriela [Autor, UKFFSSUML, 50%]. – text. – [maďarčina]. – [OV 010]. – [článok] In: Katedra [elektronický dokument] : szlovákiai magyar pedagógusok és szülők lapja. – Dunajská Streda (Slovensko) : Nadácia Katedra. – ISSN 1335-6445. – ISSN (online) 2729-9066. – Roč. 26, č. 8 (2019), s. 11-14 [tlačená forma] [online] </t>
  </si>
  <si>
    <t xml:space="preserve">Irrationality and Some Historical Remarks on Euler’s Number e / Ďuriš, Viliam [Autor, UKFFPVKMA, 100%]. – text. – [slovenčina]. – [OV 010, 240]. – [článok]. – DOI 10.17846/AMN.2020.6.1.20-25 In: Acta Mathematica Nitriensia [elektronický dokument] . – Nitra (Slovensko) : Univerzita Konštantína Filozofa v Nitre. Fakulta prírodných vied a informatiky. Katedra matematiky. – ISSN 2453-6083. – Roč. 6, č. 1 (2020), s. 20-25 [online] </t>
  </si>
  <si>
    <t xml:space="preserve">Italianizmy v súčasnej slovenčine = I prestiti dall ́italiano nello slovacco contemporaneo / Rusnáková, Natália [Autor, UKFFFAKRO, 100%]. – [slovenčina]. – [OV 020]. – [článok] In: Studi italo-slovacchi [textový dokument (print)] . – Nitra (Slovensko) : Univerzita Konštantína Filozofa v Nitre. Filozofická fakulta, Bratislava (Slovensko) : Slovenská akadémia vied. – ISSN 1338-6778. – Roč. 7, č. 1 (2018), s. 2-64 [tlačená forma] </t>
  </si>
  <si>
    <t xml:space="preserve">Jazyk a tradície v Husáku / Žeňuch, Vavrinec [Autor, UKFFFAKRU, 100%]. – text. – [slovenčina]. – [OV 030]. – [článok] In: Kontexty kultúry a turizmu [textový dokument (print)] . – Nitra (Slovensko) : Univerzita Konštantína Filozofa v Nitre. Filozofická fakulta. – ISSN 1337-7760. – Roč. 11, č. 2 (2018), s. 57-66 [tlačená forma] </t>
  </si>
  <si>
    <t xml:space="preserve">Jazykové kompetencie študentov prvých ročníkov KMKT FF UKF v Nitre / Záhumenská, Lucia [Autor, UKFFFAKMK, 100%]. – text. – [slovenčina]. – [OV 010]. – [článok] In: Kontexty kultúry a turizmu [textový dokument (print)] . – Nitra (Slovensko) : Univerzita Konštantína Filozofa v Nitre. Filozofická fakulta. – ISSN 1337-7760. – Roč. 13, č. 2 (2020), s. 91-99 [tlačená forma] </t>
  </si>
  <si>
    <t xml:space="preserve">Je potrebné monitorovať oxid uhličitý v triedach? / Tureková, Ivana [Autor, UKFPFAKTT, 100%]. – text. – [slovenčina]. – [OV 010]. – [článok] In: Bezpečná práca [textový dokument (print)] : dvojmesačník pre teóriu a prax bezpečnosti práce. – Bratislava (Slovensko) : Anastázia Bezáková - A+Z, Bratislava (Slovensko) : Výskumný a vzdelávací ústav bezpečnosti práce, Bratislava (Slovensko) : AZ Mix. – ISSN 0322-8347. – Roč. 50, č. 1 (2019), s. 42-45 [tlačená forma] </t>
  </si>
  <si>
    <t xml:space="preserve">Je pre našich stredoškolákov internet zaujímavý? / Jakubovská, Viera [Autor, UKFFFAKFI, 100%]. – text. – [slovenčina]. – [OV 010]. – [článok] In: Mládež a spoločnosť [textový dokument (print)] : slovenský časopis pre štátnu politiku a výskum mládeže = Slovak journal for state policy and youth research. – Bratislava (Slovensko) : Centrum vedecko-technických informácií SR. – ISSN 1335-1109. – Roč. 26, č. 3 (2020), s. 47-63 [tlačená forma] </t>
  </si>
  <si>
    <t xml:space="preserve">Jewellery use of a transparent green orthoclase from Luc Yen in Vietnam / Hanus, Radek [Autor, 50%] ; Štubňa, Ján [Autor, UKFFPVGMU, 50%]. – text. – [angličtina]. – [OV 092]. – [článok] In: Gemologický spravodajca [textový dokument (print)] : časopis gemológov pri FPV UKF v Nitre. – Nitra (Slovensko) : Univerzita Konštantína Filozofa v Nitre. Fakulta prírodných vied. – ISSN 1337-6136. – ISSN (online) 1338-5275. – Roč. 10, č. 2 (2020), s. 5-11 [tlačená forma] </t>
  </si>
  <si>
    <t xml:space="preserve">Ježiš v Hollywoode - vyháňanie kupcov z chrámu / Malíček, Juraj [Autor, UKFFFAULK, 100%]. – text. – [slovenčina]. – [OV 020]. – [článok] In: Art communication &amp; popculture [textový dokument (print)] : časopis pre umeleckú komunikáciu a popkultúru. – Nitra (Slovensko) : Univerzita Konštantína Filozofa v Nitre. – ISSN 1339-9284. – Roč. 4, č. 2 (2018), s. 113-124 [tlačená forma] </t>
  </si>
  <si>
    <t xml:space="preserve">K filologické analýze soudobých antisemitiských komunikátů = On the Philological Analysis of Contemporary Anti-Semitic / Mikulášek, Alexej [Autor, UKFFSSUSJ, 100%]. – [slovenčina]. – [OV 020]. – [článok] In: Stredoeurópske pohľady [textový dokument (print)] [elektronický dokument] : časopis pre jazyk, literatúru, kultúru a médiá. – Nitra (Slovensko) : Univerzita Konštantína Filozofa v Nitre. Fakulta stredoeurópskych štúdií. Ústav stredoeurópskych jazykov a kultúr. – ISSN 2644-6367. – ISSN (online) 2644-6472. – Roč. 3, č. 2 (2021), s. 45-54 [tlačená forma] [online] </t>
  </si>
  <si>
    <t xml:space="preserve">K možnému vplyvu Rawlsových raných teologických úvah na jeho morálnu, sociálnu a politickú filozofiu / Jurová, Jarmila [Autor, UKFFFAKAE 06.2022, 100%]. – text. – [slovenčina]. – [OV 020]. – [článok] In: Philosophica critica [textový dokument (print)] : medzinárodný vedecký filozofický časopis = international scientific journal of philosophy. – Nitra (Slovensko) : Univerzita Konštantína Filozofa v Nitre. Filozofická fakulta. Katedra filozofie. – ISSN 1339-8970. – ISSN (online) 2585-7479. – Roč. 4, č. 2 (2018), s. 33-41 [tlačená forma] </t>
  </si>
  <si>
    <t xml:space="preserve">K mystickým obrazom v listoch Kataríny Sienskej / Šavelová, Monika [Autor, UKFFFAKRO, 100%]. – text. – [slovenčina]. – [OV 020]. – [článok] In: Studi italo-slovacchi [textový dokument (print)] . – Nitra (Slovensko) : Univerzita Konštantína Filozofa v Nitre. Filozofická fakulta, Bratislava (Slovensko) : Slovenská akadémia vied. – ISSN 1338-6778. – Roč. 9, č. 2 (2020), s. 53-65 [tlačená forma] </t>
  </si>
  <si>
    <t xml:space="preserve">K obhajobe etického manažmentu ako ekonomicky efektívneho prístupu k riadeniu ľudských zdrojov / Turčan, Ciprian [Autor, UKFFFAKAE 06.2022, 100%]. – text. – [slovenčina]. – [OV 010]. – [článok] In: Prohuman [elektronický dokument] : vedecko-odborný interdisciplinárny recenzovaný časopis, zameraný na oblasť spoločenských, sociálnych a humanitných vied : vedecko-odborný internetový časopis. – Bratislava (Slovensko) : Business Intelligence Club. – ISSN (online) 1338-1415. – č. 12. september (2021), s. 1-9 [online] </t>
  </si>
  <si>
    <t xml:space="preserve">K otázkam theosis vo východokresťanskej teológie a u Danteho / Šavelová, Monika [Autor, UKFFFAKRO, 100%]. – text. – [slovenčina]. – [OV 020]. – [článok] In: Studi italo-slovacchi [textový dokument (print)] . – Nitra (Slovensko) : Univerzita Konštantína Filozofa v Nitre. Filozofická fakulta, Bratislava (Slovensko) : Slovenská akadémia vied. – ISSN 1338-6778. – Roč. 7, č. 1 (2018), s. 86-95 [tlačená forma] </t>
  </si>
  <si>
    <t xml:space="preserve">K problematike projekcie a sebaprojekcie človeka v jazyku = On the Issue of Projection and Self-Projection of Man in Language / Sokolová, Jana [Autor, UKFFFAKRU, 50%] ; Sokol, Augustín [Autor, UKFFFAKRO, 50%]. – text. – [slovenčina]. – [OV 020]. – [článok] In: Slavica Nitriensia [textový dokument (print)] : časopis pre výskum slovanských filológií. – Nitra (Slovensko) : Univerzita Konštantína Filozofa v Nitre. – ISSN 1338-7464. – Roč. 10, č. 1 (2021), s. 113-129 [tlačená forma] </t>
  </si>
  <si>
    <t xml:space="preserve">K prostupování židovských a křesťanských elementů v díle Vojtěcha Rakouse a Elizy Orzeszkové :  Poznámky k „centrizmu“ a „exkluzivite“ zobrazovaného prostoru = The Interconnection of Jewish and Christian Motifs in Literary Works by Vojtěch Rakous and Eliza Orzeszková: Notes to “Centrism” and “Exclusivity” of Depicted Space / Mikulášek, Alexej [Autor, UKFFSSUSJ, 100%]. – [čeština]. – [OV 020]. – [článok] In: Stredoeurópske pohľady [textový dokument (print)] [elektronický dokument] : časopis pre jazyk, literatúru, kultúru a médiá. – Nitra (Slovensko) : Univerzita Konštantína Filozofa v Nitre. Fakulta stredoeurópskych štúdií. Ústav stredoeurópskych jazykov a kultúr. – ISSN 2644-6367. – ISSN (online) 2644-6472. – Roč. 1, č. 2 (2019), s. 15-55 [tlačená forma] [online] </t>
  </si>
  <si>
    <t xml:space="preserve">K výkladu veľkomoravských antroponým : Svätopluk / Diweg-Pukanec, Martin [Autor, UKFFFAKSJ, 100%]. – text. – [slovenčina]. – [OV 020]. – [článok] In: Kultúra slova [textový dokument (print)] [elektronický dokument] : vedecko-popularizačný časopis pre jazykovú kultúru a terminológiu. – Martin (Slovensko) : Matica slovenská. Vydavateľstvo Matice slovenskej. – ISSN 0023-5202. – Roč. 53, č. 2 (2019), s. 65-73 [tlačená forma] [online] </t>
  </si>
  <si>
    <t xml:space="preserve">K výkladu veľkomoravských antroponým : Rastislav / Diweg-Pukanec, Martin [Autor, UKFFFAKSJ, 100%]. – text. – [slovenčina]. – [OV 020]. – [článok] In: Kultúra slova [textový dokument (print)] [elektronický dokument] : vedecko-popularizačný časopis pre jazykovú kultúru a terminológiu. – Martin (Slovensko) : Matica slovenská. Vydavateľstvo Matice slovenskej. – ISSN 0023-5202. – Roč. 53, č. 3 (2019), s. 143-150 [tlačená forma] [online] </t>
  </si>
  <si>
    <t xml:space="preserve">K výkladu veľkomoravských antroponým: Mojmír / Diweg-Pukanec, Martin [Autor, UKFFFAKSJ, 100%]. – text. – [slovenčina]. – [OV 020]. – [článok] In: Kultúra slova [textový dokument (print)] [elektronický dokument] : vedecko-popularizačný časopis pre jazykovú kultúru a terminológiu. – Martin (Slovensko) : Matica slovenská. Vydavateľstvo Matice slovenskej. – ISSN 0023-5202. – Roč. 53, č. 1 (2019), s. 9-15 [tlačená forma] [online] </t>
  </si>
  <si>
    <t xml:space="preserve">Kariérová motivácia a amotivácia stredoškolských študentov vo vzťahu k osobnostným faktorom big five / Baňasová, Katarína [Autor, UKFFSVUAP, 50%] ; Pargáčová, Karin [Autor, 50%]. – [slovenčina]. – [OV 060]. – [článok]. – TRUNI ohlas * In: Pomáhajúce profesie [textový dokument (print)] : recenzovaný vedecký časopis pre teóriu, výskum, prax a vzdelávanie v pomáhajúcich profesiách. – Nitra (Slovensko) : Univerzita Konštantína Filozofa v Nitre. – ISSN 2585-9447. – Roč. 2, č. 2 (2019), s. 18-29 [tlačená forma] [online] </t>
  </si>
  <si>
    <t xml:space="preserve">Kariérová motivácia a motivácia stredoškolských študentov vo vzťahu k ostaných faktorom Big Five / Baňasová, Katarína [Autor, UKFFSVUAP, 99%] ; Pargáčová, Karin [Autor, 1%]. – text. – [slovenčina]. – [OV 060]. – [článok] In: Pomáhajúce profesie [textový dokument (print)] : recenzovaný vedecký časopis pre teóriu, výskum, prax a vzdelávanie v pomáhajúcich profesiách. – Nitra (Slovensko) : Univerzita Konštantína Filozofa v Nitre. – ISSN 2585-9447. – Roč. 2, č. 2 (2019), s. 18-29 [tlačená forma] [online] </t>
  </si>
  <si>
    <t xml:space="preserve">Kelt so zlatými očami : unikátny nález bronzovej sošky z Jánoviec / Hudáková, Mária [Autor, 50%] ; Repka, Dominik [Autor, UKFFFAKAR, 50%]. – text. – [slovenčina]. – [OV 030]. – [článok] In: Pamiatky a múzeá [textový dokument (print)] [elektronický dokument] : revue pre kultúrne dedičstvo. – Bratislava (Slovensko) : Pamiatkový úrad Slovenskej republiky, Bratislava (Slovensko) : Slovenské národné múzeum. – ISSN 1335-4353. – ISSN (online) 1336-0949. – Roč. 70, č. 2 (2021), s. 2-5 [tlačená forma] [online] </t>
  </si>
  <si>
    <t xml:space="preserve">Kisgyermekek térszemlélete és térábrázolása : A térszemlélet fejlődése és óvodai, iskolai fejlesztése (2. rész) / Kárpáti, Andrea [Autor, UKFFSSUVP, 100%]. – text. – [maďarčina]. – [OV 010]. – [článok] In: Katedra [elektronický dokument] : szlovákiai magyar pedagógusok és szülők lapja. – Dunajská Streda (Slovensko) : Nadácia Katedra. – ISSN 1335-6445. – ISSN (online) 2729-9066. – Roč. 29, č. 1 (2021), s. 24-285 [tlačená forma] [online] </t>
  </si>
  <si>
    <t xml:space="preserve">Kiskamaszok téri képességei (4) : a térszemlélet fejlődése és óvodai, iskolai fejlesztése / Kárpáti, Andrea [Autor, UKFFSSUVP, 100%]. – text. – [maďarčina]. – [OV 010]. – [článok] In: Katedra [elektronický dokument] : szlovákiai magyar pedagógusok és szülők lapja. – Dunajská Streda (Slovensko) : Nadácia Katedra. – ISSN 1335-6445. – ISSN (online) 2729-9066. – Roč. 29, č. 3 (2021), s. 25-27 [tlačená forma] [online] </t>
  </si>
  <si>
    <t xml:space="preserve">Klasické a alternatívne metódy osvojovania si cudzích jazykov / Molnárová, Andrea [Autor, UKFFFAKMK, 100%]. – text. – [slovenčina]. – [OV 020]. – [článok] In: Kontexty kultúry a turizmu [textový dokument (print)] . – Nitra (Slovensko) : Univerzita Konštantína Filozofa v Nitre. Filozofická fakulta. – ISSN 1337-7760. – Roč. 14, č. 1 (2021), s. 7-19 [tlačená forma] </t>
  </si>
  <si>
    <t xml:space="preserve">Klasifikácia múzejných expozícií a výstav venovaných sexualite / Buch, Samuel [Autor, UKFFFAULK, 100%]. – text. – [slovenčina]. – [OV 030]. – [článok] In: Múzeum [textový dokument (print)] : Metodický , študijný a  informačný recenzovaný časopis pre zamestnancov múzeí a galérií. – Bratislava (Slovensko) : Slovenské národné múzeum. – ISSN 0027-5263. – Roč. 66, č. 2 (2020), s. 26-30 [tlačená forma] </t>
  </si>
  <si>
    <t xml:space="preserve">Klenotnícke zliatiny striebra a zliatiny imitujúce striebro = The Jewellery Alloys of Silver and The Alloys Imitating Silver / Štubňa, Ján [Autor, UKFFPVGMU, 100%]. – text. – [slovenčina]. – [OV 092]. – [článok] In: Gemologický spravodajca [textový dokument (print)] : časopis gemológov pri FPV UKF v Nitre. – Nitra (Slovensko) : Univerzita Konštantína Filozofa v Nitre. Fakulta prírodných vied. – ISSN 1337-6136. – ISSN (online) 1338-5275. – Roč. 10, č. 2 (2020), s. 12-21 [tlačená forma] </t>
  </si>
  <si>
    <t xml:space="preserve">Kolotoč.sk : “Najväčší archív a online obchod s rómskou hudbou na internete” / Ambrózová, Jana [Autor, UKFFFAKEF, 100%]. – text. – [slovenčina]. – [OV 030]. – [článok] In: Kontexty kultúry a turizmu [textový dokument (print)] . – Nitra (Slovensko) : Univerzita Konštantína Filozofa v Nitre. Filozofická fakulta. – ISSN 1337-7760. – Roč. 14, č. 1 (2021), s. 75-93 [tlačená forma] </t>
  </si>
  <si>
    <t xml:space="preserve">Komentovaný seznam vážek (Odonata) Slovenské republiky / David, Stanislav [Autor, UKFFPVKEE, 50%] ; Šácha, Dušan [Autor, 50%]. – text. – [slovenčina]. – [OV 100]. – [článok] In: Ochrana prírody [elektronický dokument] [textový dokument (print)] . – Banská Bystrica (Slovensko) : Štátna ochrana prírody SR. – ISSN 0862-4992. – ISSN (online) 2453-8183. – č. 33 (2019), s. 49-78 [online] [tlačená forma] </t>
  </si>
  <si>
    <t xml:space="preserve">Komparácia obsahu študijného programu učiteľstva techniky a inovovaného obsahového štandardu predmetu technika / Lukáčová, Danka [Autor, UKFPFAKTT, 100%]. – [slovenčina]. – [OV 010]. – [článok] In: Technika a vzdelávanie [textový dokument (print)] [elektronický dokument] : časopis zameraný na technické vzdelávanie v základných, stredných i na vysokých školách, na oblasť základného a aplikovaného výskumu, aplikáciu informačných technológií vo výučbe odborných predmetov. – Banská Bystrica (Slovensko) : Univerzita Mateja Bela v Banskej Bystrici. Fakulta prírodných vied. – ISSN 1338-9742. – ISSN (online) 1339-9888. – Roč. 7, č. 2 (2018), s. 4-7 [tlačená forma] [online] </t>
  </si>
  <si>
    <t xml:space="preserve">Komparácia prejavov kultúrnych trendov vo vybraných lyžiarskych strediskách na Slovensku a v zahraničí / Kurpaš, Michal [Autor, UKFFFAKMK, 50%] ; Kurpašová, Lucia [Autor, UKFFFAKMK, 50%]. – text. – [slovenčina]. – [OV 020]. – [článok] In: Kontexty kultúry a turizmu [textový dokument (print)] . – Nitra (Slovensko) : Univerzita Konštantína Filozofa v Nitre. Filozofická fakulta. – ISSN 1337-7760. – Roč. 12, č. 1 (2019), s. 83-97 [tlačená forma] </t>
  </si>
  <si>
    <t xml:space="preserve">Kompetencie edukátora preseniorskej prípravy / Koricina, Michal [Autor, UKFPFAKPE, 100%]. – text. – [angličtina]. – [OV 010]. – [článok]. – DOI 10.18355/PG.2021.10.1.4 In: Slavonic Pedagogical Studies Journal [textový dokument (print)] [elektronický dokument] : the Scientific Educational Journal . – Nitra (Slovensko) : Slovenská Vzdelávacia a Obstarávacia. – ISSN 1339-8660. – ISSN (online) 1339-9055. – Roč. 10, č. 1 (2021), s. 47-54 [tlačená forma] [online] . – Nordic List: 1 </t>
  </si>
  <si>
    <t xml:space="preserve">Kompetencie zamerané na profesijný a kariérny rozvoj učiteľa / Lomnický, Igor [Autor, UKFFFAKAE 06.2022, 100%]. – [slovenčina]. – [OV 020]. – [článok] In: Civitas [textový dokument (print)] : časopis pre politické a sociálne vedy. – Nitra (Slovensko) : Univerzita Konštantína Filozofa v Nitre. Filozofická fakulta. Katedra politológie a euroázijských štúdií. – ISSN 1335-2652. – Roč. 24, č. 55 - 2 (2018), s. 10-10 [tlačená forma] </t>
  </si>
  <si>
    <t xml:space="preserve">Kompetenčný model kultúrno-osvetového pracovníka / Rapsová, Lucia [Autor, UKFPFAKPE, 100%]. – text. – [slovenčina]. – [OV 010]. – [článok] In: Prohuman [elektronický dokument] : vedecko-odborný interdisciplinárny recenzovaný časopis, zameraný na oblasť spoločenských, sociálnych a humanitných vied : vedecko-odborný internetový časopis. – Bratislava (Slovensko) : Business Intelligence Club. – ISSN (online) 1338-1415. – č. 12. september (2021), s. 1-25 [online] </t>
  </si>
  <si>
    <t xml:space="preserve">Kompetenčný model učiteľa v druhošancovom vzdelávaní dospelých / Temiaková, Dominika [Autor, UKFPFAKPE, 100%]. – [slovenčina]. – [OV 010]. – [článok] In: Sociálno-zdravotnícke spektrum [elektronický dokument] [textový dokument (print)] : vedecko-odborný časopis pre sociálnych pracovníkov a chronicky chorých : vedecko-odborný časopis pre sociálnych pracovníkov a zdravotníkov. – Prešov (Slovensko) : Vysoká škola zdravotníctva a sociálnej práce sv. Alžbety v Bratislave. Inštitút sociálnych vied a zdravotníctva bl. P. P. Gojdiča. – ISSN 1339-1577. – ISSN (online) 1339-2379. – č. 21.11.2021 (2020), s. [1-7] [tlačená forma] [online] </t>
  </si>
  <si>
    <t xml:space="preserve">Komplex moci (1) : publicistické články Milana Pišúta z rokov 1945 - 1947 / Teplan, Dušan [Autor, UKFFFASJL, 100%]. – text. – [slovenčina]. – [OV 020]. – [článok] In: Litikon [textový dokument (print)] : časopis pre výskum literatúry = journal for literature research. – Nitra (Slovensko) : Univerzita Konštantína Filozofa v Nitre. – ISSN 2453-8507. – Roč. 3, č. 2 (2018), s. 367-389 [tlačená forma] </t>
  </si>
  <si>
    <t xml:space="preserve">Komu patrí súčasnosť = Who the present belongs to / Zozuľaková, Viera [Autor, UKFFFAKSO, 100%]. – text. – [slovenčina]. – [OV 020]. – [článok]. – DOI 10.17846/SS.2020.5.2.103-119 In: Sociológia a spoločnosť [textový dokument (print)] [elektronický dokument] : medzinárodný vedecký sociologický časopis. – Nitra (Slovensko) : Univerzita Konštantína Filozofa v Nitre. – ISSN 2453-8086. – ISSN (online) 2644-5980. – Roč. 5, č. 2 (2020), s. 103-119 [tlačená forma] [online] </t>
  </si>
  <si>
    <t xml:space="preserve">Komunikácia s príbuznými pacienta v prednemocničnej starostlivosti = Communication with Patient's Relatives in Prehospital Care / Brázdilová, Dana [Autor, UKFFSVKUM, 50%] ; Bogárová, Karin [Autor, 50%]. – text. – [slovenčina]. – [OV 180]. – [článok] In: Ošetrovateľstvo a pôrodná asistencia [textový dokument (print)] [elektronický dokument] . – Bratislava (Slovensko) : Slovenská komora sestier a pôrodných asistentiek. – ISSN 1336-183X. – ISSN (online) 1339-5920. – č. 4 (2020), s. 48-52 [tlačená forma] [online] </t>
  </si>
  <si>
    <t xml:space="preserve">Komunikácia, tvorivá klíma a kreativita v reklamných a komunikačných agentúrach = Communication, creative climate and creativity in advertising and communication agencies / Fichnová, Katarína [Autor, UKFFFAKMR, 100%]. – text. – [slovenčina]. – [OV 020, 060]. – [článok] In: Dot.comm [elektronický dokument] : časopis pre teóriu, výskum a prax mediálnej a marketingovej komunikácie = journal for the theory, research and practice of media and marketing communication. – Bratislava (Slovensko) : Európska akadémia manažmentu marketingu a médií. – ISSN 1339-5181. – Roč. 7, č. 1-2 (2019), s. 8-17 [online] </t>
  </si>
  <si>
    <t xml:space="preserve">Komunikačný potenciál knihy ako masového média v dobe nových komunikačných technológií / Rožňová, Jitka [Autor, UKFFFAKZU, 100%]. – text. – [slovenčina]. – [OV 060]. – [článok] In: Fraktál [textový dokument (print)] : literatúra horizontálne a vertikálne. – Závod (Slovensko) : Fraktál. – ISSN 2585-8912. – Roč. 4, č. 2 (2021), s. 73-93 [tlačená forma] </t>
  </si>
  <si>
    <t xml:space="preserve">Koncepcia kreatívneho cestovného ruchu ako nástroja rozvoja turistických destinácií na Slovensku (spoločné vytváranie sietí kreatívnych umelcov so zainteresovanými stranami v oblasti cestovného ruchu pre budúci rast destinácií) = The Concept of Creative Tourism As a Development Tool for Tourism Destinations in Slovakia (Collaborative Networking of Creative Artists with Tourism Stakeholders for the Future Growth of Destinations) / Palenčíková, Zuzana [Autor, UKFFSSKCR, 100%]. – text. – [slovenčina]. – [OV 080]. – [článok] In: Geografické informácie [textový dokument (print)] [elektronický dokument] . – Nitra (Slovensko) : Univerzita Konštantína Filozofa v Nitre. – ISSN 1337-9453. – Roč. 24, č. 2 (2020), s. 270-284 [tlačená forma] [online] </t>
  </si>
  <si>
    <t xml:space="preserve">Koncepcia viery bez príslušnosti Grace Davie a jej verifikácie v prostredí slovenskej mládeže / Štefaňak, Ondrej [Autor, UKFFFAKSO, 100%]. – text. – [slovenčina]. – [OV 060]. – [článok]. – DOI 10.17846/SS.2021.6.2.51-65 In: Sociológia a spoločnosť [textový dokument (print)] [elektronický dokument] : medzinárodný vedecký sociologický časopis. – Nitra (Slovensko) : Univerzita Konštantína Filozofa v Nitre. – ISSN 2453-8086. – ISSN (online) 2644-5980. – Roč. 6, č. 2 (2021), s. 51-65 [tlačená forma] [online] </t>
  </si>
  <si>
    <t xml:space="preserve">Koncept  krízy  kultúry  v  kontexte  myslenia  o kultúre / Gabašová, Katarína [Autor, UKFFFAKKU, 100%]. – text. – [slovenčina]. – [OV 060, 020]. – [článok] In: Kontexty kultúry a turizmu [textový dokument (print)] . – Nitra (Slovensko) : Univerzita Konštantína Filozofa v Nitre. Filozofická fakulta. – ISSN 1337-7760. – Roč. 12, č. 2 (2019), s. 93-104 [tlačená forma] </t>
  </si>
  <si>
    <t xml:space="preserve">Koncept ega, egocentrizmus a jeho koncepcie  z aspektu diachrónie = Concept of Ego, Egocentrism and its Conceptions in the Aspect of Diachronia / Gallo, Ján [Autor, UKFFFAKRU, 100%]. – text. – [slovenčina]. – [OV 020]. – [článok] In: Slavica Nitriensia [textový dokument (print)] : časopis pre výskum slovanských filológií. – Nitra (Slovensko) : Univerzita Konštantína Filozofa v Nitre. – ISSN 1338-7464. – Roč. 8, č. 1 (2019), s. 22-33 [tlačená forma] </t>
  </si>
  <si>
    <t xml:space="preserve">Konštrukčné úlohy o zobrazeniach / Vrábel, Peter [Autor, UKFFPVKMA, 100%]. – text. – [slovenčina]. – [OV 240]. – [článok] In: Acta Mathematica Nitriensia [elektronický dokument] . – Nitra (Slovensko) : Univerzita Konštantína Filozofa v Nitre. Fakulta prírodných vied a informatiky. Katedra matematiky. – ISSN 2453-6083. – Roč. 4, č. 1 (2018), s. 1-6 [online] </t>
  </si>
  <si>
    <t xml:space="preserve">Kontexty akulturácie imigrantov z Blízkeho východu na Slovensku / Čukanová, Linda [Autor, 33%] ; Čukan, Jaroslav [Autor, UKFFFAKMK, 34%] ; Hučková, Jana [Autor, UKFFFAKMK, 33%]. – text. – [slovenčina]. – [OV 060]. – [článok] In: Kontexty kultúry a turizmu [textový dokument (print)] . – Nitra (Slovensko) : Univerzita Konštantína Filozofa v Nitre. Filozofická fakulta. – ISSN 1337-7760. – Roč. 12, č. 2 (2019), s. 17-26 [tlačená forma] </t>
  </si>
  <si>
    <t xml:space="preserve">Kontexty etnicity a náboženskej identity / Čukan, Jaroslav [Autor, UKFFFAKMK, 100%]. – text, ilustr. – [slovenčina]. – [OV 030]. – [článok] In: Kontexty kultúry a turizmu [textový dokument (print)] . – Nitra (Slovensko) : Univerzita Konštantína Filozofa v Nitre. Filozofická fakulta. – ISSN 1337-7760. – Roč. 13, č. 2 (2020), s. 37-41 [tlačená forma] </t>
  </si>
  <si>
    <t xml:space="preserve">Kreatívni umelci v cestovnom ruchu = Creative Artists in Tourism / Hudáková, Jarmila [Autor, UKFFPVUMI, 50%] ; Korenková, Marcela [Autor, UKFFPVUMI, 50%]. – text. – [slovenčina]. – [OV 060]. – [článok] In: Geografické informácie [textový dokument (print)] [elektronický dokument] . – Nitra (Slovensko) : Univerzita Konštantína Filozofa v Nitre. – ISSN 1337-9453. – Roč. 24, č. 2 (2020), s. 110-118 [tlačená forma] [online] </t>
  </si>
  <si>
    <t xml:space="preserve">Kritické myslenie v kontexte rodičovskej mediácie / Lesková, Andrea [Autor, UKFFFAKAE 06.2022, 100%]. – text. – [slovenčina]. – [OV 020]. – [článok] In: Mládež a spoločnosť [textový dokument (print)] : slovenský časopis pre štátnu politiku a výskum mládeže = Slovak journal for state policy and youth research. – Bratislava (Slovensko) : Centrum vedecko-technických informácií SR. – ISSN 1335-1109. – Roč. 27, č. 3-4 (2021), s. 23-29 [tlačená forma] </t>
  </si>
  <si>
    <t xml:space="preserve">Kríza - slepá ulička alebo ozdravný proces?! Niekoľko poznámok k vymedzeniu pojmu kríza / Gabašová, Katarína [Autor, UKFFFAKKU, 100%]. – text. – [slovenčina]. – [OV 020]. – [článok] In: Culturologica Slovaca [elektronický dokument] : internetový kulturologický časopis. – Nitra (Slovensko) : Univerzita Konštantína Filozofa v Nitre. – ISSN 2453-9740. – Roč. 5, č. 1 (2020), s. 80-90 [online] </t>
  </si>
  <si>
    <t xml:space="preserve">Kríza hodnôt a európska identita / Zozuľaková, Viera [Autor, UKFFFAKSO, 100%]. – text. – [slovenčina]. – [OV 060]. – [článok] In: Sociológia a spoločnosť [textový dokument (print)] [elektronický dokument] : medzinárodný vedecký sociologický časopis. – Nitra (Slovensko) : Univerzita Konštantína Filozofa v Nitre. – ISSN 2453-8086. – ISSN (online) 2644-5980. – Roč. 3, č. 1 (2018), s. 68-84 [tlačená forma] [online] </t>
  </si>
  <si>
    <t xml:space="preserve">Krzysztof Wieczorek o koncepcji personalistycznej dialogu i milości w  myśleniu Wojtyly i  Tischnera = Krzysztof Wieczorek on the Concept of Personalistic Dialogue and Love in the Thinking of Wojtyla and Tischner / Jozek, Milan [Autor, UKFFSSUSJ, 100%]. – text. – [poľština]. – [OV 020]. – [článok] In: Stredoeurópske pohľady [textový dokument (print)] [elektronický dokument] : časopis pre jazyk, literatúru, kultúru a médiá. – Nitra (Slovensko) : Univerzita Konštantína Filozofa v Nitre. Fakulta stredoeurópskych štúdií. Ústav stredoeurópskych jazykov a kultúr. – ISSN 2644-6367. – ISSN (online) 2644-6472. – Roč. 2, č. 2 (2020), s. 69-75 [tlačená forma] [online] </t>
  </si>
  <si>
    <t xml:space="preserve">Kuba na rozcestí / Veselovský, Ján [Autor, UKFFPVKGR, 50%] ; Chalupa, Petr [Autor, 50%]. – text. – [slovenčina]. – [OV 080]. – [článok] In: Geografické informácie [textový dokument (print)] [elektronický dokument] . – Nitra (Slovensko) : Univerzita Konštantína Filozofa v Nitre. – ISSN 1337-9453. – Roč. 24, č. 1 (2020), s. 33-43 [tlačená forma] [online] </t>
  </si>
  <si>
    <t xml:space="preserve">Kult v dejinách. Pohľady českých a slovenských historikov na predmetnú problematiku / Hasarová, Zuzana [Autor, UKFFFAKHI, 100%]. – text. – [slovenčina]. – [OV 030]. – [článok] In: Studia Historica Nitriensia [textový dokument (print)] [elektronický dokument] . – Nitra (Slovensko) : Univerzita Konštantína Filozofa v Nitre. – ISSN 1338-7219. – ISSN (online) 2585-8661. – Roč. 23, č. 2 (2019), s. 517-520 [tlačená forma] [online] . – SNIP: 0,629 ; SJR: 0,187 ; CiteScore: 0,2 Scimago - Cultural studies - Q2, History - Q2, Museology - Q2 </t>
  </si>
  <si>
    <t xml:space="preserve">Kult vertikály v stredovekej literatúre = The Cult of the Vertical in Medieval Literature / Keruľová, Marta [Autor, UKFFFASJL, 100%]. – text. – [slovenčina]. – [OV 020]. – [článok] In: Stredoeurópske pohľady [textový dokument (print)] [elektronický dokument] : časopis pre jazyk, literatúru, kultúru a médiá. – Nitra (Slovensko) : Univerzita Konštantína Filozofa v Nitre. Fakulta stredoeurópskych štúdií. Ústav stredoeurópskych jazykov a kultúr. – ISSN 2644-6367. – ISSN (online) 2644-6472. – Roč. 2, č. 2 (2020), s. 4-12 [tlačená forma] [online] </t>
  </si>
  <si>
    <t xml:space="preserve">Kultúrna krajina Hronskej pahorkatiny - vývoj a využívanie / Petlušová, Viera [Autor, UKFFPVKEE, 35%] ; Petluš, Peter [Autor, UKFFPVKEE, 35%] ; Hreško, Juraj [Autor, UKFFPVKEE, 30%]. – text. – [slovenčina]. – [OV 100]. – [článok] In: Životné prostredie [textový dokument (print)] [elektronický dokument] : revue pre teóriu a starostlivosť o životné prostredie = Revue for Theory and Care of the Environment. – Bratislava (Slovensko) : Slovenská akadémia vied. Pracoviská SAV. Ústav krajinnej ekológie. – ISSN 0044-4863. – ISSN (online) 2585-7800. – Roč. 52, č. 4 (2018), s. 241-246 [tlačená forma] [online] </t>
  </si>
  <si>
    <t xml:space="preserve">Kultúrne aspekty v slovenských pomenovaniach farieb / Dudová, Katarína [Autor, UKFFFASJL, 100%]. – text. – [slovenčina]. – [OV 020]. – [článok] In: Jazyk a kultúra [elektronický dokument] : internetový časopis Lingvokulturologického a prekladateľsko-tlmočníckeho centra excelentnosti pri Filozofickej fakulte Prešovskej univerzity. – Prešov (Slovensko) : Prešovská univerzita v Prešove. Lingvokulturologické a prekladateľsko-tlmočnícke centrum excelentnosti. – ISSN (online) 1338-1148. – Roč. 9, č. 36 (2018), s. 15-27 [online] </t>
  </si>
  <si>
    <t xml:space="preserve">Kultúrny potenciál Slovákov v Oradei / Čukan, Jaroslav [Autor, UKFFFAKMK, 50%] ; Ďurakov, Viktor [Autor, UKFFFAKMK, 50%]. – text. – [slovenčina]. – [OV 030]. – [článok] In: Kontexty kultúry a turizmu [textový dokument (print)] . – Nitra (Slovensko) : Univerzita Konštantína Filozofa v Nitre. Filozofická fakulta. – ISSN 1337-7760. – Roč. 11, č. 2 (2018), s. 43-56 [tlačená forma] </t>
  </si>
  <si>
    <t xml:space="preserve">Kvalitná materská škola-predpoklad úspešného štartu dieťaťa do školy / Slezáková, Tatiana [Autor, UKFPFAKPE, 100%]. – text. – [slovenčina]. – [OV 020]. – [článok] In: Studia Scientifica Facultatis Paedagogicae [textový dokument (print)] [elektronický dokument] . – Ružomberok (Slovensko) : Katolícka univerzita v Ružomberku. VERBUM - vydavateľstvo KU. – ISSN 1336-2232. – Roč. 18, č. 1 (2019), s. 48-58 [tlačená forma] [online] </t>
  </si>
  <si>
    <t xml:space="preserve">Kybergrooming v prostredí internetu / Koprda, Tomáš [Autor, UKFFFAKMR, 40%] ; Bulanda, Ivana [Autor, UKFFFAKMR, 40%] ; Remenárová, Zuzana [Autor, 20%]. – text. – [slovenčina]. – [OV 020]. – [článok] In: Analýza a výskum v marketingovej komunikácii [textový dokument (print)] . – Nitra (Slovensko) : Univerzita Konštantína Filozofa v Nitre. Filozofická fakulta. – ISSN 1339-3715. – Roč. 7, č. 1 (2019), s. 38-39 [tlačená forma] </t>
  </si>
  <si>
    <t xml:space="preserve">La Cecoslovacchia e l'ascesa del fascismo in Italia / Gritti, Fabiano [Autor, UKFFFAKRO, 100%]. – text. – [taliančina]. – [OV 020]. – [článok] In: Studi italo-slovacchi [textový dokument (print)] . – Nitra (Slovensko) : Univerzita Konštantína Filozofa v Nitre. Filozofická fakulta, Bratislava (Slovensko) : Slovenská akadémia vied. – ISSN 1338-6778. – Roč. 9, č. 1 (2020), s. 3-19 [tlačená forma] </t>
  </si>
  <si>
    <t xml:space="preserve">La concezione della dignità secondo Pico della Mirandola / Šavelová, Monika [Autor, UKFFFAKRO, 100%]. – text. – [taliančina]. – [OV 020]. – [článok] In: Studi italo-slovacchi [textový dokument (print)] . – Nitra (Slovensko) : Univerzita Konštantína Filozofa v Nitre. Filozofická fakulta, Bratislava (Slovensko) : Slovenská akadémia vied. – ISSN 1338-6778. – Roč. 8, č. 2 (2019), s. 74-82 [tlačená forma] </t>
  </si>
  <si>
    <t xml:space="preserve">La fine della missione militare italiana in Cecoslovacchia nel 1919 alla luce dei documenti d'archivio italiani / Gritti, Fabiano [Autor, UKFFFAKRO, 100%]. – text. – [taliančina]. – [OV 020]. – [článok] In: Studi italo-slovacchi [textový dokument (print)] . – Nitra (Slovensko) : Univerzita Konštantína Filozofa v Nitre. Filozofická fakulta, Bratislava (Slovensko) : Slovenská akadémia vied. – ISSN 1338-6778. – Roč. 7, č. 1 (2018), s. 96-109 [tlačená forma] </t>
  </si>
  <si>
    <t xml:space="preserve">La nascita della "repubblica dei poeti" al Mulino Di Bazzano / Gritti, Fabiano [Autor, UKFFFAKRO, 100%]. – [taliančina]. – [OV 020]. – [článok] In: Nová filologická revue [elektronický dokument] : časopis o súčasných problémoch lingvistiky, literárnej vedy, translatológie a kulturológie : časopis o súčasnej lingvistike, literárnej vede, translatológii a kulturológii. – Banská Bystrica (Slovensko) : Univerzita Mateja Bela v Banskej Bystrici. Fakulta humanitných vied. – ISSN (online) 1338-0583. – Roč. 11, č. 1 (2020), s. 96-111 [online] </t>
  </si>
  <si>
    <t xml:space="preserve">La scelta dei testi input nella didattica delle competenze di lettura in lingua straniera / Rusnáková, Natália [Autor, UKFFFAKRO, 100%]. – text. – [taliančina]. – [OV 020]. – [článok] In: Studi italo-slovacchi [textový dokument (print)] . – Nitra (Slovensko) : Univerzita Konštantína Filozofa v Nitre. Filozofická fakulta, Bratislava (Slovensko) : Slovenská akadémia vied. – ISSN 1338-6778. – Roč. 9, č. 1 (2020), s. 25-35 [tlačená forma] </t>
  </si>
  <si>
    <t xml:space="preserve">Ladislav Fuks a jeho Variace pro temnou strunu: Židovská tematika jako metafora všelidského utrpení = Ladislav Fuks and His Variations for a Dark String: Jewish Themes as a Metaphor for Human Suffering / Zelenka, Miloš [Autor, UKFFSSUSJ, 100%]. – text. – [slovenčina]. – [OV 020]. – [článok] In: Stredoeurópske pohľady [textový dokument (print)] [elektronický dokument] : časopis pre jazyk, literatúru, kultúru a médiá. – Nitra (Slovensko) : Univerzita Konštantína Filozofa v Nitre. Fakulta stredoeurópskych štúdií. Ústav stredoeurópskych jazykov a kultúr. – ISSN 2644-6367. – ISSN (online) 2644-6472. – Roč. 3, č. 2 (2021), s. 21-30 [tlačená forma] [online] </t>
  </si>
  <si>
    <t xml:space="preserve">Le meraviglie del teatro a Napoli: il teatro San Carlo / Di Vico, Paolo [Autor, UKFFFAKRO, 100%]. – [taliančina]. – [OV 020]. – [článok] In: Studi italo-slovacchi [textový dokument (print)] . – Nitra (Slovensko) : Univerzita Konštantína Filozofa v Nitre. Filozofická fakulta, Bratislava (Slovensko) : Slovenská akadémia vied. – ISSN 1338-6778. – Roč. 8, č. 2 (2019), s. 83-90 [tlačená forma] </t>
  </si>
  <si>
    <t xml:space="preserve">Learning style as a factor influencing pupil's learning achievement = Učebný štýl ako faktor ovplyvňujúci úspešnosť žiaka v učení sa / Máčajová, Monika [Autor, UKFPFAKPE, 50%] ; Zajacová, Zuzana [Autor, UKFPFAKPE, 50%]. – text. – [angličtina]. – [OV 010]. – [článok]. – DOI 10.18355/PG.2018.7.2.2 In: Slavonic Pedagogical Studies Journal [textový dokument (print)] [elektronický dokument] : the Scientific Educational Journal . – Nitra (Slovensko) : Slovenská Vzdelávacia a Obstarávacia. – ISSN 1339-8660. – ISSN (online) 1339-9055. – Roč. 7, č. 2 (2018), s. 237-246 [tlačená forma] [online] </t>
  </si>
  <si>
    <t xml:space="preserve">Leseverstehen im Fremdsprachenunterricht mit Hilfe der pragmalinguistischen Typologie / Szabó, Erzsébet [Autor, 33.334%] ; Stranovská, Eva [Autor, UKFFFAKGE, 33.333%] ; Wrede, Oľga [Autor, UKFFFAKGE, 33.333%]. – text. – [nemčina]. – [OV 010]. – [článok] In: Eruditio - Educatio [textový dokument (print)] : vedecký časopis Pedagogickej fakulty Univerzity J. Selyeho v Komárne = A Selye János Egyetem Tanárképző Kara tudományos folyóirata = Research Journal of the Faculty of education of J. Selye university. – Komárno (Slovensko) : Univerzita J. Selyeho. Pedagogická fakulta. – ISSN 1336-8893. – Roč. 15, č. 3 (2020), s. 48-59 [tlačená forma] </t>
  </si>
  <si>
    <t xml:space="preserve">Letteratura della migrazione: rapporto tra letteratura e società / Jaščurová, Jana [Autor, UKFFFAKRO, 100%]. – [taliančina]. – [OV 020]. – [článok] In: Nová filologická revue [elektronický dokument] : časopis o súčasných problémoch lingvistiky, literárnej vedy, translatológie a kulturológie : časopis o súčasnej lingvistike, literárnej vede, translatológii a kulturológii. – Banská Bystrica (Slovensko) : Univerzita Mateja Bela v Banskej Bystrici. Fakulta humanitných vied. – ISSN (online) 1338-0583. – Roč. 11, č. 2 (2020), s. 76-87 [online] </t>
  </si>
  <si>
    <t xml:space="preserve">Líbyjské púštne sklo v praveku, staroveku a súčasnosti = Libyan desert glass in prehistory, antiquity and the present / Štubňa, Ján [Autor, UKFFPVGMU, 100%]. – text. – [slovenčina]. – [OV 130, 092]. – [článok] In: Gemologický spravodajca [textový dokument (print)] : časopis gemológov pri FPV UKF v Nitre. – Nitra (Slovensko) : Univerzita Konštantína Filozofa v Nitre. Fakulta prírodných vied. – ISSN 1337-6136. – ISSN (online) 1338-5275. – Roč. 10, č. 1 (2020), s. 5-23 [tlačená forma] </t>
  </si>
  <si>
    <t xml:space="preserve">Líderstvo v Cirkvi : polemika / Hlad, Ľubomír [Autor, UKFFFAKNS, 100%]. – text. – [slovenčina]. – [OV 020]. – [článok] In: Rozmer [textový dokument (print)] : časopis pre kresťanskú duchovnú orientáciu. – Bratislava (Slovensko) : Ekumenická rada cirkví v Slovenskej republike, Bratislava (Slovensko) : Redakcia časopisu Rozmer. – ISSN 1335-2660. – Roč. 23, č. 2 (2020), s. 28-32 [tlačená forma] </t>
  </si>
  <si>
    <t xml:space="preserve">Lokalizačné kritériá uplatňované pri stavaní historických hradov a zámkov na Slovensku / Izakovičová, Zita [Autor, 50%] ; Petrovič, František [Autor, UKFFPVKEE, 50%]. – text. – [slovenčina]. – [OV 100]. – [článok] In: Životné prostredie [textový dokument (print)] [elektronický dokument] : revue pre teóriu a starostlivosť o životné prostredie = Revue for Theory and Care of the Environment. – Bratislava (Slovensko) : Slovenská akadémia vied. Pracoviská SAV. Ústav krajinnej ekológie. – ISSN 0044-4863. – ISSN (online) 2585-7800. – Roč. 53, č. 1 (2019), s. 21-25 [tlačená forma] [online] </t>
  </si>
  <si>
    <t xml:space="preserve">Magyar-szlovák viták 1989 után : Stratégiáink korlátjai / Öllös, László [Autor, UKFFFAKPO, 100%]. – [maďarčina]. – [OV 060]. – [ŠO 6718]. – [článok] In: Fórum Társadalomtudományi Szemle [textový dokument (print)] . – Šamorín (Slovensko) : Fórum inštitút pre výskum menšín. – ISSN 1335-4361. – Roč. 23, č. 4 (2021), s. 135-148 [tlačená forma] </t>
  </si>
  <si>
    <t xml:space="preserve">Management of Kindergartens in the Context of the Requirements of the National Program for Development of Education and Training / Pisoňová, Mária [Autor, UKFPFAKPE, 100%]. – text. – [angličtina]. – [OV 010]. – [článok] In: Studia Scientifica Facultatis Paedagogicae [textový dokument (print)] [elektronický dokument] . – Ružomberok (Slovensko) : Katolícka univerzita v Ružomberku. VERBUM - vydavateľstvo KU. – ISSN 1336-2232. – Roč. 18, č. 1 (2019), s. 77-89 [tlačená forma] [online] </t>
  </si>
  <si>
    <t xml:space="preserve">Manželstvo a kohabitácia z pohľadu troch generácií / Mendelová, Eleonóra [Autor, UKFPFAKPE, 100%]. – text. – [slovenčina]. – [OV 010]. – [článok] In: Pedagogika.sk [elektronický dokument] : slovenský časopis pre pedagogické vedy = Slovak Journal for Educational Sciences. – Bratislava (Slovensko) : Slovenská akadémia vied. Slovenská pedagogická spoločnosť pri SAV. – ISSN (online) 1338-0982. – Roč. 9, č. 3 (2018), s. 122-134 [online] </t>
  </si>
  <si>
    <t xml:space="preserve">Mapovania a analýza zmien krajinnej pokrývky vo vybranej časti Malej Fatry (Vrátna dolina) = Mapping and Analysis of Land Cover Changes in a Selected part of the Malá Fatra Mts. (Vrátna dolina) / Malikova, Veronika [Autor, 50%] ; Boltižiar, Martin [Autor, UKFFPVKGR, 50%]. – text. – [slovenčina]. – [OV 092]. – [článok]. – [recenzované]. – DOI 10.17846/GI.2020.24.2.389-403 In: Geografické informácie [textový dokument (print)] [elektronický dokument] . – Nitra (Slovensko) : Univerzita Konštantína Filozofa v Nitre. – ISSN 1337-9453. – Roč. 24, č. 2 (2020), s. 389-394 [tlačená forma] [online] </t>
  </si>
  <si>
    <t xml:space="preserve">Mapovanie a hodnotenie kultúrneho potenciálu Slovákov v Chorvátsku / Čukan, Jaroslav [Autor, UKFFFAKMK, 50%] ; Michalík, Boris [Autor, UKFFFAKMK, 50%]. – text. – [slovenčina]. – [OV 030]. – [článok] In: Kontexty kultúry a turizmu [textový dokument (print)] . – Nitra (Slovensko) : Univerzita Konštantína Filozofa v Nitre. Filozofická fakulta. – ISSN 1337-7760. – Roč. 11, č. 1 (2018), s. 73-80 [tlačená forma] </t>
  </si>
  <si>
    <t xml:space="preserve">Marketingová komunikácia TOP reštaurácií v Nitre na Instagrame a Facebooku / Kompasová, Katarína [Autor, UKFFFAKMK, 50%] ; Zima, Roman [Autor, UKFFFAKMK, 50%]. – text. – [slovenčina]. – [OV 060]. – [článok] In: Kontexty kultúry a turizmu [textový dokument (print)] . – Nitra (Slovensko) : Univerzita Konštantína Filozofa v Nitre. Filozofická fakulta. – ISSN 1337-7760. – Roč. 11, č. 2 (2018), s. 127-138 [tlačená forma] </t>
  </si>
  <si>
    <t xml:space="preserve">Marketingová stratégia spoločnosti na instagrame - prípadová štúdia = Company marketing strategy on instagram - case study / Dragúň, Marcel [Autor, 50%] ; Spálová, Lucia [Autor, UKFFFAKMR, 50%]. – [slovenčina]. – [OV 060]. – [článok] In: Dot.comm [elektronický dokument] : časopis pre teóriu, výskum a prax mediálnej a marketingovej komunikácie = journal for the theory, research and practice of media and marketing communication. – Bratislava (Slovensko) : Európska akadémia manažmentu marketingu a médií. – ISSN 1339-5181. – Roč. 7, č. 1-2 (2019), s. 54-61 [online] </t>
  </si>
  <si>
    <t xml:space="preserve">Measures for the Revitalization of the Traditional UNESCO Cultural Landscape of the Vlkolínec Locality on the Basis of a Sociological Survey / Petrovič, František [Autor, UKFFPVKEE, 50%] ; Boltižiar, Martin [Autor, UKFFPVKGR, 50%]. – text. – [slovenčina]. – [OV 100]. – [článok] In: Disputationes scientificae [textový dokument (print)] [elektronický dokument] : Universitatis Catholicae in Ružomberok. – Ružomberok (Slovensko) : Katolícka univerzita v Ružomberku. VERBUM - vydavateľstvo KU. – ISSN 1335-9185. – Roč. 21, č. 1 (2021), s. 66-77 [tlačená forma] [online] </t>
  </si>
  <si>
    <t xml:space="preserve">Mediácia v civilnom práve ako alternatíva "mimo súd" v rodinnej problematike / Vanková, Katarína [Autor, UKFFSVURS, 100%]. – text. – [slovenčina]. – [OV 010, 060]. – [článok] In: Vychovávateľ [textový dokument (print)] : časopis pedagógov. – Bratislava (Slovensko) : Educatio. – ISSN 0139-6919. – Roč. 68, č. 1-2 (2020), s. 38-51 [tlačená forma] </t>
  </si>
  <si>
    <t xml:space="preserve">Mediálna výchova na druhom stupni ZŠ na Slovensku = Media Education in Lower Secondary Education in Slovakia / Bielčiková, Kristína [Autor, UKFPFAKPE, 100%]. – text. – [slovenčina]. – [OV 010]. – [článok] In: Prohuman [elektronický dokument] : vedecko-odborný interdisciplinárny recenzovaný časopis, zameraný na oblasť spoločenských, sociálnych a humanitných vied : vedecko-odborný internetový časopis. – Bratislava (Slovensko) : Business Intelligence Club. – ISSN (online) 1338-1415. – Roč. 14. november (2021), s. 1-3 [online] </t>
  </si>
  <si>
    <t xml:space="preserve">Mediálny obraz „kultúry smrti“ v kulturologickej reflexii / Valková, Lucia [Autor, UKFFFAKKU, 100%]. – text. – [slovenčina]. – [OV 020]. – [článok] In: Culturologica Slovaca [elektronický dokument] : internetový kulturologický časopis. – Nitra (Slovensko) : Univerzita Konštantína Filozofa v Nitre. – ISSN 2453-9740. – Roč. 5, č. 1 (2020), s. 51-65 [online] </t>
  </si>
  <si>
    <t xml:space="preserve">Médiumok, művészetek, elméletek / Benyovszky, Kristian [Autor, UKFFSSUML, 100%]. – text. – [maďarčina]. – [OV 020]. – [článok]. – DOI 10.17846/PA.2020.15.2.3-8 In: Partitúra [textový dokument (print)] : irodalomtudományi folyóirat. – Nitra (Slovensko) : Univerzita Konštantína Filozofa v Nitre. Fakulta stredoeurópskych štúdií. Ústav stredoeurópskych jazykov a kultúr. – ISSN 1336-7307. – Roč. 15, č. 2 (2020), s. 3-8 [tlačená forma] </t>
  </si>
  <si>
    <t xml:space="preserve">Medzigeneračné učenie ako forma prevencie agresívneho správania / Jedličková, Petra [Autor, UKFPFAKPE, 100%]. – text. – [slovenčina]. – [OV 010]. – [článok] In: Prohuman [elektronický dokument] : vedecko-odborný interdisciplinárny recenzovaný časopis, zameraný na oblasť spoločenských, sociálnych a humanitných vied : vedecko-odborný internetový časopis. – Bratislava (Slovensko) : Business Intelligence Club. – ISSN (online) 1338-1415. – č. 9 (2019), s. 1-10 [online] </t>
  </si>
  <si>
    <t xml:space="preserve">Medzigeneračné učenie v kontexte sekundárnej prevencie / Jedličková, Petra [Autor, UKFPFAKPE, 100%]. – text. – [slovenčina]. – [OV 010]. – [článok] In: Studia Scientifica Facultatis Paedagogicae [textový dokument (print)] [elektronický dokument] . – Ružomberok (Slovensko) : Katolícka univerzita v Ružomberku. VERBUM - vydavateľstvo KU. – ISSN 1336-2232. – Roč. 17, č. 3 (2018), s. 117-125 [tlačená forma] [online] </t>
  </si>
  <si>
    <t xml:space="preserve">Medzijazyková homonymia v prekladoch poľskej poézie do slovenčiny : Na príklade lexémy zawsze/zavše v poetickom obraze času / Dudová, Katarína [Autor, UKFFFASJL, 100%]. – text. – [slovenčina]. – [OV 020]. – [článok] In: Lingua et vita [textový dokument (print)] [elektronický dokument] : vedecký časopis pre výskum jazykov a interkultúrnej komunikácie. – Bratislava (Slovensko) : Ekonomická univerzita v Bratislave. Celouniverzitné pracovisko EUBA. Vydavateľstvo EKONÓM. – ISSN 1338-6743. – Roč. 9, č. 18 (2) (2020), s. 90-98 [tlačená forma] [online] </t>
  </si>
  <si>
    <t xml:space="preserve">Medzinárodná spolupráca pri zvyšovaní kvality vzdelávania cvičných a uvádzajúcich učiteľov / Lomnický, Igor [Autor, UKFFFAKAE 06.2022, 100%]. – text. – [slovenčina]. – [OV 010]. – [článok] In: Mládež a spoločnosť [textový dokument (print)] : slovenský časopis pre štátnu politiku a výskum mládeže = Slovak journal for state policy and youth research. – Bratislava (Slovensko) : Centrum vedecko-technických informácií SR. – ISSN 1335-1109. – Roč. 27, č. 1 (2021), s. 51-55 [tlačená forma] </t>
  </si>
  <si>
    <t xml:space="preserve">Memoria spirituale e scrittura mistica : sulle scie della storiografia italiana / Kučerková, Magda [Autor, UKFFFAKRO, 100%]. – text. – [taliančina]. – [OV 020]. – [článok] In: Studi italo-slovacchi [textový dokument (print)] . – Nitra (Slovensko) : Univerzita Konštantína Filozofa v Nitre. Filozofická fakulta, Bratislava (Slovensko) : Slovenská akadémia vied. – ISSN 1338-6778. – Roč. 9, č. 2 (2020), s. 43-52 [tlačená forma] </t>
  </si>
  <si>
    <t xml:space="preserve">Meniaci sa pracovný trh a investícia do ľudského kapitálu / Šarvajcová, Marcela [Autor, UKFFFAKSO, 90%] ; MIčányiová, Lenka [Autor, 10%]. – text. – [slovenčina]. – [OV 060]. – [článok] In: Mládež a spoločnosť [textový dokument (print)] : slovenský časopis pre štátnu politiku a výskum mládeže = Slovak journal for state policy and youth research. – Bratislava (Slovensko) : Centrum vedecko-technických informácií SR. – ISSN 1335-1109. – Roč. 25, č. 3-4 (2019), s. 41-46 [tlačená forma] </t>
  </si>
  <si>
    <t xml:space="preserve">Mental Health and Well-being of Students in the Context of Remote Training of Future Translators and Interpreters / Hodáková, Soňa [Autor, UKFFFAKTR, 100%]. – text. – [angličtina]. – [OV 020]. – [článok] In: Bridge [elektronický dokument] : Trends and Traditions in Translation and Interpreting Studies. – Nitra (Slovensko) : Univerzita Konštantína Filozofa v Nitre. Filozofická fakulta. Katedra translatológie. – ISSN (online) 2729-8183. – Roč. 2, č. 2 (2021), s. 63-76 [online] </t>
  </si>
  <si>
    <t xml:space="preserve">Meranie matematickej úzkosti u vysokoškolských študentov / Švecová, Valéria [Autor, UKFFPVKMA, 100%]. – text. – [slovenčina]. – [OV 010, 240]. – [článok] In: Acta Mathematica Nitriensia [elektronický dokument] . – Nitra (Slovensko) : Univerzita Konštantína Filozofa v Nitre. Fakulta prírodných vied a informatiky. Katedra matematiky. – ISSN 2453-6083. – Roč. 5, č. 1 (2019), s. 29-33 [online] </t>
  </si>
  <si>
    <t xml:space="preserve">Mesto Dis alebo O potrebe kristologických dejín / Šavelová, Monika [Autor, UKFFFAKRO, 100%]. – text. – [slovenčina]. – [OV 020]. – [článok] In: Studi italo-slovacchi [textový dokument (print)] . – Nitra (Slovensko) : Univerzita Konštantína Filozofa v Nitre. Filozofická fakulta, Bratislava (Slovensko) : Slovenská akadémia vied. – ISSN 1338-6778. – Roč. 7, č. 2 (2018), s. 55-66 [tlačená forma] </t>
  </si>
  <si>
    <t xml:space="preserve">Mestská politická elita v Nitre v 30. a 40. rokoch 20. storočia : k otázke personálnych zmien s dôrazom na postavenie  starostu Františka Mojta / Hetényi, Martin [Autor, UKFFFAUKD, 100%]. – text. – [slovenčina]. – [OV 030]. – [článok] In: Acta historica Neosoliensia [textový dokument (print)] [elektronický dokument] : vedecký časopis pre historické vedy. – Banská Bystrica (Slovensko) : Univerzita Mateja Bela v Banskej Bystrici. Filozofická fakulta. Katedra histórie. – ISSN 1336-9148. – ISSN (online) 2453-7845. – Roč. 24, č. 1 (2021), s. 19-51 [tlačená forma] [online] </t>
  </si>
  <si>
    <t xml:space="preserve">Metódy obsahovej analýzy médií pri skúmaní predsudkov a stereotypov / Chlebcová Hečková, Andrea [Autor, UKFFFAKZU, 100%]. – text. – [slovenčina]. – [OV 060]. – [článok] In: Kontexty kultúry a turizmu [textový dokument (print)] . – Nitra (Slovensko) : Univerzita Konštantína Filozofa v Nitre. Filozofická fakulta. – ISSN 1337-7760. – Roč. 12, č. 2 (2019), s. 9-16 [tlačená forma] </t>
  </si>
  <si>
    <t xml:space="preserve">Metódy práce sociálneho pedagóga s národnostne zmiešanými rodinami / Selická, Denisa [Autor, UKFFFAKSO, 100%]. – text. – [slovenčina]. – [OV 060]. – [článok] In: Forum of foreign languages, politology and international relations [textový dokument (print)] [elektronický dokument] : International electronic journal focused on foreign languages, politology and international relations. – Sládkovičovo (Slovensko) : Vysoká škola Danubius. – ISSN 2644-6464. – ISSN (online) 2454-0145. – ISSN (zrušené) 1337-9321. – Roč. 11, č. 1 (2019), s. 69-75 [tlačená forma] [CD-ROM] [online] </t>
  </si>
  <si>
    <t xml:space="preserve">Metódy zážitkovej pedagogiky ai ch uplatňovanie vo výchove mimo vyučovania / Vanková, Katarína [Autor, UKFFSVURS, 100%]. – text. – [slovenčina]. – [OV 010, 060]. – [článok] In: Vychovávateľ [textový dokument (print)] : časopis pedagógov. – Bratislava (Slovensko) : Educatio. – ISSN 0139-6919. – Roč. 66, č. 9-10 (2018), s. 9-18 [tlačená forma] </t>
  </si>
  <si>
    <t xml:space="preserve">Metropolis, Gotham, Springfield a tie ďalšie : mesto a popkultúra, popkultúra v meste / Malíček, Juraj [Autor, UKFFFAULK, 100%]. – text. – [slovenčina]. – [OV 020]. – [článok] In: Fraktál [textový dokument (print)] : literatúra horizontálne a vertikálne. – Závod (Slovensko) : Fraktál. – ISSN 2585-8912. – Roč. 1, č. 2 (2018), s. 123-126 [tlačená forma] </t>
  </si>
  <si>
    <t xml:space="preserve">Migrácia - klasifikácia a teórie = Migration – Classification and Theories / Mészárosová, Zuzana [Autor, UKFFFAKPO, 100%]. – [slovenčina]. – [OV 060]. – [článok] In: Civitas [textový dokument (print)] : časopis pre politické a sociálne vedy. – Nitra (Slovensko) : Univerzita Konštantína Filozofa v Nitre. Filozofická fakulta. Katedra politológie a euroázijských štúdií. – ISSN 1335-2652. – Roč. 25, č. 57 - 2 (2019), s. 4-5 [tlačená forma] </t>
  </si>
  <si>
    <t xml:space="preserve">Milan Lasica a zábavná televízna tvorba na Slovensku / Timko, Štefan [Autor, UKFFSSUSJ, 100%]. – text. – [slovenčina]. – [OV 020]. – [článok] In: Romboid [textový dokument (print)] : časopis pre literatúru a umeleckú komunikáciu. – Bratislava (Slovensko) : Zväz slovenských spisovateľov, Bratislava (Slovensko) : Asociácia organizácií spisovateľov Slovenska. – ISSN 0231-6714. – Roč. 56, č. 4 (2021), s. 63-73 [tlačená forma] </t>
  </si>
  <si>
    <t xml:space="preserve">Mimovládne organizácie pôsobiace v oblasti migrácie a (ne)medializácia ich aktivít / Račeková, Ľubica [Autor, UKFFFAKZU, 100%]. – text. – [slovenčina]. – [OV 060]. – [článok] In: Dot.comm [elektronický dokument] : časopis pre teóriu, výskum a prax mediálnej a marketingovej komunikácie = journal for the theory, research and practice of media and marketing communication. – Bratislava (Slovensko) : Európska akadémia manažmentu marketingu a médií. – ISSN 1339-5181. – Roč. 8, č. 1 (2020), s. 35-44 [online] </t>
  </si>
  <si>
    <t xml:space="preserve">Mládež mravne vadná na stránkach časopisu Úchylná mládež (1925–1934) / Rigová, Viktória [Autor, UKFFFAKHI, 100%]. – text. – [slovenčina]. – [OV 030]. – [článok]. – DOI 10.24040/ahn.2020.23.02.182-209 In: Acta historica Neosoliensia [textový dokument (print)] [elektronický dokument] : vedecký časopis pre historické vedy. – Banská Bystrica (Slovensko) : Univerzita Mateja Bela v Banskej Bystrici. Filozofická fakulta. Katedra histórie. – ISSN 1336-9148. – ISSN (online) 2453-7845. – Roč. 23, č. 2 (2020), s. 182-209 [tlačená forma] [online] </t>
  </si>
  <si>
    <t xml:space="preserve">Mladí ľudia a gramotnosť / Selická, Denisa [Autor, UKFFFAKSO, 100%]. – text. – [slovenčina]. – [OV 060]. – [článok] In: Mládež a spoločnosť [textový dokument (print)] : slovenský časopis pre štátnu politiku a výskum mládeže = Slovak journal for state policy and youth research. – Bratislava (Slovensko) : Centrum vedecko-technických informácií SR. – ISSN 1335-1109. – Roč. 27, č. 1 (2021), s. 8-15 [tlačená forma] </t>
  </si>
  <si>
    <t xml:space="preserve">Mladí ľudia a nezamestnanosť / Selická, Denisa [Autor, UKFFFAKSO, 100%]. – text. – [slovenčina]. – [OV 060]. – [článok] In: Mládež a spoločnosť [textový dokument (print)] : slovenský časopis pre štátnu politiku a výskum mládeže = Slovak journal for state policy and youth research. – Bratislava (Slovensko) : Centrum vedecko-technických informácií SR. – ISSN 1335-1109. – Roč. 24, č. 2 (2018), s. 31-41 [tlačená forma] </t>
  </si>
  <si>
    <t xml:space="preserve">Model osoby vo filozofii J. Locka / Manda, Vladimír [Autor, UKFFFAKFI, 100%]. – text. – [slovenčina]. – [OV 020]. – [článok] In: Philosophica critica [textový dokument (print)] : medzinárodný vedecký filozofický časopis = international scientific journal of philosophy. – Nitra (Slovensko) : Univerzita Konštantína Filozofa v Nitre. Filozofická fakulta. Katedra filozofie. – ISSN 1339-8970. – ISSN (online) 2585-7479. – Roč. 4, č. 1 (2018), s. 35-42 [tlačená forma] </t>
  </si>
  <si>
    <t xml:space="preserve">Modes of Suffering in Tolkien’s Work / Juričková, Martina [Autor, UKFFFAKAA, 100%]. – text. – [angličtina]. – [OV 020]. – [článok] In: Acta humanica [textový dokument (print)] : časopis katedry pedagogických štúdií­. – Žilina (Slovensko) : Žilinská univerzita v Žiline. Fakulta humanitných vied. – ISSN 1336-5126. – Roč. 15, č. 3 (2018), s. 40-42 [tlačená forma] </t>
  </si>
  <si>
    <t xml:space="preserve">Monitoring and caution - methods of increasing human reliability factor / Tureková, Ivana [Autor, UKFPFAKTT, 100%]. – text. – [slovenčina]. – [OV 100]. – [článok]. – DOI 10.24040/actaem.2018.20.1.78-88 In: Acta Universitatis Matthiae Belii [textový dokument (print)] [elektronický dokument] : séria environmentálne manažérstvo = series Environmental Management. – Banská Bystrica (Slovensko) : Univerzita Mateja Bela v Banskej Bystrici. Fakulta prírodných vied. – ISSN 1338-4430. – ISSN (online) 1338-449X. – Roč. 20, č. 1 (2018), s. 89-96 [tlačená forma] [online] </t>
  </si>
  <si>
    <t xml:space="preserve">Monoxyl z doby laténskej zo Šamorína / Barta, Peter [Autor, UKOFIPV, 73%] ; Sládek, Ján [Autor, 15%] ; Hajnalová, Mária [Autor, UKFFFAKAR, 10%] ; Nagy, Iván [Autor, 2%]. – text, fotogr., graf., tab. – [slovenčina]. – [OV 030]. – [článok] In: Musaica archaeologica [textový dokument (print)] [elektronický dokument] . – Bratislava (Slovensko) : Univerzita Komenského v Bratislave. Filozofická fakulta UK. – ISSN 2453-8612. – ISSN (online) 2453-8701. – Roč. 5, č. 2 (2020), s. 79-86 [tlačená forma] [online] </t>
  </si>
  <si>
    <t xml:space="preserve">Morfometrická variabilita medzi populáciami Carabus hortensis linnaeus, 1758 (Coleoptera, Carabidae) v smere gradientu mesto - vidiek = Morfometric variability between of Carabus hortensis linnaeus, 1758 (Coleoptera, Carabidae) populations in the urban-natural gradient / Langraf, Vladimír [Autor, 20%] ; Petrovičová, Kornélia [Autor, SPUFAP26, 20%] ; Krumpálová, Zuzana [Autor, UKFFPVKEE, 15%] ; Ivanič Porhajašová, Jana [Autor, SPUFAP26, 15%] ; Babošová, Mária [Autor, SPUFAP26, 15%] ; Noskovič, Jaroslav [Autor, SPUFAP26, 15%]. – [slovenčina]. – [OV 190]. – [článok] In: Ekologické štúdie [textový dokument (print)] : recenzovaný vedecký časopis venovaný aktuálnym problémom ekológie, krajinnej ekológie a príbuzných vedných disciplín. – Nitra (Slovensko) : Slovenská akadémia vied. Slovenská ekologická spoločnosť pri SAV. – ISSN 1338-2853. – Roč. 10, č. 2 (2019), s. 75-87 [tlačená forma] </t>
  </si>
  <si>
    <t xml:space="preserve">Motív bolesti ako jadro dystopickej fikcie : interpretácia románu Johanny Sinisalovej Jadro Slnka / Boszorád, Martin [Autor, UKFFFAULK, 100%]. – [slovenčina]. – [OV 020]. – [článok] In: Litikon [textový dokument (print)] : časopis pre výskum literatúry = journal for literature research. – Nitra (Slovensko) : Univerzita Konštantína Filozofa v Nitre. – ISSN 2453-8507. – Roč. 4, č. 1 (2019), s. 31-39 [tlačená forma] </t>
  </si>
  <si>
    <t xml:space="preserve">Motivačné faktory uplatňované v podnikoch = Motivational Factors Applied in the Companies / Korenková, Marcela [Autor, UKFFPVUMI, 100%]. – text. – [slovenčina]. – [OV 060]. – [článok] In: Verejná správa a regionálny rozvoj [textový dokument (print)] : vedecký časopis Vysokej školy ekonómie a manažmentu verejnej správy v Bratislave : Ekonómia a manažment. – Bratislava (Slovensko) : Vysoká škola ekonómie a manažmentu verejnej správy v Bratislave. – ISSN 1337-2955. – Roč. 15, č. 1 (2019), s. 83-89 [tlačená forma] </t>
  </si>
  <si>
    <t xml:space="preserve">Motivation und Selbstkonzept beim Lernen der deutschen Sprache / Ficzere, Anikó [Autor, UKFFSSKCR, 50%] ; Stranovská, Eva [Autor, UKFFFAKGE, 50%]. – text. – [nemčina]. – [OV 010]. – [článok] In: Slowakische Zeitschrift für Germanistik [textový dokument (print)] [elektronický dokument] . – Bratislava (Slovensko) : Spoločnosť učiteľov nemeckého jazyka a germanistov Slovenska. – ISSN 1338-0796. – ISSN (online) 2729-8361. – Roč. 11, č. 2 (2019), s. 52-60 [tlačená forma] [online] </t>
  </si>
  <si>
    <t xml:space="preserve">Možnosti detskej jogy v predškolských zariadeniach / Bartal, Jana [Autor, UKFFFAKAE 06.2022, 100%]. – text. – [slovenčina]. – [OV 010, 020]. – [článok] In: Eruditio - Educatio [textový dokument (print)] : vedecký časopis Pedagogickej fakulty Univerzity J. Selyeho v Komárne = A Selye János Egyetem Tanárképző Kara tudományos folyóirata = Research Journal of the Faculty of education of J. Selye university. – Komárno (Slovensko) : Univerzita J. Selyeho. Pedagogická fakulta. – ISSN 1336-8893. – Roč. 14, č. 2 (2019), s. 79-90 [tlačená forma] </t>
  </si>
  <si>
    <t xml:space="preserve">Možnosti diverzifikácie poľnohospodárstva - príklad dobrej praxe v Trenčianskom kraji = Possibilities of Agricultural Diversification - Example of Good Practice in the Trenčín Region / Némethová, Jana [Autor, UKFFPVKGR, 90%] ; Jaďuďová, Petra [Autor, 10%]. – text. – [slovenčina]. – [OV 092]. – [článok]. – DOI 10.17846/GI.2020.24.1.206-221 In: Geografické informácie [textový dokument (print)] [elektronický dokument] . – Nitra (Slovensko) : Univerzita Konštantína Filozofa v Nitre. – ISSN 1337-9453. – Roč. 24, č. 1 (2020), s. 206-221 [tlačená forma] [online] </t>
  </si>
  <si>
    <t xml:space="preserve">Možnosti rozvoja cykloturistiky v mikroregióne Cedron - Nitrava = Possibilities of Bike Trails Development in Cedron - Nitrava Microregion / Mesároš, Martin [Autor, 50%] ; Mišovičová, Regína [Autor, UKFFPVKEE, 50%]. – text. – [slovenčina]. – [OV 100]. – [článok]. – DOI 10.17846/GI.2019.23.2.16-33 In: Geografické informácie [textový dokument (print)] [elektronický dokument] . – Nitra (Slovensko) : Univerzita Konštantína Filozofa v Nitre. – ISSN 1337-9453. – Roč. 23, č. 2 (2019), s. 16-33 [tlačená forma] [online] </t>
  </si>
  <si>
    <t xml:space="preserve">Možnosti využitia historických záznamov, fotografií, máp, leteckých a družicových snímok pri hodnotení zmien krajiny Vlkolínca (UNESCO lokalita) / Boltižiar, Martin [Autor, UKFFPVKGR, 50%] ; Petrovič, František [Autor, UKFFPVKEE, 50%]. – [slovenčina]. – [OV 100]. – [článok] In: Ekologické štúdie [textový dokument (print)] : recenzovaný vedecký časopis venovaný aktuálnym problémom ekológie, krajinnej ekológie a príbuzných vedných disciplín. – Nitra (Slovensko) : Slovenská akadémia vied. Slovenská ekologická spoločnosť pri SAV. – ISSN 1338-2853. – Roč. 9, č. 2 (2018), s. 38-59 [tlačená forma] </t>
  </si>
  <si>
    <t xml:space="preserve">Multikulturalita a multikulturalizmus - v kontexte multikultúrnej výchovy ako prierezovej témy v strednej škole / Jakubovská, Kristína [Autor, UKFFFAKKU, 100%]. – text. – [slovenčina]. – [OV 010]. – [článok] In: Mládež a spoločnosť [textový dokument (print)] : slovenský časopis pre štátnu politiku a výskum mládeže = Slovak journal for state policy and youth research. – Bratislava (Slovensko) : Centrum vedecko-technických informácií SR. – ISSN 1335-1109. – Roč. 24, č. 1 (2018), s. 22-32 [tlačená forma] </t>
  </si>
  <si>
    <t xml:space="preserve">Mýty a náboženstvá Kórey / Krno, Svetozár [Autor, UKFFFAKPO, 100%]. – text. – [slovenčina]. – [OV 060]. – [článok] In: Civitas [textový dokument (print)] : časopis pre politické a sociálne vedy. – Nitra (Slovensko) : Univerzita Konštantína Filozofa v Nitre. Filozofická fakulta. Katedra politológie a euroázijských štúdií. – ISSN 1335-2652. – Roč. 26, č. 1 (2020), s. 4-8 [tlačená forma] </t>
  </si>
  <si>
    <t xml:space="preserve">Mýty a staré náboženstvá v Gruzínsku / Krno, Svetozár [Autor, UKFFFAKPO, 100%]. – text. – [slovenčina]. – [OV 060]. – [článok] In: Civitas [textový dokument (print)] : časopis pre politické a sociálne vedy. – Nitra (Slovensko) : Univerzita Konštantína Filozofa v Nitre. Filozofická fakulta. Katedra politológie a euroázijských štúdií. – ISSN 1335-2652. – Roč. 24, č. 54 - 1 (2018), s. 2-4 [tlačená forma] </t>
  </si>
  <si>
    <t xml:space="preserve">Na pomedzí faktov a emócií : sondáž do vzťahu rizika a jeho interpretácie na príklade medializácie pandémie ochorenia COVID-19 / Olejárová, Andrea [Autor, UKFFFAKKU, 100%]. – text. – [slovenčina]. – [OV 020]. – [článok] In: Culturologica Slovaca [elektronický dokument] : internetový kulturologický časopis. – Nitra (Slovensko) : Univerzita Konštantína Filozofa v Nitre. – ISSN 2453-9740. – Roč. 5, č. 1 (2020), s. 27-38 [online] </t>
  </si>
  <si>
    <t xml:space="preserve">Na sedmohradskom salaši : Valasi, valašská kolonizácia, Balkán, balkanizmus a orientalizmus a ich odraz v cestopisných spomienkach a literatúre / Krno, Svetozár [Autor, UKFFFAKPO, 100%]. – text. – [slovenčina]. – [OV 060]. – [článok] In: Kontexty kultúry a turizmu [textový dokument (print)] . – Nitra (Slovensko) : Univerzita Konštantína Filozofa v Nitre. Filozofická fakulta. – ISSN 1337-7760. – Roč. 12, č. 1 (2019), s. 51-60 [tlačená forma] </t>
  </si>
  <si>
    <t xml:space="preserve">Náboženské tradície v Arménsku / Krno, Svetozár [Autor, UKFFFAKPO, 100%]. – text. – [slovenčina]. – [OV 060]. – [článok] In: Civitas [textový dokument (print)] : časopis pre politické a sociálne vedy. – Nitra (Slovensko) : Univerzita Konštantína Filozofa v Nitre. Filozofická fakulta. Katedra politológie a euroázijských štúdií. – ISSN 1335-2652. – Roč. 24, č. 55 - 2 (2018), s. 2-5 [tlačená forma] </t>
  </si>
  <si>
    <t xml:space="preserve">Náboženstvá v Japonsku / Krno, Svetozár [Autor, UKFFFAKPO, 100%]. – text. – [slovenčina]. – [OV 060]. – [článok] In: Civitas [textový dokument (print)] : časopis pre politické a sociálne vedy. – Nitra (Slovensko) : Univerzita Konštantína Filozofa v Nitre. Filozofická fakulta. Katedra politológie a euroázijských štúdií. – ISSN 1335-2652. – Roč. 25, č. 56 - 1 (2019), s. 6-10 [tlačená forma] </t>
  </si>
  <si>
    <t xml:space="preserve">Náčrt vzťahov medzi pojmami etiky a umelej inteligencie / Bartal, Jana [Autor, UKFFFAKAE 06.2022, 100%]. – text. – [slovenčina]. – [OV 020]. – [článok] In: Prohuman [elektronický dokument] : vedecko-odborný interdisciplinárny recenzovaný časopis, zameraný na oblasť spoločenských, sociálnych a humanitných vied : vedecko-odborný internetový časopis. – Bratislava (Slovensko) : Business Intelligence Club. – ISSN (online) 1338-1415. – č. 24. november (2020), s. 1-4 [online] </t>
  </si>
  <si>
    <t xml:space="preserve">Nahrádza či dopĺňa krst v Duchu Svätom krst vodou? / Hlad, Ľubomír [Autor, UKFFFAKNS, 100%]. – text. – [slovenčina]. – [OV 020]. – [článok] In: Rozmer [textový dokument (print)] : časopis pre kresťanskú duchovnú orientáciu. – Bratislava (Slovensko) : Ekumenická rada cirkví v Slovenskej republike, Bratislava (Slovensko) : Redakcia časopisu Rozmer. – ISSN 1335-2660. – Roč. 21, č. 4 (2018), s. 37-39 [tlačená forma] </t>
  </si>
  <si>
    <t xml:space="preserve">Najvýznamnejšie súčasti kultúrnej infraštruktúry Slovákov vo Vojvodine / Kurpaš, Michal [Autor, UKFFFAKMK, 70%] ; Pap, Miroslav [Autor, UKFFFAKMK, 30%]. – text. – [slovenčina]. – [OV 020]. – [článok] In: Kontexty kultúry a turizmu [textový dokument (print)] . – Nitra (Slovensko) : Univerzita Konštantína Filozofa v Nitre. Filozofická fakulta. – ISSN 1337-7760. – Roč. 13, č. 2 (2020), s. 43-59 [tlačená forma] </t>
  </si>
  <si>
    <t xml:space="preserve">Námety k vyučovaniu geometrie v sekundárnom matematickom  vzdelávaní s akcentom na riadené bádanie / Rumanová, Lucia [Autor, UKFFPVKMA, 50%] ; Záhorská, Júlia [Autor, UKFFPVKMA, 50%]. – text. – [slovenčina]. – [OV 010]. – [článok]. – DOI 10.17846/AMN.2021.7.2.1-7 In: Acta Mathematica Nitriensia [elektronický dokument] . – Nitra (Slovensko) : Univerzita Konštantína Filozofa v Nitre. Fakulta prírodných vied a informatiky. Katedra matematiky. – ISSN 2453-6083. – Roč. 7, č. 2 (2021), s. 1-7 [online] </t>
  </si>
  <si>
    <t xml:space="preserve">Námety k vzdelávacej oblasti človek a svet práce v kontexte zvyšovania záujmu žiakov o študijné programy technického zamerania / Valentová, Monika [Autor, UKFPFAKTT, 55%] ; Tomková, Viera [Autor, UKFPFAKTT, 15%] ; Bánesz, Gabriel [Autor, UKFPFAKTT, 15%] ; Širka, Ján [Autor, UKFPFAKTT, 15%]. – text. – [slovenčina]. – [OV 010]. – [článok] In: Technika a vzdelávanie [textový dokument (print)] [elektronický dokument] : časopis zameraný na technické vzdelávanie v základných, stredných i na vysokých školách, na oblasť základného a aplikovaného výskumu, aplikáciu informačných technológií vo výučbe odborných predmetov. – Banská Bystrica (Slovensko) : Univerzita Mateja Bela v Banskej Bystrici. Fakulta prírodných vied. – ISSN 1338-9742. – ISSN (online) 1339-9888. – Roč. 9, č. 1 (2020), s. 32-36 [tlačená forma] [online] </t>
  </si>
  <si>
    <t xml:space="preserve">Naprieč kaleidoskopickým vesmírom šesťdesiatych rokov : (ako si chceme spomínať na roky šesťdesiate) / Malíčková, Michaela [Autor, UKFFFAULK, 100%]. – text. – [slovenčina]. – [OV 020]. – [článok] In: Art communication &amp; popculture [textový dokument (print)] : časopis pre umeleckú komunikáciu a popkultúru. – Nitra (Slovensko) : Univerzita Konštantína Filozofa v Nitre. – ISSN 1339-9284. – Roč. 4, č. 2 (2018), s. 89-98 [tlačená forma] </t>
  </si>
  <si>
    <t xml:space="preserve">Natural Interpreting Competence in a Multilingual Child / Hornáčková Klapicová, Edita [Autor, UKFFFAKTR, 100%]. – text. – [angličtina]. – [OV 020]. – [článok] In: Bridge [elektronický dokument] : Trends and Traditions in Translation and Interpreting Studies. – Nitra (Slovensko) : Univerzita Konštantína Filozofa v Nitre. Filozofická fakulta. Katedra translatológie. – ISSN (online) 2729-8183. – Roč. 2, č. 2 (2021), s. 140-156 [online] </t>
  </si>
  <si>
    <t xml:space="preserve">Názory návštevníkov na cestovný ruch mesta Piešťany / Trembošová, Miroslava [Autor, UKFFPVKGR, 95%] ; Dubcová, Alena [Autor, UKFFPVKGR, 4%] ; Tremboš, Peter [Autor, 1%]. – text. – [slovenčina]. – [OV 092]. – [článok] In: Acta Geographica Universitatis Comenianae [textový dokument (print)] . – Bratislava (Slovensko) : Univerzita Komenského v Bratislave. – ISSN 1338-6034. – Roč. 62, č. 1 (2018), s. 77-90 [tlačená forma] </t>
  </si>
  <si>
    <t xml:space="preserve">Nekotoryje leksičeskije i sintaksičeskije realizacii rečevych strategij i taktik v media-diskurse  (na materiale russkoj i slovackoj pressy) / Gallo, Ján [Autor, UKFFFAKRU, 100%]. – text. – [ruština]. – [OV 020]. – [článok] In: Jazyk a kultúra [elektronický dokument] : internetový časopis Lingvokulturologického a prekladateľsko-tlmočníckeho centra excelentnosti pri Filozofickej fakulte Prešovskej univerzity. – Prešov (Slovensko) : Prešovská univerzita v Prešove. Lingvokulturologické a prekladateľsko-tlmočnícke centrum excelentnosti. – ISSN (online) 1338-1148. – Roč. 10, č. 39-40 (2019), s. 9-21 [online] </t>
  </si>
  <si>
    <t xml:space="preserve">Nemeniteľné princípy nerozlučiteľnosti manželstva v meniacich sa časoch / Lyko, Miroslav [Autor, UKFFFAKNS, 100%]. – text. – [slovenčina]. – [OV 020]. – [článok] In: Theologos [textový dokument (print)] [elektronický dokument] : theological revue. – Prešov (Slovensko) : Prešovská univerzita v Prešove. Gréckokatolícka teologická fakulta. – ISSN 1335-5570. – ISSN (online) 2644-5700. – Roč. 20, č. 1 (2018), s. 64-80 [tlačená forma] [online] </t>
  </si>
  <si>
    <t xml:space="preserve">Nemzetiségi műsorszolgáltatás a szlovák közszolgálati televízióban / Mierková, Dóra [Autor, UKFFSSUSJ, 100%]. – text. – [maďarčina]. – [OV 020]. – [článok] In: Fórum Társadalomtudományi Szemle [textový dokument (print)] . – Šamorín (Slovensko) : Fórum inštitút pre výskum menšín. – ISSN 1335-4361. – Roč. 23, č. 2 (2021), s. 105-114 [tlačená forma] </t>
  </si>
  <si>
    <t xml:space="preserve">Neprepadajme neistote... / Lesková, Andrea [Autor, UKFFFAKAE 06.2022, 100%]. – text. – [slovenčina]. – [OV 060]. – [článok] In: Slovenské pohľady [textový dokument (print)] : na literatúru, umenie a vedu. – Bratislava (Slovensko) : Slovenský spisovateľ, Martin (Slovensko) : Matica slovenská, Bratislava (Slovensko) : Zväz slovenských spisovateľov. – ISSN 1335-7786. – Roč. 4+137, č. 5-6 (2021), s. 30-32 [tlačená forma] </t>
  </si>
  <si>
    <t xml:space="preserve">Nepriamo sformulované slovné úlohy v príprave budúcich učiteľov predprimárneho vzdelávania : Indirectly Formulated Problems in Training of Future Pre-primary School Teachers / Rumanová, Lucia [Autor, UKFFPVKMA, 50%] ; Záhorská, Júlia [Autor, UKFFPVKMA, 50%]. – text. – [slovenčina]. – [OV 240]. – [článok]. – DOI 10.17846/AMN.2018.4.1.7-12 In: Acta Mathematica Nitriensia [elektronický dokument] . – Nitra (Slovensko) : Univerzita Konštantína Filozofa v Nitre. Fakulta prírodných vied a informatiky. Katedra matematiky. – ISSN 2453-6083. – Roč. 4, č. 1 (2018), s. 7-12 [online] </t>
  </si>
  <si>
    <t xml:space="preserve">Neuromuskulárna adaptácia v iniciálnych fázach silového tréningu - vplyv pohybovej intervencie skvalitnenia pohybového prejavu na úroveň silových schopností = Neuromuscular adaptation in the initial phases of strength training - the effect of training intervention program of performing experience on strength / Buzgó, Gabriel [Autor, UKOTVKKA, 10%] ; Novosád, Adrián [Autor, UKOTVKLA, 10%] ; Chudý, Jakub [Autor, 10%] ; Argajová, Jaroslava [Autor, 10%] ; Halaj, Matej [Autor, 10%] ; Kolonyi, Tomáš [Autor, 10%] ; Krčmár, Matúš [Autor, UKFPFAKTV, 10%] ; Lopata, Peter [Autor, 10%] ; Musilová, Eva [Autor, 10%] ; Oliva, Viktor [Autor, UKOTVKKA, 10%]. – text. – [slovenčina]. – [OV 210]. – [článok]. – [recenzované]. – SIGN-UKO TV Č 589/21-22 In: Telesná výchova &amp; šport [elektronický dokument] : vedecký a odborný recenzovaný časopis Slovenskej vedeckej spoločnosti pre telesnú výchovu a šport. – Bratislava (Slovensko) : Slovenská vedecká spoločnosť pre telesnú výchovu a šport. – ISSN 1335-2245. – ISSN (online) 2730-017X. – Roč. 31, č. 1 (2021), s. 3-9 [online] </t>
  </si>
  <si>
    <t xml:space="preserve">Neutralita štátu alebo načo nám je v liberálnej demokracii morálny dialóg / Maximová, Jarmila [Autor, UKFFFAKAE 06.2022, 100%]. – text. – [slovenčina]. – [OV 020]. – [článok] In: Prohuman [elektronický dokument] : vedecko-odborný interdisciplinárny recenzovaný časopis, zameraný na oblasť spoločenských, sociálnych a humanitných vied : vedecko-odborný internetový časopis. – Bratislava (Slovensko) : Business Intelligence Club. – ISSN (online) 1338-1415. – Roč. 2020, č. 16. december (2020), s. 1-7 [online] </t>
  </si>
  <si>
    <t xml:space="preserve">Niekoľko poznámok o aspektoch vizualizácie v matematickom vzdelávaní = Some Remarks on Aspects of Visualization in Mathematics Education / Fulier, Jozef [Autor, UKFFPVKMA, 100%]. – text. – [slovenčina]. – [OV 240]. – [článok]. – DOI 10.17846/AMN.2018.4.1.24-38 In: Acta Mathematica Nitriensia [elektronický dokument] . – Nitra (Slovensko) : Univerzita Konštantína Filozofa v Nitre. Fakulta prírodných vied a informatiky. Katedra matematiky. – ISSN 2453-6083. – Roč. 4, č. 1 (2018), s. 24-38 [online] </t>
  </si>
  <si>
    <t xml:space="preserve">Niekoľko úvah o (našej) viac ako ročnej skúsenosti s on-line výučbou = Some reflections on (our) more than a year of online teaching experience / Jakubovská, Viera [Autor, UKFFFAKFI, 100%]. – text. – [angličtina]. – [OV 020]. – [článok] In: Mládež a spoločnosť [textový dokument (print)] : slovenský časopis pre štátnu politiku a výskum mládeže = Slovak journal for state policy and youth research. – Bratislava (Slovensko) : Centrum vedecko-technických informácií SR. – ISSN 1335-1109. – Roč. 27, č. 2 (2021), s. 15-31 [tlačená forma] </t>
  </si>
  <si>
    <t xml:space="preserve">Nomophobia among Slovak adolescents / Hollá, Katarína [Autor, UKFPFAKPE, 70%] ; Nagyová, Viktoria [Autor, UKFPFAKHU, 30%]. – text. – [angličtina]. – [OV 010]. – [článok]. – DOI 10.18355/PG.2020.9.1.1 In: Slavonic Pedagogical Studies Journal [textový dokument (print)] [elektronický dokument] : the Scientific Educational Journal . – Nitra (Slovensko) : Slovenská Vzdelávacia a Obstarávacia. – ISSN 1339-8660. – ISSN (online) 1339-9055. – Roč. 9, č. 1 (2020), s. 2-11 [tlačená forma] [online] </t>
  </si>
  <si>
    <t xml:space="preserve">Note to Ivory's Theorem / Vallo, Dušan [Autor, UKFFPVKMA, 100%]. – text. – [angličtina]. – [OV 240]. – [článok]. – DOI 10.17846/AMN.2018.4.1.19-23 In: Acta Mathematica Nitriensia [elektronický dokument] . – Nitra (Slovensko) : Univerzita Konštantína Filozofa v Nitre. Fakulta prírodných vied a informatiky. Katedra matematiky. – ISSN 2453-6083. – Roč. 4, č. 1 (2018), s. 19-23 [online] </t>
  </si>
  <si>
    <t xml:space="preserve">Nová „identita kulturológie“ (niekoľko úvah o jej možných kontúrach) / Jakubovská, Kristína [Autor, UKFFFAKKU, 100%]. – [slovenčina]. – [OV 020]. – [článok] In: Culturologica Slovaca [elektronický dokument] : internetový kulturologický časopis. – Nitra (Slovensko) : Univerzita Konštantína Filozofa v Nitre. – ISSN 2453-9740. – Roč. 5, č. 2 (2020), s. 15-20 [online] </t>
  </si>
  <si>
    <t xml:space="preserve">Novela Juraja Špitzera Biele oblaky a jej filmová podoba / Timko, Štefan [Autor, UKFFSSUSJ, 100%]. – [slovenčina]. – [OV 020]. – [článok] In: Stredoeurópske pohľady [textový dokument (print)] [elektronický dokument] : časopis pre jazyk, literatúru, kultúru a médiá. – Nitra (Slovensko) : Univerzita Konštantína Filozofa v Nitre. Fakulta stredoeurópskych štúdií. Ústav stredoeurópskych jazykov a kultúr. – ISSN 2644-6367. – ISSN (online) 2644-6472. – Roč. 3, č. 2 (2021), s. 3-14 [tlačená forma] [online] </t>
  </si>
  <si>
    <t xml:space="preserve">Nyelvek karneválja Koloman Kocúr Sracia zbraň (Szarbomba) című regényében / Benyovszky, Kristian [Autor, UKFFSSUML, 100%]. – text. – [maďarčina]. – [OV 020]. – [článok] In: Irodalmi Szemle [textový dokument (print)] [elektronický dokument] : irodalom, kritika, társadalomtudomány. – Bratislava (Slovensko) : Madách-Posonium. – ISSN 1336-5088. – Roč. 61, č. 3 (2018), s. 20-38 [tlačená forma] [online] </t>
  </si>
  <si>
    <t xml:space="preserve">O človeku, ktorý sa stal pápežom... / Lehoczká, Lýdia [Autor, UKFFSVURS, 100%]. – text. – [slovenčina]. – [OV 060]. – [článok] In: Vychovávateľ [textový dokument (print)] : časopis pedagógov. – Bratislava (Slovensko) : Educatio. – ISSN 0139-6919. – Roč. 68, č. 5-6 (2020), s. 52-53 [tlačená forma] </t>
  </si>
  <si>
    <t xml:space="preserve">Obavy zdravotníkov v súvislosti s celoplošným testovaním antigénovými testami / Brázdilová, Dana [Autor, UKFFSVKUM, 90%] ; Antolová, Iveta [Autor, 10%]. – text. – [slovenčina]. – [OV 180]. – [článok] In: Pomáhajúce profesie [textový dokument (print)] : recenzovaný vedecký časopis pre teóriu, výskum, prax a vzdelávanie v pomáhajúcich profesiách. – Nitra (Slovensko) : Univerzita Konštantína Filozofa v Nitre. – ISSN 2585-9447. – Roč. 4, č. 1 (2021), s. 58-65 [tlačená forma] [online] </t>
  </si>
  <si>
    <t xml:space="preserve">Obraz o internetovej reklame očami mladých ľudí / Šarvajcová, Marcela [Autor, UKFFFAKSO, 100%]. – text. – [slovenčina]. – [OV 060]. – [článok] In: Mládež a spoločnosť [textový dokument (print)] : slovenský časopis pre štátnu politiku a výskum mládeže = Slovak journal for state policy and youth research. – Bratislava (Slovensko) : Centrum vedecko-technických informácií SR. – ISSN 1335-1109. – Roč. 27, č. 2 (2021), s. 50-56 [tlačená forma] </t>
  </si>
  <si>
    <t xml:space="preserve">Obraznosť mystickej spisby sv. Laury Montoyovej = Imagery of Mystical Writings of St. Laura Montoya / Civáňová, Zuzana [Autor, UKFFFAKRO, 100%]. – text. – [slovenčina]. – [OV 020]. – [článok] In: Stredoeurópske pohľady [textový dokument (print)] [elektronický dokument] : časopis pre jazyk, literatúru, kultúru a médiá. – Nitra (Slovensko) : Univerzita Konštantína Filozofa v Nitre. Fakulta stredoeurópskych štúdií. Ústav stredoeurópskych jazykov a kultúr. – ISSN 2644-6367. – ISSN (online) 2644-6472. – Roč. 2, č. 2 (2020), s. 23-34 [tlačená forma] [online] </t>
  </si>
  <si>
    <t xml:space="preserve">Obrazy vojny a holokaustu v prózach Ľuby Lesnej / Zeleňáková, Hana [Autor, UKFFFAULK, 100%]. – text. – [slovenčina]. – [OV 020]. – [článok] In: Litikon [textový dokument (print)] : časopis pre výskum literatúry = journal for literature research. – Nitra (Slovensko) : Univerzita Konštantína Filozofa v Nitre. – ISSN 2453-8507. – Roč. 3, č. 2 (2018), s. 205-215 [tlačená forma] </t>
  </si>
  <si>
    <t xml:space="preserve">Obsah rizikových prvkov v pôde vinohradu na modelovom príklade v obci Čierne Kľačany / Feszterová, Melánia [Autor, UKFFPVKCH, 60%] ; Porubcová, Lýdia [Autor, UKFFPVKCH, 10%] ; Tirpáková, Anna [Autor, UKFFPVKMA, 30%]. – text. – [slovenčina]. – [OV 120]. – [článok]. – DOI 10.17846/GI.2020.24.1.370-387 In: Geografické informácie [textový dokument (print)] [elektronický dokument] . – Nitra (Slovensko) : Univerzita Konštantína Filozofa v Nitre. – ISSN 1337-9453. – Roč. 24, č. 1 (2020), s. 370-387 [tlačená forma] [online] </t>
  </si>
  <si>
    <t xml:space="preserve">Obsahový marketing na sociálnej sieti Facebook: preferencie a nákupné správanie spotrebiteľov v odvetví módy a odievania = Facebook content marketing: consumer preferences and buying behavior in the fashion and clothing industry / Púchovská, Oľga [Autor, UKFFFAKMR, 70%] ; Švonavcová, Katarína [Autor, 30%]. – text. – [slovenčina]. – [OV 060]. – [článok] In: Dot.comm [elektronický dokument] : časopis pre teóriu, výskum a prax mediálnej a marketingovej komunikácie = journal for the theory, research and practice of media and marketing communication. – Bratislava (Slovensko) : Európska akadémia manažmentu marketingu a médií. – ISSN 1339-5181. – Roč. 7, č. 1-2 (2019), s. 18-27 [online] </t>
  </si>
  <si>
    <t xml:space="preserve">Obyčajové tradície Slovákov vo Veľkom Peregu / Letavajová, Silvia [Autor, UKFFFAKMK, 50%] ; Kurpaš, Michal [Autor, UKFFFAKMK, 50%]. – text. – [slovenčina]. – [OV 030]. – [článok] In: Kontexty kultúry a turizmu [textový dokument (print)] . – Nitra (Slovensko) : Univerzita Konštantína Filozofa v Nitre. Filozofická fakulta. – ISSN 1337-7760. – Roč. 12, č. 2 (2019), s. 69-80 [tlačená forma] </t>
  </si>
  <si>
    <t xml:space="preserve">Od Davida Brenta k Tonymu Johnsonovi. Metamorfózy ústredných postáv televíznych seriálov Rickyho Gervaisa = From David Brent to Tony Johnson. Metamorphoses of the Central Characters of Television Series / Timko, Štefan [Autor, UKFFSSUSJ, 100%]. – text. – [slovenčina]. – [OV 020]. – [článok] In: Stredoeurópske pohľady [textový dokument (print)] [elektronický dokument] : časopis pre jazyk, literatúru, kultúru a médiá. – Nitra (Slovensko) : Univerzita Konštantína Filozofa v Nitre. Fakulta stredoeurópskych štúdií. Ústav stredoeurópskych jazykov a kultúr. – ISSN 2644-6367. – ISSN (online) 2644-6472. – Roč. 3, č. 1 (2021), s. 35-42 [tlačená forma] [online] </t>
  </si>
  <si>
    <t xml:space="preserve">Od litanickej formy k litanickosti : niekoľko poznámok ku knihe Jany Juhásovej Litanická forma od avantgardy po súčasnosť / Rédey, Zoltán [Autor, UKFFFAULK, 100%]. – text. – [slovenčina]. – [OV 020]. – [článok] In: Litikon [textový dokument (print)] : časopis pre výskum literatúry = journal for literature research. – Nitra (Slovensko) : Univerzita Konštantína Filozofa v Nitre. – ISSN 2453-8507. – Roč. 4, č. 1 (2019), s. 163-168 [tlačená forma] </t>
  </si>
  <si>
    <t xml:space="preserve">Odcudzenie človeka a alternatívna religiozita / Lesková, Andrea [Autor, UKFFFAKAE 06.2022, 100%]. – text. – [slovenčina]. – [OV 020]. – [článok] In: Slovenské pohľady [textový dokument (print)] : na literatúru, umenie a vedu. – Bratislava (Slovensko) : Slovenský spisovateľ, Martin (Slovensko) : Matica slovenská, Bratislava (Slovensko) : Zväz slovenských spisovateľov. – ISSN 1335-7786. – Roč. 4+136, č. 2 (2020), s. 79-83 [tlačená forma] </t>
  </si>
  <si>
    <t xml:space="preserve">Odísť či zostať vo vzťahu? Aké etické dilemy riešia mladí ľudia v partnerských vzťahoch? / Marková, Dagmar [Autor, UKFFFAKAE 06.2022, 50%] ; Turčan, Ciprian [Autor, UKFFFAKAE 06.2022, 50%]. – text. – [slovenčina]. – [OV 020]. – [článok] In: Prohuman [elektronický dokument] : vedecko-odborný interdisciplinárny recenzovaný časopis, zameraný na oblasť spoločenských, sociálnych a humanitných vied : vedecko-odborný internetový časopis. – Bratislava (Slovensko) : Business Intelligence Club. – ISSN (online) 1338-1415. – č. 12. september (2021), s. 1-16 [online] </t>
  </si>
  <si>
    <t xml:space="preserve">Oidipusz Zomborban : Fábián Marcell pandúrdetektív tizenhárom napja / Benyovszky, Kristian [Autor, UKFFSSUML, 100%]. – text. – [maďarčina]. – [OV 020]. – [článok] In: Opus [textový dokument (print)] : szlovákiai magyar írók folyóirata. – Dunajská Streda (Slovensko) : Szlovákiai Magyar Írók Társasága. – ISSN 1338-0265. – Roč. 10, č. 6 (2018), s. 66-70 [tlačená forma] </t>
  </si>
  <si>
    <t xml:space="preserve">Oktatásügyi reformot: igen vagy nem? / Pintes, Gábor [Autor, UKFPFAKPE, 100%]. – text. – [maďarčina]. – [OV 010]. – [článok] In: Katedra [elektronický dokument] : szlovákiai magyar pedagógusok és szülők lapja. – Dunajská Streda (Slovensko) : Nadácia Katedra. – ISSN 1335-6445. – ISSN (online) 2729-9066. – Roč. 26, č. 7 (2019), s. 16-18 [tlačená forma] [online] </t>
  </si>
  <si>
    <t xml:space="preserve">On Translating Irrealia / Kažimír, Martin [Autor, UKFFFAKTR, 50%] ; Martinkovič, Matej [Autor, UKFFFAKTR, 50%]. – text. – [angličtina]. – [OV 020]. – [článok] In: Bridge [elektronický dokument] : Trends and Traditions in Translation and Interpreting Studies. – Nitra (Slovensko) : Univerzita Konštantína Filozofa v Nitre. Filozofická fakulta. Katedra translatológie. – ISSN (online) 2729-8183. – Roč. 2, č. special issue (2021), s. 54-67 [online] </t>
  </si>
  <si>
    <t xml:space="preserve">Oniománia v teórii a praxi / Rác, Ivan [Autor, UKFFSVURS, 100%]. – text. – [slovenčina]. – [OV 060]. – [článok] In: Sociálna prevencia [textový dokument (print)] : odborný časopis. – Bratislava (Slovensko) : Národné osvetové centrum. – ISSN 1336-9679. – TUTPR signatúra E025398. – Roč. 13, č. 2 (2018), s. 32-34 [tlačená forma] </t>
  </si>
  <si>
    <t xml:space="preserve">Optická absorpčná spektroskopia spinelu z Vietnamu a Mjanmarska = Optical absorption spectroscopy of spinel from Vietnam and Myanmar / Malíčková, Iveta [Autor, UKOPRGMP, 13%] ; Bačík, Peter [Autor, UKOPRGMP, 13%] ; Fridrichová, Jana [Autor, UKOPRGMP, 13%] ; Hanus, Radek [Autor, 13%] ; Štubňa, Ján [Autor, UKFFPVGMU, 12%] ; Milovská, Stanislava [Autor, 12%] ; Škoda, Radek [Autor, 12%] ; Illášová, Ľudmila [Autor, UKFFPVGMU, 12%]. – text, tab., obr. – [slovenčina]. – [OV 092]. – [článok]. – [recenzované]. – SIGN-UKO PR 172/18 In: Esemestník [textový dokument (print)] [elektronický dokument] : spravodajca Slovenskej mineralogickej spoločnosti. – Bratislava (Slovensko) : Slovenská mineralogická spoločnosť. – ISSN 1338-6425. – ISSN (online) 1338-7189. – Roč. 7, č. 1 (2018), s. 23-26 [tlačená forma] [online] </t>
  </si>
  <si>
    <t xml:space="preserve">Osada kultúry s mladou lineárnou keramikou vo Zvolene / Beljak Pažinová, Noémi [Autor, UKFFFAKAR, 70%] ; Javorek, Daniel [Autor, 30%]. – text. – [slovenčina]. – [OV 030]. – [článok] In: Slovenská archeológia [textový dokument (print)] [elektronický dokument] : časopis Archeologického ústavu Slovenskej akadémie vied v Nitre = journal of the Archaeological Institute of the Slovak Academy of Sciences in Nitra = Zeitschrift des Archäologischen Institutes der Slowakischen Akademie der Wissenschaften in Nitra. – Nitra (Slovensko) : Slovenská akadémia vied. Pracoviská SAV. Archeologický ústav. – ISSN 1335-0102. – ISSN (online) 2585-9145. – Roč. 66, č. 2 (2018), s. 189-201 [tlačená forma] . – SJR: 0,125 ; CiteScore: 0,3 ; SNIP: 0,664 Scimago - Archeology - Q3, Archeology (arts and humanities) - Q3 </t>
  </si>
  <si>
    <t xml:space="preserve">Osamelosť mladých ľudí  a online komunikácia / Jakubovská, Viera [Autor, UKFFFAKFI, 100%]. – text. – [slovenčina]. – [OV 060, 010]. – [článok] In: Mládež a spoločnosť [textový dokument (print)] : slovenský časopis pre štátnu politiku a výskum mládeže = Slovak journal for state policy and youth research. – Bratislava (Slovensko) : Centrum vedecko-technických informácií SR. – ISSN 1335-1109. – Roč. 26, č. 1 (2020), s. 38-52 [tlačená forma] </t>
  </si>
  <si>
    <t xml:space="preserve">Osmičkové vsariácie v živote a tvorbe Jána Motulka / Brunclík, Jozef [Autor, UKFFFASJL, 100%]. – text. – [slovenčina]. – [OV 020]. – [článok] In: Stredoeurópske pohľady [textový dokument (print)] [elektronický dokument] : časopis pre jazyk, literatúru, kultúru a médiá. – Nitra (Slovensko) : Univerzita Konštantína Filozofa v Nitre. Fakulta stredoeurópskych štúdií. Ústav stredoeurópskych jazykov a kultúr. – ISSN 2644-6367. – ISSN (online) 2644-6472. – Roč. 1, č. 1 (2019), s. 34-43 [tlačená forma] [online] </t>
  </si>
  <si>
    <t xml:space="preserve">Osnovni aspekty intehraciji metodu konkretnych sytuacij do kursu vykladaňňa ukrajinskoji movy jak inozemnoji v sučasnych ZVO / Rudakova, Tetyana [Autor, UKFFFAKRU, 100%]. – text. – [ruština]. – [OV 020]. – [článok] In: Slavica Nitriensia [textový dokument (print)] : časopis pre výskum slovanských filológií. – Nitra (Slovensko) : Univerzita Konštantína Filozofa v Nitre. – ISSN 1338-7464. – Roč. 10, č. 2 (2021), s. 42-52 [tlačená forma] </t>
  </si>
  <si>
    <t xml:space="preserve">Osobné plány profesijného rozvoja učiteľa materskej školy / Pupíková, Eva [Autor, UKFPFAKPE, 100%]. – text. – [slovenčina]. – [OV 010]. – [článok] In: Pedagogické rozhľady [elektronický dokument] [textový dokument (print)] : Odborno-metodický časopis pre školy a školské zariadenia. – Banská Bystrica (Slovensko) : Metodicko-pedagogické centrum. – ISSN (online) 1335-0404. – Roč. 29, č. 1 (2020), s. 6-9 [online] [tlačená forma] </t>
  </si>
  <si>
    <t xml:space="preserve">Osobnosť Františka Tugendlieba a jeho prínos do vokálnej edukácie nonartificiálnej hudby / Štrbák Pandiová, Iveta [Autor, UKFPFAKHU, 100%]. – text. – [slovenčina]. – [OV 010]. – [článok] In: Studia Scientifica Facultatis Paedagogicae [textový dokument (print)] [elektronický dokument] . – Ružomberok (Slovensko) : Katolícka univerzita v Ružomberku. VERBUM - vydavateľstvo KU. – ISSN 1336-2232. – Roč. 18, č. 4 (2019), s. 151-156 [tlačená forma] [online] </t>
  </si>
  <si>
    <t xml:space="preserve">Osobnostné tendencie matky a osamelosť dieťaťa / Hudáková, Miriama [Autor, UKFFSVUAP, 50%] ; Koreňová, Dominika [Autor, 50%]. – [slovenčina]. – [OV 060]. – [článok]. – TRUNI ohlas E081108 In: Pomáhajúce profesie [textový dokument (print)] : recenzovaný vedecký časopis pre teóriu, výskum, prax a vzdelávanie v pomáhajúcich profesiách. – Nitra (Slovensko) : Univerzita Konštantína Filozofa v Nitre. – ISSN 2585-9447. – Roč. 3, č. 1 (2020), s. 31-40 [tlačená forma] [online] </t>
  </si>
  <si>
    <t xml:space="preserve">Ošetrovateľská diagnostika v klinickej praxi onkologického ošetrovateľstva / Spáčilová, Zuzana [Autor, UKFFSVKOS, 25%] ; Solgajová, Andrea [Autor, UKFFSVKOS, 25%] ; Archalousová, Alexandra [Autor, UKFFSVKOS, 25%] ; Semanišinová, Mária [Autor, UKFFSVKOS, 25%]. – text. – [slovenčina]. – [OV 180]. – [článok] In: Pomáhajúce profesie [textový dokument (print)] : recenzovaný vedecký časopis pre teóriu, výskum, prax a vzdelávanie v pomáhajúcich profesiách. – Nitra (Slovensko) : Univerzita Konštantína Filozofa v Nitre. – ISSN 2585-9447. – Roč. 1, č. 2 (2018), s. 39-48 [tlačená forma] [online] </t>
  </si>
  <si>
    <t xml:space="preserve">Ošetrovateľské diagnózy a intervencie v klinickej praxi / Vörösová, Gabriela [Autor, UKFFSVKOS, 34%] ; Solgajová, Andrea [Autor, UKFFSVKOS, 33%] ; Zrubcová, Dana [Autor, UKFFSVKOS, 33%]. – text. – [slovenčina]. – [OV 060]. – [článok] In: Pomáhajúce profesie [textový dokument (print)] : recenzovaný vedecký časopis pre teóriu, výskum, prax a vzdelávanie v pomáhajúcich profesiách. – Nitra (Slovensko) : Univerzita Konštantína Filozofa v Nitre. – ISSN 2585-9447. – Roč. 1, č. 1 (2018), s. 64-73 [tlačená forma] [online] </t>
  </si>
  <si>
    <t xml:space="preserve">Outsideri v tvorbe Daniela Pastirčáka pre deti a mládež / Gallik, Ján [Autor, UKFFSSUSJ, 50%] ; Timko, Štefan [Autor, UKFFSSUSJ, 50%]. – text. – [slovenčina]. – [OV 020]. – [článok] In: Fraktál [textový dokument (print)] : literatúra horizontálne a vertikálne. – Závod (Slovensko) : Fraktál. – ISSN 2585-8912. – Roč. 4, č. 4 (2021), s. 98-103 [tlačená forma] </t>
  </si>
  <si>
    <t xml:space="preserve">Pamäť a identita - sociologické aspekty poslednej knihy pápeža Jána Pavla II / Štefaňak, Ondrej [Autor, UKFFFAKSO, 100%]. – text. – [slovenčina]. – [OV 060, 020]. – [článok] In: Sociológia a spoločnosť [textový dokument (print)] [elektronický dokument] : medzinárodný vedecký sociologický časopis. – Nitra (Slovensko) : Univerzita Konštantína Filozofa v Nitre. – ISSN 2453-8086. – ISSN (online) 2644-5980. – Roč. 5, č. 1 (2020), s. 90-100 [tlačená forma] [online] </t>
  </si>
  <si>
    <t xml:space="preserve">Pamięć i wspólnota = Memory and community / Swiatkiewicz, Wojciech  Krzysztof [Autor, UKFFFAKSO, 100%]. – text. – [poľština]. – [OV 060]. – [článok]. – DOI 10.17846/SS.2020.5.1.39-56 In: Sociológia a spoločnosť [textový dokument (print)] [elektronický dokument] : medzinárodný vedecký sociologický časopis. – Nitra (Slovensko) : Univerzita Konštantína Filozofa v Nitre. – ISSN 2453-8086. – ISSN (online) 2644-5980. – Roč. 5, č. 1 (2020), s. 39-56 [tlačená forma] [online] </t>
  </si>
  <si>
    <t xml:space="preserve">Panna zázračnica : od novely po režisérsky scenár / Michalovič, Michal [Autor, UKFFFAULK, 100%]. – text. – [slovenčina]. – [OV 020]. – [článok] In: Slovenské divadlo [textový dokument (print)] [elektronický dokument] : revue dramatických umení. – Bratislava (Slovensko) : Slovenská akadémia vied. Pracoviská SAV. Ústav divadelnej a filmovej vedy. – ISSN 0037-699X. – ISSN (online) 1336-8605. – Roč. 66, č. 1 (2018), s. 52-66 [tlačená forma] [online] </t>
  </si>
  <si>
    <t xml:space="preserve">Paralellizmusok a zsoltárok könyvébe = Parallelism in Book of Psalms / Hrbáček, Magdaléna [Autor, UKFFSSUSJ, 100%]. – [maďarčina]. – [OV 020]. – [článok] In: Stredoeurópske pohľady [textový dokument (print)] [elektronický dokument] : časopis pre jazyk, literatúru, kultúru a médiá. – Nitra (Slovensko) : Univerzita Konštantína Filozofa v Nitre. Fakulta stredoeurópskych štúdií. Ústav stredoeurópskych jazykov a kultúr. – ISSN 2644-6367. – ISSN (online) 2644-6472. – Roč. 1, č. 2 (2019), s. 31-37 [tlačená forma] [online] </t>
  </si>
  <si>
    <t xml:space="preserve">Paremiologický obraz remesla vo výchovno-vzdelávacom procese / Dudová, Katarína [Autor, UKFFFASJL, 100%]. – text. – [slovenčina]. – [OV 020]. – [článok] In: Slovenčinár [textový dokument (print)] [elektronický dokument] : časopis Slovenskej asociácie učiteľov slovenčiny. – Bratislava (Slovensko) : Slovenská asociácia učiteľov slovenčiny. – ISSN 1339-9233. – ISSN (online) 1339-4908. – Roč. 5, č. 1 (2018), s. 54-60 [tlačená forma] [online] </t>
  </si>
  <si>
    <t xml:space="preserve">Pastier bez biskupskej palice. Svätý Severinus a jeho pôsobenie v Noricu a v Raetii v druhej polovici 5. st. podľa Eugippia / Jirkal, Emanuel [Autor, UKFFFAKHI, 100%]. – text. – [slovenčina]. – [OV 030]. – [článok] In: Ostium [elektronický dokument] : internetový časopis pre humanitné vedy. – Trnava (Slovensko) : Schola Philosophica. – ISSN 1339-942X. – ISSN (online) 1336-6556. – Roč. 16, č. 4 (2020), s. 1-10 [online] </t>
  </si>
  <si>
    <t xml:space="preserve">Pastoračné aktivity a sociálna zmena Rómov / Tomčányi, Viktor [Autor, 50%] ; Rosinský, Rastislav [Autor, UKFFSVURS, 50%]. – text. – [slovenčina]. – [OV 060]. – [článok] In: Pomáhajúce profesie [textový dokument (print)] : recenzovaný vedecký časopis pre teóriu, výskum, prax a vzdelávanie v pomáhajúcich profesiách. – Nitra (Slovensko) : Univerzita Konštantína Filozofa v Nitre. – ISSN 2585-9447. – Roč. 1, č. 1 (2018), s. 45-54 [tlačená forma] [online] </t>
  </si>
  <si>
    <t xml:space="preserve">Pastoračné aktivity a sociálna zmena u Rómov / Tomčányi, Viktor [Autor, 50%] ; Rosinský, Rastislav [Autor, UKFFSVURS, 50%]. – text. – [slovenčina]. – [OV 060]. – [článok] In: Pomáhajúce profesie [textový dokument (print)] : recenzovaný vedecký časopis pre teóriu, výskum, prax a vzdelávanie v pomáhajúcich profesiách. – Nitra (Slovensko) : Univerzita Konštantína Filozofa v Nitre. – ISSN 2585-9447. – Roč. 1, č. 1 (2018), s. 45-54 [tlačená forma] [online] </t>
  </si>
  <si>
    <t xml:space="preserve">Pavol Gašparovič Hlbina: Katolícky spisovateľ v službe súčasnosti (1948) : archivny dokument / Brunclík, Jozef [Autor, UKFFFASJL, 100%]. – text. – [slovenčina]. – [OV 020]. – [článok] In: Litikon [textový dokument (print)] : časopis pre výskum literatúry = journal for literature research. – Nitra (Slovensko) : Univerzita Konštantína Filozofa v Nitre. – ISSN 2453-8507. – Roč. 3, č. 1 (2018), s. 247-255 [tlačená forma] </t>
  </si>
  <si>
    <t xml:space="preserve">Pedagogická komunikácia v teórii PCA = Pedagogical communication in PCA theory / Jaslovská, Barbora [Autor, UKOPDPEP, 50%] ; Pisoňová, Mária [Autor, UKFPFAKPE, 50%]. – text. – [slovenčina]. – [OV 010]. – [článok] In: Studia Scientifica Facultatis Paedagogicae [textový dokument (print)] [elektronický dokument] . – Ružomberok (Slovensko) : Katolícka univerzita v Ružomberku. VERBUM - vydavateľstvo KU. – ISSN 1336-2232. – Roč. 17, č. 1 (2018), s. 225-233 [tlačená forma] [online] </t>
  </si>
  <si>
    <t xml:space="preserve">Pedagogické diagnostikovanie na prahu vzdelávania / Teleková, Radka [Autor, UKFPFAKPE, 100%]. – [slovenčina]. – [OV 010]. – [článok] In: Prohuman [elektronický dokument] : vedecko-odborný interdisciplinárny recenzovaný časopis, zameraný na oblasť spoločenských, sociálnych a humanitných vied : vedecko-odborný internetový časopis. – Bratislava (Slovensko) : Business Intelligence Club. – ISSN (online) 1338-1415. – č. 16. november (2021), s. 1-8 [online] </t>
  </si>
  <si>
    <t xml:space="preserve">Pedagógusok és szülők együttműködése egy vizsgálat tükrében / Pataiová, Helena [Autor, UKFFSSUVP, 100%]. – text. – [maďarčina]. – [OV 010]. – [článok] In: Katedra [elektronický dokument] : szlovákiai magyar pedagógusok és szülők lapja. – Dunajská Streda (Slovensko) : Nadácia Katedra. – ISSN 1335-6445. – ISSN (online) 2729-9066. – Roč. 28, č. 6 (2021), s. 14-16 [tlačená forma] [online] </t>
  </si>
  <si>
    <t xml:space="preserve">Percepce rámu a jeho podob v rámci audiovizuálního reklamního sdělení = Perception of the frame and its forms in the context of an audiovisual advertising message / Masařová, Klára [Autor, UKFFFAKMR, 100%]. – text. – [čeština]. – [OV 080]. – [článok] In: Dot.comm [elektronický dokument] : časopis pre teóriu, výskum a prax mediálnej a marketingovej komunikácie = journal for the theory, research and practice of media and marketing communication. – Bratislava (Slovensko) : Európska akadémia manažmentu marketingu a médií. – ISSN 1339-5181. – Roč. 8, č. 2 (2020), s. 44-55 [online] </t>
  </si>
  <si>
    <t xml:space="preserve">Perfekcionizmus, perma optimálne prosperovanie a čas strávený na Instagrame / Filipčíková, Laura [Autor, 50%] ; Šeboková, Gabriela [Autor, UKFFSVKPV, 50%]. – text. – [slovenčina]. – [OV 060]. – [článok] In: Pomáhajúce profesie [textový dokument (print)] : recenzovaný vedecký časopis pre teóriu, výskum, prax a vzdelávanie v pomáhajúcich profesiách. – Nitra (Slovensko) : Univerzita Konštantína Filozofa v Nitre. – ISSN 2585-9447. – Roč. 4, č. 1 (2021), s. 49-57 [tlačená forma] [online] </t>
  </si>
  <si>
    <t xml:space="preserve">Pestrá tvár Indie na pozadí Kašmírskeho konfliktu / Izsófová, Beáta [Autor, UKFFFAKPO, 100%]. – [slovenčina]. – [OV 060]. – [článok] In: Civitas [textový dokument (print)] : časopis pre politické a sociálne vedy. – Nitra (Slovensko) : Univerzita Konštantína Filozofa v Nitre. Filozofická fakulta. Katedra politológie a euroázijských štúdií. – ISSN 1335-2652. – Roč. 26, č. 1 (2020), s. 8-11 [tlačená forma] </t>
  </si>
  <si>
    <t xml:space="preserve">Pleochroizmus ako faktor pri brúsení turmalínu (elbaitu) a zoisitu (tanzanitu) = Pleochroism as a factor in tourmaline (elbaite) and zoisite (tanzanite) cutting / Fridrichová, Jana [Autor, UKOPRGMP, 25%] ; Bačík, Peter [Autor, UKOPRGMP, 25%] ; Cibula, Peter [Autor, UKOPRGMP, 10%] ; Malíčková, Iveta [Autor, UKOPRGMP, 10%] ; Škoda, Radek [Autor, 10%] ; Illášová, Ľudmila [Autor, UKFFPVGMU, 10%] ; Štubňa, Ján [Autor, UKFFPVGMU, 10%]. – text, obr. – [slovenčina]. – [OV 092]. – [článok]. – [recenzované]. – SIGN-UKO 172/18 In: Esemestník [textový dokument (print)] [elektronický dokument] : spravodajca Slovenskej mineralogickej spoločnosti. – Bratislava (Slovensko) : Slovenská mineralogická spoločnosť. – ISSN 1338-6425. – ISSN (online) 1338-7189. – Roč. 7, č. 1 (2018), s. 7-13 [tlačená forma] [online] </t>
  </si>
  <si>
    <t xml:space="preserve">Podobnosť certifikátov GIA a GRA = Similarity of the GIA and the GRA certificates / Štubňa, Ján [Autor, UKFFPVGMU, 100%]. – text. – [slovenčina]. – [OV 092]. – [článok] In: Gemologický spravodajca [textový dokument (print)] : časopis gemológov pri FPV UKF v Nitre. – Nitra (Slovensko) : Univerzita Konštantína Filozofa v Nitre. Fakulta prírodných vied. – ISSN 1337-6136. – ISSN (online) 1338-5275. – Roč. 10, č. 1 (2020), s. 24-37 [tlačená forma] </t>
  </si>
  <si>
    <t xml:space="preserve">Podpora čitateľskej gramotnosti v materinskom a cudzom jazyku / Stranovská, Eva [Autor, UKFFFAKGE, 25%] ; Selická, Denisa [Autor, UKFFFAKSO, 25%] ; Štrbová, Monika [Autor, UKFFFAKSO, 25%] ; Weiss, Ervín [Autor, UKFFFAKGE, 25%]. – text. – [slovenčina]. – [OV 020]. – [článok] In: Mládež a spoločnosť [textový dokument (print)] : slovenský časopis pre štátnu politiku a výskum mládeže = Slovak journal for state policy and youth research. – Bratislava (Slovensko) : Centrum vedecko-technických informácií SR. – ISSN 1335-1109. – Roč. 24, č. 3-4 (2018), s. 91-93 [tlačená forma] </t>
  </si>
  <si>
    <t xml:space="preserve">Podpora čitateľskej gramotnosti v materinskom a v cudzom jazyku / Selická, Denisa [Autor, UKFFFAKSO, 25%] ; Štrbová, Monika [Autor, UKFFFAKSO, 25%] ; Šarvajcová, Marcela [Autor, UKFFFAKSO, 25%] ; Rybanský, Ľubomír [Autor, UKFFPVKMA, 25%]. – text. – [slovenčina]. – [OV 010, 240, 060]. – [článok] In: Mládež a spoločnosť [textový dokument (print)] : slovenský časopis pre štátnu politiku a výskum mládeže = Slovak journal for state policy and youth research. – Bratislava (Slovensko) : Centrum vedecko-technických informácií SR. – ISSN 1335-1109. – Roč. 26, č. 1 (2020), s. 70-77 [tlačená forma] </t>
  </si>
  <si>
    <t xml:space="preserve">Pochybnosti ako prejav epistemicko-emocionálneho postoja hovoriaceho = Doubt as a Manifestation of the Epistemic-Emotional Attitude of the Speaker / Sokolová, Jana [Autor, UKFFFAKRU, 100%]. – text. – [slovenčina]. – [OV 020]. – [článok] In: Slavica Nitriensia [textový dokument (print)] : časopis pre výskum slovanských filológií. – Nitra (Slovensko) : Univerzita Konštantína Filozofa v Nitre. – ISSN 1338-7464. – Roč. 9, č. 2 (2020), s. 14-29 [tlačená forma] </t>
  </si>
  <si>
    <t xml:space="preserve">Poklady z archívu / Šteiner, Pavol [Autor, UKFFFAKMU, 50%] ; Koppan, Vladimír [Autor, 50%]. – text. – [slovenčina]. – [OV 030]. – [článok] In: Vojnová kronika [textový dokument (print)] : časopis Múzea Slovenského národného povstania : spoločnosť, politika, armáda, kultúra. – Banská Bystrica (Slovensko) : Múzeum Slovenského národného povstania. – ISSN 1338-6379. – Roč. 10, č. 1 (2021), s. 74-80 [tlačená forma] </t>
  </si>
  <si>
    <t xml:space="preserve">Polemická rozprava na tému bábka / Inštitorisová, Dagmar [Autor, UKFFFAKMR, 100%]. – text. – [slovenčina]. – [OV 020]. – [článok] In: Javisko [textový dokument (print)] : časopis pre amatérske divadlo a umelecký prednes. – Bratislava (Slovensko) : Národné osvetové centrum. – ISSN 0323-2883. – Roč. 50, č. 2 (2018), s. 44-46 [tlačená forma] </t>
  </si>
  <si>
    <t xml:space="preserve">Polemika : Je pentekostálna religiozita spiritualitou? / Hlad, Ľubomír [Autor, UKFFFAKNS, 100%]. – text. – [slovenčina]. – [OV 020]. – [článok] In: Rozmer [textový dokument (print)] : časopis pre kresťanskú duchovnú orientáciu. – Bratislava (Slovensko) : Ekumenická rada cirkví v Slovenskej republike, Bratislava (Slovensko) : Redakcia časopisu Rozmer. – ISSN 1335-2660. – Roč. 22, č. 2 (2019), s. 33-37 [tlačená forma] </t>
  </si>
  <si>
    <t xml:space="preserve">Polemika / Hlad, Ľubomír [Autor, UKFFFAKNS, 100%]. – text. – [slovenčina]. – [OV 020]. – [článok] In: Rozmer [textový dokument (print)] : časopis pre kresťanskú duchovnú orientáciu. – Bratislava (Slovensko) : Ekumenická rada cirkví v Slovenskej republike, Bratislava (Slovensko) : Redakcia časopisu Rozmer. – ISSN 1335-2660. – Roč. 21, č. 3 (2018), s. 31-32 [tlačená forma] </t>
  </si>
  <si>
    <t xml:space="preserve">Polemika / Hlad, Ľubomír [Autor, UKFFFAKNS, 100%]. – text. – [slovenčina]. – [OV 020]. – [článok] In: Rozmer [textový dokument (print)] : časopis pre kresťanskú duchovnú orientáciu. – Bratislava (Slovensko) : Ekumenická rada cirkví v Slovenskej republike, Bratislava (Slovensko) : Redakcia časopisu Rozmer. – ISSN 1335-2660. – Roč. 22, č. 1 (2019), s. 37-39 [tlačená forma] </t>
  </si>
  <si>
    <t xml:space="preserve">Polemika : posledná reformácia / Hlad, Ľubomír [Autor, UKFFFAKNS, 100%]. – text. – [slovenčina]. – [OV 020]. – [článok] In: Rozmer [textový dokument (print)] : časopis pre kresťanskú duchovnú orientáciu. – Bratislava (Slovensko) : Ekumenická rada cirkví v Slovenskej republike, Bratislava (Slovensko) : Redakcia časopisu Rozmer. – ISSN 1335-2660. – Roč. 22, č. 4 (2019), s. 21-24 [tlačená forma] </t>
  </si>
  <si>
    <t xml:space="preserve">Polemika / Hlad, Ľubomír [Autor, UKFFFAKNS, 100%]. – text. – [slovenčina]. – [OV 020]. – [článok] In: Rozmer [textový dokument (print)] : časopis pre kresťanskú duchovnú orientáciu. – Bratislava (Slovensko) : Ekumenická rada cirkví v Slovenskej republike, Bratislava (Slovensko) : Redakcia časopisu Rozmer. – ISSN 1335-2660. – Roč. 24, č. 3 (2021), s. 37-39 [tlačená forma] </t>
  </si>
  <si>
    <t xml:space="preserve">Polemika. Čo je viera? : [2. časť] / Hlad, Ľubomír [Autor, UKFFFAKNS, 100%]. – text. – [slovenčina]. – [OV 020]. – [článok] In: Rozmer [textový dokument (print)] : časopis pre kresťanskú duchovnú orientáciu. – Bratislava (Slovensko) : Ekumenická rada cirkví v Slovenskej republike, Bratislava (Slovensko) : Redakcia časopisu Rozmer. – ISSN 1335-2660. – Roč. 23, č. 4 (2020), s. 29-32 [tlačená forma] </t>
  </si>
  <si>
    <t xml:space="preserve">Polemika. O viere. / Hlad, Ľubomír [Autor, UKFFFAKNS, 100%]. – text. – [slovenčina]. – [OV 020]. – [článok] In: Rozmer [textový dokument (print)] : časopis pre kresťanskú duchovnú orientáciu. – Bratislava (Slovensko) : Ekumenická rada cirkví v Slovenskej republike, Bratislava (Slovensko) : Redakcia časopisu Rozmer. – ISSN 1335-2660. – Roč. 23, č. 3 (2020), s. 28-32 [tlačená forma] </t>
  </si>
  <si>
    <t xml:space="preserve">Politická nezávislosť médií verejnej služby na Slovensku a v Čechách 25 rokov po rozdelení = Political Indipendence of Public Service Media in Slovakia and in the Czech Republic 25 Years After Split / Chlebcová Hečková, Andrea [Autor, UKFFFAKZU, 100%]. – text. – [slovenčina]. – [OV 060]. – [článok] In: Political Science Forum [textový dokument (print)] [elektronický dokument] . – Trenčín (Slovensko) : Trenčianska univerzita Alexandra Dubčeka v Trenčíne. Rektorát. Katedra politológie. – ISSN 1338-6859. – Roč. 7, č. 1 (2018), s. 31-47 [tlačená forma] [online] </t>
  </si>
  <si>
    <t xml:space="preserve">Politický cyklus a finančné hospodárenie vybraných miestnych samospráv (prípadová štúdia) = Political cycle and financial management of selected local self - governments (case study) / Tej, Juraj [Autor, PUPFMKM, 34%] ; Vavrek, Roman [Autor, PUPFMKM, 33%] ; Papcunová, Viera [Autor, UKFFPVUMI, 33%]. – text. – [slovenčina]. – [OV 080, 060]. – [článok]. – SIGN-PU FM-19 458/19 In: Annales Scientia Politica [elektronický dokument] . – Prešov (Slovensko) : Prešovská univerzita v Prešove. Filozofická fakulta. Inštitút politológie. – ISSN (online) 1339-0732. – Roč. 8, č. 2 (2019), s. 47-57 [online] </t>
  </si>
  <si>
    <t xml:space="preserve">Polohové a nepolohové úlohy v rovine - omyl alebo opodstatnená klasifikácia? / Vallo, Dušan [Autor, UKFFPVKMA, 100%]. – text. – [slovenčina]. – [OV 240]. – [článok] In: Acta Mathematica Nitriensia [elektronický dokument] . – Nitra (Slovensko) : Univerzita Konštantína Filozofa v Nitre. Fakulta prírodných vied a informatiky. Katedra matematiky. – ISSN 2453-6083. – Roč. 4, č. 2 (2018), s. 24-28 [online] </t>
  </si>
  <si>
    <t xml:space="preserve">Ponuka služieb pre hostí s domácimi zveratami vo vybraných hoteloch na Slovensku / Mazúchová, Ľudmila [Autor, UKFFSSKCR, 100%]. – text. – [slovenčina]. – [OV 080]. – [článok] In: Ekonomická revue cestovného ruchu [textový dokument (print)] . – Banská Bystrica (Slovensko) : Univerzita Mateja Bela v Banskej Bystrici. Ekonomická fakulta. – ISSN 0139-8660. – Roč. 51, č. 2 (2018), s. 77-88 [tlačená forma] </t>
  </si>
  <si>
    <t xml:space="preserve">Ponuka vybraných služieb pre hostí generácie Y v hoteloch na východnom Slovensku = The Offer of Selected Services for Guests of Generation Y in Hotels in Eastern Slovakia / Mazúchová, Ľudmila [Autor, UKFFSSKCR, 90%] ; Lučanská, Zuzana [Autor, 10%]. – text. – [slovenčina]. – [OV 080]. – [článok] In: Ekonomická revue cestovného ruchu [textový dokument (print)] . – Banská Bystrica (Slovensko) : Univerzita Mateja Bela v Banskej Bystrici. Ekonomická fakulta. – ISSN 0139-8660. – Roč. 52, č. 2 (2019), s. 127-135 [tlačená forma] </t>
  </si>
  <si>
    <t xml:space="preserve">Popkultúra ako generačná pamäť : recepcie popkultúrneho artefaktu ako mnemotechnika rozpamätávania sa / Malíček, Juraj [Autor, UKFFFAULK, 100%]. – text. – [slovenčina]. – [OV 020]. – [článok] In: Art communication &amp; popculture [textový dokument (print)] : časopis pre umeleckú komunikáciu a popkultúru. – Nitra (Slovensko) : Univerzita Konštantína Filozofa v Nitre. – ISSN 1339-9284. – Roč. 4, č. 1 (2018), s. 19-29 [tlačená forma] </t>
  </si>
  <si>
    <t xml:space="preserve">Popkultúra subkultúrou, životným štýlom, svetonázorom a identitou / Malíček, Juraj [Autor, UKFFFAULK, 100%]. – text. – [slovenčina]. – [OV 020]. – [článok] In: Art communication &amp; popculture [textový dokument (print)] : časopis pre umeleckú komunikáciu a popkultúru. – Nitra (Slovensko) : Univerzita Konštantína Filozofa v Nitre. – ISSN 1339-9284. – Roč. 5, č. 1-2 (2019), s. 31-40 [tlačená forma] </t>
  </si>
  <si>
    <t xml:space="preserve">Postava - archetyp hrdinu - archetyp kráľa / Čechová, Mariana [Autor, UKFFFAULK, 100%]. – text. – [slovenčina]. – [OV 020]. – [článok] In: Litikon [textový dokument (print)] : časopis pre výskum literatúry = journal for literature research. – Nitra (Slovensko) : Univerzita Konštantína Filozofa v Nitre. – ISSN 2453-8507. – Roč. 6, č. 1-2 (2021), s. 115-128 [tlačená forma] </t>
  </si>
  <si>
    <t xml:space="preserve">Postavenie regionálnych značiek na Slovensku / Balko, Daniel [Autor, 50%] ; Kompasová, Katarína [Autor, UKFFFAKMK, 50%]. – text. – [slovenčina]. – [OV 060]. – [článok] In: Kontexty kultúry a turizmu [textový dokument (print)] . – Nitra (Slovensko) : Univerzita Konštantína Filozofa v Nitre. Filozofická fakulta. – ISSN 1337-7760. – Roč. 11, č. 1 (2018), s. 39-50 [tlačená forma] </t>
  </si>
  <si>
    <t xml:space="preserve">Postoje dospelých odsúdených žien ku vzdelávaniu na Slovensku / Temiaková, Dominika [Autor, UKFPFAKPE, 70%] ; Tomšik, Robert [Autor, 30%]. – text. – [slovenčina]. – [OV 010]. – [článok]. – DOI 10.18355/PG.2021.10.1.2 In: Slavonic Pedagogical Studies Journal [textový dokument (print)] [elektronický dokument] : the Scientific Educational Journal . – Nitra (Slovensko) : Slovenská Vzdelávacia a Obstarávacia. – ISSN 1339-8660. – ISSN (online) 1339-9055. – Roč. 10, č. 1 (2021), s. 18-30 [tlačená forma] [online] . – Nordic List: 1 </t>
  </si>
  <si>
    <t xml:space="preserve">Postoje mládeže k manželsko-rodinným normám v procese premien / Štefaňak, Ondrej [Autor, UKFFFAKSO, 100%]. – text. – [slovenčina]. – [OV 060]. – [článok] In: Sociológia a spoločnosť [textový dokument (print)] [elektronický dokument] : medzinárodný vedecký sociologický časopis. – Nitra (Slovensko) : Univerzita Konštantína Filozofa v Nitre. – ISSN 2453-8086. – ISSN (online) 2644-5980. – Roč. 3, č. 2 (2018), s. 72-86 [tlačená forma] [online] </t>
  </si>
  <si>
    <t xml:space="preserve">Postoje učiteľov k začleňovaniu digitálnych prostriedkov do vyučovacieho procesu v kontexte zvyšovania jeho účinnosti = Teachers’ attitudes to including digital tools into the teaching process in the context of its effectiveness increase / Záhorec, Ján [Autor, UKOPDDPP, 50%] ; Hašková, Alena [Autor, UKFPFAKTT, 50%]. – text, tab. – [slovenčina]. – [OV 010]. – [článok]. – SIGN-UKO PD DP/20 In: Studia Scientifica Facultatis Paedagogicae [textový dokument (print)] [elektronický dokument] . – Ružomberok (Slovensko) : Katolícka univerzita v Ružomberku. VERBUM - vydavateľstvo KU. – ISSN 1336-2232. – Roč. 19, č. 5 (2020), s. 75-85 [tlačená forma] [online] </t>
  </si>
  <si>
    <t xml:space="preserve">Potenciál rozvoja obce Župkov v Mikroregióne Kľakovská dolina = Potential of Development of the Village Župkov in the Kľak Microregion / Ľahká, Martina [Autor, 35%] ; Štefanková, Anna [Autor, 15%] ; Grežo, Henrich [Autor, UKFFPVKEE, 35%] ; Barančoková, Patrícia [Autor, 15%]. – text. – [slovenčina]. – [OV 100]. – [článok]. – DOI 10.17846/GI.2020.24.1.388-403 In: Geografické informácie [textový dokument (print)] [elektronický dokument] . – Nitra (Slovensko) : Univerzita Konštantína Filozofa v Nitre. – ISSN 1337-9453. – Roč. 24, č. 1 (2020), s. 33-43 [tlačená forma] [online] </t>
  </si>
  <si>
    <t xml:space="preserve">Potreba národných učebníc angličtiny a špecifiká tvorby učebníc pre potreby slovenského žiaka / Reid, Eva [Autor, UKFPFAKLI, 100%]. – [slovenčina]. – [OV 010]. – [článok] In: Pedagogika.sk [elektronický dokument] : slovenský časopis pre pedagogické vedy = Slovak Journal for Educational Sciences. – Bratislava (Slovensko) : Slovenská akadémia vied. Slovenská pedagogická spoločnosť pri SAV. – ISSN (online) 1338-0982. – Roč. 10, č. 3 (2019), s. 201-222 [online] </t>
  </si>
  <si>
    <t xml:space="preserve">Povedomie domácich návštevníkov o udržateľnom cestovnom ruchu a ich postoj k udržateľnému správaniu v cestovnom ruchu / Palenčíková, Zuzana [Autor, UKFFSSKCR, 50%] ; Medeková, Kristína [Autor, UMBEF01, 50%]. – text. – [slovenčina]. – [OV 080]. – [ŠO 6213]. – [článok] In: Ekonomická revue cestovného ruchu [textový dokument (print)] . – Banská Bystrica (Slovensko) : Univerzita Mateja Bela v Banskej Bystrici. Ekonomická fakulta. – ISSN 0139-8660. – Roč. 54, č. 3 (2021), s. 158-168 [tlačená forma] </t>
  </si>
  <si>
    <t xml:space="preserve">Poznámka ku spojitému usporiadaniu reálnych čísel v Cantorovej konštrukcii / Vrábel, Peter [Autor, UKFFPVKMA, 100%]. – text. – [slovenčina]. – [OV 010]. – [článok] In: Acta Mathematica Nitriensia [elektronický dokument] . – Nitra (Slovensko) : Univerzita Konštantína Filozofa v Nitre. Fakulta prírodných vied a informatiky. Katedra matematiky. – ISSN 2453-6083. – Roč. 4, č. 2 (2018), s. 9-13 [online] </t>
  </si>
  <si>
    <t xml:space="preserve">Poznámky k problematike sexuality a rodu na pôde zbierkotvorných inštitúcií / Buch, Stanislav [Autor, UKFFFAULK, 100%]. – text. – [slovenčina]. – [OV 020]. – [článok] In: Art communication &amp; popculture [textový dokument (print)] : časopis pre umeleckú komunikáciu a popkultúru. – Nitra (Slovensko) : Univerzita Konštantína Filozofa v Nitre. – ISSN 1339-9284. – Roč. 5, č. 1-2 (2019), s. 255-266 [tlačená forma] </t>
  </si>
  <si>
    <t xml:space="preserve">Poznámky k vzťahu medzi textom a realitou / Plesník, Ľubomír [Autor, UKFFFAULK, 100%]. – [slovenčina]. – [OV 020]. – [článok] In: Ostium [elektronický dokument] : internetový časopis pre humanitné vedy. – Trnava (Slovensko) : Schola Philosophica. – ISSN 1339-942X. – ISSN (online) 1336-6556. – Roč. 16, č. 1 (2020), s. 1-9 [online] </t>
  </si>
  <si>
    <t xml:space="preserve">Poznanie rodiny žiaka - jedno z východísk edukačnej práce učiteľa / Kurincová, Viera [Autor, UKFPFAKPE, 100%]. – text. – [slovenčina]. – [OV 010]. – [článok] In: Slavonic Pedagogical Studies Journal [textový dokument (print)] [elektronický dokument] : the Scientific Educational Journal . – Nitra (Slovensko) : Slovenská Vzdelávacia a Obstarávacia. – ISSN 1339-8660. – ISSN (online) 1339-9055. – Roč. 8, č. 2 (2019), s. 331-339 [tlačená forma] [online] </t>
  </si>
  <si>
    <t xml:space="preserve">Pôsobenie cestovného ruchu na tradičnú kultúru v Ždiari / Kurpašová, Lucia [Autor, UKFFFAKMK, 100%]. – text. – [slovenčina]. – [OV 030]. – [článok] In: Kontexty kultúry a turizmu [textový dokument (print)] . – Nitra (Slovensko) : Univerzita Konštantína Filozofa v Nitre. Filozofická fakulta. – ISSN 1337-7760. – Roč. 11, č. 2 (2018), s. 101-110 [tlačená forma] </t>
  </si>
  <si>
    <t xml:space="preserve">Pôsobenie Nitrianskej galérie v prostredí sociálnych sietí počas pandémie Covid-19 / Hodinková, Dana [Autor, UKFFFAKMR, 50%] ; Púchovská, Oľga [Autor, UKFFFAKMR, 50%]. – [slovenčina]. – [OV 060]. – [článok] In: Dot.comm [elektronický dokument] : časopis pre teóriu, výskum a prax mediálnej a marketingovej komunikácie = journal for the theory, research and practice of media and marketing communication. – Bratislava (Slovensko) : Európska akadémia manažmentu marketingu a médií. – ISSN 1339-5181. – Roč. 8, č. 2 (2020), s. 6-23 [online] </t>
  </si>
  <si>
    <t xml:space="preserve">Práca s páchateľmi domáceho násilia : bariéry v práci probačných úradníkov optikou zmien súčasnej spoločnosti / Rác, Ivan [Autor, UKFFSVURS, 100%]. – [slovenčina]. – [OV 060]. – [článok] In: Sociálna prevencia [textový dokument (print)] : odborný časopis. – Bratislava (Slovensko) : Národné osvetové centrum. – ISSN 1336-9679. – TUTPR signatúra E025398. – Roč. 15, č. 1 (2020), s. 27-28 [tlačená forma] </t>
  </si>
  <si>
    <t xml:space="preserve">Pracovné listy a experimenty ako motivácia pri fixácii učiva o negatívnom dopade plastov na životné prostredie / Kolena, Branislav [Autor, UKFFPVKZA, 74%] ; Poláčiková, Zuzana [Autor, UKFFPVKZA, 25%] ; Henčeková, Michaela [Autor, 1%]. – text. – [slovenčina]. – [OV 010]. – [článok] In: Biológia, ekológia, chémia [textový dokument (print)] [elektronický dokument] : časopis pre školy. – Trnava (Slovensko) : Trnavská univerzita v Trnave. Pedagogická fakulta. – ISSN 1335-8960. – ISSN (online) 1338-1024. – Roč. 24, č. 2 (2020), s. 12-16 [tlačená forma] [online] </t>
  </si>
  <si>
    <t xml:space="preserve">Pragmalingvistické aspekty komunikačných rolí reklamného diskurzu (na materiáli slovenskej komerčnej reklamy) = Pragmalinguistic Aspects of the Communication Roles of Advertising Discourse (in Slovak Commercial Advertisment) / Gallo, Ján [Autor, UKFFFAKRU, 100%]. – text. – [slovenčina]. – [OV 020]. – [článok] In: Slavica Nitriensia [textový dokument (print)] : časopis pre výskum slovanských filológií. – Nitra (Slovensko) : Univerzita Konštantína Filozofa v Nitre. – ISSN 1338-7464. – Roč. 9, č. 1 (2020), s. 130-160 [tlačená forma] </t>
  </si>
  <si>
    <t xml:space="preserve">Prahmatyčnyja presupazicyi formul prabačennia, apraudannia i prymirenna = Pragmatic Presuppositions of Apology, Justification and Reconciliation Formulas / Kalechyts, Alena [Autor, UKFFFAKRU, 100%]. – text. – [bieloruština]. – [OV 020]. – [článok] In: Slavica Nitriensia [textový dokument (print)] : časopis pre výskum slovanských filológií. – Nitra (Slovensko) : Univerzita Konštantína Filozofa v Nitre. – ISSN 1338-7464. – Roč. 10, č. 1 (2021), s. 37-84 [tlačená forma] </t>
  </si>
  <si>
    <t xml:space="preserve">Prediktory zvládania záťaže u pacientov po prekonaní infarktu myokardu / Solgajová, Andrea [Autor, UKFFSVKOS, 34%] ; Zrubcová, Dana [Autor, UKFFSVKOS, 33%] ; Vörösová, Gabriela [Autor, UKFFSVKOS, 33%]. – text. – [slovenčina]. – [OV 180]. – [článok] In: Ošetrovateľstvo [elektronický dokument] : teória, výskum, vzdelávanie. – Martin (Slovensko) : Vydavateľstvo Osveta. – ISSN 1338-6263. – Roč. 9, č. 1 (2019), s. 8-14 [online] </t>
  </si>
  <si>
    <t xml:space="preserve">Predvoj slovenskej a českej katolíckej moderny = The Avantgarde of Czech and Slovak Catholic Modernism / Gallik, Ján [Autor, UKFFSSUSJ, 100%]. – text. – [slovenčina]. – [OV 020]. – [článok] In: Litikon [textový dokument (print)] : časopis pre výskum literatúry = journal for literature research. – Nitra (Slovensko) : Univerzita Konštantína Filozofa v Nitre. – ISSN 2453-8507. – Roč. 3, č. 2 (2018), s. 96-107 [tlačená forma] </t>
  </si>
  <si>
    <t xml:space="preserve">Premeny hrdinu v dielach starších literárnych období / Tobiašová, Gabriela [Autor, UKFFFASJL, 100%]. – [slovenčina]. – [OV 020]. – [článok] In: Romboid [textový dokument (print)] : časopis pre literatúru a umeleckú komunikáciu. – Bratislava (Slovensko) : Zväz slovenských spisovateľov, Bratislava (Slovensko) : Asociácia organizácií spisovateľov Slovenska. – ISSN 0231-6714. – Roč. 54, č. 4-5 (2019), s. 39-46 [tlačená forma] </t>
  </si>
  <si>
    <t xml:space="preserve">Preparatory Interpreting Exercises Within the Distance Interpreting Teaching in Combination with the Russian Language / Zahorák, Andrej [Autor, UKFFFAKTR, 100%]. – [angličtina]. – [OV 020]. – [článok] In: Bridge [elektronický dokument] : Trends and Traditions in Translation and Interpreting Studies. – Nitra (Slovensko) : Univerzita Konštantína Filozofa v Nitre. Filozofická fakulta. Katedra translatológie. – ISSN (online) 2729-8183. – Roč. 2, č. 2 (2021), s. 77-95 [online] </t>
  </si>
  <si>
    <t xml:space="preserve">Prestupujúce vrstvy Černozeme / Rácová, Veronika [Autor, UKFFFASJL, 100%]. – text. – [slovenčina]. – [OV 020]. – [článok] In: Platforma pre literatúru a výskum [elektronický dokument] . – Bratislava (Slovensko) : Platforma pre literatúru a výskum. – ISSN (online) 2453-9147. – č. 15. október (2020), s. 1-4 [online] </t>
  </si>
  <si>
    <t xml:space="preserve">Príbeh ako významný prostriedok výchovy k mravnosti / Magová, Lenka [Autor, UKFFFAKAE 06.2022, 100%]. – text. – [slovenčina]. – [OV 060]. – [článok] In: Scientia et Eruditio [elektronický dokument] . – Trnava (Slovensko) : Trnavská univerzita v Trnave. – ISSN (online) 2585-8556. – Roč. 3, č. 2 (2019), s. 46-55 [online] </t>
  </si>
  <si>
    <t xml:space="preserve">Príbeh staroby alebo Život seniora optikou sociálnej zraniteľnosti / Lesková, Andrea [Autor, UKFFFAKAE 06.2022, 100%]. – text. – [slovenčina]. – [OV 020]. – [článok] In: Slovenské pohľady [textový dokument (print)] : na literatúru, umenie a vedu. – Bratislava (Slovensko) : Slovenský spisovateľ, Martin (Slovensko) : Matica slovenská, Bratislava (Slovensko) : Zväz slovenských spisovateľov. – ISSN 1335-7786. – Roč. 4+134, č. 10 (2018), s. 29-33 [tlačená forma] </t>
  </si>
  <si>
    <t xml:space="preserve">Pripravenosť majstrov odbornej výchovy na duálne vzdelávanie - prípadová štúdia / Lukáčová, Danka [Autor, UKFPFAKTT, 60%] ; Zmeková, Dagmar [Autor, UKFPFAKTT, 40%]. – text. – [slovenčina]. – [OV 010]. – [článok] In: Technika a vzdelávanie [textový dokument (print)] [elektronický dokument] : časopis zameraný na technické vzdelávanie v základných, stredných i na vysokých školách, na oblasť základného a aplikovaného výskumu, aplikáciu informačných technológií vo výučbe odborných predmetov. – Banská Bystrica (Slovensko) : Univerzita Mateja Bela v Banskej Bystrici. Fakulta prírodných vied. – ISSN 1338-9742. – ISSN (online) 1339-9888. – Roč. 9, č. 2 (2020), s. 39-43 [tlačená forma] [online] </t>
  </si>
  <si>
    <t xml:space="preserve">Prírodné krásno u Th. W. Adorna : v závislosti a opozícii voči svetu panstva / Brezňan, Peter [Autor, UKFFFAULK, 100%]. – text. – [slovenčina]. – [OV 020]. – [článok] In: ESPES [elektronický dokument] : Electronic Magazine of the Society for Aesthetics in Slovakia : Journal of Society for Aesthetics in Slovakia and Institute of Aesthetics and Art Culture = Elektronický časopis Spoločnosti pre estetiku na Slovensku. – Prešov (Slovensko) : Prešovská univerzita v Prešove. Filozofická fakulta. Inštitút estetiky a umeleckej kultúry. – ISSN (online) 1339-1119. – Roč. 9, č. 1 (2020), s. 5-15 [online] </t>
  </si>
  <si>
    <t xml:space="preserve">Príspevok k bionómii pásikavcov (Odonata: Cordulegaster Leach, 1815) v Slovenskej republike / David, Stanislav [Autor, UKFFPVKEE, 50%] ; Petrovičová, Kornélia [Autor, 50%]. – text. – [slovenčina]. – [OV 100]. – [článok] In: Ekologické štúdie [textový dokument (print)] : recenzovaný vedecký časopis venovaný aktuálnym problémom ekológie, krajinnej ekológie a príbuzných vedných disciplín. – Nitra (Slovensko) : Slovenská akadémia vied. Slovenská ekologická spoločnosť pri SAV. – ISSN 1338-2853. – Roč. 9, č. 1 (2018), s. 55-64 [tlačená forma] </t>
  </si>
  <si>
    <t xml:space="preserve">Príspevok k štúdiu nehmotného kultúrneho dedičstva Slovákov v Gemelčičke / Letavajová, Silvia [Autor, UKFFFAKMK, 100%]. – text. – [slovenčina]. – [OV 030]. – [článok] In: Kontexty kultúry a turizmu [textový dokument (print)] . – Nitra (Slovensko) : Univerzita Konštantína Filozofa v Nitre. Filozofická fakulta. – ISSN 1337-7760. – Roč. 12, č. 2 (2019), s. 57-68 [tlačená forma] </t>
  </si>
  <si>
    <t xml:space="preserve">Prístupy k evaluácii ekonomickej hodnoty vybranej ekosystémovej služby = Approaches to evaluating the economic value of selected ecosystem service / Levický, Michal [Autor, UKFFPVUMI, 100%]. – text. – [slovenčina]. – [OV 060]. – [článok] In: Verejná správa a regionálny rozvoj [textový dokument (print)] : vedecký časopis Vysokej školy ekonómie a manažmentu verejnej správy v Bratislave : Ekonómia a manažment. – Bratislava (Slovensko) : Vysoká škola ekonómie a manažmentu verejnej správy v Bratislave. – ISSN 1337-2955. – Roč. 15, č. 1 (2019), s. 70-77 [tlačená forma] </t>
  </si>
  <si>
    <t xml:space="preserve">Príťažlivá nákazlivosť divadlom / Ballay, Miroslav [Autor, UKFFFAKKU, 100%]. – text. – [slovenčina]. – [OV 020]. – [článok] In: Culturologica Slovaca [elektronický dokument] : internetový kulturologický časopis. – Nitra (Slovensko) : Univerzita Konštantína Filozofa v Nitre. – ISSN 2453-9740. – Roč. 5, č. 1 (2020), s. 66-79 [online] </t>
  </si>
  <si>
    <t xml:space="preserve">Proaktívne zvládanie záťaže u pacientov po prekonaní cievnej mozgovej príhody = Proactive coping in stroke patients / Solgajová, Andrea [Autor, UKFFSVKOS, 34%] ; Zrubcová, Dana [Autor, UKFFSVKOS, 33%] ; Vörösová, Gabriela [Autor, UKFFSVKOS, 33%]. – text. – [slovenčina]. – [OV 180]. – [článok] In: Ošetrovateľstvo a pôrodná asistencia [textový dokument (print)] [elektronický dokument] . – Bratislava (Slovensko) : Slovenská komora sestier a pôrodných asistentiek. – ISSN 1336-183X. – ISSN (online) 1339-5920. – č. 5 (2020), s. 28-32 [tlačená forma] [online] </t>
  </si>
  <si>
    <t xml:space="preserve">Proaktívne zvládanie záťaže u pacientov s ischemickou chorobou srdca / Solgajová, Andrea [Autor, UKFFSVKOS, 20%] ; Vörösová, Gabriela [Autor, UKFFSVKOS, 20%] ; Sollár, Tomáš [Autor, UKFFSVUAP, 20%] ; Zrubcová, Dana [Autor, UKFFSVKOS, 20%] ; Rosinský, Rastislav [Autor, UKFFSVURS, 20%]. – text. – [slovenčina]. – [OV 060]. – [článok] In: Pomáhajúce profesie [textový dokument (print)] : recenzovaný vedecký časopis pre teóriu, výskum, prax a vzdelávanie v pomáhajúcich profesiách. – Nitra (Slovensko) : Univerzita Konštantína Filozofa v Nitre. – ISSN 2585-9447. – Roč. 1, č. 1 (2018), s. 55-63 [tlačená forma] [online] </t>
  </si>
  <si>
    <t xml:space="preserve">Proaktívne zvládanie záťaže u pacientov so sklerózou multiplex = Proactive coping in patients with Multiple sclerosis / Solgajová, Andrea [Autor, UKFFSVKOS, 25%] ; Zrubcová, Dana [Autor, UKFFSVKOS, 25%] ; Vörösová, Gabriela [Autor, UKFFSVKOS, 25%] ; Líšková, Miroslava [Autor, UKFFSVKOS, 25%]. – text. – [slovenčina]. – [OV 180]. – [článok] In: Zdravotnícke listy [textový dokument (print)] [elektronický dokument] : vedecký recenzovaný časopis. – Trenčín (Slovensko) : Trenčianska univerzita Alexandra Dubčeka v Trenčíne. Fakulta zdravotníctva. – ISSN 1339-3022. – ISSN (online) 2644-4909. – Roč. 6, č. 1 (2018), s. 20-26 [tlačená forma] [online] </t>
  </si>
  <si>
    <t xml:space="preserve">Problém legitimity pre Modus Vivendi : konsenzus, kompromis a realizmus / Šebíková, Lívia [Autor, UKFFFAKAE 06.2022, 100%]. – text. – [slovenčina]. – [OV 060]. – [článok] In: Political Science Forum [textový dokument (print)] [elektronický dokument] . – Trenčín (Slovensko) : Trenčianska univerzita Alexandra Dubčeka v Trenčíne. Rektorát. Katedra politológie. – ISSN 1338-6859. – Roč. 7, č. 2 (2018), s. 18-20 [tlačená forma] [online] </t>
  </si>
  <si>
    <t xml:space="preserve">Problematika edukácie dospelých osôb so zdravotným postihnutím / Jedličková, Petra [Autor, UKFPFAKPE, 100%]. – text. – [slovenčina]. – [OV 010]. – [článok] In: Pedagogická revue [textový dokument (print)] [elektronický dokument] . – Bratislava (Slovensko) : Štátny pedagogický ústav. – ISSN 1335-1982. – ISSN (online) 2585-8424. – Roč. 66, č. 3 (2019), s. 89-106 [tlačená forma] [online] </t>
  </si>
  <si>
    <t xml:space="preserve">Problematika neplnoletých matiek : 1. časť / Vanková, Katarína [Autor, UKFFSVURS, 100%]. – text. – [slovenčina]. – [OV 060]. – [článok] In: Vychovávateľ [textový dokument (print)] : časopis pedagógov. – Bratislava (Slovensko) : Educatio. – ISSN 0139-6919. – Roč. 68, č. 7-8 (2020), s. 37-41 [tlačená forma] </t>
  </si>
  <si>
    <t xml:space="preserve">Problematika vyšetrenia psychomorického vývinu detí v primárnej pediatrickej starostlivosti: súčasný trend na Slovensku / Popelková, Marta [Autor, UKFFSVKPV, 25%] ; Jurišová, Erika [Autor, UKFFSVKPV, 25%] ; Matušková, Oľga [Autor, 25%] ; Ptáčniková, Lucia [Autor, UKFFSVKPV, 25%]. – text. – [slovenčina]. – [OV 060]. – [článok] In: Pomáhajúce profesie [textový dokument (print)] : recenzovaný vedecký časopis pre teóriu, výskum, prax a vzdelávanie v pomáhajúcich profesiách. – Nitra (Slovensko) : Univerzita Konštantína Filozofa v Nitre. – ISSN 2585-9447. – Roč. 4, č. 1 (2021), s. 30-38 [tlačená forma] [online] </t>
  </si>
  <si>
    <t xml:space="preserve">Problémy mladých dospelých pri nútenom odchode z ústavného zariadenia do spoločnosti / Vanková, Katarína [Autor, UKFFSVURS, 100%]. – text. – [slovenčina]. – [OV 010]. – [článok] In: Vychovávateľ [textový dokument (print)] : časopis pedagógov. – Bratislava (Slovensko) : Educatio. – ISSN 0139-6919. – Roč. 66, č. 7-8 (2018), s. 8-20 [tlačená forma] </t>
  </si>
  <si>
    <t xml:space="preserve">Profesijná andragogika ako teória o edukácii zamestnancov a jej teoreticko-metodologický koncept / Temiaková, Dominika [Autor, UKFPFAKPE, 100%]. – text. – [slovenčina]. – [OV 010]. – [článok] In: Revue spoločenských a humanitných vied [elektronický dokument] . – Sládkovičovo (Slovensko) : Vysoká škola Danubius. – ISSN (online) 1339-259X. – Roč. 8, č. 4 (2020), s. 1-15 [online] </t>
  </si>
  <si>
    <t xml:space="preserve">Prolegomena k čitateľskej gramotnosti v predprimárnom a primárnom vzdelávaní / Stranovská, Eva [Autor, UKFFFAKGE, 50%] ; Hrašková, Mariana [Autor, UKFFFASJL, 50%]. – text. – [slovenčina]. – [OV 010]. – [článok] In: Litikon [textový dokument (print)] : časopis pre výskum literatúry = journal for literature research. – Nitra (Slovensko) : Univerzita Konštantína Filozofa v Nitre. – ISSN 2453-8507. – Roč. 3, č. 2 (2018), s. 237-247 [tlačená forma] </t>
  </si>
  <si>
    <t xml:space="preserve">Prológ Nežnej revolúcie : študentská demonštrácia 16. novembra 1989 v Bratislave / Kralovič, Tomáš [Autor, UKFFFAKHI, 100%]. – text. – [slovenčina]. – [OV 030]. – [článok] In: Pamäť národa [textový dokument (print)] : nacizmus a komunizmus vo svojej epoche. – Bratislava (Slovensko) : Ústav pamäti národa. – ISSN 1336-6297. – Roč. 15, č. 3 (2019), s. 39-50 [tlačená forma] </t>
  </si>
  <si>
    <t xml:space="preserve">Propojenost přírodní a humánní složky geosféry v historickém vývoji jako motivace k návštěvě Moravského krasu / Chalupa, Petr [Autor, 50%] ; Veselovský, Ján [Autor, UKFFPVKGR, 50%]. – text. – [čeština]. – [OV 080]. – [článok] In: Geografické informácie [textový dokument (print)] [elektronický dokument] . – Nitra (Slovensko) : Univerzita Konštantína Filozofa v Nitre. – ISSN 1337-9453. – Roč. 22, č. 1 (2018), s. 163-179 [tlačená forma] [online] </t>
  </si>
  <si>
    <t xml:space="preserve">Přepis bolestných vzpomínek v imaginaci / Šlepecký, Miloš [Autor, UKFFSVKPV, 11.112%] ; Ocisková, Marie [Autor, 11.111%] ; Praško Pavlov, Ján [Autor, UKFFSVKPV, 11.111%] ; Grambal, Aleš [Autor, 11.111%] ; Vanek, Jakub [Autor, 11.111%] ; Kotian, Michal [Autor, 11.111%] ; Hodný, František [Autor, 11.111%] ; Zaťková, Marta [Autor, UKFFSVKPV, 11.111%] ; Kotianová, Antónia [Autor, UKFFSVKPV, 11.111%]. – [čeština]. – [OV 060]. – [článok] In: Psychiatria pre prax [textový dokument (print)] [elektronický dokument] : slovenské vydanie časopisu Psychiatrie pro praxi. – Bratislava (Slovensko) : Solen (SK). – ISSN 1335-9584. – ISSN (online) 1339-4258. – Roč. 21, č. 1 (2020), s. 22-28 [tlačená forma] [online] </t>
  </si>
  <si>
    <t xml:space="preserve">Psychická záťaž a stres v období pandémie / Hučková, Jana [Autor, UKFFFAKMK, 100%]. – text. – [slovenčina]. – [OV 020]. – [článok] In: Kontexty kultúry a turizmu [textový dokument (print)] . – Nitra (Slovensko) : Univerzita Konštantína Filozofa v Nitre. Filozofická fakulta. – ISSN 1337-7760. – Roč. 14, č. 1 (2021), s. 35-42 [tlačená forma] </t>
  </si>
  <si>
    <t xml:space="preserve">Psychodidaktické ponímanie jazykového vzdelávania dospelých / Kozárová, Nina [Autor, UKFPFAKPE, 50%] ; Petrová, Gabriela [Autor, UKFPFAKPE, 50%]. – text. – [slovenčina]. – [OV 010]. – [článok] In: Pedagogika.sk [elektronický dokument] : slovenský časopis pre pedagogické vedy = Slovak Journal for Educational Sciences. – Bratislava (Slovensko) : Slovenská akadémia vied. Slovenská pedagogická spoločnosť pri SAV. – ISSN (online) 1338-0982. – Roč. 9, č. 2 (2018), s. 65-75 [online] </t>
  </si>
  <si>
    <t xml:space="preserve">Psychometrické vlastnosti dotazníka kariérovej orientácie / Baňasová, Katarína [Autor, UKFFSVUAP, 100%]. – text. – [slovenčina]. – [OV 060]. – [článok] In: Pomáhajúce profesie [textový dokument (print)] : recenzovaný vedecký časopis pre teóriu, výskum, prax a vzdelávanie v pomáhajúcich profesiách. – Nitra (Slovensko) : Univerzita Konštantína Filozofa v Nitre. – ISSN 2585-9447. – Roč. 1, č. 1 (2018), s. 5-20 [tlačená forma] [online] </t>
  </si>
  <si>
    <t xml:space="preserve">Psychometrické vlastnosti dotazníka Specialty Indecision Scale (SIS) / Baňasová, Katarína [Autor, UKFFSVUAP, 100%]. – text. – [slovenčina]. – [OV 060]. – [článok] In: Pomáhajúce profesie [textový dokument (print)] : recenzovaný vedecký časopis pre teóriu, výskum, prax a vzdelávanie v pomáhajúcich profesiách. – Nitra (Slovensko) : Univerzita Konštantína Filozofa v Nitre. – ISSN 2585-9447. – Roč. 1, č. 2 (2018), s. 18-27 [tlačená forma] [online] </t>
  </si>
  <si>
    <t xml:space="preserve">Psychosocial problems of patients with epilepsy for nursing care / Slezáková, Zuzana [Autor, UKFFSVKOS, 34%] ; Solgajová, Andrea [Autor, UKFFSVKOS, 33%] ; Vörösová, Gabriela [Autor, UKFFSVKOS, 33%]. – text. – [angličtina]. – [OV 180]. – [článok] In: Sociálno-zdravotnícke spektrum [elektronický dokument] [textový dokument (print)] : vedecko-odborný časopis pre sociálnych pracovníkov a chronicky chorých : vedecko-odborný časopis pre sociálnych pracovníkov a zdravotníkov. – Prešov (Slovensko) : Vysoká škola zdravotníctva a sociálnej práce sv. Alžbety v Bratislave. Inštitút sociálnych vied a zdravotníctva bl. P. P. Gojdiča. – ISSN 1339-1577. – ISSN (online) 1339-2379. – č. 18.04.2018 (2018), s. [1-12] [tlačená forma] [online] </t>
  </si>
  <si>
    <t xml:space="preserve">Psychosoziale Faktoren und die Entwicklung der persönlichen und interpersonellen Kompetenz im Fernunterricht für angehende  Dolmetscher und Übersetzer (Perspektive der Lehrpersonen) / Hodáková, Soňa [Autor, UKFFFAKTR, 50%] ; Perez, Emília [Autor, UKFFFAKTR, 50%]. – text. – [slovenčina]. – [OV 020]. – [ŠO 7320]. – [článok] In: Nová filologická revue [elektronický dokument] : časopis o súčasných problémoch lingvistiky, literárnej vedy, translatológie a kulturológie : časopis o súčasnej lingvistike, literárnej vede, translatológii a kulturológii. – Banská Bystrica (Slovensko) : Univerzita Mateja Bela v Banskej Bystrici. Fakulta humanitných vied. – ISSN (online) 1338-0583. – Roč. 12, č. 2 (2021), s. 168-185 [online] </t>
  </si>
  <si>
    <t xml:space="preserve">Quality evaluation of fresh gander semen of slovak white goose by casa and flow cytometry: short communication / Svoradová, Andrea [Autor, UKFFPVKZA, 20%] ; Baláži, Andrej [Autor, 20%] ; Vašíček, Jaromír [Autor, 20%] ; Hrnčár, Cyril [Autor, SPUFAP11, 20%] ; Chrenek, Peter [Autor, SPUFBP01, 20%]. – text. – [angličtina]. – [OV 190, 130]. – [článok] In: Slovak Journal of Animal Science [textový dokument (print)] [elektronický dokument] . – Nitra (Slovensko) : Národné poľnohospodárske a potravinárske centrum. Výskumný ústav živočíšnej výroby Nitra. – ISSN 1337-9984. – ISSN (online) 1338-0095. – Roč. 52, č. 2 (2019), s. 90-94 [tlačená forma] [online] </t>
  </si>
  <si>
    <t xml:space="preserve">Quantitative tools of municipal financial resources assessment in the Slovak Republic / Országhová, Dana [Autor, SPUFEM07, 34%] ; Papcunová, Viera [Autor, UKFFPVUMI, 33%] ; Hornyák Gregáňová, Radomíra [Autor, SPUFEM07, 33%]. – text. – [angličtina]. – [OV 240]. – [článok]. – [recenzované]. – DOI 10.15414/meraa.2018.04.02.88-92 In: Mathematics in education, research and applications [elektronický dokument] : online scientific mathematical journal. – Nitra (Slovensko) : Slovenská poľnohospodárska univerzita v Nitre. Fakulta ekonomiky a manažmentu. – ISSN 2453-6881. – Roč. 4, č. 2 (2018), s. 88-92 [online] </t>
  </si>
  <si>
    <t xml:space="preserve">Quo vadis, mládež postmoderná? / Kondrla, Peter [Autor, UKFFFAKNS, 100%]. – text. – [slovenčina]. – [OV 020]. – [článok] In: Rozmer [textový dokument (print)] : časopis pre kresťanskú duchovnú orientáciu. – Bratislava (Slovensko) : Ekumenická rada cirkví v Slovenskej republike, Bratislava (Slovensko) : Redakcia časopisu Rozmer. – ISSN 1335-2660. – Roč. 23, č. 2 (2020), s. 15-20 [tlačená forma] </t>
  </si>
  <si>
    <t xml:space="preserve">Quod fuimus, estis; quod sumus, vos eritis : Dialektika identity, alterity, uznání a mezí principu / Horyna, Břetislav [Autor, UKFFFAKFI, 100%]. – text. – [slovenčina]. – [OV 020]. – [článok] In: Philosophica critica [textový dokument (print)] : medzinárodný vedecký filozofický časopis = international scientific journal of philosophy. – Nitra (Slovensko) : Univerzita Konštantína Filozofa v Nitre. Filozofická fakulta. Katedra filozofie. – ISSN 1339-8970. – ISSN (online) 2585-7479. – Roč. 5, č. 2 (2019), s. 30-45 [tlačená forma] </t>
  </si>
  <si>
    <t xml:space="preserve">Rákóczi és a szlovákok / Angyal, Ladislav [Autor, UKFFSSUML, 100%]. – text. – [maďarčina]. – [OV 010]. – [článok] In: Katedra [elektronický dokument] : szlovákiai magyar pedagógusok és szülők lapja. – Dunajská Streda (Slovensko) : Nadácia Katedra. – ISSN 1335-6445. – ISSN (online) 2729-9066. – Roč. 27, č. 4 (2019), s. 2-4 [tlačená forma] [online] </t>
  </si>
  <si>
    <t xml:space="preserve">Recipročný transfer umenia a značiek alebo kultúrny supermarket? / Spálová, Lucia [Autor, UKFFFAKMR, 50%] ; Szabóová, Veronika [Autor, UKFFFAKMR, 50%]. – text. – [slovenčina]. – [OV 020]. – [článok] In: Culturologica Slovaca [elektronický dokument] : internetový kulturologický časopis. – Nitra (Slovensko) : Univerzita Konštantína Filozofa v Nitre. – ISSN 2453-9740. – Roč. 5, č. 1 (2020), s. 39-50 [online] </t>
  </si>
  <si>
    <t xml:space="preserve">Reflection of the Encyclical Grande munus in 1880 - 1881 in the works of Italian Church Historians (Promotion of the Cyrilo-Methodian cult) / Lukáčová, Martina [Autor, UKFFFAKRO, 100%]. – text. – [angličtina]. – [OV 020]. – [článok] In: Theologos [textový dokument (print)] [elektronický dokument] : theological revue. – Prešov (Slovensko) : Prešovská univerzita v Prešove. Vydavateľstvo Prešovskej univerzity. – ISSN 1335-5570. – ISSN (online) 2644-5700. – Roč. 22, č. 2 (2020), s. 90-101 [tlačená forma] [online] </t>
  </si>
  <si>
    <t xml:space="preserve">Reflexia prekladov slovenskej prózy v nemeckom jazykovom a kultúrnom priestore (roky 2000 - 2020) / Zahorák, Andrej [Autor, UKFFFAKTR, 100%]. – text. – [slovenčina]. – [OV 020]. – [článok] In: Nová filologická revue [elektronický dokument] : časopis o súčasných problémoch lingvistiky, literárnej vedy, translatológie a kulturológie : časopis o súčasnej lingvistike, literárnej vede, translatológii a kulturológii. – Banská Bystrica (Slovensko) : Univerzita Mateja Bela v Banskej Bystrici. Fakulta humanitných vied. – ISSN (online) 1338-0583. – Roč. 11, č. 1 (2020), s. 29-41 [online] </t>
  </si>
  <si>
    <t xml:space="preserve">Reflexia sureálno - absurdnej grotesky Chanocha Levina „A winter funeral“ v realizácii Slovenského národného divadla „Pohreb alebo svadba - čo skôr?" / Hudecová, Ingrida [Autor, UKFFFAKKU, 100%]. – text. – [slovenčina]. – [OV 020]. – [článok] In: Culturologica Slovaca [elektronický dokument] : internetový kulturologický časopis. – Nitra (Slovensko) : Univerzita Konštantína Filozofa v Nitre. – ISSN 2453-9740. – Roč. 6, č. 2 (2021), s. 118-135 [online] </t>
  </si>
  <si>
    <t xml:space="preserve">Reflexie v atestačných prácach učiteľov materských škôl / Pupíková, Eva [Autor, UKFPFAKPE, 50%] ; Kollárová, Dana [Autor, UKFPFAKPE, 50%]. – text. – [slovenčina]. – [OV 010]. – [článok] In: Pedagogické rozhľady [elektronický dokument] [textový dokument (print)] : Odborno-metodický časopis pre školy a školské zariadenia. – Banská Bystrica (Slovensko) : Metodicko-pedagogické centrum. – ISSN (online) 1335-0404. – Roč. 28, č. 2 (2019), s. 27-30 [online] [tlačená forma] </t>
  </si>
  <si>
    <t xml:space="preserve">Registrované partnerstvo ako integrálna súčasť práva na súkromný a rodinný život / Kocina, Petr [Autor, UKFFFAKAE 06.2022, 100%]. – text. – [slovenčina]. – [OV 020]. – [článok] In: Projustice [elektronický dokument] : vedecko-odborný internetový časopis pre právo a bezpečnostné vedy : vedecko-odborný internetový časopis pre právo a spravodlivosť : vedecko-odborný recenzovaný časopis pre právo a bezpečnostné vedy. – Bratislava (Slovensko) : Business Intelligence Club. – ISSN (online) 1339-1038. – č. 15.03.2021 (2021), s. [1-10] [online] </t>
  </si>
  <si>
    <t xml:space="preserve">Regulácia emócií u detí s ADHD / Lukáč, Jaroslav [Autor, UKFFSVKPV, 50%] ; Popelková, Marta [Autor, UKFFSVKPV, 50%]. – text. – [slovenčina]. – [OV 060]. – [článok] In: Pomáhajúce profesie [textový dokument (print)] : recenzovaný vedecký časopis pre teóriu, výskum, prax a vzdelávanie v pomáhajúcich profesiách. – Nitra (Slovensko) : Univerzita Konštantína Filozofa v Nitre. – ISSN 2585-9447. – Roč. 4, č. 1 (2021), s. 5-13 [tlačená forma] [online] </t>
  </si>
  <si>
    <t xml:space="preserve">Rekonštrukcia syntaktickej štruktúry vety ako predpoklad porozumenia textu = Reconstruction of Syntactic Structure of a Sentence as s Pressumption of Text Understanding / Kováčová, Zuzana [Autor, UKFFFASJL, 100%]. – text. – [slovenčina]. – [OV 020]. – [článok] In: Slavica Nitriensia [textový dokument (print)] : časopis pre výskum slovanských filológií. – Nitra (Slovensko) : Univerzita Konštantína Filozofa v Nitre. – ISSN 1338-7464. – Roč. 7, č. 1 (2018), s. 15-29 [tlačená forma] </t>
  </si>
  <si>
    <t xml:space="preserve">Relativity of Time in Interpreting:Simultaneity in the Consecutive Mode / Hodáková, Soňa [Autor, UKFFFAKTR, 100%]. – text. – [angličtina]. – [OV 020]. – [článok] In: Bridge [elektronický dokument] : Trends and Traditions in Translation and Interpreting Studies. – Nitra (Slovensko) : Univerzita Konštantína Filozofa v Nitre. Filozofická fakulta. Katedra translatológie. – ISSN (online) 2729-8183. – Roč. 2, č. 2 (2021), s. 157-161 [online] </t>
  </si>
  <si>
    <t xml:space="preserve">Research of Mining in the Chvojniva Village through Multitemporal Analysis of Cultural-landscape Layers = Výskum baníctva v Chvojnici prostredníctvom multitemporálnej analýzy transektov kultúrno-krajinných vrstiev / Žabenský, Marián [Autor, UKFFFAKMK, 100%]. – [angličtina]. – [OV 010]. – [článok]. – DOI 10.17846/GI.2020.24.1.307-325 In: Geografické informácie [textový dokument (print)] [elektronický dokument] . – Nitra (Slovensko) : Univerzita Konštantína Filozofa v Nitre. – ISSN 1337-9453. – Roč. 24, č. 1 (2020), s. 307-325 [tlačená forma] [online] </t>
  </si>
  <si>
    <t xml:space="preserve">Revisions in Literary Translation / Martinkovič, Matej [Autor, UKFFFAKTR, 100%]. – text. – [angličtina]. – [OV 020]. – [článok] In: Bridge [elektronický dokument] : Trends and Traditions in Translation and Interpreting Studies. – Nitra (Slovensko) : Univerzita Konštantína Filozofa v Nitre. Filozofická fakulta. Katedra translatológie. – ISSN (online) 2729-8183. – Roč. 1, č. 1 (2020), s. 88-100 [online] </t>
  </si>
  <si>
    <t xml:space="preserve">Richard Schaeffler a filozofia náboženstva / Vašek, Martin [Autor, UKFFFAKFI, 100%]. – text. – [slovenčina]. – [OV 020]. – [článok] In: Studia Aloisiana [textový dokument (print)] : vedecké štúdie, recenzie, odborné preklady, správy o vedeckých podujatiach, kresťanská filozofia, náuka o rodine, formácia spoločenstiev, katolícka teológia : recenzovaný časopis Teologickej fakulty Trnavskej univerzity. – Trnava (Slovensko) : Vydavateľstvo Dobrá kniha. – ISSN 1338-0508. – Roč. 11, č. 1 (2020), s. 5-20 [tlačená forma] </t>
  </si>
  <si>
    <t xml:space="preserve">Rituály v transkulturním marketingu = Rituals in transcultural marketing / Androsch, Nela Helena [Autor, UKFFFAKMR, 100%]. – text. – [čeština]. – [OV 080]. – [článok] In: Dot.comm [elektronický dokument] : časopis pre teóriu, výskum a prax mediálnej a marketingovej komunikácie = journal for the theory, research and practice of media and marketing communication. – Bratislava (Slovensko) : Európska akadémia manažmentu marketingu a médií. – ISSN 1339-5181. – Roč. 8, č. 2 (2020), s. 34-43 [online] </t>
  </si>
  <si>
    <t xml:space="preserve">Riziká závislosti mladých ľudí od internetu / Rác, Ivan [Autor, UKFFSVURS, 100%]. – text. – [slovenčina]. – [OV 060]. – [článok] In: Revue sociálnych služieb [textový dokument (print)] . – Trnava (Slovensko) : Vydavateľstvo OLIVA, Trnava (Slovensko) : Váry. – ISSN 1338-1075. – Roč. 10, č. 2 (2018), s. 30-42 [tlačená forma] </t>
  </si>
  <si>
    <t xml:space="preserve">Rodina pohľadom sociológie / Selická, Denisa [Autor, UKFFFAKSO, 100%]. – text. – [slovenčina]. – [OV 060]. – [článok] In: Sociológia a spoločnosť [textový dokument (print)] [elektronický dokument] : medzinárodný vedecký sociologický časopis. – Nitra (Slovensko) : Univerzita Konštantína Filozofa v Nitre. – ISSN 2453-8086. – ISSN (online) 2644-5980. – Roč. 4, č. 1 (2019), s. 84-84 [tlačená forma] [online] </t>
  </si>
  <si>
    <t xml:space="preserve">Rodina verzus práca: prenos, pozitíva, zmeny / Pikna, Jakub [Autor, UKFFSVKSP, 100%]. – text. – [slovenčina]. – [OV 060]. – [článok] In: Pomáhajúce profesie [textový dokument (print)] : recenzovaný vedecký časopis pre teóriu, výskum, prax a vzdelávanie v pomáhajúcich profesiách. – Nitra (Slovensko) : Univerzita Konštantína Filozofa v Nitre. – ISSN 2585-9447. – Roč. 1, č. 1 (2018), s. 31-44 [tlačená forma] [online] </t>
  </si>
  <si>
    <t xml:space="preserve">Rodinné obyčajové tradície Slovákov vo Vukovej / Letavajová, Silvia [Autor, UKFFFAKMK, 50%] ; Kurpaš, Michal [Autor, UKFFFAKMK, 50%]. – text. – [slovenčina]. – [OV 030]. – [článok] In: Kontexty kultúry a turizmu [textový dokument (print)] . – Nitra (Slovensko) : Univerzita Konštantína Filozofa v Nitre. Filozofická fakulta. – ISSN 1337-7760. – Roč. 11, č. 2 (2018), s. 21-34 [tlačená forma] </t>
  </si>
  <si>
    <t xml:space="preserve">Rodokmeň lásky : teologická reflexia nad aktuálnosťou cyrilometodského dedičstva v dnešnej dobe / Lyko, Miroslav [Autor, UKFFFAKNS, 100%]. – text. – [slovenčina]. – [OV 020]. – [článok] In: Theologos [textový dokument (print)] [elektronický dokument] : theological revue. – Prešov (Slovensko) : Prešovská univerzita v Prešove. Vydavateľstvo Prešovskej univerzity. – ISSN 1335-5570. – ISSN (online) 2644-5700. – Roč. 22, č. 1 (2020), s. 150-164 [tlačená forma] [online] </t>
  </si>
  <si>
    <t xml:space="preserve">Roman Berger - Exodus: Interpretačná analýza / Štrbák, Marek [Autor, UKFPFAKHU, 100%]. – [slovenčina]. – [OV 010]. – [článok] In: Slovenská hudba [textový dokument (print)] : revue pre hudobnú kultúru. – Bratislava (Slovensko) : Slovenská muzikologická asociácia pri Slovenskej hudobnej únii. – ISSN 1335-2458. – ISSN (zrušené) 0037-6965. – Roč. 47, č. 2 (2021), s. 113-140 [tlačená forma] </t>
  </si>
  <si>
    <t xml:space="preserve">Rómska identita a sociálne fungovanie = Roma identity and social functioning / Danišová, Beáta [Autor, UKFFSVURS, 50%] ; Levická, Jana [Autor, UCMFSVKSSP, 50%]. – text. – [slovenčina]. – [OV 060]. – [článok] In: Revue sociálnych služieb [textový dokument (print)] . – Trnava (Slovensko) : Vydavateľstvo OLIVA, Trnava (Slovensko) : Váry. – ISSN 1338-1075. – Roč. 11, č. 1 (2019), s. 54-62 [tlačená forma] </t>
  </si>
  <si>
    <t xml:space="preserve">Röntgenofluorescenčná analýza falošných strieborných retiazok od predajcov z Číny, označených rýdzostným číslo „925“ používaným pre označenie strieborných šperkov = Energy-dispersive X-ray Fluorescence analysis of fake silver chains from Chinese sellers, marked with the fineness mark "925" used to mark silver jewellery / Štubňa, Ján [Autor, UKFFPVGMU, 100%]. – text. – [slovenčina]. – [OV 092]. – [článok] In: Gemologický spravodajca [textový dokument (print)] : časopis gemológov pri FPV UKF v Nitre. – Nitra (Slovensko) : Univerzita Konštantína Filozofa v Nitre. Fakulta prírodných vied. – ISSN 1337-6136. – ISSN (online) 1338-5275. – Roč. 10, č. 2 (2020), s. 22-34 [tlačená forma] </t>
  </si>
  <si>
    <t xml:space="preserve">Root Approximation in Matlab Computational Environment / Ďuriš, Viliam [Autor, UKFFPVKMA, 50%] ; Korman, Peter [Autor, 50%]. – text. – [angličtina]. – [OV 240]. – [článok] In: Acta Mathematica Nitriensia [elektronický dokument] . – Nitra (Slovensko) : Univerzita Konštantína Filozofa v Nitre. Fakulta prírodných vied a informatiky. Katedra matematiky. – ISSN 2453-6083. – Roč. 5, č. 2 (2019), s. 1-10 [online] </t>
  </si>
  <si>
    <t xml:space="preserve">Rovnosť v odlišnostiach / Vanková, Katarína [Autor, UKFFSVURS, 100%]. – text. – [slovenčina]. – [OV 060]. – [článok] In: Vychovávateľ [textový dokument (print)] : časopis pedagógov. – Bratislava (Slovensko) : Educatio. – ISSN 0139-6919. – Roč. 67, č. 7-8 (2019), s. 16-24 [tlačená forma] </t>
  </si>
  <si>
    <t xml:space="preserve">Rozdiely v rizikovom správaní žiakov vo veku 10-16 rokov vzhľadom na percipovaný výchovný štýl / Tomšik, Robert [Autor, UKFPFAKAP, 50%] ; Verešová, Marcela [Autor, UKFPFAKAP, 50%]. – text. – [slovenčina]. – [OV 010]. – [článok] In: Slavonic Pedagogical Studies Journal [textový dokument (print)] [elektronický dokument] : the Scientific Educational Journal . – Nitra (Slovensko) : Slovenská Vzdelávacia a Obstarávacia. – ISSN 1339-8660. – ISSN (online) 1339-9055. – Roč. 8, č. 1 (2019), s. 151-163 [tlačená forma] [online] </t>
  </si>
  <si>
    <t xml:space="preserve">Rozprávačské stratégie v Lavríkových prózach / Waldnerová, Jana [Autor, UKFFFAKAA, 100%]. – text. – [slovenčina]. – [OV 020]. – [článok] In: Stredoeurópske pohľady [textový dokument (print)] [elektronický dokument] : časopis pre jazyk, literatúru, kultúru a médiá. – Nitra (Slovensko) : Univerzita Konštantína Filozofa v Nitre. Fakulta stredoeurópskych štúdií. Ústav stredoeurópskych jazykov a kultúr. – ISSN 2644-6367. – ISSN (online) 2644-6472. – Roč. 3, č. 1 (2021), s. 4-12 [tlačená forma] [online] </t>
  </si>
  <si>
    <t xml:space="preserve">Rozsah a formy poskytovania sociálnych služieb v postpenitenciárnej starostlivosti (1. časť) / Vanková, Katarína [Autor, UKFFSVURS, 100%]. – text. – [slovenčina]. – [OV 060]. – [článok] In: Vychovávateľ [textový dokument (print)] : časopis pedagógov. – Bratislava (Slovensko) : Educatio. – ISSN 0139-6919. – Roč. 66, č. 1-2 (2018), s. 33-42 [tlačená forma] </t>
  </si>
  <si>
    <t xml:space="preserve">Rozsah a formy poskytovania sociálnych služieb v postpenitenciárnej starostlivosti (3. časť) / Vanková, Katarína [Autor, UKFFSVURS, 100%]. – text. – [slovenčina]. – [OV 060]. – [článok] In: Vychovávateľ [textový dokument (print)] : časopis pedagógov. – Bratislava (Slovensko) : Educatio. – ISSN 0139-6919. – Roč. 66, č. 5-6 (2018), s. 19-24 [tlačená forma] </t>
  </si>
  <si>
    <t xml:space="preserve">Rozsah a formy poskytovania sociálnych služieb v postpenitenciárnej starostlivosti (2. časť) / Vanková, Katarína [Autor, UKFFSVURS, 100%]. – text. – [slovenčina]. – [OV 060]. – [článok] In: Vychovávateľ [textový dokument (print)] : časopis pedagógov. – Bratislava (Slovensko) : Educatio. – ISSN 0139-6919. – Roč. 66, č. 3-4 (2018), s. 33-37 [tlačená forma] </t>
  </si>
  <si>
    <t xml:space="preserve">Rozvoj čitateľských zručností v cudzom jazyku prostredníctvom literatúry / Žemberová, Ivana [Autor, UKFPFAKLI, 100%]. – [slovenčina]. – [OV 010]. – [článok] In: NOTES [elektronický dokument] : Nové osvedčené tvorivé efektívne stratégie. – Dolný Kubín (Slovensko) : Združenie Orava pre demokraciu vo vzdelávaní. – ISSN (online) 2585-8262. – Roč. 16, č. 1 (2018), s. 8-15 [online] </t>
  </si>
  <si>
    <t xml:space="preserve">Rozvoj osobnosti žiaka umením - koncepcia hudobného vzdelávania Tatiany Ivanovny Smirnovej / Kručayová, Alena [Autor, UKFPFAKHU, 100%]. – text. – [slovenčina]. – [OV 010]. – [článok]. – DOI 10.4149/SH_2020_3_2 In: Slovenská hudba [textový dokument (print)] : revue pre hudobnú kultúru. – Bratislava (Slovensko) : Slovenská muzikologická asociácia pri Slovenskej hudobnej únii. – ISSN 1335-2458. – ISSN (zrušené) 0037-6965. – Roč. 46, č. 3 (2020), s. 226-248 [tlačená forma] </t>
  </si>
  <si>
    <t xml:space="preserve">Rôznorodosť prístupov k vzdelávaniu detí s autizmom / Jedličková, Petra [Autor, UKFPFAKPE, 100%]. – text. – [slovenčina]. – [OV 010]. – [článok] In: Prohuman [elektronický dokument] : vedecko-odborný interdisciplinárny recenzovaný časopis, zameraný na oblasť spoločenských, sociálnych a humanitných vied : vedecko-odborný internetový časopis. – Bratislava (Slovensko) : Business Intelligence Club. – ISSN (online) 1338-1415. – Roč. 8, č. 10 (2019), s. 1-10 [online] </t>
  </si>
  <si>
    <t xml:space="preserve">Rytmický sprievod kontrášov v Telgárte 1 : pohyb ako kritérium klasifikácie a systematizácie modelov rytmického sprievodu / Ambrózová, Jana [Autor, UKFFFAKEF, 100%]. – text. – [slovenčina]. – [OV 030]. – [článok] In: Musicologica [elektronický dokument] : časopis Katedry muzikológie. – Bratislava (Slovensko) : Univerzita Komenského v Bratislave. Filozofická fakulta UK. Katedra muzikológie. – ISSN (online) 1337-9070. – č. 1 (2021), s. 1-33 [online] </t>
  </si>
  <si>
    <t xml:space="preserve">Samko Tále transzkulturális regénytere / Tóth, Anikó [Autor, UKFFSSUML, 100%]. – text. – [maďarčina]. – [OV 010]. – [článok] In: Irodalmi Szemle [textový dokument (print)] [elektronický dokument] : irodalom, kritika, társadalomtudomány. – Bratislava (Slovensko) : Madách-Posonium. – ISSN 1336-5088. – Roč. 61, č. 3 (2018), s. 39-49 [tlačená forma] [online] </t>
  </si>
  <si>
    <t xml:space="preserve">Sci-fi film influence on the studentsʼ interest in geology = Vplyv sci-fi filmu na záujem študentov o geológiu / Štubňa, Ján [Autor, UKFFPVGMU, 100%]. – text. – [angličtina]. – [OV 010]. – [článok] In: Slavonic Pedagogical Studies Journal [textový dokument (print)] [elektronický dokument] : the Scientific Educational Journal . – Nitra (Slovensko) : Slovenská Vzdelávacia a Obstarávacia. – ISSN 1339-8660. – ISSN (online) 1339-9055. – Roč. 7, č. 1 (2018), s. 119-125 [tlačená forma] [online] </t>
  </si>
  <si>
    <t xml:space="preserve">Sebahodnotenie a hodnotové preferencie študentov stredných škôl / Baňasová, Katarína [Autor, UKFFSVUAP, 99%] ; Virgalová, Jaroslava [Autor, 1%]. – text. – [slovenčina]. – [OV 060]. – [článok] In: Pomáhajúce profesie [textový dokument (print)] : recenzovaný vedecký časopis pre teóriu, výskum, prax a vzdelávanie v pomáhajúcich profesiách. – Nitra (Slovensko) : Univerzita Konštantína Filozofa v Nitre. – ISSN 2585-9447. – Roč. 3, č. 1 (2020), s. 20-30 [tlačená forma] [online] </t>
  </si>
  <si>
    <t xml:space="preserve">Sebasúcit vo vzťahu k optimálnemu prosperovaniu u študentov psychológie / Šeboková, Gabriela [Autor, UKFFSVKPV, 50%] ; Filipčíková, Laura [Autor, 50%]. – text. – [slovenčina]. – [OV 060]. – [článok] In: Pomáhajúce profesie [textový dokument (print)] : recenzovaný vedecký časopis pre teóriu, výskum, prax a vzdelávanie v pomáhajúcich profesiách. – Nitra (Slovensko) : Univerzita Konštantína Filozofa v Nitre. – ISSN 2585-9447. – Roč. 3, č. 1 (2020), s. 41-50 [tlačená forma] [online] </t>
  </si>
  <si>
    <t xml:space="preserve">Sekundárne rytmické štruktúry v hudobnom sprievode kontrášov v Telgárte a Šumiaci / Ambrózová, Jana [Autor, UKFFFAKEF, 100%]. – text. – [slovenčina]. – [OV 030]. – [ŠO 7115]. – [článok] In: Musicologica [elektronický dokument] : časopis Katedry muzikológie. – Bratislava (Slovensko) : Univerzita Komenského v Bratislave. Filozofická fakulta UK. Katedra muzikológie. – ISSN (online) 1337-9070. – č. 1 (2021), s. 1-25 [online] </t>
  </si>
  <si>
    <t xml:space="preserve">Self - regulation and preference of learning style / Kozárová, Nina [Autor, UKFPFAKPE, 100%]. – text. – [slovenčina]. – [OV 010]. – [článok]. – DOI 10.18355/PG.2020.9.1.6 In: Slavonic Pedagogical Studies Journal [textový dokument (print)] [elektronický dokument] : the Scientific Educational Journal . – Nitra (Slovensko) : Slovenská Vzdelávacia a Obstarávacia. – ISSN 1339-8660. – ISSN (online) 1339-9055. – Roč. 9, č. 1 (2020), s. 52-60 [tlačená forma] [online] </t>
  </si>
  <si>
    <t xml:space="preserve">Self and Perception of the Presented Image Institution Focusing on its Logo / Fichnová, Katarína [Autor, UKFFFAKMR, 100%]. – text. – [angličtina]. – [OV 060]. – [článok] In: Dot.comm [elektronický dokument] : časopis pre teóriu, výskum a prax mediálnej a marketingovej komunikácie = journal for the theory, research and practice of media and marketing communication. – Bratislava (Slovensko) : Európska akadémia manažmentu marketingu a médií. – ISSN 1339-5181. – Roč. 9, č. 1 (2021), s. 72-81 [online] </t>
  </si>
  <si>
    <t xml:space="preserve">Selfies ako prejav súčasného narcizmu mladých ľudí / Jakubovská, Viera [Autor, UKFFFAKFI, 100%]. – text. – [slovenčina]. – [OV 010]. – [článok] In: Mládež a spoločnosť [textový dokument (print)] : slovenský časopis pre štátnu politiku a výskum mládeže = Slovak journal for state policy and youth research. – Bratislava (Slovensko) : Centrum vedecko-technických informácií SR. – ISSN 1335-1109. – Roč. 24, č. 1 (2018), s. 13-21 [tlačená forma] </t>
  </si>
  <si>
    <t xml:space="preserve">Selmec mint transzkulturális tér / Tóth, Anikó [Autor, UKFFSSUML, 100%]. – text. – [maďarčina]. – [OV 010]. – [článok] In: Irodalmi Szemle [textový dokument (print)] [elektronický dokument] : irodalom, kritika, társadalomtudomány. – Bratislava (Slovensko) : Madách-Posonium. – ISSN 1336-5088. – Roč. 62, č. 11 (2019), s. 14-25 [tlačená forma] [online] </t>
  </si>
  <si>
    <t xml:space="preserve">Sémantická analýza metamorfného motívu ako nezaslúženého trestu v arcinaratívoch / Danišová, Nikola [Autor, UKFFFAULK, 100%]. – text. – [slovenčina]. – [OV 020]. – [článok] In: Litikon [textový dokument (print)] : časopis pre výskum literatúry = journal for literature research. – Nitra (Slovensko) : Univerzita Konštantína Filozofa v Nitre. – ISSN 2453-8507. – Roč. 6, č. 1-2 (2021), s. 42-52 [tlačená forma] </t>
  </si>
  <si>
    <t xml:space="preserve">Semantische Analyse des Kausalkonnektors weil in historischen Texten im Fremdsprachenunterricht / Szabó, Erzsébet [Autor, UKFFFAKGE, 34%] ; Weiss, Ervín [Autor, UKFFFAKGE, 33%] ; Stranovská, Eva [Autor, UKFFFAKGE, 33%]. – text. – [nemčina]. – [OV 010]. – [článok] In: Eruditio - Educatio [textový dokument (print)] : vedecký časopis Pedagogickej fakulty Univerzity J. Selyeho v Komárne = A Selye János Egyetem Tanárképző Kara tudományos folyóirata = Research Journal of the Faculty of education of J. Selye university. – Komárno (Slovensko) : Univerzita J. Selyeho. Pedagogická fakulta. – ISSN 1336-8893. – Roč. 16, č. 3 (2021), s. 35-43 [tlačená forma] </t>
  </si>
  <si>
    <t xml:space="preserve">Semen quality assessment of improved Wallachian sheep breed: A preliminary study / Svoradová, Andrea [Autor, UKFFPVKZA, 16%] ; Macháč, Marián [Autor, 14%] ; Baláži, Andrej [Autor, 14%] ; Vašíček, Jaromír [Autor, SPUFBP01, 14%] ; Jurčík, Rastislav [Autor, 14%] ; Huba, Ján [Autor, 14%] ; Chrenek, Peter [Autor, SPUFBP01, 14%]. – [angličtina]. – [OV 190]. – [článok] In: Slovak Journal of Animal Science [textový dokument (print)] [elektronický dokument] . – Nitra (Slovensko) : Národné poľnohospodárske a potravinárske centrum. Výskumný ústav živočíšnej výroby Nitra. – ISSN 1337-9984. – ISSN (online) 1338-0095. – Roč. 53, č. 2 (2020), s. 92-95 [tlačená forma] [online] </t>
  </si>
  <si>
    <t xml:space="preserve">Seniori - zraniteľná skupina ľudí s reflexiou na včasnú krízovú intervenciu (2) : druhá časť / Vanková, Katarína [Autor, UKFFSVURS, 100%]. – text. – [slovenčina]. – [OV 060]. – [článok] In: Vychovávateľ [textový dokument (print)] : časopis pedagógov. – Bratislava (Slovensko) : Educatio. – ISSN 0139-6919. – Roč. 68, č. 1-2 (2020), s. 15-21 [tlačená forma] </t>
  </si>
  <si>
    <t xml:space="preserve">Seniori - zraniteľná skupina ľudí s reflexiou na včasnú krízovú intervenciu / Vanková, Katarína [Autor, UKFFSVURS, 100%]. – text. – [slovenčina]. – [OV 010]. – [článok] In: Vychovávateľ [textový dokument (print)] : časopis pedagógov. – Bratislava (Slovensko) : Educatio. – ISSN 0139-6919. – Roč. 67, č. 9-10 (2019), s. 8-12 [tlačená forma] </t>
  </si>
  <si>
    <t xml:space="preserve">Seniori a pohybová aktivita = Seniors and movement activity / Libová, Ľubica [Autor, 25%] ; Solgajová, Andrea [Autor, UKFFSVKOS, 25%] ; Zrubcová, Dana [Autor, UKFFSVKOS, 25%] ; Jankechová, Monika [Autor, 25%]. – text. – [slovenčina]. – [OV 180]. – [článok] In: Zdravotnícke listy [textový dokument (print)] [elektronický dokument] : vedecký recenzovaný časopis. – Trenčín (Slovensko) : Trenčianska univerzita Alexandra Dubčeka v Trenčíne. Fakulta zdravotníctva. – ISSN 1339-3022. – ISSN (online) 2644-4909. – Roč. 6, č. 1 (2018), s. 74-83 [tlačená forma] [online] </t>
  </si>
  <si>
    <t xml:space="preserve">Sentiment analysis of the user comments with the theme of migration posted as interactive content on the Hospodárske noviny website / Balážiová, Iveta [Autor, UKFFFAKMR, 100%]. – text. – [angličtina]. – [OV 060]. – [článok] In: Človek a spoločnosť [elektronický dokument] : internetový časopis pre pôvodné, teoretické a výskumné štúdie z oblasti spoločenských vied. – ISSN (online) 1335-3608. – Roč. 22, č. 4 (2019), s. 43-61 [online] </t>
  </si>
  <si>
    <t xml:space="preserve">Sexting as a risk phenomenon of online environment among adolescents = Sexting ako rizikový fenomén online prostredia u dospievajúcich / Zelená, Hana [Autor, UKFPFAKPE, 50%] ; Poláčková, Vladimíra [Autor, UKFPFAKPE, 50%]. – text. – [angličtina]. – [OV 010]. – [článok]. – DOI 10.18355/PG.2021.10.2.6 In: Slavonic Pedagogical Studies Journal [textový dokument (print)] [elektronický dokument] : the Scientific Educational Journal . – Nitra (Slovensko) : Slovenská Vzdelávacia a Obstarávacia. – ISSN 1339-8660. – ISSN (online) 1339-9055. – Roč. 10, č. 2 (2021), s. 165-174 [tlačená forma] [online] . – Nordic List: 1 </t>
  </si>
  <si>
    <t xml:space="preserve">Sexting as a risky behavior and the parentalmonitoring from the perspective of adolescents = Sexting ako forma rizikoveho spravania amiera rodicovskej kontrolyz pohladu dospievajucich / Turzák, Tomáš [Autor, UKFPFAKPE, 33.334%] ; Kurincová, Viera [Autor, UKFPFAKPE, 33.333%] ; Hollá, Katarína [Autor, UKFPFAKPE, 33.333%]. – text. – [angličtina]. – [OV 010]. – [článok]. – DOI 0.18355/PG.2020.9.2.3 In: Slavonic Pedagogical Studies Journal [textový dokument (print)] [elektronický dokument] : the Scientific Educational Journal . – Nitra (Slovensko) : Slovenská Vzdelávacia a Obstarávacia. – ISSN 1339-8660. – ISSN (online) 1339-9055. – Roč. 9, č. 2 (2020), s. 115-127 [tlačená forma] [online] </t>
  </si>
  <si>
    <t xml:space="preserve">Sexuálny debut v kontexte preferencií v oblasti sexuálnej morálky / Marková, Dagmar [Autor, UKFFFAKAE 06.2022, 30%] ; Šebíková, Lívia [Autor, UKFFFAKAE 06.2022, 25%] ; Turčan, Ciprian [Autor, UKFFFAKAE 06.2022, 25%] ; Bartal, Jana [Autor, UKFFFAKAE 06.2022, 20%]. – text. – [slovenčina]. – [OV 020]. – [článok] In: Sociológia a spoločnosť [textový dokument (print)] [elektronický dokument] : medzinárodný vedecký sociologický časopis. – Nitra (Slovensko) : Univerzita Konštantína Filozofa v Nitre. – ISSN 2453-8086. – ISSN (online) 2644-5980. – Roč. 4, č. 2 (2019), s. 15-43 [tlačená forma] [online] </t>
  </si>
  <si>
    <t xml:space="preserve">Short-term faunistic monitoring of four Sites of Comunity Importance (SCI) in the Pieniny National Park with suggestions of land management proposal / Baranová, Beáta [Autor, PUPHUEK, 20%] ; Hrivniak, Ľuboš [Autor, 16%] ; Oboňa, Jozef [Autor, PUPHUEK, 16%] ; Krumpálová, Zuzana [Autor, UKFFPVKEE, 16%] ; Manko, Peter [Autor, PUPHUEK, 16%] ; Matúšová, Zuzana [Autor, 16%]. – text. – [angličtina]. – [OV 100]. – [článok] In: Oecologia Montana [textový dokument (print)] [elektronický dokument] : international journal of mountain ecology. – Poprad (Slovensko) : Prunella. – ISSN 1210-3209. – ISSN (online) 2644-4682. – Roč. 27, č. 1 (2018), s. 7-14 [tlačená forma] [online] </t>
  </si>
  <si>
    <t xml:space="preserve">Schillerova lyrika v preklade Ladislava Šimona (a iných) / Čakanek, Ján [Autor, UKFFFAKGE, 100%]. – text. – [slovenčina]. – [OV 020]. – [článok]. – [recenzované] In: Romboid [textový dokument (print)] : časopis pre literatúru a umeleckú komunikáciu. – Bratislava (Slovensko) : Zväz slovenských spisovateľov, Bratislava (Slovensko) : Asociácia organizácií spisovateľov Slovenska. – ISSN 0231-6714. – Roč. 56, č. 3 (2021), s. 8-28 [tlačená forma] </t>
  </si>
  <si>
    <t xml:space="preserve">Skutočné bytie (ὄντως ὄν) a nebytie v byzantskej filozofii / Zozuľak, Ján [Autor, UKFFFAKFI, 100%]. – text. – [slovenčina]. – [OV 020]. – [článok] In: Acta Patristica [textový dokument (print)] [elektronický dokument] . – Prešov (Slovensko) : Prešovská univerzita v Prešove. Pravoslávna bohoslovecká fakulta. – ISSN 1338-3299. – ISSN (online) 2644-5026. – Roč. 12, č. 24 (2021), s. 3-15 [tlačená forma] </t>
  </si>
  <si>
    <t xml:space="preserve">Slovenská a maďarská katolícka literatúra tvárou v tvár komunizmu = Slovak and Hungarian Catholic Literature Face to Face with Communism / Gallik, Ján [Autor, UKFFSSUSJ, 100%]. – text. – [slovenčina]. – [OV 020]. – [článok] In: Stredoeurópske pohľady [textový dokument (print)] [elektronický dokument] : časopis pre jazyk, literatúru, kultúru a médiá. – Nitra (Slovensko) : Univerzita Konštantína Filozofa v Nitre. Fakulta stredoeurópskych štúdií. Ústav stredoeurópskych jazykov a kultúr. – ISSN 2644-6367. – ISSN (online) 2644-6472. – Roč. 1, č. 1 (2019), s. 22-33 [tlačená forma] [online] </t>
  </si>
  <si>
    <t xml:space="preserve">Slovenská poézia 2017 / Navrátil, Martin [Autor, UKFFFASJL, 100%]. – text. – [slovenčina]. – [OV 020]. – [článok] In: Romboid [textový dokument (print)] : časopis pre literatúru a umeleckú komunikáciu. – Bratislava (Slovensko) : Zväz slovenských spisovateľov, Bratislava (Slovensko) : Asociácia organizácií spisovateľov Slovenska. – ISSN 0231-6714. – Roč. 53, č. 5-6 (2018), s. 71-92 [tlačená forma] </t>
  </si>
  <si>
    <t xml:space="preserve">Slovenské Spevy Online : Project Ľudo Slovenský and the Crowdsourced Digitization of a Folk Song Collection / Ambrózová, Jana [Autor, UKFFFAKEF, 100%]. – text. – [slovenčina]. – [OV 030]. – [článok] In: Culturologica Slovaca [elektronický dokument] : internetový kulturologický časopis. – Nitra (Slovensko) : Univerzita Konštantína Filozofa v Nitre. – ISSN 2453-9740. – Roč. 6, č. 1 (2021), s. 101-118 [online] </t>
  </si>
  <si>
    <t xml:space="preserve">Slovensko 1938 : Československo v zovretí mocností / Palárik, Miroslav [Autor, UKFFFAKHI, 100%]. – text. – [slovenčina]. – [OV 030]. – [článok] In: Studia Historica Nitriensia [textový dokument (print)] [elektronický dokument] . – Nitra (Slovensko) : Univerzita Konštantína Filozofa v Nitre. – ISSN 1338-7219. – ISSN (online) 2585-8661. – Roč. 22, č. 2 (2018), s. 514-520 [tlačená forma] [online] . – SJR: 0,164 ; CiteScore: 0,1 ; SNIP: 0,17 Scimago - Cultural studies - Q2, History - Q2, Museology - Q2 </t>
  </si>
  <si>
    <t xml:space="preserve">Slovensko a fenomén viery bez príslušnosti / Štefaňak, Ondrej [Autor, UKFFFAKSO, 100%]. – text. – [slovenčina]. – [OV 060]. – [článok] In: Pedagogické diskusie [textový dokument (print)] : časopis vysokoškolských pedagógov, študentov a mladých výskumníkov na Inštitúte Juraja Páleša v Levoči, Pedagogickej fakulty Katolíckej univerzity v Ružomberku. – Levoča (Slovensko) : MTM Levoča, Levoča (Slovensko) : Milan Tejbus - MTM. – ISSN 1339-9217. – Roč. 7, č. 1 (2021), s. 9-21 [tlačená forma] </t>
  </si>
  <si>
    <t xml:space="preserve">Slovensko-chorvátske vzťahy spred a počas revolúcie 1848/1849 = Slovak-Croatian Relations Before and During the 1848/1849 Revolution / Móri, Tomáš [Autor, UKFFSSUSJ, 100%]. – [slovenčina]. – [OV 020]. – [článok] In: Stredoeurópske pohľady [textový dokument (print)] [elektronický dokument] : časopis pre jazyk, literatúru, kultúru a médiá. – Nitra (Slovensko) : Univerzita Konštantína Filozofa v Nitre. Fakulta stredoeurópskych štúdií. Ústav stredoeurópskych jazykov a kultúr. – ISSN 2644-6367. – ISSN (online) 2644-6472. – Roč. 1, č. 1 (2019), s. 118-126 [tlačená forma] [online] </t>
  </si>
  <si>
    <t xml:space="preserve">Slovensko-poľsko-ruský slovník jazykovedných termínov (III) : syntax / Gallo, Ján [Autor, UKFFFAKRU, 100%]. – [ruština]. – [OV 020]. – [článok] In: Slavica Nitriensia [textový dokument (print)] : časopis pre výskum slovanských filológií. – Nitra (Slovensko) : Univerzita Konštantína Filozofa v Nitre. – ISSN 1338-7464. – Roč. 8, č. 2 (2019), s. 41-45 [tlačená forma] Rec: Slovensko-poľsko-ruský slovník jazykovedných termínov (III) [textový dokument (print)]  [knižná publikácia - odborná (do 2021)] : syntax / Vojteková, Marta [Autor, 61%] ; Mertová, Nikoleta [Autor, 21%] ; Petríková, Anna [Autor, 18%] ; Vojteková, Marta [Zostavovateľ, editor, 100%] ; Papierz, Maria [Recenzent] ; Gallo, Ján [Recenzent]. – 1. vyd. – Prešov (Slovensko) : Prešovská univerzita v Prešove. Filozofická fakulta, 2019. – 107 s. [tlačená forma]. – (Opera Linguistica ; 37/2019). – ISBN 978-80-555-2238-8 </t>
  </si>
  <si>
    <t xml:space="preserve">Slovník slovenských prekladateľov umeleckej literatúry a jeho miesto v súčasnej translatológii / Čakanek, Ján [Autor, UKFFFAKGE, 100%]. – text. – [slovenčina]. – [OV 020]. – [článok] In: Litikon [textový dokument (print)] : časopis pre výskum literatúry = journal for literature research. – Nitra (Slovensko) : Univerzita Konštantína Filozofa v Nitre. – ISSN 2453-8507. – Roč. 3, č. 2 (2018), s. 247-252 [tlačená forma] </t>
  </si>
  <si>
    <t xml:space="preserve">Služba mediátora v civilnom práve v prospech človeka v tiesni (2) / Vanková, Katarína [Autor, UKFFSVURS, 100%]. – text. – [slovenčina]. – [OV 060]. – [článok] In: Vychovávateľ [textový dokument (print)] : časopis pedagógov. – Bratislava (Slovensko) : Educatio. – ISSN 0139-6919. – Roč. 67, č. 5-6 (2019), s. 13-23 [tlačená forma] </t>
  </si>
  <si>
    <t xml:space="preserve">Služba mediátora v civilnom práve v prospech človeka v tiesni. 1. časť (1) / Vanková, Katarína [Autor, UKFFSVURS, 100%]. – text. – [slovenčina]. – [OV 010]. – [článok] In: Vychovávateľ [textový dokument (print)] : časopis pedagógov. – Bratislava (Slovensko) : Educatio. – ISSN 0139-6919. – Roč. 67, č. 1-2 (2019), s. 40-46 [tlačená forma] </t>
  </si>
  <si>
    <t xml:space="preserve">Služba mediátora v civilnom práve v prospech človeka v tiesni. 2. časť (1), (2) / Vanková, Katarína [Autor, UKFFSVURS, 100%]. – text. – [slovenčina]. – [OV 010]. – [článok] In: Vychovávateľ [textový dokument (print)] : časopis pedagógov. – Bratislava (Slovensko) : Educatio. – ISSN 0139-6919. – Roč. 67, č. 1-2 (2019), s. 13-23 [tlačená forma] </t>
  </si>
  <si>
    <t xml:space="preserve">Social competences of pupils in the civil theory subject / Predanocyová, Ľubica [Autor, UKFFFAKFI, 50%] ; Jonášková, Gabriela [Autor, UKFFFAKFI, 50%]. – text. – [angličtina]. – [OV 010]. – [článok] In: Slavonic Pedagogical Studies Journal [textový dokument (print)] [elektronický dokument] : the Scientific Educational Journal . – Nitra (Slovensko) : Slovenská Vzdelávacia a Obstarávacia. – ISSN 1339-8660. – ISSN (online) 1339-9055. – Roč. 7, č. 1 (2018), s. 145-154 [tlačená forma] [online] </t>
  </si>
  <si>
    <t xml:space="preserve">Socializácia mládeže v rodine a v škole / Selická, Denisa [Autor, UKFFFAKSO, 100%]. – text. – [slovenčina]. – [OV 060]. – [článok] In: Mládež a spoločnosť [textový dokument (print)] : slovenský časopis pre štátnu politiku a výskum mládeže = Slovak journal for state policy and youth research. – Bratislava (Slovensko) : Centrum vedecko-technických informácií SR. – ISSN 1335-1109. – Roč. 25, č. 2 (2019), s. 19-26 [tlačená forma] </t>
  </si>
  <si>
    <t xml:space="preserve">Sociálna práca vo výkone trestu odňatia slobody a aktívna príprava na postpenitenciárnu starostlivosť (1) : prvá časť / Vanková, Katarína [Autor, UKFFSVURS, 100%]. – text. – [slovenčina]. – [OV 060]. – [článok] In: Vychovávateľ [textový dokument (print)] : časopis pedagógov. – Bratislava (Slovensko) : Educatio. – ISSN 0139-6919. – Roč. 68, č. 3-4 (2020), s. 42-51 [tlačená forma] </t>
  </si>
  <si>
    <t xml:space="preserve">Sociálne kompetencie a nevhodné správanie žiakov / Határ, Ctibor [Autor, UKFPFAKPE, 60%] ; Rosinský, Rastislav [Autor, UKFFSVURS, 40%]. – text. – [slovenčina]. – [OV 010]. – [článok]. – DOI 10.18355/PG.2019.8.1.19 In: Slavonic Pedagogical Studies Journal [textový dokument (print)] [elektronický dokument] : the Scientific Educational Journal . – Nitra (Slovensko) : Slovenská Vzdelávacia a Obstarávacia. – ISSN 1339-8660. – ISSN (online) 1339-9055. – Roč. 8, č. 1 (2019), s. 257-268 [tlačená forma] [online] </t>
  </si>
  <si>
    <t xml:space="preserve">Sociálno-právne intervencie vo vzťahu k obetiam obchodovaniu s ľuďmi / Vanková, Katarína [Autor, UKFFSVURS, 100%]. – text. – [slovenčina]. – [OV 060]. – [článok] In: Vychovávateľ [textový dokument (print)] : časopis pedagógov. – Bratislava (Slovensko) : Educatio. – ISSN 0139-6919. – Roč. 68, č. 3-4 (2020), s. 33-41 [tlačená forma] </t>
  </si>
  <si>
    <t xml:space="preserve">Sociána práca vo výkone trestu odňatia slobody a aktívna príprava na postpenitenciárnu starostlivosť (2) : 2.časť / Vanková, Katarína [Autor, UKFFSVURS, 100%]. – text. – [slovenčina]. – [OV 060]. – [článok] In: Vychovávateľ [textový dokument (print)] : časopis pedagógov. – Bratislava (Slovensko) : Educatio. – ISSN 0139-6919. – Roč. 68, č. 5-6 (2020), s. 49-53 [tlačená forma] </t>
  </si>
  <si>
    <t xml:space="preserve">Sociologické aspekty súčasnej rodiny / Selická, Denisa [Autor, UKFFFAKSO, 100%]. – text. – [slovenčina]. – [OV 060]. – [článok] In: Mládež a spoločnosť [textový dokument (print)] : slovenský časopis pre štátnu politiku a výskum mládeže = Slovak journal for state policy and youth research. – Bratislava (Slovensko) : Centrum vedecko-technických informácií SR. – ISSN 1335-1109. – Roč. 25, č. 1 (2019), s. 25-34 [tlačená forma] </t>
  </si>
  <si>
    <t xml:space="preserve">Spektroskopické štúdium prírodných spodumenov z lokality Kunar, Afganistan = Spektroscopic study of natural spodumene from Kunar, Afghanistan / Malíčková, Iveta [Autor, UKOPRGMP, 30%] ; Bačík, Peter [Autor, UKOPRGMP, 30%] ; Fridrichová, Jana [Autor, UKOPRGMP, 30%] ; Illášová, Ľudmila [Autor, UKFFPVGMU, 5%] ; Škoda, Radek [Autor, 5%]. – text, graf., tab. – [slovenčina, angličtina]. – [OV 092]. – [článok]. – SIGN-UKO PR 883/20 In: Esemestník [textový dokument (print)] [elektronický dokument] : spravodajca Slovenskej mineralogickej spoločnosti. – Bratislava (Slovensko) : Slovenská mineralogická spoločnosť. – ISSN 1338-6425. – ISSN (online) 1338-7189. – Roč. 9, č. 1 (2020), s. 5-10 [tlačená forma] [online] </t>
  </si>
  <si>
    <t xml:space="preserve">Spektroskopické štúdium zoisitu: porovnanie anyolitu so zonálnym tanzanitom = Spectroscopis research of natural zoisite: cocmparison of anyolite wwiwth zoned tanzanite / Malíčková, Iveta [Autor, UKOPRGMP, 20%] ; Cibula, Peter [Autor, UKOPRGMP, 20%] ; Bačík, Peter [Autor, UKOPRGMP, 20%] ; Fridrichová, Jana [Autor, UKOPRGMP, 20%] ; Milovská, Stanislava [Autor, 5%] ; Škoda, Radek [Autor, 5%] ; Illášová, Ľudmila [Autor, UKFFPVGMU, 5%] ; Štubňa, Ján [Autor, UKFFPVGMU, 5%]. – text, ilustr., tab. – [slovenčina]. – [OV 092]. – [článok]. – SIGN-UKO PR 756/19 In: Esemestník [textový dokument (print)] [elektronický dokument] : spravodajca Slovenskej mineralogickej spoločnosti. – Bratislava (Slovensko) : Slovenská mineralogická spoločnosť. – ISSN 1338-6425. – ISSN (online) 1338-7189. – Roč. 8, č. 2 (2019), s. 47-53 [tlačená forma] [online] </t>
  </si>
  <si>
    <t xml:space="preserve">Sperm motility of rams from two Slovak sheep breeds: short comminication / Buša, Daniel [Autor, 16%] ; Macháč, Marián [Autor, 14%] ; Baláži, Andrej [Autor, 14%] ; Svoradová, Andrea [Autor, UKFFPVKZA, 14%] ; Vašíček, Jaromír [Autor, SPUFBP01, 14%] ; Jurčík, Rastislav [Autor, 14%] ; Chrenek, Peter [Autor, SPUFBP01, 14%]. – [angličtina]. – [OV 190]. – [článok] In: Slovak Journal of Animal Science [textový dokument (print)] [elektronický dokument] . – Nitra (Slovensko) : Národné poľnohospodárske a potravinárske centrum. Výskumný ústav živočíšnej výroby Nitra. – ISSN 1337-9984. – ISSN (online) 1338-0095. – Roč. 52, č. 4 (2019), s. 178-180 [tlačená forma] [online] </t>
  </si>
  <si>
    <t xml:space="preserve">Spokojnosť a významnosť- aspekty kvality života a pracovná identita mladých ľudí / Baňasová, Katarína [Autor, UKFFSVUAP, 99%] ; Hostovičáková, Marianna [Autor, 1%]. – text. – [slovenčina]. – [OV 060]. – [článok] In: Pomáhajúce profesie [textový dokument (print)] : recenzovaný vedecký časopis pre teóriu, výskum, prax a vzdelávanie v pomáhajúcich profesiách. – Nitra (Slovensko) : Univerzita Konštantína Filozofa v Nitre. – ISSN 2585-9447. – Roč. 2, č. 1 (2019), s. 37-52 [tlačená forma] [online] </t>
  </si>
  <si>
    <t xml:space="preserve">Spoločenská zodpovednosť firiem Lidl a Kaufland z aspektu ochrany životného prostredia / Janková, Györgyi [Autor, UKFFFAKMR, 50%] ; Vrabcová, Adriana [Autor, 50%]. – text. – [slovenčina]. – [OV 060]. – [článok] In: Projustice [elektronický dokument] : vedecko-odborný internetový časopis pre právo a bezpečnostné vedy : vedecko-odborný internetový časopis pre právo a spravodlivosť : vedecko-odborný recenzovaný časopis pre právo a bezpečnostné vedy. – Bratislava (Slovensko) : Business Intelligence Club. – ISSN (online) 1339-1038. – č. 09.11.2021 (2021), s. 1-16 [online] </t>
  </si>
  <si>
    <t xml:space="preserve">Spoločenský status rozvedených a znovuzosobášených manželov v prostredí katolíckej cirkvi / Lyko, Miroslav [Autor, UKFFFAKNS, 100%]. – text. – [slovenčina]. – [OV 020]. – [článok] In: Acta Facultatis theologicae Universitatis Comenianae Bratislaviensis [textový dokument (print)] [elektronický dokument] . – Bratislava (Slovensko) : Univerzita Komenského v Bratislave. Rímskokatolícka cyrilometodská bohoslovecká fakulta UK. – ISSN 1335-8081. – ISSN (online) 2644-6928. – Roč. 16, č. 1 (2019), s. 44-51 [tlačená forma] [online] </t>
  </si>
  <si>
    <t xml:space="preserve">Spoločenstvá bĺch drobných zemných cicavcov juhozápadného Slovenska / Košša, Jakub [Autor, 50%] ; Baláž, Ivan [Autor, UKFFPVKEE, 50%]. – text. – [slovenčina]. – [OV 100]. – [článok] In: Ekologické štúdie [textový dokument (print)] : recenzovaný vedecký časopis venovaný aktuálnym problémom ekológie, krajinnej ekológie a príbuzných vedných disciplín. – Nitra (Slovensko) : Slovenská akadémia vied. Slovenská ekologická spoločnosť pri SAV. – ISSN 1338-2853. – Roč. 11, č. 2 (2020), s. 53-65 [tlačená forma] </t>
  </si>
  <si>
    <t xml:space="preserve">Spolupráca ako princíp manažérskej etiky / Turčan, Ciprian [Autor, UKFFFAKAE 06.2022, 100%]. – text. – [slovenčina]. – [OV 020]. – [článok] In: Prohuman [elektronický dokument] : vedecko-odborný interdisciplinárny recenzovaný časopis, zameraný na oblasť spoločenských, sociálnych a humanitných vied : vedecko-odborný internetový časopis. – Bratislava (Slovensko) : Business Intelligence Club. – ISSN (online) 1338-1415. – č. 10. október (2021), s. 1-4 [online] </t>
  </si>
  <si>
    <t xml:space="preserve">Spolupráca medzi rodinou a školou žiaka s ADHD a ADD v bežnej základnej škole / Feranská, Margita [Autor, UKFPFAKPE, 100%]. – text. – [slovenčina]. – [OV 010]. – [článok] In: Prevencia [textový dokument (print)] : Informačný bulletin zameraný na prevenciu sociálno-patologických javov v rezorte školstva = Information Bulletin Aimed at Prevention of Social-pathological Phenomena in the Education Sector. – Bratislava (Slovensko) : Centrum vedecko-technických informácií SR. – ISSN 1336-3689. – Roč. 17, č. 3 (2018), s. 23-30 [tlačená forma] </t>
  </si>
  <si>
    <t xml:space="preserve">Spoveď dieťaťa dvoch vekov, starého a nového veku (2) : rozhovor s profesorom Františkom Kolim / Teplan, Dušan [Autor, UKFFFASJL, 50%] ; Koli, František [Autor, UKFFFAKSL, 50%]. – text. – [slovenčina]. – [OV 020]. – [článok] In: Litikon [textový dokument (print)] : časopis pre výskum literatúry = journal for literature research. – Nitra (Slovensko) : Univerzita Konštantína Filozofa v Nitre. – ISSN 2453-8507. – Roč. 3, č. 2 (2018), s. 285-326 [tlačená forma] </t>
  </si>
  <si>
    <t xml:space="preserve">Sprievodca litanickými formami v literatúre / Tkáč-Zabáková, Lenka [Autor, UKFFSSUSJ, 100%]. – [slovenčina]. – [OV 020]. – [článok] In: Fraktál [textový dokument (print)] : literatúra horizontálne a vertikálne. – Závod (Slovensko) : Fraktál. – ISSN 2585-8912. – Roč. 2, č. 1 (2019), s. 179-180 [tlačená forma] Rec: Litanická forma od avantgardy po súčasnosť [textový dokument (print)]  [monografia (do 2021)] / Juhásová, Jana [Autor, 100%] ; Zambor, Ján [Recenzent] ; Žilka, Tibor [Recenzent]. – 1. vyd. – Ružomberok (Slovensko) : Katolícka univerzita v Ružomberku. VERBUM - vydavateľstvo KU, 2018. – 223 s. [tlačená forma]. – ISBN 978-80-561-0562-7 </t>
  </si>
  <si>
    <t xml:space="preserve">Starting Points and Implications of the Analysis Possibilities of an Artistic Text / Štúr, Martin [Autor, UKFFFAKRO, 50%] ; Albuerne Gayo, Angélica [Autor, UKFFFAKKU, 50%]. – text. – [angličtina]. – [OV 020]. – [článok] In: Ars pro toto [textový dokument (print)] : vedecký a umelecký časopis = science &amp; art journal. – Banská Štiavnica : Hudobná a umelecká akadémia Jána Albrechta v Banskej Štiavnici. – ISSN 1338-6913. – Roč. 8, č. 1 (2019), s. 14-17 [tlačená forma] </t>
  </si>
  <si>
    <t xml:space="preserve">Stratégie rozvíjania kritického myslenia v pregraduálnej príprave učiteľov / Duchovičová, Jana [Autor, UKFPFAKPE, 40%] ; Petrová, Gabriela [Autor, UKFPFAKPE, 10%] ; Fenyvesiová, Lívia [Autor, UKFPFAKPE, 10%] ; Tomšik, Robert [Autor, UKFPFAKPE, 10%] ; Grofčíková, Soňa [Autor, UKFPFAKPE, 10%] ; Gunišová, Denisa [Autor, UKFPFAKPE, 10%] ; Kozárová, Nina [Autor, UKFPFAKPE, 10%]. – [slovenčina]. – [OV 010]. – [článok] In: Studia Scientifica Facultatis Paedagogicae [textový dokument (print)] [elektronický dokument] . – Ružomberok (Slovensko) : Katolícka univerzita v Ružomberku. VERBUM - vydavateľstvo KU. – ISSN 1336-2232. – Roč. 17, č. 1 (2018), s. 73-84 [tlačená forma] [online] </t>
  </si>
  <si>
    <t xml:space="preserve">Stratégie ženy v kontexte dynamiky násilia v partnerských vzťahoch / Juhásová, Andrea [Autor, UKFPFAKAP, 34%] ; Pavelová, Ľuba [Autor, 33%] ; Morávková, Silvia [Autor, UKFFSVKSP, 33%]. – text. – [slovenčina]. – [OV 060]. – [článok] In: Logos Polytechnikos [textový dokument (print)] [elektronický dokument] . – Jihlava (Česko) : Vysoká škola polytechnická Jihlava. – ISSN 1804-3682. – ISSN (online) 2464-7551. – Roč. 12, č. 2 (2021), s. 182-195 [tlačená forma] [online] </t>
  </si>
  <si>
    <t xml:space="preserve">Strategies of Critical Thinking Development in the Didactics of Informatics = Stratégie rozvoja kritického myslenia v didaktike informatiky / Lovászová, Gabriela [Autor, UKFFPVKIN, 100%]. – text. – [angličtina]. – [OV 010]. – [článok]. – DOI 10.18355/PG.2018.7.1.13 In: Slavonic Pedagogical Studies Journal [textový dokument (print)] [elektronický dokument] : the Scientific Educational Journal . – Nitra (Slovensko) : Slovenská Vzdelávacia a Obstarávacia. – ISSN 1339-8660. – ISSN (online) 1339-9055. – Roč. 7, č. 1 (2018), s. 134-144 [tlačená forma] [online] </t>
  </si>
  <si>
    <t xml:space="preserve">Stratený faustovský preklad baróna Antona II. Radvanského a indície o jeho poetike / Čakanek, Ján [Autor, UKFFFAKGE, 100%]. – text. – [slovenčina]. – [OV 020]. – [článok] In: Kritika prekladu [textový dokument (print)] [elektronický dokument] . – Banská Bystrica (Slovensko) : Univerzita Mateja Bela v Banskej Bystrici. Vydavateľstvo Univerzity Mateja Bela v Banskej Bystrici - Belianum. – ISSN 1339-3405. – Roč. 8, č. 1 (2020), s. 31-48 [tlačená forma] [online] </t>
  </si>
  <si>
    <t xml:space="preserve">Street dance ako kultúrny a spoločenský fenomén / Šviderská, Eunika [Autor, 50%] ; Čierna, Alena [Autor, UKFPFAKHU, 50%]. – [slovenčina]. – [OV 010]. – [článok] In: Slovenská hudba [textový dokument (print)] : revue pre hudobnú kultúru. – Bratislava (Slovensko) : Slovenská muzikologická asociácia pri Slovenskej hudobnej únii. – ISSN 1335-2458. – ISSN (zrušené) 0037-6965. – Roč. 45, č. 2 (2019), s. 132-153 [tlačená forma] </t>
  </si>
  <si>
    <t xml:space="preserve">Students’ Subtitling Project as a Tool of Project-based Learning / Ukušová, Jana [Autor, UKFFFAKTR, 100%]. – [angličtina]. – [OV 020]. – [článok] In: Bridge [elektronický dokument] : Trends and Traditions in Translation and Interpreting Studies. – Nitra (Slovensko) : Univerzita Konštantína Filozofa v Nitre. Filozofická fakulta. Katedra translatológie. – ISSN (online) 2729-8183. – Roč. 1, č. 1 (2020), s. 23-38 [online] </t>
  </si>
  <si>
    <t xml:space="preserve">Studne a krypty - ako príklad adaptácie slovenského etnika na prírodnú krajinu v Padine (Srbsko) / Žabenský, Marián [Autor, UKFFFAKMK, 100%]. – text, fotogr. – [slovenčina]. – [OV 030]. – [článok] In: Kontexty kultúry a turizmu [textový dokument (print)] . – Nitra (Slovensko) : Univerzita Konštantína Filozofa v Nitre. Filozofická fakulta. – ISSN 1337-7760. – Roč. 13, č. 1 (2020), s. 29-36 [tlačená forma] </t>
  </si>
  <si>
    <t xml:space="preserve">Subkultúra mladých kresťanov na Slovensku / Búry, Juraj [Autor, UKFFFAULK, 100%]. – text. – [slovenčina]. – [OV 020]. – [článok] In: Art communication &amp; popculture [textový dokument (print)] : časopis pre umeleckú komunikáciu a popkultúru. – Nitra (Slovensko) : Univerzita Konštantína Filozofa v Nitre. – ISSN 1339-9284. – Roč. 4, č. 2 (2018), s. 73-88 [tlačená forma] </t>
  </si>
  <si>
    <t xml:space="preserve">Subkultúry súvisiace so športom so zameraním na slovenské futbalové prostredie - Ultras MŠK Žilina / Straka, Jeremiáš [Autor, UKFFFAKMK, 100%]. – text. – [slovenčina]. – [OV 020]. – [článok] In: Kontexty kultúry a turizmu [textový dokument (print)] . – Nitra (Slovensko) : Univerzita Konštantína Filozofa v Nitre. Filozofická fakulta. – ISSN 1337-7760. – Roč. 13, č. 2 (2020), s. 133-148 [tlačená forma] </t>
  </si>
  <si>
    <t xml:space="preserve">Subverzia (pop)kultúry? : (popkultúrny symbol ako prostriedok aj objekt kritiky v súčasnej maľbe na Slovensku) / Pariláková, Eva [Autor, UKFFFAULK, 100%]. – text. – [slovenčina]. – [OV 020]. – [článok] In: Art communication &amp; popculture [textový dokument (print)] : časopis pre umeleckú komunikáciu a popkultúru. – Nitra (Slovensko) : Univerzita Konštantína Filozofa v Nitre. – ISSN 1339-9284. – Roč. 4, č. 2 (2018), s. 25-41 [tlačená forma] </t>
  </si>
  <si>
    <t xml:space="preserve">Súčasná západná civilizácia v kontexte diela Oswalda Spenglera / Palitefka, Jozef [Autor, UKFFFAKKU, 100%]. – text. – [slovenčina]. – [OV 060]. – [článok] In: Culturologica Slovaca [elektronický dokument] : internetový kulturologický časopis. – Nitra (Slovensko) : Univerzita Konštantína Filozofa v Nitre. – ISSN 2453-9740. – Roč. 5, č. 2 (2020), s. 21-32 [online] </t>
  </si>
  <si>
    <t xml:space="preserve">Súčasný človek ako zberateľ zážitkov = Contemporary man as a collector of experiences / Jakubovská, Viera [Autor, UKFFFAKFI, 100%]. – text. – [slovenčina]. – [OV 020]. – [článok] In: Mládež a spoločnosť [textový dokument (print)] : slovenský časopis pre štátnu politiku a výskum mládeže = Slovak journal for state policy and youth research. – Bratislava (Slovensko) : Centrum vedecko-technických informácií SR. – ISSN 1335-1109. – Roč. 27, č. 3-4 (2021), s. 79-88 [tlačená forma] </t>
  </si>
  <si>
    <t xml:space="preserve">Support of informatics teaching by the aid of gamification elements / Klimová, Nika [Autor, UKFFPVKIN, 100%]. – text. – [angličtina]. – [OV 160, 010]. – [článok] In: Slavonic Pedagogical Studies Journal [textový dokument (print)] [elektronický dokument] : the Scientific Educational Journal . – Nitra (Slovensko) : Slovenská Vzdelávacia a Obstarávacia. – ISSN 1339-8660. – ISSN (online) 1339-9055. – Roč. 8, č. 1 (2019), s. 196-207 [tlačená forma] [online] </t>
  </si>
  <si>
    <t xml:space="preserve">Sväté písmo ako pretext diela Sándora Weöresa Bratia predávajú Jozefa = The Holy Scripture as the Pretext of the Work of Sándor Weöres Brothers Selling Joseph / Žilka, Tibor [Autor, UKFFSSUSJ, 100%]. – text. – [slovenčina]. – [OV 020]. – [článok] In: Litikon [textový dokument (print)] : časopis pre výskum literatúry = journal for literature research. – Nitra (Slovensko) : Univerzita Konštantína Filozofa v Nitre. – ISSN 2453-8507. – Roč. 3, č. 2 (2018), s. 182-191 [tlačená forma] </t>
  </si>
  <si>
    <t xml:space="preserve">Svet (básnikových) vecí - veci (básnikovho) sveta : (od sentencií k poézii – úvahy o aforistickej a básnickej tvorbe Juraja Briškára) / Rédey, Zoltán [Autor, UKFFFAULK, 100%]. – text. – [slovenčina]. – [OV 020]. – [článok] In: Romboid [textový dokument (print)] : časopis pre literatúru a umeleckú komunikáciu. – Bratislava (Slovensko) : Zväz slovenských spisovateľov, Bratislava (Slovensko) : Asociácia organizácií spisovateľov Slovenska. – ISSN 0231-6714. – Roč. 54, č. 6 (2019), s. 76-86 [tlačená forma] </t>
  </si>
  <si>
    <t xml:space="preserve">Syndróm vyhorenia v kontexte pomáhajúcich profesií, I.časť / Vanková, Katarína [Autor, UKFFSVURS, 100%]. – text. – [slovenčina]. – [OV 020]. – [článok] In: Vychovávateľ [textový dokument (print)] : časopis pedagógov. – Bratislava (Slovensko) : Educatio. – ISSN 0139-6919. – Roč. 68, č. 9-10 (2020), s. 29-34 [tlačená forma] </t>
  </si>
  <si>
    <t xml:space="preserve">Systémové prvky druhošancového vzdelávania / Lukáč, Marek [Autor, PUPHUAN, 50%] ; Temiaková, Dominika [Autor, UKFPFAKPE, 50%]. – text. – [slovenčina]. – [OV 010]. – [článok]. – SIGN-PU FHPV-21 7/21 In: Mladá veda [elektronický dokument] . – Prešov (Slovensko) : Vydavateľstvo Universum EU. – ISSN (online) 1339-3189. – Roč. 9, č. 1 (2021), s. 23-32 [online] </t>
  </si>
  <si>
    <t xml:space="preserve">Školské prostredie a mediácia v civilnom práve / Vanková, Katarína [Autor, UKFFSVURS, 100%]. – text. – [slovenčina]. – [OV 010]. – [článok] In: Vychovávateľ [textový dokument (print)] : časopis pedagógov. – Bratislava (Slovensko) : Educatio. – ISSN 0139-6919. – Roč. 67, č. 1-2 (2019), s. 17-24 [tlačená forma] </t>
  </si>
  <si>
    <t xml:space="preserve">Špeciálna pedagogika verzus sociálna pedagogika / Jedličková, Petra [Autor, UKFPFAKPE, 100%]. – text. – [slovenčina]. – [OV 020]. – [článok] In: Prohuman [elektronický dokument] : vedecko-odborný interdisciplinárny recenzovaný časopis, zameraný na oblasť spoločenských, sociálnych a humanitných vied : vedecko-odborný internetový časopis. – Bratislava (Slovensko) : Business Intelligence Club. – ISSN (online) 1338-1415. – Roč. 2020, č. 3. apríl (2020), s. 1-7 [online] </t>
  </si>
  <si>
    <t xml:space="preserve">Špecifické časti kultúrneho potenciálu Slovákov vo Vukovej / Čukan, Jaroslav [Autor, UKFFFAKMK, 50%] ; Michalík, Boris [Autor, UKFFFAKMK, 50%]. – text. – [slovenčina]. – [OV 030]. – [článok] In: Kontexty kultúry a turizmu [textový dokument (print)] . – Nitra (Slovensko) : Univerzita Konštantína Filozofa v Nitre. Filozofická fakulta. – ISSN 1337-7760. – Roč. 11, č. 2 (2018), s. 9-20 [tlačená forma] </t>
  </si>
  <si>
    <t xml:space="preserve">Špecifiká obsahovej marketingovej stratégie v hudobnom priemysle / Štrbová, Edita [Autor, UKFFFAKMR, 50%] ; Sukupová, Kateřina [Autor, 50%]. – text. – [slovenčina]. – [OV 060]. – [článok] In: Dot.comm [elektronický dokument] : časopis pre teóriu, výskum a prax mediálnej a marketingovej komunikácie = journal for the theory, research and practice of media and marketing communication. – Bratislava (Slovensko) : Európska akadémia manažmentu marketingu a médií. – ISSN 1339-5181. – Roč. 9, č. 1 (2021), s. 41-53 [online] </t>
  </si>
  <si>
    <t xml:space="preserve">Športové a relaxačné zariadenia Prievidze a súčasný manažment mesta ako destinácie / Fraňová, Ivona [Autor, REKTOR, 50%] ; Zima, Roman [Autor, UKFFFAKMK, 50%]. – text. – [slovenčina]. – [OV 060]. – [článok] In: Kontexty kultúry a turizmu [textový dokument (print)] . – Nitra (Slovensko) : Univerzita Konštantína Filozofa v Nitre. Filozofická fakulta. – ISSN 1337-7760. – Roč. 12, č. 2 (2019), s. 105-113 [tlačená forma] </t>
  </si>
  <si>
    <t xml:space="preserve">Štruktúra reklamy na notebooky v systéme Google Ads = Structure of advertising on laptop in Google Ads system / Szabo, Peter [Autor, UKFFFAKMR, 50%] ; Remenárová, Zuzana [Autor, 50%]. – text. – [slovenčina]. – [OV 020]. – [článok] In: Dot.comm [elektronický dokument] : časopis pre teóriu, výskum a prax mediálnej a marketingovej komunikácie = journal for the theory, research and practice of media and marketing communication. – Bratislava (Slovensko) : Európska akadémia manažmentu marketingu a médií. – ISSN 1339-5181. – Roč. 7, č. 1-2 (2019), s. 28-36 [online] </t>
  </si>
  <si>
    <t xml:space="preserve">Štruktúrovanie učiva v kontexte rozvoja kritického myslenia žiakov / Kozárová, Nina [Autor, UKFPFAKPE, 50%] ; Petrová, Gabriela [Autor, UKFPFAKPE, 50%]. – text. – [slovenčina]. – [OV 010]. – [článok] In: Pedagogická revue [textový dokument (print)] [elektronický dokument] . – Bratislava (Slovensko) : Štátny pedagogický ústav. – ISSN 1335-1982. – ISSN (online) 2585-8424. – Roč. 65, č. 1 (2018), s. 30-45 [tlačená forma] [online] </t>
  </si>
  <si>
    <t xml:space="preserve">TA BU LA / Kratochvil, Martin [Autor, UKFPFAKVV, 100%]. – text. – [slovenčina]. – [OV 010]. – [článok] In: Studia Scientifica Facultatis Paedagogicae [textový dokument (print)] [elektronický dokument] . – Ružomberok (Slovensko) : Katolícka univerzita v Ružomberku. VERBUM - vydavateľstvo KU. – ISSN 1336-2232. – Roč. 18, č. 4 (2019), s. 33-43 [tlačená forma] [online] </t>
  </si>
  <si>
    <t xml:space="preserve">Távoktatás - digitális oktatás: miért, miként, merre, meddig...? / Pintes, Gábor [Autor, UKFPFAKPE, 100%]. – text. – [maďarčina]. – [OV 010]. – [článok] In: Katedra [elektronický dokument] : szlovákiai magyar pedagógusok és szülők lapja. – Dunajská Streda (Slovensko) : Nadácia Katedra. – ISSN 1335-6445. – ISSN (online) 2729-9066. – Roč. 29, č. 4 (2021), s. 13-15 [tlačená forma] [online] </t>
  </si>
  <si>
    <t xml:space="preserve">Teaching speaking through dialogues, discussions, and role-plays / Pauliková, Klaudia [Autor, UKFPFAKLI, 100%]. – text. – [angličtina]. – [OV 010]. – [článok]. – DOI 10.18355/PG.2018.7.1.4 In: Slavonic Pedagogical Studies Journal [textový dokument (print)] [elektronický dokument] : the Scientific Educational Journal . – Nitra (Slovensko) : Slovenská Vzdelávacia a Obstarávacia. – ISSN 1339-8660. – ISSN (online) 1339-9055. – Roč. 7, č. 1 (2018), s. 1-14 [tlačená forma] [online] </t>
  </si>
  <si>
    <t xml:space="preserve">Technické minimum / Širka, Ján [Autor, UKFPFAKTT, 100%]. – text. – [slovenčina]. – [OV 120]. – [článok] In: Technika a vzdelávanie [textový dokument (print)] [elektronický dokument] : časopis zameraný na technické vzdelávanie v základných, stredných i na vysokých školách, na oblasť základného a aplikovaného výskumu, aplikáciu informačných technológií vo výučbe odborných predmetov. – Banská Bystrica (Slovensko) : Univerzita Mateja Bela v Banskej Bystrici. Fakulta prírodných vied. – ISSN 1338-9742. – ISSN (online) 1339-9888. – Roč. 8, č. 1 (2019), s. 35-37 [tlačená forma] [online] </t>
  </si>
  <si>
    <t xml:space="preserve">Technické vzdelávanie v pregraduálnej príprave budúcich učiteľov / Stebila, Ján [Autor, UMBFP07, 50%] ; Depešová, Jana [Autor, UKFPFAKTT, 50%]. – text. – [slovenčina]. – [OV 010]. – [článok] In: Technika a vzdelávanie [textový dokument (print)] [elektronický dokument] : časopis zameraný na technické vzdelávanie v základných, stredných i na vysokých školách, na oblasť základného a aplikovaného výskumu, aplikáciu informačných technológií vo výučbe odborných predmetov. – Banská Bystrica (Slovensko) : Univerzita Mateja Bela v Banskej Bystrici. Fakulta prírodných vied. – ISSN 1338-9742. – ISSN (online) 1339-9888. – Roč. 7, č. 2 (2018), s. 42-44 [tlačená forma] [online] </t>
  </si>
  <si>
    <t xml:space="preserve">Technológia vo sfére intimity = koniec romantickej lásky? / Valková, Lucia [Autor, UKFFFAKKU, 100%]. – text. – [slovenčina]. – [OV 020]. – [článok] In: Culturologica Slovaca [elektronický dokument] : internetový kulturologický časopis. – Nitra (Slovensko) : Univerzita Konštantína Filozofa v Nitre. – ISSN 2453-9740. – Roč. 5, č. 1 (2020), s. 123-136 [online] </t>
  </si>
  <si>
    <t xml:space="preserve">Tematologické bádanie s pojmoslovným výstupom / Čechová, Mariana [Autor, UKFFFAULK, 100%]. – text. – [slovenčina]. – [OV 020]. – [článok] In: Fraktál [textový dokument (print)] : literatúra horizontálne a vertikálne. – Závod (Slovensko) : Fraktál. – ISSN 2585-8912. – Roč. 2, č. 2 (2019), s. 84-87 [tlačená forma] </t>
  </si>
  <si>
    <t xml:space="preserve">Temný turizmus a sprítomňovanie (ne)prítomnej smrti : Černobyľská jadrová katastrofa / Moravčíková, Erika [Autor, UKFFFAKKU, 50%] ; Gabašová, Katarína [Autor, UKFFFAKKU, 50%]. – text. – [slovenčina]. – [OV 020]. – [článok] In: Art communication &amp; popculture [textový dokument (print)] : časopis pre umeleckú komunikáciu a popkultúru. – Nitra (Slovensko) : Univerzita Konštantína Filozofa v Nitre. – ISSN 1339-9284. – Roč. 5, č. 1-2 (2019), s. 115-131 [tlačená forma] </t>
  </si>
  <si>
    <t xml:space="preserve">Tendencie používania anglicizmov v súčasnom publicistickom štýle / Welnitzová, Katarína [Autor, UKFFFAKTR, 100%]. – [slovenčina]. – [OV 020]. – [článok] In: Lingua et vita [textový dokument (print)] [elektronický dokument] : vedecký časopis pre výskum jazykov a interkultúrnej komunikácie. – Bratislava (Slovensko) : Ekonomická univerzita v Bratislave. Celouniverzitné pracovisko EUBA. Vydavateľstvo EKONÓM. – ISSN 1338-6743. – Roč. 9, č. 18 (2) (2020), s. 52-59 [tlačená forma] [online] </t>
  </si>
  <si>
    <t xml:space="preserve">Tendencie volebného správania príslušníkov maďarskej menšiny na Slovensku / Mészárosová, Zuzana [Autor, UKFFFAKPO, 100%]. – [slovenčina]. – [OV 060]. – [článok] In: Studia Politica Slovaca [textový dokument (print)] [elektronický dokument] : časopis pre politické vedy, najnovšie politické dejiny a medzinárodné vzťahy. – Bratislava (Slovensko) : Slovenská akadémia vied. – ISSN 1337-8163. – ISSN (online) 2585-8459. – Roč. 12, č. 1 (2019), s. 3-27 [tlačená forma] [online] </t>
  </si>
  <si>
    <t xml:space="preserve">Teoretické a praktické súvislosti ďalšieho vzdelávania učiteľov / Lomnický, Igor [Autor, UKFFFAKAE 06.2022, 100%]. – text. – [slovenčina]. – [OV 020]. – [článok] In: Civitas [textový dokument (print)] : časopis pre politické a sociálne vedy. – Nitra (Slovensko) : Univerzita Konštantína Filozofa v Nitre. Filozofická fakulta. Katedra politológie a euroázijských štúdií. – ISSN 1335-2652. – Roč. 25, č. 56 - 1 (2019), s. 10-13 [tlačená forma] </t>
  </si>
  <si>
    <t xml:space="preserve">Tepelná úprava „hroznového chalcedónu“ z Indonézie = Heat treatment of "grape chalcedony" from Indonesia / Štubňa, Ján [Autor, UKFFPVKGR, 100%]. – text. – [slovenčina]. – [OV 092]. – [článok] In: Gemologický spravodajca [textový dokument (print)] : časopis gemológov pri FPV UKF v Nitre. – Nitra (Slovensko) : Univerzita Konštantína Filozofa v Nitre. Fakulta prírodných vied. – ISSN 1337-6136. – ISSN (online) 1338-5275. – Roč. 11, č. 1 (2021), s. 18-23 [tlačená forma] </t>
  </si>
  <si>
    <t xml:space="preserve">Terénny výskum v kultúrnej antropológii v optike teórie a praxe / Čukan, Jaroslav [Autor, UKFFFAKMK, 50%] ; Michalík, Boris [Autor, UKFFFAKMK, 50%]. – text. – [slovenčina]. – [OV 020]. – [článok] In: Culturologica Slovaca [elektronický dokument] : internetový kulturologický časopis. – Nitra (Slovensko) : Univerzita Konštantína Filozofa v Nitre. – ISSN 2453-9740. – Roč. 6, č. 1 (2021), s. 91-100 [online] </t>
  </si>
  <si>
    <t xml:space="preserve">Természettudományos és művészeti integráció : A STEAM modell elméleti alapjai / Kárpáti, Andrea [Autor, UKFFSSUVP, 50%] ; Szabó, Tibor [Autor, UKFFSSUVP, 50%]. – text. – [maďarčina]. – [OV 010]. – [článok] In: Katedra [elektronický dokument] : szlovákiai magyar pedagógusok és szülők lapja. – Dunajská Streda (Slovensko) : Nadácia Katedra. – ISSN 1335-6445. – ISSN (online) 2729-9066. – Roč. 29, č. 3 (2021), s. 6-8 [tlačená forma] [online] </t>
  </si>
  <si>
    <t xml:space="preserve">Természettudományos és művészeti integráció 2 : A steam modell a gyakorlatban / Kárpáti, Andrea [Autor, UKFFSSUVP, 50%] ; Pataiová, Helena [Autor, UKFFSSUVP, 50%]. – [maďarčina]. – [OV 010]. – [článok] In: Katedra [elektronický dokument] : szlovákiai magyar pedagógusok és szülők lapja. – Dunajská Streda (Slovensko) : Nadácia Katedra. – ISSN 1335-6445. – ISSN (online) 2729-9066. – Roč. 29, č. 4 (2021), s. 26-28 [tlačená forma] [online] </t>
  </si>
  <si>
    <t xml:space="preserve">Testbe létezés, átlényegülés, kinyilatkoztatás : Beszédmód a Márk-változatban / Tolcsvai Nagy, Gábor [Autor, UKFFSSUML, 100%]. – text. – [maďarčina]. – [OV 010]. – [článok] In: Irodalmi Szemle [textový dokument (print)] [elektronický dokument] : irodalom, kritika, társadalomtudomány. – Bratislava (Slovensko) : Madách-Posonium. – ISSN 1336-5088. – Roč. 61, č. 2 (2018), s. 52-68 [tlačená forma] [online] </t>
  </si>
  <si>
    <t xml:space="preserve">Testovanie závislosti účelu začleňovania digitálnych prostriedkov do vyučovacieho procesu od kategórie učiteľa a dĺžky jeho pedagogickej praxe = Testing the dependence of the purpose of incorporating digital resources into the teaching process on teacher category and length of their teaching practice / Záhorec, Ján [Autor, UKOPDDPP, 50%] ; Hašková, Alena [Autor, UKFPFAKTT, 50%]. – text, tab. – [slovenčina]. – [OV 010]. – [článok]. – SIGN-UKO PD DP/21 In: Studia Scientifica Facultatis Paedagogicae [textový dokument (print)] [elektronický dokument] . – Ružomberok (Slovensko) : Katolícka univerzita v Ružomberku. VERBUM - vydavateľstvo KU. – ISSN 1336-2232. – Roč. 20, č. 1 (2021), s. 36-47 [tlačená forma] [online] </t>
  </si>
  <si>
    <t xml:space="preserve">Tetovania ako memoriae pictus a ego pictus (v kontextoch populárnej kultúry) / Boszorád, Martin [Autor, UKFFFAULK, 100%]. – text. – [slovenčina]. – [OV 020]. – [článok] In: Art communication &amp; popculture [textový dokument (print)] : časopis pre umeleckú komunikáciu a popkultúru. – Nitra (Slovensko) : Univerzita Konštantína Filozofa v Nitre. – ISSN 1339-9284. – Roč. 4, č. 2 (2018), s. 31-43 [tlačená forma] </t>
  </si>
  <si>
    <t xml:space="preserve">Text a diskurz vo vzájomných súvislostiach / Gallo, Ján [Autor, UKFFFAKRU, 100%]. – text. – [slovenčina]. – [OV 020]. – [článok] In: Slavica Nitriensia [textový dokument (print)] : časopis pre výskum slovanských filológií. – Nitra (Slovensko) : Univerzita Konštantína Filozofa v Nitre. – ISSN 1338-7464. – Roč. 7, č. 1 (2018), s. 30-39 [tlačená forma] </t>
  </si>
  <si>
    <t xml:space="preserve">The causes of adaptation difficulties of the beginning pupils / Teleková, Radka [Autor, UKFPFAKPE, 100%]. – text. – [angličtina]. – [OV 010]. – [článok]. – DOI 10.18355/PG.2020.9.2.4 In: Slavonic Pedagogical Studies Journal [textový dokument (print)] [elektronický dokument] : the Scientific Educational Journal . – Nitra (Slovensko) : Slovenská Vzdelávacia a Obstarávacia. – ISSN 1339-8660. – ISSN (online) 1339-9055. – Roč. 9, č. 2 (2020), s. 128-140 [tlačená forma] [online] </t>
  </si>
  <si>
    <t xml:space="preserve">The Cosplay Phenomenon in Intentions of Art Marketing / Hodinková, Dana [Autor, UKFFFAKMR, 35%] ; Púchovská, Oľga [Autor, UKFFFAKMR, 35%] ; Račkovičová, Lucia [Autor, 30%]. – text. – [angličtina]. – [OV 060]. – [ŠO 7205]. – [článok] In: Acta Ludologica [textový dokument (print)] [elektronický dokument] . – Trnava (Slovensko) : Univerzita sv. Cyrila a Metoda v Trnave. Fakulta masmediálnej komunikácie. – ISSN 2585-8599. – ISSN (online) 2585-9218. – Roč. 4, č. 2 (2021), s. 78-95 [tlačená forma] [online] </t>
  </si>
  <si>
    <t xml:space="preserve">The Development of Ethical Education through Digital Games: The Butterfly Effect Implementation / Magová, Lenka [Autor, UKFFFAKAE 06.2022, 100%]. – text. – [angličtina]. – [OV 020]. – [článok] In: Acta Ludologica [textový dokument (print)] [elektronický dokument] . – Trnava (Slovensko) : Univerzita sv. Cyrila a Metoda v Trnave. Fakulta masmediálnej komunikácie. – ISSN 2585-8599. – ISSN (online) 2585-9218. – Roč. 3, č. 1 (2020), s. 32-45 [tlačená forma] [online] </t>
  </si>
  <si>
    <t xml:space="preserve">The Factors the School Environment during the Teaching Process / Tureková, Ivana [Autor, UKFPFAKTT, 50%] ; Harangozó, Jozef [Autor, 50%]. – text. – [angličtina]. – [OV 010]. – [článok]. – DOI 10.17423/delta.2020.14.2.91 In: Delta [textový dokument (print)] [elektronický dokument] : vedecko-odborný časopis Katedry protipožiarnej ochrany = fire protection &amp; safety scientific journal = scientific and expert journal of the Department of Fire Protection. – Zvolen (Slovensko) : Technická univerzita vo Zvolene. Drevárska fakulta. Katedra protipožiarnej ochrany. – ISSN 1337-0863. – ISSN (online) 2585-9730. – Roč. 14, č. 2 (2020), s. 54-70 [tlačená forma] [online] </t>
  </si>
  <si>
    <t xml:space="preserve">The Good, the Bad and Metallica : Philosophical Reflections on the Concept of Evil in the Music of One Heavy Metal Band / Kocina, Petr [Autor, UKFFFAKAE 06.2022, 100%]. – text. – [angličtina]. – [OV 020]. – [článok] In: Ars pro toto [textový dokument (print)] : vedecký a umelecký časopis = science &amp; art journal. – Banská Štiavnica : Hudobná a umelecká akadémia Jána Albrechta v Banskej Štiavnici. – ISSN 1338-6913. – Roč. 10, č. 1 (2021), s. 18-22 [tlačená forma] </t>
  </si>
  <si>
    <t xml:space="preserve">The historical perception of the treaty of Trianon on the pages of educational texts / Hetényi, Martin [Autor, UKFFFAUKD, 50%] ; Kičková, Adriana [Autor, UKFFFAKHI, 50%]. – text. – [angličtina]. – [OV 020, 030]. – [článok]. – DOI 10.18355/PG.2020.9.2.11 In: Slavonic Pedagogical Studies Journal [textový dokument (print)] [elektronický dokument] : the Scientific Educational Journal . – Nitra (Slovensko) : Slovenská Vzdelávacia a Obstarávacia. – ISSN 1339-8660. – ISSN (online) 1339-9055. – Roč. 9, č. 2 (2020), s. 234-247 [tlačená forma] [online] </t>
  </si>
  <si>
    <t xml:space="preserve">The impact of mind maps on pupil’s attitude at primary schools toward educational process / Koleňáková, Rebeka Štefánia [Autor, UKFPFAKPE, 100%]. – text. – [angličtina]. – [OV 010]. – [článok]. – DOI 10.18355/PG.2018.7.1.10 In: Slavonic Pedagogical Studies Journal [textový dokument (print)] [elektronický dokument] : the Scientific Educational Journal . – Nitra (Slovensko) : Slovenská Vzdelávacia a Obstarávacia. – ISSN 1339-8660. – ISSN (online) 1339-9055. – Roč. 7, č. 1 (2018), s. 110-118 [tlačená forma] [online] </t>
  </si>
  <si>
    <t xml:space="preserve">The Impact of the Daniel Lichard ́s Work on the Stabilisation of Literary Form Slovak Language in Education / Nemčeková, Jana [Autor, UKFFFASJL, 100%]. – text. – [angličtina]. – [OV 020]. – [článok] In: Slavonic Pedagogical Studies Journal [textový dokument (print)] [elektronický dokument] : the Scientific Educational Journal . – Nitra (Slovensko) : Slovenská Vzdelávacia a Obstarávacia. – ISSN 1339-8660. – ISSN (online) 1339-9055. – Roč. 8, č. 2 (2019), s. 372-379 [tlačená forma] [online] </t>
  </si>
  <si>
    <t xml:space="preserve">The importance of concepts and misconcepts for discovering principals and inference activation in the Slovak language education = Význam konceptov a miskonceptov pre objavovanie zákonitosti a aktivizovanie inferencií vo vyučovaní slovenského jazyka / Kováčová, Zuzana [Autor, UKFFFAKSJ, 100%]. – text. – [angličtina]. – [OV 020]. – [článok] In: Slavonic Pedagogical Studies Journal [textový dokument (print)] [elektronický dokument] : the Scientific Educational Journal . – Nitra (Slovensko) : Slovenská Vzdelávacia a Obstarávacia. – ISSN 1339-8660. – ISSN (online) 1339-9055. – Roč. 7, č. 1 (2018), s. 60-79 [tlačená forma] [online] </t>
  </si>
  <si>
    <t xml:space="preserve">The problem of precedentness in contemporary Slovak literature and its translation (as reflected in M. Hvorecký’s novel Tahiti) / Zahorák, Andrej [Autor, UKFFFAKTR, 100%]. – text. – [slovenčina]. – [OV 020]. – [článok] In: Bridge [elektronický dokument] : Trends and Traditions in Translation and Interpreting Studies. – Nitra (Slovensko) : Univerzita Konštantína Filozofa v Nitre. Filozofická fakulta. Katedra translatológie. – ISSN (online) 2729-8183. – Roč. 2, č. 1 (2021), s. 68-79 [online] </t>
  </si>
  <si>
    <t xml:space="preserve">The relation of family, freedom and religion - separate or connected values? : (sociological and ethical implications) / Štefaňak, Ondrej [Autor, UKFFFAKSO, 50%] ; Zozuľaková, Viera [Autor, UKFFFAKSO, 50%]. – text. – [angličtina]. – [OV 060]. – [článok]. – DOI 10.17846/SS.2021.6.1.86-101 In: Sociológia a spoločnosť [textový dokument (print)] [elektronický dokument] : medzinárodný vedecký sociologický časopis. – Nitra (Slovensko) : Univerzita Konštantína Filozofa v Nitre. – ISSN 2453-8086. – ISSN (online) 2644-5980. – Roč. 6, č. 1 (2021), s. 86-101 [tlačená forma] [online] </t>
  </si>
  <si>
    <t xml:space="preserve">The Relationship Between Early Maladaptive Schemas And Attachment / Lukáč, Jaroslav [Autor, UKFFSVKPV, 50%] ; Popelková, Marta [Autor, UKFFSVKPV, 50%]. – [slovenčina]. – [OV 020]. – [článok]. – DOI 10.17846/PP.2020.3.1.5-19 In: Pomáhajúce profesie [textový dokument (print)] : recenzovaný vedecký časopis pre teóriu, výskum, prax a vzdelávanie v pomáhajúcich profesiách. – Nitra (Slovensko) : Univerzita Konštantína Filozofa v Nitre. – ISSN 2585-9447. – Roč. 3, č. 1 (2020), s. 5-19 [tlačená forma] [online] </t>
  </si>
  <si>
    <t xml:space="preserve">The shadow heroes of translation : on translators of Slovak literature into English / Pánisová, Ľudmila [Autor, UKFFFAKTR, 100%]. – text. – [angličtina]. – [OV 020]. – [článok] In: Bridge [elektronický dokument] : Trends and Traditions in Translation and Interpreting Studies. – Nitra (Slovensko) : Univerzita Konštantína Filozofa v Nitre. Filozofická fakulta. Katedra translatológie. – ISSN (online) 2729-8183. – Roč. 2, č. 1 (2021), s. 1-18 [online] </t>
  </si>
  <si>
    <t xml:space="preserve">The Transformation of Classroom into a Community of Inquiry as a strong Stimulus for Pupils to learn / Borisová, Simona [Autor, UKFPFAKPE, 100%]. – text. – [angličtina]. – [OV 010]. – [článok]. – DOI 10.18355/PG.2019.8.2.1 In: Slavonic Pedagogical Studies Journal [textový dokument (print)] [elektronický dokument] : the Scientific Educational Journal . – Nitra (Slovensko) : Slovenská Vzdelávacia a Obstarávacia. – ISSN 1339-8660. – ISSN (online) 1339-9055. – Roč. 8, č. 2 (2019), s. 270-276 [tlačená forma] [online] </t>
  </si>
  <si>
    <t xml:space="preserve">Tóth Gizella: Közelítések a magyarországi és szlovákiai roma irodalomhoz (1. 1. rész) / Tóthová, Gizela [Autor, UKFFSSUML, 100%]. – text. – [maďarčina]. – [OV 010]. – [článok] In: Katedra [elektronický dokument] : szlovákiai magyar pedagógusok és szülők lapja. – Dunajská Streda (Slovensko) : Nadácia Katedra. – ISSN 1335-6445. – ISSN (online) 2729-9066. – Roč. 27, č. 1 (2019), s. 16-18 [tlačená forma] [online] </t>
  </si>
  <si>
    <t xml:space="preserve">Tourism Undergraduates' As Creative Tourists' Experiences and Interests : Vysokoškolskí študenti v odbore Turizmus - zážitky a záujmy tvorivých turistov / Sándorová, Zuzana [Autor, UKFPFAKLI, 50%] ; Beták, Norbert [Autor, UKFFSSKCR, 50%]. – text. – [angličtina]. – [OV 080]. – [článok]. – DOI 10.17846/GI.2020.24.2.301-314 In: Geografické informácie [textový dokument (print)] [elektronický dokument] . – Nitra (Slovensko) : Univerzita Konštantína Filozofa v Nitre. – ISSN 1337-9453. – Roč. 24, č. 2 (2020), s. 301-314 [tlačená forma] [online] </t>
  </si>
  <si>
    <t xml:space="preserve">Tradičná kultúra, civilizačné procesy a cestovný ruch v Demänovskej Doline / Kurpaš, Michal [Autor, UKFFFAKMK, 50%] ; Kurpašová, Lucia [Autor, UKFFFAKMK, 50%]. – text. – [slovenčina]. – [OV 020]. – [článok] In: Kontexty kultúry a turizmu [textový dokument (print)] . – Nitra (Slovensko) : Univerzita Konštantína Filozofa v Nitre. Filozofická fakulta. – ISSN 1337-7760. – Roč. 13, č. 1 (2020), s. 59-70 [tlačená forma] </t>
  </si>
  <si>
    <t xml:space="preserve">Translating cultural capital in Michal Hvorecký’s novel Dunaj v Amerike / Miššíková, Gabriela [Autor, UKFFFAKAA, 100%]. – text. – [angličtina]. – [OV 020]. – [článok] In: Bridge [elektronický dokument] : Trends and Traditions in Translation and Interpreting Studies. – Nitra (Slovensko) : Univerzita Konštantína Filozofa v Nitre. Filozofická fakulta. Katedra translatológie. – ISSN (online) 2729-8183. – Roč. 2, č. 1 (2021), s. 53-67 [online] </t>
  </si>
  <si>
    <t xml:space="preserve">Translator’s Footnotes as an (In)Effective Translation Strategy / Ukušová, Jana [Autor, UKFFFAKTR, 100%]. – text. – [angličtina]. – [OV 020]. – [článok] In: Bridge [elektronický dokument] : Trends and Traditions in Translation and Interpreting Studies. – Nitra (Slovensko) : Univerzita Konštantína Filozofa v Nitre. Filozofická fakulta. Katedra translatológie. – ISSN (online) 2729-8183. – Roč. 2, č. special issue (2021), s. 51-70 [online] </t>
  </si>
  <si>
    <t xml:space="preserve">Tvorivé a kritické myslenie v pregraduálnej príprave budúcich učiteľov / Depešová, Jana [Autor, UKFPFAKTT, 100%]. – text. – [slovenčina]. – [OV 010]. – [článok] In: Technika a vzdelávanie [textový dokument (print)] [elektronický dokument] : časopis zameraný na technické vzdelávanie v základných, stredných i na vysokých školách, na oblasť základného a aplikovaného výskumu, aplikáciu informačných technológií vo výučbe odborných predmetov. – Banská Bystrica (Slovensko) : Univerzita Mateja Bela v Banskej Bystrici. Fakulta prírodných vied. – ISSN 1338-9742. – ISSN (online) 1339-9888. – Roč. 8, č. 2 (2019), s. 30-33 [tlačená forma] [online] </t>
  </si>
  <si>
    <t xml:space="preserve">Učebnica ako základ kurikula pre štruktúrovanie učiva / Kozárová, Nina [Autor, UKFPFAKPE, 50%] ; Petrová, Gabriela [Autor, UKFPFAKPE, 50%]. – text. – [slovenčina]. – [OV 010]. – [článok] In: Studia Scientifica Facultatis Paedagogicae [textový dokument (print)] [elektronický dokument] . – Ružomberok (Slovensko) : Katolícka univerzita v Ružomberku. VERBUM - vydavateľstvo KU. – ISSN 1336-2232. – Roč. 18, č. 1 (2019), s. 120-128 [tlačená forma] [online] </t>
  </si>
  <si>
    <t xml:space="preserve">Učebný štýl žiaka/študenta a jeho sebaúčinnosť vo vzťahu k školskej úspešnosti = Learning Style and Self-Efficacy in Relation to School Succes among Students / Foglová, Lucia [Autor, UKFPFAKAP, 50%] ; Tomšik, Robert [Autor, UKFPFAKPE, 50%]. – text. – [slovenčina]. – [OV 060]. – [článok] In: Prohuman [elektronický dokument] : vedecko-odborný interdisciplinárny recenzovaný časopis, zameraný na oblasť spoločenských, sociálnych a humanitných vied : vedecko-odborný internetový časopis. – Bratislava (Slovensko) : Business Intelligence Club. – ISSN (online) 1338-1415. – Roč. 2018, č. 3. máj (2018), s. 1-10 [online] </t>
  </si>
  <si>
    <t xml:space="preserve">Uhrančivo Fujakovská Onomatopoizácia / Fuják, Július [Autor, UKFFFAKKU, 100%]. – text. – [slovenčina]. – [OV 020]. – [článok] In: Vlna [textový dokument (print)] : časopis o súčasnom umení a kultúre. – Bratislava (Slovensko) : Drewo a srd. – ISSN 1335-5341. – ISSN (chybné) ISSN 1335-969X. – Roč. 23, č. 89 (2021), s. 84-89 [tlačená forma] </t>
  </si>
  <si>
    <t xml:space="preserve">Úloha hudobnej zložky v technike Divadlo fórum / Gálisová, Lenka [Autor, UKFPFAKHU, 100%]. – text. – [slovenčina]. – [OV 010]. – [článok] In: Slovenská hudba [textový dokument (print)] : revue pre hudobnú kultúru. – Bratislava (Slovensko) : Slovenská muzikologická asociácia pri Slovenskej hudobnej únii. – ISSN 1335-2458. – ISSN (zrušené) 0037-6965. – Roč. 45, č. 4 (2019), s. 382-388 [tlačená forma] </t>
  </si>
  <si>
    <t xml:space="preserve">Úloha sestry v prostredí školy / Pavelová, Ľuboslava [Autor, UKFFSVKOS, 25%] ; Krištofová, Erika [Autor, UKFFSVKOS, 25%] ; Mesárošová, Jozefína [Autor, UKFFSVKOS, 25%] ; Solgajová, Andrea [Autor, UKFFSVKOS, 25%]. – text. – [slovenčina]. – [OV 180]. – [článok] In: Pomáhajúce profesie [textový dokument (print)] : recenzovaný vedecký časopis pre teóriu, výskum, prax a vzdelávanie v pomáhajúcich profesiách. – Nitra (Slovensko) : Univerzita Konštantína Filozofa v Nitre. – ISSN 2585-9447. – Roč. 1, č. 2 (2018), s. 28-38 [tlačená forma] [online] </t>
  </si>
  <si>
    <t xml:space="preserve">Umiestnenie kontroly vo vzťahu ku zdraviu, adherencia k liečbe a sociálna opora pri rekonvalescencii pacientov po prekonaní cievnej mozgovej príhody / Katrušín, Boris [Autor, UKFFSVKPV, 50%] ; Sollár, Tomáš [Autor, UKFFSVUAP, 50%]. – text. – [slovenčina]. – [OV 060]. – [článok]. – DOI 10.17846/PP.2021.4.1.14-29 In: Pomáhajúce profesie [textový dokument (print)] : recenzovaný vedecký časopis pre teóriu, výskum, prax a vzdelávanie v pomáhajúcich profesiách. – Nitra (Slovensko) : Univerzita Konštantína Filozofa v Nitre. – ISSN 2585-9447. – Roč. 4, č. 1 (2021), s. 14-29 [tlačená forma] [online] </t>
  </si>
  <si>
    <t xml:space="preserve">Unikátny nález bronzového typária v Banskej Štiavnici / Labuda, Jozef [Autor, 50%] ; Glejtek, Miroslav [Autor, UKFFFAKHI, 50%]. – text. – [slovenčina]. – [OV 030]. – [článok] In: Pamiatky a múzeá [textový dokument (print)] [elektronický dokument] : revue pre kultúrne dedičstvo. – Bratislava (Slovensko) : Pamiatkový úrad Slovenskej republiky, Bratislava (Slovensko) : Slovenské národné múzeum. – ISSN 1335-4353. – ISSN (online) 1336-0949. – Roč. 69, č. 2 (2020), s. 2-8 [tlačená forma] [online] </t>
  </si>
  <si>
    <t xml:space="preserve">Uťaté sny alebo O neuskutočnených plánoch slovenských nadrealistov / Teplan, Dušan [Autor, UKFFFASJL, 100%]. – text. – [slovenčina]. – [OV 020]. – [článok] In: Fraktál [textový dokument (print)] : literatúra horizontálne a vertikálne. – Závod (Slovensko) : Fraktál. – ISSN 2585-8912. – Roč. 4, č. 2 (2021), s. 149-158 [tlačená forma] </t>
  </si>
  <si>
    <t xml:space="preserve">V globalizovanom svete sa bezpečne necíti nikto / Krno, Svetozár [Autor, UKFFFAKPO, 100%]. – [slovenčina]. – [OV 060]. – [článok] In: Civitas [textový dokument (print)] : časopis pre politické a sociálne vedy. – Nitra (Slovensko) : Univerzita Konštantína Filozofa v Nitre. Filozofická fakulta. Katedra politológie a euroázijských štúdií. – ISSN 1335-2652. – Roč. 26, č. 1 (2020), s. 1-2 [tlačená forma] </t>
  </si>
  <si>
    <t xml:space="preserve">V termínoch ukryté... Krátky pohľad na vybrané termíny v priesečníkoch lingvistiky a paleontológie = Hidden in the Terminology... A Brief Look at Select Terms in the Intersection of Linguistics and Paleontology / Sokolová, Jana [Autor, UKFFFAKRU, 50%] ; Sokol, Augustín [Autor, UKFFFAKRO, 50%]. – text. – [slovenčina]. – [OV 020]. – [článok] In: Slavica Nitriensia [textový dokument (print)] : časopis pre výskum slovanských filológií. – Nitra (Slovensko) : Univerzita Konštantína Filozofa v Nitre. – ISSN 1338-7464. – Roč. 9, č. 1 (2020), s. 31-46 [tlačená forma] </t>
  </si>
  <si>
    <t xml:space="preserve">Validita slovenskej verzie Multimetódovej objektívnej testovej batérie záujmov (MOI) / Hudáková, Miriama [Autor, UKFFSVUAP, 100%]. – text. – [slovenčina]. – [OV 060]. – [článok] In: Pomáhajúce profesie [textový dokument (print)] : recenzovaný vedecký časopis pre teóriu, výskum, prax a vzdelávanie v pomáhajúcich profesiách. – Nitra (Slovensko) : Univerzita Konštantína Filozofa v Nitre. – ISSN 2585-9447. – Roč. 1, č. 2 (2018), s. 5-17 [tlačená forma] [online] </t>
  </si>
  <si>
    <t xml:space="preserve">Value paradigms in literature / Kolářová, Barbora [Autor, UKFFFAKRO, 100%]. – text. – [slovenčina]. – [OV 010]. – [článok] In: Prohuman [elektronický dokument] : vedecko-odborný interdisciplinárny recenzovaný časopis, zameraný na oblasť spoločenských, sociálnych a humanitných vied : vedecko-odborný internetový časopis. – Bratislava (Slovensko) : Business Intelligence Club. – ISSN (online) 1338-1415. – č. 21. apríl (2021), s. 1-14 [online] </t>
  </si>
  <si>
    <t xml:space="preserve">Vedecko-pedagogický rast a prínos prof. RNDr. Vladimíra Drgoňu, CSc. pre rozvoj slovenskej geografie (vybrané teoreticko-metavedecké aspekty) / Žigrai, Florin [Autor, 50%] ; Boltižiar, Martin [Autor, UKFFPVKGR, 50%]. – text. – [slovenčina]. – [OV 092]. – [článok] In: Geografické informácie [textový dokument (print)] [elektronický dokument] . – Nitra (Slovensko) : Univerzita Konštantína Filozofa v Nitre. – ISSN 1337-9453. – Roč. 25, č. 1 (2021), s. 4-20 [tlačená forma] [online] </t>
  </si>
  <si>
    <t xml:space="preserve">Vegetácia z pohľadu využiteľnosti pre rekreačnú funkciu / Rózová, Zdenka [Autor, UKFFPVKEE, 50%] ; Turanovičová, Martina [Autor, UKFFPVKEE, 50%]. – [slovenčina]. – [OV 100]. – [článok] In: Ekologické štúdie [textový dokument (print)] : recenzovaný vedecký časopis venovaný aktuálnym problémom ekológie, krajinnej ekológie a príbuzných vedných disciplín. – Nitra (Slovensko) : Slovenská akadémia vied. Slovenská ekologická spoločnosť pri SAV. – ISSN 1338-2853. – Roč. 10, č. 1 (2019), s. 54-62 [tlačená forma] </t>
  </si>
  <si>
    <t xml:space="preserve">Veľký Pereg - príspevok k výskumu kultúrneho potenciálu / Kurpaš, Michal [Autor, UKFFFAKMK, 50%] ; Letavajová, Silvia [Autor, UKFFFAKMK, 50%]. – text. – [slovenčina]. – [OV 030]. – [článok] In: Kontexty kultúry a turizmu [textový dokument (print)] . – Nitra (Slovensko) : Univerzita Konštantína Filozofa v Nitre. Filozofická fakulta. – ISSN 1337-7760. – Roč. 11, č. 2 (2018), s. 35-42 [tlačená forma] </t>
  </si>
  <si>
    <t xml:space="preserve">Verhovina és Nyárliget a műfaji határsáv tükrében / Radics, Rudolf [Autor, UKFFSSUML, 100%]. – text. – [maďarčina]. – [OV 020]. – [článok] In: Irodalmi Szemle [textový dokument (print)] [elektronický dokument] : irodalom, kritika, társadalomtudomány. – Bratislava (Slovensko) : Madách-Posonium. – ISSN 1336-5088. – Roč. 63, č. 5 (2020), s. 30-44 [tlačená forma] [online] </t>
  </si>
  <si>
    <t xml:space="preserve">Video Games and Less Widely Spoken Languages: The Baltic States / Koscelníková, Mária [Autor, UKFFFAKTR, 100%]. – text. – [angličtina]. – [OV 020]. – [článok] In: Bridge [elektronický dokument] : Trends and Traditions in Translation and Interpreting Studies. – Nitra (Slovensko) : Univerzita Konštantína Filozofa v Nitre. Filozofická fakulta. Katedra translatológie. – ISSN (online) 2729-8183. – Roč. 1, č. 1 (2020), s. 68-87 [online] </t>
  </si>
  <si>
    <t xml:space="preserve">Vidiecke brownfieldy v okrese Zlaté Moravce = Rural Brownfields in the Zlaté Moravce District / Némethová, Jana [Autor, UKFFPVKGR, 90%] ; Horváthová, Michaela [Autor, 10%]. – text. – [slovenčina]. – [OV 092]. – [článok]. – DOI 10.17846/GI.2019.23.2.34-53 In: Geografické informácie [textový dokument (print)] [elektronický dokument] . – Nitra (Slovensko) : Univerzita Konštantína Filozofa v Nitre. – ISSN 1337-9453. – Roč. 23, č. 2 (2019), s. 34-53 [tlačená forma] [online] </t>
  </si>
  <si>
    <t xml:space="preserve">Vieme ako dosiahnuť šťastie vo svojom živote? / Jakubovská, Viera [Autor, UKFFFAKFI, 100%]. – text. – [slovenčina]. – [OV 020]. – [článok] In: Mládež a spoločnosť [textový dokument (print)] : slovenský časopis pre štátnu politiku a výskum mládeže = Slovak journal for state policy and youth research. – Bratislava (Slovensko) : Centrum vedecko-technických informácií SR. – ISSN 1335-1109. – Roč. 26, č. 4 (2020), s. 59-70 [tlačená forma] </t>
  </si>
  <si>
    <t xml:space="preserve">Vizualizácia a korekcia mentálneho obrazu / Kmeťová, Mária [Autor, UKFFPVKMA, 50%] ; Vágová, Renáta [Autor, UKFFPVKMA, 50%]. – text. – [slovenčina]. – [OV 010, 240]. – [článok] In: G slovenský časopis pre geometriu a grafiku [textový dokument (print)] : slovak journal for geometry and graphics. – Bratislava (Slovensko) : Slovenská spoločnosť pre geometriu a grafiku. – ISSN 1336-524X. – Roč. 16, č. 32 (2019), s. 5-18 [tlačená forma] </t>
  </si>
  <si>
    <t xml:space="preserve">Vizuálna pocta ku vzniku Československa a jeho kritické čítanie v súčasnosti – Alfons Mucha a Jiří David / Kapsová, Eva [Autor, UKFFFAULK, 100%]. – text. – [slovenčina]. – [OV 010]. – [článok] In: Stredoeurópske pohľady [textový dokument (print)] [elektronický dokument] : časopis pre jazyk, literatúru, kultúru a médiá. – Nitra (Slovensko) : Univerzita Konštantína Filozofa v Nitre. Fakulta stredoeurópskych štúdií. Ústav stredoeurópskych jazykov a kultúr. – ISSN 2644-6367. – ISSN (online) 2644-6472. – Roč. 1, č. 1 (2019), s. 95-102 [tlačená forma] [online] </t>
  </si>
  <si>
    <t xml:space="preserve">Vnemový marketing – nosič komplexného kultúrneho zážitku a emócie v kontexte rozvoja kultúrnej inštitúcie / Štosel, Marek [Autor, UKFFFAKMR, 100%]. – text. – [slovenčina]. – [OV 020]. – [článok] In: Culturologica Slovaca [elektronický dokument] : internetový kulturologický časopis. – Nitra (Slovensko) : Univerzita Konštantína Filozofa v Nitre. – ISSN 2453-9740. – Roč. 6, č. 2 (2021), s. 149-160 [online] </t>
  </si>
  <si>
    <t xml:space="preserve">Vnímanie digitálneho influencera na Instagrame a jeho dopad na nákupné správanie / Štrbová, Edita [Autor, UKFFFAKMR, 50%] ; Reľovská, Dominika [Autor, UKFFFAKMR, 50%]. – text. – [slovenčina]. – [OV 060]. – [článok] In: Marketing science and inspirations [textový dokument (print)] [elektronický dokument] : vedecký časopis zameraný na problematiku marketingu a marketingového manažmentu. – Bratislava (Slovensko) : Univerzita Komenského v Bratislave. Fakulta managementu UK. – ISSN 1338-7944. – Roč. 16, č. 3 (2021), s. 31-41 [tlačená forma] [online] </t>
  </si>
  <si>
    <t xml:space="preserve">Vnímanie jednotlivých foriem reklamy spotrebiteľmi / Korenková, Marcela [Autor, UKFFPVUMI, 95%] ; Töröková, Zuzana [Autor, 5%]. – text. – [slovenčina]. – [OV 060]. – [článok] In: Journal of global science [elektronický dokument] . – Prešov (Slovensko) : eXclusive marketing. – ISSN (online) 2453-756X. – suppl. Roč. 5 (2020), s. 1-7 [online] </t>
  </si>
  <si>
    <t xml:space="preserve">Vnímanie komunikátov digitálneho marketingu na sociálnych sietiach u detí staršieho školského veku / Janková, Györgyi [Autor, UKFFFAKMR, 50%] ; Vaverčáková, Miriama [Autor, 50%]. – text. – [slovenčina]. – [OV 060]. – [článok] In: Prohuman [elektronický dokument] : vedecko-odborný interdisciplinárny recenzovaný časopis, zameraný na oblasť spoločenských, sociálnych a humanitných vied : vedecko-odborný internetový časopis. – Bratislava (Slovensko) : Business Intelligence Club. – ISSN (online) 1338-1415. – č. 1. november (2021), s. 1-4 [online] </t>
  </si>
  <si>
    <t xml:space="preserve">Voľný čas a fenomén uponáhľanosti / Jakubovská, Viera [Autor, UKFFFAKFI, 100%]. – text. – [slovenčina]. – [OV 020]. – [článok] In: Mládež a spoločnosť [textový dokument (print)] : slovenský časopis pre štátnu politiku a výskum mládeže = Slovak journal for state policy and youth research. – Bratislava (Slovensko) : Centrum vedecko-technických informácií SR. – ISSN 1335-1109. – Roč. 27, č. 1 (2021), s. 16-34 [tlačená forma] </t>
  </si>
  <si>
    <t xml:space="preserve">Vplyv gramotnosti na mladých ľudí / Selická, Denisa [Autor, UKFFFAKSO, 100%]. – text. – [slovenčina]. – [OV 060]. – [článok] In: Revue spoločenských a humanitných vied [elektronický dokument] . – Sládkovičovo (Slovensko) : Vysoká škola Danubius. – ISSN (online) 1339-259X. – Roč. 9, č. 1 (2021), s. 1-9 [online] </t>
  </si>
  <si>
    <t xml:space="preserve">Vplyv kvality pracovného prostredia učebne na efektivitu vzdelávania žiakov / Tomková, Viera [Autor, UKFPFAKTT, 100%]. – text. – [slovenčina]. – [OV 010]. – [článok] In: Technika a vzdelávanie [textový dokument (print)] [elektronický dokument] : časopis zameraný na technické vzdelávanie v základných, stredných i na vysokých školách, na oblasť základného a aplikovaného výskumu, aplikáciu informačných technológií vo výučbe odborných predmetov. – Banská Bystrica (Slovensko) : Univerzita Mateja Bela v Banskej Bystrici. Fakulta prírodných vied. – ISSN 1338-9742. – ISSN (online) 1339-9888. – Roč. 8, č. 1 (2019), s. 13-15 [tlačená forma] [online] </t>
  </si>
  <si>
    <t xml:space="preserve">Vplyv morfodynamických procesov na krajinnú pokrývku v podmienkach dolinového systému tatier (Mengusovská dolina) / Čajková, Silvia [Autor, UKFFPVKEE, 50%] ; Hreško, Juraj [Autor, UKFFPVKEE, 50%]. – text. – [slovenčina]. – [OV 100]. – [článok] In: Geografické informácie [textový dokument (print)] [elektronický dokument] . – Nitra (Slovensko) : Univerzita Konštantína Filozofa v Nitre. – ISSN 1337-9453. – Roč. 24, č. 1 (2020), s. 86-95 [tlačená forma] [online] </t>
  </si>
  <si>
    <t xml:space="preserve">Vplyv sociálno-psychologického výcviku na osobnosť lektorov / Rapsová, Lucia [Autor, UKFPFAKPE, 100%]. – text. – [slovenčina]. – [OV 010]. – [článok] In: Prohuman [elektronický dokument] : vedecko-odborný interdisciplinárny recenzovaný časopis, zameraný na oblasť spoločenských, sociálnych a humanitných vied : vedecko-odborný internetový časopis. – Bratislava (Slovensko) : Business Intelligence Club. – ISSN (online) 1338-1415. – Roč. 27. november (2021), s. 1-16 [online] </t>
  </si>
  <si>
    <t xml:space="preserve">Vplyv tréningu fonologického uvedomovania na úroveň jazykových schopností v slovenskom jazyku u dieťaťa s rodným jazykom maďarčinou = Influence of phonological awareness training on the level of language skills in the slovak language of a child with the hungarian mother tongue / Melišeková Dojčanová, Adela [Autor, UKFPFAKPE, 100%]. – text. – [angličtina]. – [OV 010]. – [článok] In: Slavonic Pedagogical Studies Journal [textový dokument (print)] [elektronický dokument] : the Scientific Educational Journal . – Nitra (Slovensko) : Slovenská Vzdelávacia a Obstarávacia. – ISSN 1339-8660. – ISSN (online) 1339-9055. – Roč. 8, č. 2 (2019), s. 304-313 [tlačená forma] [online] </t>
  </si>
  <si>
    <t xml:space="preserve">Vplyv vybraných chemických látok používaných v domácnosti na perly = Impact of Selected the Household Chemicals on Pearls / Čičková, Adriána [Autor, 25%] ; Štubňa, Ján [Autor, UKFFPVGMU, 75%]. – text. – [slovenčina]. – [OV 092]. – [článok] In: Gemologický spravodajca [textový dokument (print)] : časopis gemológov pri FPV UKF v Nitre. – Nitra (Slovensko) : Univerzita Konštantína Filozofa v Nitre. Fakulta prírodných vied. – ISSN 1337-6136. – ISSN (online) 1338-5275. – Roč. 9, č. 2 (2019), s. 5-19 [tlačená forma] </t>
  </si>
  <si>
    <t xml:space="preserve">Všímavosť a autenticita u adolescentov / Hudáková, Miriama [Autor, UKFFSVUAP, 99%] ; Együdová, Kristína [Autor, 1%]. – text. – [slovenčina]. – [OV 060]. – [článok] In: Pomáhajúce profesie [textový dokument (print)] : recenzovaný vedecký časopis pre teóriu, výskum, prax a vzdelávanie v pomáhajúcich profesiách. – Nitra (Slovensko) : Univerzita Konštantína Filozofa v Nitre. – ISSN 2585-9447. – Roč. 2, č. 2 (2019), s. 30-39 [tlačená forma] [online] </t>
  </si>
  <si>
    <t xml:space="preserve">Všímavosť a rizikové správanie u adolescentov / Hudáková, Miriama [Autor, UKFFSVUAP, 99%] ; Havajová, Katarína [Autor, 1%]. – text. – [slovenčina]. – [OV 060]. – [článok] In: Pomáhajúce profesie [textový dokument (print)] : recenzovaný vedecký časopis pre teóriu, výskum, prax a vzdelávanie v pomáhajúcich profesiách. – Nitra (Slovensko) : Univerzita Konštantína Filozofa v Nitre. – ISSN 2585-9447. – Roč. 3, č. 2 (2020), s. 33-34 [tlačená forma] [online] </t>
  </si>
  <si>
    <t xml:space="preserve">Vybrané aspekty sociálnej starostlivosti o deti a mládež v Slovenskej republike 1939-1945 / Rigová, Viktória [Autor, UKFFFAKHI, 100%]. – text. – [slovenčina]. – [OV 030]. – [článok] In: Mladá veda [elektronický dokument] . – Prešov (Slovensko) : Vydavateľstvo Universum EU. – ISSN (online) 1339-3189. – Roč. 7, č. 2 (2019), s. 199-209 [online] </t>
  </si>
  <si>
    <t xml:space="preserve">Vybrané biologické riziká ako inovatívna edukačná téma vo vyučovacích predmetoch základných škôl = Selected Biological Risks As an Innovative Educational Topic in Subjects of Primary Schools / Jakusová, Denisa [Autor, 60%] ; Kramáreková, Hilda [Autor, UKFFPVKGR, 40%]. – text. – [slovenčina]. – [OV 010]. – [článok]. – DOI 10.17846/GI.2020.24.1.157-172 In: Geografické informácie [textový dokument (print)] [elektronický dokument] . – Nitra (Slovensko) : Univerzita Konštantína Filozofa v Nitre. – ISSN 1337-9453. – Roč. 24, č. 1 (2020), s. 157-172 [tlačená forma] [online] </t>
  </si>
  <si>
    <t xml:space="preserve">Vybrané sociálno – patologické javy v školskom prostredí a ich prevencia = Selected Socio-Pathological Phenomena in School Environment and Their Prevention / Jašeková, Nina [Autor, UKFFSVKSP, 40%] ; Šmíkalová, Dominika [Autor, 60%]. – text. – [slovenčina]. – [OV 060]. – [článok] In: Prohuman [elektronický dokument] : vedecko-odborný interdisciplinárny recenzovaný časopis, zameraný na oblasť spoločenských, sociálnych a humanitných vied : vedecko-odborný internetový časopis. – Bratislava (Slovensko) : Business Intelligence Club. – ISSN (online) 1338-1415. – Roč. 2020, č. 7. júl (2020), s. 1-8 [online] </t>
  </si>
  <si>
    <t xml:space="preserve">Výhody zavedenia značky cieľového miesta manažérskymi organizáciami cestovného ruchu na Slovensku a v Maďarsku / Mazúchová, Ľudmila [Autor, UKFFSSKCR, 50%] ; Palenčíková, Zuzana [Autor, UKFFSSKCR, 50%]. – text. – [slovenčina]. – [OV 080]. – [článok] In: Ekonomická revue cestovného ruchu [textový dokument (print)] . – Banská Bystrica (Slovensko) : Univerzita Mateja Bela v Banskej Bystrici. Ekonomická fakulta. – ISSN 0139-8660. – Roč. 51, č. 4 (2018), s. 196-205 [tlačená forma] </t>
  </si>
  <si>
    <t xml:space="preserve">Výchova k neľahostajnosti: Príspevok Zuzany Svobodovej k hľadaniu filozofických základov náboženskej výchovy / Blaščíková, Andrea [Autor, UKFFFAKNS, 100%]. – text. – [slovenčina]. – [OV 010]. – [článok] In: Philosophica critica [textový dokument (print)] : medzinárodný vedecký filozofický časopis = international scientific journal of philosophy. – Nitra (Slovensko) : Univerzita Konštantína Filozofa v Nitre. Filozofická fakulta. Katedra filozofie. – ISSN 1339-8970. – ISSN (online) 2585-7479. – Roč. 6, č. 1 (2020), s. 85-97 [tlačená forma] </t>
  </si>
  <si>
    <t xml:space="preserve">Výskum krajiny, nemeckej kultúry a baníctva v Malinovej / Žabenský, Marián [Autor, UKFFFAKMK, 100%]. – text. – [slovenčina]. – [OV 030]. – [článok] In: Kontexty kultúry a turizmu [textový dokument (print)] . – Nitra (Slovensko) : Univerzita Konštantína Filozofa v Nitre. Filozofická fakulta. – ISSN 1337-7760. – Roč. 12, č. 2 (2019), s. 35-56 [tlačená forma] </t>
  </si>
  <si>
    <t xml:space="preserve">Výskum kultúrnej krajiny a toponým na Dolnej zemi s akcentom na realizáciu projektu APVV Kultúrny potenciál dolnozemských Slovákov / Žabenský, Marián [Autor, UKFFFAKMK, 100%]. – text, ilustr. – [slovenčina]. – [OV 030]. – [článok] In: Kontexty kultúry a turizmu [textový dokument (print)] . – Nitra (Slovensko) : Univerzita Konštantína Filozofa v Nitre. Filozofická fakulta. – ISSN 1337-7760. – Roč. 13, č. 2 (2020), s. 59-68 [tlačená forma] </t>
  </si>
  <si>
    <t xml:space="preserve">Výskum vážok (Odonata) mokradí Borskej nížiny / Šiblová, Zuzana [Autor, UKFFPVKEE, 50%] ; Moyzesová, Milena [Autor, 50%]. – text. – [slovenčina]. – [OV 100]. – [článok] In: Ekologické štúdie [textový dokument (print)] : recenzovaný vedecký časopis venovaný aktuálnym problémom ekológie, krajinnej ekológie a príbuzných vedných disciplín. – Nitra (Slovensko) : Slovenská akadémia vied. Slovenská ekologická spoločnosť pri SAV. – ISSN 1338-2853. – Roč. 10, č. 1 (2019), s. 119-126 [tlačená forma] </t>
  </si>
  <si>
    <t xml:space="preserve">Výskum zameraný na rozvíjanie osobnosti žiaka a jeho kompetencie / Jakubovská, Viera [Autor, UKFFFAKFI, 100%]. – text. – [slovenčina]. – [OV 010]. – [článok] In: Mládež a spoločnosť [textový dokument (print)] : slovenský časopis pre štátnu politiku a výskum mládeže = Slovak journal for state policy and youth research. – Bratislava (Slovensko) : Centrum vedecko-technických informácií SR. – ISSN 1335-1109. – Roč. 25, č. 3-4 (2019), s. 51-64 [tlačená forma] </t>
  </si>
  <si>
    <t xml:space="preserve">Výskyt cievnej mozgovej príhody u pacientov hospitalizovaných vo Fakultnej nemocnici v Nitre / Brázdilová, Dana [Autor, UKFFSVKUM, 100%]. – text. – [slovenčina]. – [OV 180]. – [článok] In: Pomáhajúce profesie [textový dokument (print)] : recenzovaný vedecký časopis pre teóriu, výskum, prax a vzdelávanie v pomáhajúcich profesiách. – Nitra (Slovensko) : Univerzita Konštantína Filozofa v Nitre. – ISSN 2585-9447. – Roč. 1, č. 2 (2018), s. 49-56 [tlačená forma] [online] </t>
  </si>
  <si>
    <t xml:space="preserve">Vysokoškoláci a extrémizmus / Selická, Denisa [Autor, UKFFFAKSO, 100%]. – text. – [slovenčina]. – [OV 060]. – [článok] In: Mládež a spoločnosť [textový dokument (print)] : slovenský časopis pre štátnu politiku a výskum mládeže = Slovak journal for state policy and youth research. – Bratislava (Slovensko) : Centrum vedecko-technických informácií SR. – ISSN 1335-1109. – Roč. 26, č. 2 (2020), s. 36-45 [tlačená forma] </t>
  </si>
  <si>
    <t xml:space="preserve">Výtvarné umenie v službách propagandy v období prvej Slovenskej republiky (1939 - 1945) / Rožňová, Jitka [Autor, UKFFFAKZU, 100%]. – text. – [slovenčina]. – [OV 060]. – [článok] In: Analýza a výskum v marketingovej komunikácii [textový dokument (print)] . – Nitra (Slovensko) : Univerzita Konštantína Filozofa v Nitre. Filozofická fakulta. – ISSN 1339-3715. – Roč. 7, č. 1 (2019), s. 11-25 [tlačená forma] </t>
  </si>
  <si>
    <t xml:space="preserve">Vyučovanie matematiky orientovaného na budovanie mentálnych schém a výsledky z pozorovania žiakov počas vyučovania / Páleníková, Kitti [Autor, UKFFPVKMA, 50%] ; Senderáková, Katarína [Autor, 50%]. – text. – [slovenčina]. – [OV 010, 240]. – [článok]. – DOI 10.17846/AMN.2019.5.2.11-22 In: Acta Mathematica Nitriensia [elektronický dokument] . – Nitra (Slovensko) : Univerzita Konštantína Filozofa v Nitre. Fakulta prírodných vied a informatiky. Katedra matematiky. – ISSN 2453-6083. – Roč. 5, č. 2 (2019), s. 11-22 [online] </t>
  </si>
  <si>
    <t xml:space="preserve">Vyučovanie slovenčiny ako objavovanie optiky obsiahnutej v materinskom jazyku / Dudová, Katarína [Autor, UKFFFASJL, 100%]. – text. – [slovenčina]. – [OV 010]. – [článok] In: Slovenčinári [elektronický dokument] : časopis Spoločenstva učiteľov a priateľov slovenčiny. – Bratislava (Slovensko) : Spoločenstvo učiteľov a priateľov slovenčiny. – ISSN (online) 2585-9331. – Roč. 1, č. 2 (2018), s. 5-10 [online] </t>
  </si>
  <si>
    <t xml:space="preserve">Vyučovanie v oblasti mikrokontrolérov s akcentom na formy sprostredkovania informácií / Palaj, Miloš [Autor, UKFPFAKTT, 50%] ; Skačan, Miloslav [Autor, UKFPFAKTT, 50%]. – text. – [slovenčina]. – [OV 010]. – [článok] In: Technika a vzdelávanie [textový dokument (print)] [elektronický dokument] : časopis zameraný na technické vzdelávanie v základných, stredných i na vysokých školách, na oblasť základného a aplikovaného výskumu, aplikáciu informačných technológií vo výučbe odborných predmetov. – Banská Bystrica (Slovensko) : Univerzita Mateja Bela v Banskej Bystrici. Fakulta prírodných vied. – ISSN 1338-9742. – ISSN (online) 1339-9888. – Roč. 7, č. 2 (2018), s. 7-9 [tlačená forma] [online] </t>
  </si>
  <si>
    <t xml:space="preserve">Využitie arteterapeutických šablón pri práci s deťmi s poruchami správania / Sender, Barbora [Autor, UKFPFAKPE, 100%]. – text. – [slovenčina]. – [OV 010]. – [článok] In: Prohuman [elektronický dokument] : vedecko-odborný interdisciplinárny recenzovaný časopis, zameraný na oblasť spoločenských, sociálnych a humanitných vied : vedecko-odborný internetový časopis. – Bratislava (Slovensko) : Business Intelligence Club. – ISSN (online) 1338-1415. – č. 28. január (2021), s. 1-11 [online] </t>
  </si>
  <si>
    <t xml:space="preserve">Využitie bezpilotných lietajúcich prostriedkov na príklade agrotechnických aplikácií pri pestovaní maku siateho / Košánová, Svetlana [Autor, UKFFPVKEE, 100%]. – text. – [slovenčina]. – [OV 100]. – [článok] In: Životné prostredie [textový dokument (print)] [elektronický dokument] : revue pre teóriu a starostlivosť o životné prostredie = Revue for Theory and Care of the Environment. – Bratislava (Slovensko) : Slovenská akadémia vied. Pracoviská SAV. Ústav krajinnej ekológie. – ISSN 0044-4863. – ISSN (online) 2585-7800. – Roč. 54, č. 2 (2020), s. 90-93 [tlačená forma] [online] </t>
  </si>
  <si>
    <t xml:space="preserve">Využitie dramatoterapie v práci s dospelými a seniormi so zdravotným znevýhodnením v rezidenciálnych podmienkach / Beliková, Vladimíra [Autor, UKFPFAKPE, 50%] ; Turzák, Tomáš [Autor, UKFPFAKPE, 50%]. – [slovenčina]. – [OV 010]. – [článok] In: Pedagogika.sk [elektronický dokument] : slovenský časopis pre pedagogické vedy = Slovak Journal for Educational Sciences. – Bratislava (Slovensko) : Slovenská akadémia vied. Slovenská pedagogická spoločnosť pri SAV. – ISSN (online) 1338-0982. – Roč. 9, č. 1 (2018), s. 28-41 [online] </t>
  </si>
  <si>
    <t xml:space="preserve">Využitie priestorových údajov diaľkového prieskumu Zeme v presnom poľnohospodárstve ako prevencia rozvoja erózie pôdy / Petlušová, Viera [Autor, UKFFPVKEE, 40%] ; Petluš, Peter [Autor, UKFFPVKEE, 40%] ; Moravčík, Marek [Autor, UKFFPVKEE, 10%] ; Bugár, Gabriel [Autor, UKFFPVKEE, 10%]. – text. – [slovenčina]. – [OV 100]. – [článok] In: Životné prostredie [textový dokument (print)] [elektronický dokument] : revue pre teóriu a starostlivosť o životné prostredie = Revue for Theory and Care of the Environment. – Bratislava (Slovensko) : Slovenská akadémia vied. Pracoviská SAV. Ústav krajinnej ekológie. – ISSN 0044-4863. – ISSN (online) 2585-7800. – Roč. 54, č. 2 (2020), s. 78-82 [tlačená forma] [online] </t>
  </si>
  <si>
    <t xml:space="preserve">Využívanie kapacity ubytovacích zariadení v Bratislavskom kraji = Utilising the Capacity of Accommodation Facilities in the Bratislava Region / Repáňová, Terézia [Autor, UKFFSSKCR, 95%] ; Kellerová,, Júlia [Autor, UKFFSSKCR, 5%]. – [slovenčina]. – [OV 080]. – [článok] In: Ekonomická revue cestovného ruchu [textový dokument (print)] . – Banská Bystrica (Slovensko) : Univerzita Mateja Bela v Banskej Bystrici. Ekonomická fakulta. – ISSN 0139-8660. – Roč. 51, č. 1 (2018), s. 50-57 [tlačená forma] </t>
  </si>
  <si>
    <t xml:space="preserve">Vývin detskej kresby a špecifiká výtvarného prejavu detí s vývinovými poruchami učenia a správania / Sender, Barbora [Autor, UKFPFAKPE, 100%]. – text. – [slovenčina]. – [OV 010]. – [článok] In: Prohuman [elektronický dokument] : vedecko-odborný interdisciplinárny recenzovaný časopis, zameraný na oblasť spoločenských, sociálnych a humanitných vied : vedecko-odborný internetový časopis. – Bratislava (Slovensko) : Business Intelligence Club. – ISSN (online) 1338-1415. – Roč. 14. november (2021), s. 1-10 [online] </t>
  </si>
  <si>
    <t xml:space="preserve">Vývoj a aktuálny stav triedenia komunálneho odpadu v meste Nové Zámky v rokoch 2010 – 2018 / Straňák, Jozef [Autor, UKFFPVKEE, 30%] ; Pucherová, Zuzana [Autor, UKFFPVKEE, 30%] ; Záhorský, Maroš [Autor, 20%] ; Straňák, Štefan [Autor, 10%] ; Vrábelová, Iveta [Autor, 10%]. – text. – [slovenčina]. – [OV 100]. – [článok]. – DOI 10.17846/GI.2020.24.1.353-369 In: Geografické informácie [textový dokument (print)] [elektronický dokument] . – Nitra (Slovensko) : Univerzita Konštantína Filozofa v Nitre. – ISSN 1337-9453. – Roč. 24, č. 1 (2020), s. 353-369 [tlačená forma] [online] </t>
  </si>
  <si>
    <t xml:space="preserve">Vývoj štruktúry a počtu prihlásených študentov na KMKT FF UKF v Nitre / Válek, Ján [Autor, UKFFFAKMK, 100%]. – text. – [slovenčina]. – [OV 020]. – [článok] In: Kontexty kultúry a turizmu [textový dokument (print)] . – Nitra (Slovensko) : Univerzita Konštantína Filozofa v Nitre. Filozofická fakulta. – ISSN 1337-7760. – Roč. 13, č. 2 (2020), s. 149-156 [tlačená forma] </t>
  </si>
  <si>
    <t xml:space="preserve">Význam animačných služieb v cestovnom ruchu počas krízy spojenej s pandémiou Covid 19 - na príklade vybraných subjektov / Kurpaš, Michal [Autor, UKFFFAKMK, 50%] ; Kurpašová, Lucia [Autor, UKFFFAKMK, 50%]. – text. – [slovenčina]. – [OV 020]. – [článok] In: Kontexty kultúry a turizmu [textový dokument (print)] . – Nitra (Slovensko) : Univerzita Konštantína Filozofa v Nitre. Filozofická fakulta. – ISSN 1337-7760. – Roč. 13, č. 2 (2020), s. 123-133 [tlačená forma] </t>
  </si>
  <si>
    <t xml:space="preserve">Význam diagnostiky žiackých prekonceptov vo vzdelávaní / Koleňáková, Rebeka Štefánia [Autor, UKFPFAKPE, 100%]. – text. – [slovenčina]. – [OV 010]. – [článok]. – DOI 10.18355/PG.2020.9.1.4 In: Slavonic Pedagogical Studies Journal [textový dokument (print)] [elektronický dokument] : the Scientific Educational Journal . – Nitra (Slovensko) : Slovenská Vzdelávacia a Obstarávacia. – ISSN 1339-8660. – ISSN (online) 1339-9055. – Roč. 9, č. 1 (2020), s. 29-35 [tlačená forma] [online] </t>
  </si>
  <si>
    <t xml:space="preserve">Význam spojenia teórie a praxe v príprave učiteľov techniky / Lukáčová, Danka [Autor, UKFPFAKTT, 100%]. – text. – [slovenčina]. – [OV 010]. – [článok] In: Technika a vzdelávanie [textový dokument (print)] [elektronický dokument] : časopis zameraný na technické vzdelávanie v základných, stredných i na vysokých školách, na oblasť základného a aplikovaného výskumu, aplikáciu informačných technológií vo výučbe odborných predmetov. – Banská Bystrica (Slovensko) : Univerzita Mateja Bela v Banskej Bystrici. Fakulta prírodných vied. – ISSN 1338-9742. – ISSN (online) 1339-9888. – Roč. 8, č. 1 (2019), s. 16-19 [tlačená forma] [online] </t>
  </si>
  <si>
    <t xml:space="preserve">Vzdelávanie k bezpečnosti a zdraviu v praxi / Feszterová, Melánia [Autor, UKFFPVKCH, 100%]. – text. – [slovenčina]. – [OV 010]. – [článok] In: Technika a vzdelávanie [textový dokument (print)] [elektronický dokument] : časopis zameraný na technické vzdelávanie v základných, stredných i na vysokých školách, na oblasť základného a aplikovaného výskumu, aplikáciu informačných technológií vo výučbe odborných predmetov. – Banská Bystrica (Slovensko) : Univerzita Mateja Bela v Banskej Bystrici. Fakulta prírodných vied. – ISSN 1338-9742. – ISSN (online) 1339-9888. – Roč. 9, č. 1 (2020), s. 36-42 [tlačená forma] [online] </t>
  </si>
  <si>
    <t xml:space="preserve">Vzdialené i blízke macedónske ľudové balady / Taneski, Martina [Autor, UKFFFASJL, 100%]. – text. – [slovenčina]. – [OV 020]. – [článok] In: Slovenské pohľady [textový dokument (print)] : na literatúru, umenie a vedu. – Bratislava (Slovensko) : Slovenský spisovateľ, Martin (Slovensko) : Matica slovenská, Bratislava (Slovensko) : Zväz slovenských spisovateľov. – ISSN 1335-7786. – Roč. 4+134, č. 12 (2018), s. 76-83 [tlačená forma] </t>
  </si>
  <si>
    <t xml:space="preserve">Vzťah akceptácie zmeny a proaktívneho zvládania u adolescentov / Hudáková, Miriama [Autor, UKFFSVUAP, 50%] ; Vojtková, Klaudia [Autor, 50%]. – text. – [slovenčina]. – [OV 060]. – [článok] In: Pomáhajúce profesie [textový dokument (print)] : recenzovaný vedecký časopis pre teóriu, výskum, prax a vzdelávanie v pomáhajúcich profesiách. – Nitra (Slovensko) : Univerzita Konštantína Filozofa v Nitre. – ISSN 2585-9447. – Roč. 4, č. 1 (2021), s. 39-48 [tlačená forma] [online] </t>
  </si>
  <si>
    <t xml:space="preserve">Vzťah osobnosti a kariérových záujmov u manažérov / Hudáková, Miriama [Autor, UKFFSVUAP, 99%] ; Mráziková, Tímea [Autor, 1%]. – text. – [slovenčina]. – [OV 060]. – [článok] In: Pomáhajúce profesie [textový dokument (print)] : recenzovaný vedecký časopis pre teóriu, výskum, prax a vzdelávanie v pomáhajúcich profesiách. – Nitra (Slovensko) : Univerzita Konštantína Filozofa v Nitre. – ISSN 2585-9447. – Roč. 2, č. 1 (2019), s. 53-63 [tlačená forma] [online] </t>
  </si>
  <si>
    <t xml:space="preserve">Vzťah výkonovej motivácie a veku žiakov / Komora, Juraj [Autor, UKFPFAKPE, 50%] ; Kozárová, Nina [Autor, UKFPFAKPE, 50%]. – text. – [slovenčina]. – [OV 010]. – [článok] In: Pedagogika.sk [elektronický dokument] : slovenský časopis pre pedagogické vedy = Slovak Journal for Educational Sciences. – Bratislava (Slovensko) : Slovenská akadémia vied. Slovenská pedagogická spoločnosť pri SAV. – ISSN (online) 1338-0982. – Roč. 10, č. 3 (2019), s. 172-180 [online] </t>
  </si>
  <si>
    <t xml:space="preserve">Vzťah zvládania záťaže, kvality života a úrovne nezávislosti u pacientov po prekonaní cievnej mozgovej príhody / Solgajová, Andrea [Autor, UKFFSVKOS, 35%] ; Zrubcová, Dana [Autor, UKFFSVKOS, 35%] ; Vörösová, Gabriela [Autor, UKFFSVKOS, 30%]. – text. – [slovenčina]. – [OV 180]. – [článok] In: Pomáhajúce profesie [textový dokument (print)] : recenzovaný vedecký časopis pre teóriu, výskum, prax a vzdelávanie v pomáhajúcich profesiách. – Nitra (Slovensko) : Univerzita Konštantína Filozofa v Nitre. – ISSN 2585-9447. – Roč. 4, č. 1 (2021), s. 66-73 [tlačená forma] [online] </t>
  </si>
  <si>
    <t xml:space="preserve">Watch a Film, Play a Game - Play a Film, Watch a Game: Notes on the "Intermedia-Presence" of Digital Games in Cinema / Boszorád, Martin [Autor, UKFFFAULK, 100%]. – text. – [slovenčina]. – [OV 020]. – [článok] In: Acta Ludologica [textový dokument (print)] [elektronický dokument] . – Trnava (Slovensko) : Univerzita sv. Cyrila a Metoda v Trnave. Fakulta masmediálnej komunikácie. – ISSN 2585-8599. – ISSN (online) 2585-9218. – Roč. 3, č. 1 (2020), s. 4-17 [tlačená forma] [online] </t>
  </si>
  <si>
    <t xml:space="preserve">Wojtylovské „Nebojte sa“ v spektre autentického hľadania slobody, pravdy a kultúry života = Wojtyla’s “Don’t Be Afraid” in the Spectrum of Authentic Search for Freedom, Truth and Culture of Life / Jozek, Milan [Autor, UKFFFAKAE 06.2022, 100%]. – [slovenčina]. – [OV 020]. – [článok] In: Stredoeurópske pohľady [textový dokument (print)] [elektronický dokument] : časopis pre jazyk, literatúru, kultúru a médiá. – Nitra (Slovensko) : Univerzita Konštantína Filozofa v Nitre. Fakulta stredoeurópskych štúdií. Ústav stredoeurópskych jazykov a kultúr. – ISSN 2644-6367. – ISSN (online) 2644-6472. – Roč. 1, č. 1 (2019), s. 111-117 [tlačená forma] [online] </t>
  </si>
  <si>
    <t xml:space="preserve">Z histórie starovekého divadelného marketingu : (Mezopotácia, Egypt, Grécko, Rím) / Inštitorisová, Dagmar [Autor, UKFFFAKMR, 100%]. – text. – [slovenčina]. – [OV 020]. – [článok] In: Javisko [textový dokument (print)] : časopis pre amatérske divadlo a umelecký prednes. – Bratislava (Slovensko) : Národné osvetové centrum. – ISSN 0323-2883. – Roč. 53, č. 2 (2021), s. 44-45 [tlačená forma] </t>
  </si>
  <si>
    <t xml:space="preserve">Z outsidera trendsetterom: ako mainstreamujú periférne témy? : upír - prípadová štúdia kultúrnej dynamiky / Malíčková, Michaela [Autor, UKFFFAULK, 100%]. – text. – [slovenčina]. – [OV 020]. – [článok] In: Art communication &amp; popculture [textový dokument (print)] : časopis pre umeleckú komunikáciu a popkultúru. – Nitra (Slovensko) : Univerzita Konštantína Filozofa v Nitre. – ISSN 1339-9284. – Roč. 5, č. 1-2 (2019), s. 103-114 [tlačená forma] </t>
  </si>
  <si>
    <t xml:space="preserve">Za nákupom potravín: geografické špecifiká dostupnosti potravín v meste Trenčín / Danielová, Katarína [Autor, UKOPRZRG, 50%] ; Trembošová, Miroslava [Autor, UKFFPVKGR, 50%]. – text, mapy. – [slovenčina]. – [OV 092]. – [článok]. – SIGN-UKO PR 761/20 In: Geografické informácie [textový dokument (print)] [elektronický dokument] . – Nitra (Slovensko) : Univerzita Konštantína Filozofa v Nitre. – ISSN 1337-9453. – Roč. 24, č. 1 (2020), s. 96-110 [tlačená forma] [online] </t>
  </si>
  <si>
    <t xml:space="preserve">Zafíry zo Srí Lanky : Sapphires from Sri Lanka / Illášová, Ľudmila [Autor, UKFFPVGMU, 70%] ; Štubňa, Ján [Autor, UKFFPVGMU, 30%]. – text. – [slovenčina]. – [OV 092]. – [článok] In: Gemologický spravodajca [textový dokument (print)] : časopis gemológov pri FPV UKF v Nitre. – Nitra (Slovensko) : Univerzita Konštantína Filozofa v Nitre. Fakulta prírodných vied. – ISSN 1337-6136. – ISSN (online) 1338-5275. – Roč. 8, č. 2 (2018), s. 17-21 [tlačená forma] </t>
  </si>
  <si>
    <t xml:space="preserve">Záleží to od detí? Súvisí (bez)detnosť s tým, čo považujeme za dôležité v partnerskom vzťahu? = Does it depend on the children? Is (not)having children related to what we consider important in a relationship? / Marková, Dagmar [Autor, UKFFFAKAE 06.2022, 100%]. – text. – [slovenčina]. – [OV 020]. – [článok] In: Prohuman [elektronický dokument] : vedecko-odborný interdisciplinárny recenzovaný časopis, zameraný na oblasť spoločenských, sociálnych a humanitných vied : vedecko-odborný internetový časopis. – Bratislava (Slovensko) : Business Intelligence Club. – ISSN (online) 1338-1415. – č. 30. december (2021), s. 1-15 [online] </t>
  </si>
  <si>
    <t xml:space="preserve">Záujem žiakov základných škôl o technické vzdelávanie / Ažaltovičová, Michaela [Autor, UKFPFAKTT, 70%] ; Tomková, Viera [Autor, UKFPFAKTT, 30%]. – text. – [slovenčina]. – [OV 010]. – [článok] In: Technika a vzdelávanie [textový dokument (print)] [elektronický dokument] : časopis zameraný na technické vzdelávanie v základných, stredných i na vysokých školách, na oblasť základného a aplikovaného výskumu, aplikáciu informačných technológií vo výučbe odborných predmetov. – Banská Bystrica (Slovensko) : Univerzita Mateja Bela v Banskej Bystrici. Fakulta prírodných vied. – ISSN 1338-9742. – ISSN (online) 1339-9888. – Roč. 8, č. 2 (2019), s. 33-36 [tlačená forma] [online] </t>
  </si>
  <si>
    <t xml:space="preserve">Zaujímavý výskyt rubínov v Macedónsku / Illášová, Ľudmila [Autor, UKFFPVGMU, 90%] ; Turnovec, Ivan [Autor, 10%]. – text. – [slovenčina]. – [OV 092]. – [článok] In: Gemologický spravodajca [textový dokument (print)] : časopis gemológov pri FPV UKF v Nitre. – Nitra (Slovensko) : Univerzita Konštantína Filozofa v Nitre. Fakulta prírodných vied. – ISSN 1337-6136. – ISSN (online) 1338-5275. – Roč. 9, č. 1 (2019), s. 14-19 [tlačená forma] </t>
  </si>
  <si>
    <t xml:space="preserve">Závery z mapovania a hodnotenia kultúrneho potenciálu Slovákov v Rumunsku / Čukan, Jaroslav [Autor, UKFFFAKMK, 25%] ; Kurpaš, Michal [Autor, UKFFFAKMK, 25%] ; Michalík, Boris [Autor, UKFFFAKMK, 25%] ; Zima, Roman [Autor, UKFFFAKMK, 25%]. – text, ilustr. – [slovenčina]. – [OV 030]. – [článok] In: Kontexty kultúry a turizmu [textový dokument (print)] . – Nitra (Slovensko) : Univerzita Konštantína Filozofa v Nitre. Filozofická fakulta. – ISSN 1337-7760. – Roč. 13, č. 2 (2020), s. 9-16 [tlačená forma] </t>
  </si>
  <si>
    <t xml:space="preserve">Zdokonaľovanie Aurálnych Schopností Zvukových Majstrov - Súčasnosť A Budúcnosť / Brezina, Pavol [Autor, UKFPFAKHU, 100%]. – text. – [slovenčina]. – [OV 020]. – [článok] In: Fyzikálne faktory prostredia [textový dokument (print)] : časopis o problematike fyzikálnych faktorov prostredia. – Košice (Slovensko) : IbSolve. – ISSN 1338-3922. – Roč. 9, č. 2 (2019), s. 6-9 [tlačená forma] </t>
  </si>
  <si>
    <t xml:space="preserve">Zirkón vs. kubická zirkónia (využívanie zirkónu a kubickej zirkónie v šperkoch) = Zircon vs. Cubic Zirconia (Use of Zircon and Cubic Zirconia in Jewellery) / Štubňa, Ján [Autor, UKFFPVGMU, 70%] ; Illášová, Ľudmila [Autor, UKFFPVGMU, 30%]. – text. – [slovenčina]. – [OV 092]. – [článok] In: Gemologický spravodajca [textový dokument (print)] : časopis gemológov pri FPV UKF v Nitre. – Nitra (Slovensko) : Univerzita Konštantína Filozofa v Nitre. Fakulta prírodných vied. – ISSN 1337-6136. – ISSN (online) 1338-5275. – Roč. 8, č. 2 (2018), s. 5-16 [tlačená forma] </t>
  </si>
  <si>
    <t xml:space="preserve">Zmeny a aspekty voľného času / Selická, Denisa [Autor, UKFFFAKSO, 100%]. – text. – [slovenčina]. – [OV 060]. – [článok] In: Mládež a spoločnosť [textový dokument (print)] : slovenský časopis pre štátnu politiku a výskum mládeže = Slovak journal for state policy and youth research. – Bratislava (Slovensko) : Centrum vedecko-technických informácií SR. – ISSN 1335-1109. – Roč. 24, č. 1 (2018), s. 13-21 [tlačená forma] </t>
  </si>
  <si>
    <t xml:space="preserve">Zmeny miery psychopatológie u pacientov závislých od alkoholu vo vzťahu k dĺžke liečby a súvislosti s užívaním alkoholu / Kotian, Michal [Autor, 11.112%] ; Stanislav, Vladimír [Autor, 11.111%] ; Šlepecký, Miloš [Autor, UKFFSVKPV, 11.111%] ; Chupáčová, Michaela [Autor, 11.111%] ; Kotianová, Antónia [Autor, UKFFSVKPV, 11.111%] ; Zaťková, Marta [Autor, UKFFSVKPV, 11.111%] ; Martinove, Mária [Autor, 11.111%] ; Popelková, Marta [Autor, UKFFSVKPV, 11.111%] ; Praško Pavlov, Ján [Autor, UKFFSVKPV, 11.111%]. – text. – [slovenčina]. – [OV 060]. – [článok] In: Pomáhajúce profesie [textový dokument (print)] : recenzovaný vedecký časopis pre teóriu, výskum, prax a vzdelávanie v pomáhajúcich profesiách. – Nitra (Slovensko) : Univerzita Konštantína Filozofa v Nitre. – ISSN 2585-9447. – Roč. 1, č. 1 (2018), s. 21-30 [tlačená forma] [online] </t>
  </si>
  <si>
    <t xml:space="preserve">Zmeny svalovej nerovnováhy futbalistov v kategórii U19 / Bakaľár, Igor [Autor, UKFPFAKTV, 50%] ; Kanásová, Janka [Autor, UKFPFAKTV, 50%]. – text. – [slovenčina]. – [OV 210]. – [článok] In: Telesná výchova &amp; šport [elektronický dokument] : vedecký a odborný recenzovaný časopis Slovenskej vedeckej spoločnosti pre telesnú výchovu a šport. – Bratislava (Slovensko) : Slovenská vedecká spoločnosť pre telesnú výchovu a šport. – ISSN 1335-2245. – ISSN (online) 2730-017X. – Roč. 29, č. 3 (2019), s. 22-26 [online] </t>
  </si>
  <si>
    <t xml:space="preserve">Zmeny v spotrebiteľskom správaní a v dopyte obyvateľov SR po cestovnom ruchu v roku 2020 v dôsledku svetovej pandémie COVID-19 : Changes in Consumer Behaviour and Demand of the Population of the Slovak Republic for Tourism in 2020 as a Result of the World Pandemic COVID-19 / Palenčíková, Zuzana [Autor, UKFFSSKCR, 50%] ; Lučanská, Zuzana [Autor, 50%]. – text. – [slovenčina]. – [OV 080]. – [článok] In: Geografické informácie [textový dokument (print)] [elektronický dokument] . – Nitra (Slovensko) : Univerzita Konštantína Filozofa v Nitre. – ISSN 1337-9453. – Roč. 25, č. 1 (2021), s. 52-64 [tlačená forma] [online] </t>
  </si>
  <si>
    <t xml:space="preserve">Zsidó nősorsok a kortárs szlovák prózában = The Fates of Jewish Women in Contemporary Slovak Prose / Hrbáček, Magdaléna [Autor, UKFFSSUSJ, 100%]. – text. – [maďarčina]. – [OV 020]. – [článok] In: Stredoeurópske pohľady [textový dokument (print)] [elektronický dokument] : časopis pre jazyk, literatúru, kultúru a médiá. – Nitra (Slovensko) : Univerzita Konštantína Filozofa v Nitre. Fakulta stredoeurópskych štúdií. Ústav stredoeurópskych jazykov a kultúr. – ISSN 2644-6367. – ISSN (online) 2644-6472. – Roč. 3, č. 2 (2021), s. 96-97 [tlačená forma] [online] </t>
  </si>
  <si>
    <t xml:space="preserve">Zvertnaja ljudiny do Boga v biblijnych tekstach : movni zasobi sakraľnoj adresacijii materiali perekladu I.I.Ogienka = Man‘s Addressing God in Biblical Texts: Language Means of Sacral Addressing on the Material of Ogienko‘s Translation / Kumeda, Olena [Autor, UKFFFAKRU, 100%]. – text. – [ruština]. – [OV 020]. – [článok] In: Slavica Nitriensia [textový dokument (print)] : časopis pre výskum slovanských filológií. – Nitra (Slovensko) : Univerzita Konštantína Filozofa v Nitre. – ISSN 1338-7464. – Roč. 10, č. 1 (2021), s. 85-112 [tlačená forma] </t>
  </si>
  <si>
    <t xml:space="preserve">Zvieratá a rasové myslenie / Fačkovec, Henrich [Autor, UKFFFAKPO, 100%]. – text. – [slovenčina]. – [OV 060]. – [článok] In: Civitas [textový dokument (print)] : časopis pre politické a sociálne vedy. – Nitra (Slovensko) : Univerzita Konštantína Filozofa v Nitre. Filozofická fakulta. Katedra politológie a euroázijských štúdií. – ISSN 1335-2652. – Roč. 26, č. 1 (2020), s. 12-15 [tlačená forma] </t>
  </si>
  <si>
    <t xml:space="preserve">Zvládanie záťaže u pacientov s cievnou mozgovou príhodou a akútnym koronárnym syndrómom / Zrubcová, Dana [Autor, UKFFSVKOS, 25%] ; Spáčilová, Zuzana [Autor, UKFFSVKOS, 25%] ; Pavelová, Ľuboslava [Autor, UKFFSVKOS, 25%] ; Solgajová, Andrea [Autor, UKFFSVKOS, 25%]. – text. – [slovenčina]. – [OV 180]. – [článok] In: Pomáhajúce profesie [textový dokument (print)] : recenzovaný vedecký časopis pre teóriu, výskum, prax a vzdelávanie v pomáhajúcich profesiách. – Nitra (Slovensko) : Univerzita Konštantína Filozofa v Nitre. – ISSN 2585-9447. – Roč. 2, č. 1 (2019), s. 30-36 [tlačená forma] [online] </t>
  </si>
  <si>
    <t xml:space="preserve">Židovský žalm 19 v jeho prvej stredoeurópskej podobe / Diweg-Pukanec, Martin [Autor, UKFFFAKSJ, 100%]. – [slovenčina]. – [OV 020]. – [článok] In: Stredoeurópske pohľady [textový dokument (print)] [elektronický dokument] : časopis pre jazyk, literatúru, kultúru a médiá. – Nitra (Slovensko) : Univerzita Konštantína Filozofa v Nitre. Fakulta stredoeurópskych štúdií. Ústav stredoeurópskych jazykov a kultúr. – ISSN 2644-6367. – ISSN (online) 2644-6472. – Roč. 1, č. 2 (2019), s. 4-10 [tlačená forma] [online] </t>
  </si>
  <si>
    <t xml:space="preserve">Židovstvo a jeho stopy v nitrianskom verejnom priestore ako špecifický prejav regionálnej kultúry = Judaism and its Traces in Nitra Street Nomenclature as a Specific Manifestation of Regional Culture / Tkáč-Zabáková, Lenka [Autor, UKFFSSUSJ, 100%]. – text. – [slovenčina]. – [OV 020]. – [článok] In: Stredoeurópske pohľady [textový dokument (print)] [elektronický dokument] : časopis pre jazyk, literatúru, kultúru a médiá. – Nitra (Slovensko) : Univerzita Konštantína Filozofa v Nitre. Fakulta stredoeurópskych štúdií. Ústav stredoeurópskych jazykov a kultúr. – ISSN 2644-6367. – ISSN (online) 2644-6472. – Roč. 3, č. 2 (2021), s. 37-44 [tlačená forma] [online] </t>
  </si>
  <si>
    <t>ADM - Vedecké práce v zahraničných časopisoch registrovaných v databázach Web of Science alebo SCOPUS</t>
  </si>
  <si>
    <t xml:space="preserve">"Don't tell me that I am hysterical": Unmet needs of patients with panic disorder / Kolek, Antonín [Autor, 16%] ; Praško Pavlov, Ján [Autor, UKFFSVKPV, 12%] ; Ocisková, Marie [Autor, 12%] ; Vanek, Jakub [Autor, 12%] ; Holubová, Michaela [Autor, 12%] ; Hodný, František [Autor, 12%] ; Minariková, Kamila [Autor, 12%] ; zmeková, Jana [Autor, 12%]. – text. – [angličtina]. – [OV 060]. – [článok]. – WOS CC ; SCO In: Neuroendocrinology Letters [textový dokument (print)] [elektronický dokument] . – Štokholm (Švédsko) : Maghira and Maas Publications. – ISSN 0172-780X. – ISSN (online) 2354-4716. – Roč. 41, č. 7-8 (2020), s. 37-384 [tlačená forma] [online] . – IF: 0,765 ; SNIP: 0.383 ; SJR: 0.264 ; CiteScore: 1.5 ; AIS: 0.211 AIS - Endocrinology &amp; metabolism - Q4, Neurosciences - Q4 JIF - Endocrinology &amp; metabolism - Q4, Neurosciences - Q4 Scimago - Endocrine and autonomic systems - Q4, Endocrinology - Q4, Endocrinology, diabetes and metabolism - Q3, Medicine (miscellaneous) - Q3, Neurology - Q4, Neurology (clinical) - Q3, Psychiatry and mental health - Q3 </t>
  </si>
  <si>
    <t xml:space="preserve">"Willow, willow, give me a man" Linguistic image of women in traditional Slovak phrase, with comparative elements of Spanish phrase / Kováčová, Zuzana [Autor, UKFFFASJL, 50%] ; Kováčová, Jana [Autor, 50%]. – text. – [angličtina]. – [OV 020]. – [článok]. – DOI 10.1075/resla.15053.kov. – WOS CC In: Revista Española de Lingüística Aplicada [textový dokument (print)] . – Amsterdam (Holandsko) : John Benjamins Publishing Company. – ISSN 0213-2028. – ISSN (online) 2254-6774. – Roč. 32, č. 1 (2019), 32-53 [tlačená forma] . – SJR: 0,167 ; CiteScore: 0,3 ; SNIP: 0,413 ; IF: 0.283 JIF - Linguistics - Q4 Scimago - E-learning - Q4, Language and linguistics - Q2, Linguistics and language - Q2 </t>
  </si>
  <si>
    <t xml:space="preserve">‘I am a hipster, and I don’t know about it’: Searching for the marked aesthetic values of hipsterhood / Malíčková, Michaela [Autor, UKFFFAULK, 100%]. – text. – [angličtina]. – [OV 020]. – [článok]. – DOI 10.21104/CL.2019.1.03. – SCO In: Český lid [textový dokument (print)] [elektronický dokument] : etnologický časopis = ethnological journal. – Praha (Česko) : Akademie věd České republiky. Etnologický ústav AV ČR. – ISSN 0009-0794. – ISSN (online) 2570-9216. – Roč. 106, č. 1 (2019), 49-67 [tlačená forma] [online] . – SJR: 0,121 ; CiteScore: 0,3 ; SNIP: 0,187 Scimago - Anthropology - Q4, Arts and humanities (miscellaneous) - Q3, Cultural studies - Q3 </t>
  </si>
  <si>
    <t xml:space="preserve">‘Trump beat me to it’: An interview with Kristoffer Borgli / Kudláč, Martin [Autor, UKFFFAULK, 100%]. – text. – [angličtina]. – [OV 020]. – [článok]. – DOI 10.1386/fiin.16.1.97_7. – SCO In: Film International [textový dokument (print)] . – ISSN 1651-6826. – ISSN (online) 2040-3801. – Roč. 16, č. 1 (2018), s. 97-102 [tlačená forma] . – SJR: 0,1 ; CiteScore: 0,1 Scimago - Communication - Q4, Cultural studies - Q4, Visual arts and performing arts - Q4 </t>
  </si>
  <si>
    <t xml:space="preserve">3D reconstruction as a form of interpretation: Example of excavation of the medieval peťuša castle (Central Slovakia) / Styk, Matej [Autor, UKFFFAKAR, 50%] ; Beljak Pažinová, Noémi [Autor, UKFFFAKAR, 50%]. – text. – [angličtina]. – [OV 030]. – [článok]. – DOI 10.24916/iansa.2020.1.6. – SCO In: Interdisciplinaria Archaeologica [textový dokument (print)] [elektronický dokument] : Natural Sciences in Archaeology. – Olomouc (Česko) : Archeologické centrum Olomouc. – ISSN 1804-848X. – ISSN (online) 2336-1220. – Roč. 11, č. 1 (2020), 73-87 [tlačená forma] [online] . – SJR: 0,458 ; CiteScore: 1 ; SNIP: 0,552 Scimago - Archeology - Q1, Archeology (arts and humanities) - Q1 </t>
  </si>
  <si>
    <t xml:space="preserve">A Book's Picture as a Visual Stimulus for Interpretation in the Framework of Developing Creative and Critical Thinking / Récka, Adriana [Autor, UKFPFAKVV, 100%].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9, č. 1 (2019), 239-244 [tlačená forma] [online] </t>
  </si>
  <si>
    <t xml:space="preserve">A Case Study of Facial Emotion Classification Using Affdex. / Magdin, Martin [Autor, UKFFPVKIN, 33.334%] ; Benko, Ľubomír [Autor, UKFFPVKIN, 33.333%] ; Koprda, Štefan [Autor, UKFFPVKIN, 33.333%]. – [angličtina]. – [OV 160]. – [článok]. – DOI 10.3390/s19092140. – WOS CC ; SCO In: Sensors [textový dokument (print)] [elektronický dokument] . – Bazilej (Švajčiarsko) : Multidisciplinary Digital Publishing Institute. – ISSN 1424-3210. – ISSN (online) 1424-8220. – Roč. 19, č. 9 (2019), s. 1-17 [online] [tlačená forma] . – IF: 3,275 ; SJR: 0,653 ; CiteScore: 5 ; SNIP: 1,586 JIF - Chemistry, analytical - Q2, Engineering, electrical &amp; electronic - Q2, Instruments &amp; instrumentation - Q1 Scimago - Analytical chemistry - Q2, Atomic and molecular physics, and optics - Q2, Biochemistry - Q3, Electrical and electronic engineering - Q2, Information systems - Q2, Instrumentation - Q1, Medicine (miscellaneous) - Q2 </t>
  </si>
  <si>
    <t xml:space="preserve">A comparative study of reading comprehension skills among Hungarian students in Hungary and Slovakia / Vančo, Ildikó [Autor, UKFFSSUML, 50%] ; Gergelyová, Viktória [Autor, UKFFSSUML, 50%]. – text. – [angličtina]. – [OV 020, 010]. – [článok]. – DOI 10.1556/044.2020.00011. – SCO In: Hungarian Studies [textový dokument (print)] [elektronický dokument] : A Journal of the International Association for Hungarian Studies. – Budapešť (Maďarsko) : Akadémiai Kiadó. – ISSN 0236-6568. – ISSN (online) 1588-2772. – Roč. 34, č. 1 (2020), 120-132 [tlačená forma] [online] . – SJR: 0,1 ; CiteScore: 0,1 ; SNIP: 0,49 Scimago - Arts and humanities (miscellaneous) - Q4, Social sciences (miscellaneous) - Q4 </t>
  </si>
  <si>
    <t xml:space="preserve">A comparative study of the effects of self-assessment and peer feedback on literature students' oral production / Azizi, Aydin [Korešpondenčný autor, 5%] ; Králik, Roman [Korešpondenčný autor, 30%] ; Petrikovičová, Lucia [Korešpondenčný autor, UKFFPVKGR, 30%] ; Tkáčová, Hedviga [Autor, ZUZFHVKFR, 35%]. – text. – [angličtina]. – [OV 010, 092]. – [článok]. – DOI 10.15293/2658-6762.2005.01. – SCO In: Science for Education Today [elektronický dokument] . – Novosibirsk (Ruská federácia) : Novosibirsk State Pedagogical University. – ISSN (online) 2658-6762. – Roč. 10, č. 5 (2020), s. 10-27 [online] </t>
  </si>
  <si>
    <t xml:space="preserve">A few comments on identity and culture of one ethnic minority in central Europe / Králik, Roman [Autor, UKFFFAKAE 06.2022, 34%] ; Lenovský, Ladislav [Autor, UCMFIFKEMŠ, 33%] ; Pavlíková, Martina [Autor, UKFFFAKZU, 33%]. – text. – [angličtina]. – [OV 030]. – [článok]. – WOS CC ; SCO In: European Journal of Science and Theology [textový dokument (print)] [elektronický dokument] . – Jasy (Rumunsko) : Academic organisation for environmental engineering and sustainable development. – ISSN 1841-0464. – ISSN (online) 1842-8517. – Roč. 14, č. 6 (2018), s. 63-76 [tlačená forma] [online] . – SJR: 0,377 ; CiteScore: 1,6 ; SNIP: 0,676 Scimago - Engineering (miscellaneous) - Q1, History and philosophy of science - Q2, Multidisciplinary - Q1, Religious studies - Q1 </t>
  </si>
  <si>
    <t xml:space="preserve">A fortified wall line in the Burda Mountains, Slovakia / Beljak Pažinová, Noémi [Autor, UKFFFAKAR, 100%]. – text. – [angličtina]. – [OV 030]. – [článok]. – DOI 10.5817/AH2019-1-5. – SCO In: Archaeologia historica [textový dokument (print)] [elektronický dokument] . – Brno (Česko) : Masarykova univerzita. Filozofická fakulta. – ISSN 0231-5823. – ISSN (online) 2336-4386. – Roč. 44, č. 1 (2019), 113-123 [tlačená forma] [online] . – SJR: 0,214 ; CiteScore: 0,6 ; SNIP: 1,115 Scimago - Archeology - Q2, Archeology (arts and humanities) - Q2, History - Q1 </t>
  </si>
  <si>
    <t xml:space="preserve">A Historical Overview of Translation-oriented Terminology in Canadian Terminology: Science / Ukušová, Jana [Autor, UKFFFAKTR, 100%]. – text. – [angličtina, rumunčina]. – [OV 020]. – [článok]. – SCO In: Analele Universităţii Ovidius din Constanţa [textový dokument (print)] : Seria Filologie. – Constanta (Rumunsko) : Universitatea Ovidius. – ISSN 1223-7248. – Roč. 29, č. 2 (2018), s. 83-89 [tlačená forma] </t>
  </si>
  <si>
    <t xml:space="preserve">A new teaching method aimed at eliminating the causes of students' unsuccessful algorithmic problem solving with parameter / Gonda, Dalibor [Autor, ZUZFHVKPŠ, 50%] ; Tirpáková, Anna [Autor, UKFFPVKMA, 50%]. – [angličtina]. – [OV 010]. – [článok]. – WOS CC ; SCO In: Problems of education in the 21st century [textový dokument (print)] [elektronický dokument] . – Šiauliai (Litva) : Scientia Socialis. – ISSN 1822-7864. – ISSN (online) 2538-7111. – Roč. 76, č. 4 (2018), s. 499-519 [tlačená forma] [online] . – SJR: 0,125 ; CiteScore: 0,3 ; SNIP: 0,263 Scimago - Education - Q4 </t>
  </si>
  <si>
    <t xml:space="preserve">A receding paradigm as a tool of language discrimination / Kozmács, István [Autor, UKFFSSUML, 100%]. – text. – [angličtina]. – [OV 020, 010]. – [článok]. – DOI 10.1556/044.2020.00010. – SCO In: Hungarian Studies [textový dokument (print)] [elektronický dokument] : A Journal of the International Association for Hungarian Studies. – Budapešť (Maďarsko) : Akadémiai Kiadó. – ISSN 0236-6568. – ISSN (online) 1588-2772. – Roč. 34, č. 1 (2020), 108-119 [tlačená forma] [online] . – SJR: 0,1 ; CiteScore: 0,1 ; SNIP: 0,49 Scimago - Arts and humanities (miscellaneous) - Q4, Social sciences (miscellaneous) - Q4 </t>
  </si>
  <si>
    <t xml:space="preserve">A roman structure from hurbanovo, SW Slovakia: Multiproxy investigation of unique waterlogged deposit / Hajnalová, Mária [Autor, UKFFFAKAR, 14.29%] ; Bielichová, Zora [Autor, 14.285%] ; Rajtár, Ján [Autor, 14.285%] ; Krčová, Denisa [Autor, 14.285%] ; Čejka, Tomáš [Autor, 14.285%] ; Šustek, Zbyšek [Autor, 14.285%] ; Mihályiová, Jana [Autor, 14.285%]. – text. – [angličtina]. – [OV 030]. – [článok]. – DOI 10.24916/iansa.2018.1.4. – SCO In: Interdisciplinaria Archaeologica [textový dokument (print)] [elektronický dokument] : Natural Sciences in Archaeology. – Olomouc (Česko) : Archeologické centrum Olomouc. – ISSN 1804-848X. – ISSN (online) 2336-1220. – Roč. 9, č. 1 (2018), 43-69 [tlačená forma] [online] . – SNIP: 0,39 ; SJR: 0,237 ; CiteScore: 1,0 Scimago - Archeology - Q2, Archeology (arts and humanities) - Q2 </t>
  </si>
  <si>
    <t xml:space="preserve">A sociological-religious probe into contemporary global Salafi jihadism / Kardis, Mária [Autor, PUPGRHV, 20%] ; Šturák, Peter [Autor, PUPGRHV, 20%] ; Králik, Roman [Autor, UKFFFAKAE 06.2022, 10%] ; Nguyen Trong, Daniela [Autor, PUPGRFR, 40%] ; Korzhuev, Andrey V. [Autor, 5%] ; Kryukova, Larisa B. [Autor, 5%]. – text. – [angličtina]. – [OV 020, 060]. – [článok]. – SIGN-PU GTF-19 52/19. – WOS CC ; SCO In: European Journal of Science and Theology [textový dokument (print)] [elektronický dokument] . – Jasy (Rumunsko) : Academic organisation for environmental engineering and sustainable development. – ISSN 1841-0464. – ISSN (online) 1842-8517. – Roč. 15, č. 4 (2019), 113-125 [tlačená forma] [online] . – SNIP: 0,697 ; SJR: 0,35 ; CiteScore: 1,6 Scimago - Engineering (miscellaneous) - Q2, History and philosophy of science - Q2, Multidisciplinary - Q1, Religious studies - Q1 </t>
  </si>
  <si>
    <t xml:space="preserve">A survey on the global optimization problem using Kruskal-Wallis test / Ďuriš, Viliam [Autor, UKFFPVKMA, 50%] ; Tirpáková, Anna [Autor, UKFFPVKMA, 50%]. – text. – [angličtina]. – [OV 240]. – [článok]. – DOI 10.33039/ami.2020.05.004. – WOS CC ; SCO In: Annales Mathematicae et Informaticae [textový dokument (print)] . – Eger (Maďarsko) : EKF Líceum Kiadó. – ISSN 1787-5021. – ISSN (online) 1787-6117. – Roč. 51 (2020), s. 1-18 [tlačená forma] . – SJR: 0,154 ; CiteScore: 0,3 ; SNIP: 0,502 ; AIS: 0.152 AIS - Mathematics - Q3 Scimago - Computer science (miscellaneous) - Q4, Mathematics (miscellaneous) - Q4 </t>
  </si>
  <si>
    <t xml:space="preserve">AAA  Method Application in Evaluating Teaching Strategies for Developing Critical and Creative Thinking / Brečka, Peter [Autor, UKFPFAKTT, 50%] ; Valentová, Monika [Autor, UKFPFAKTT, 50%].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10, č. 1 (2020), 41-45 [tlačená forma] [online] . – AIS: 0.021 AIS - Multidisciplinary sciences - Q4 </t>
  </si>
  <si>
    <t xml:space="preserve">Activational teaching methods as a tool for development of critical thinking / Koleňáková, Rebeka Štefánia [Autor, UKFPFAKPE, 50%] ; Borisová, Simona [Autor, UKFPFAKPE, 30%] ; Šutovcová, Lenka [Autor, UKFPFAKPE, 20%].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10, č. 2 (2020), s. 181-187 [tlačená forma] [online] . – AIS: 0.021 AIS - Multidisciplinary sciences - Q4 </t>
  </si>
  <si>
    <t xml:space="preserve">Active ageing and active old age in the educational context / Határ, Ctibor [Autor, UKFPFAKPE, 100%].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9, č. 1 (2019), 97-102 [tlačená forma] [online] </t>
  </si>
  <si>
    <t xml:space="preserve">Activities in English classes inducing positive / negative emotions / Kráľová, Zdena [Autor, UKFPFAKLI, 60%] ; Kováčiková, Elena [Autor, UKFPFAKLI, 30%] ; Repová, Veronika [Autor, 5%] ; Škorvagová, Eva [Autor, ZUZFHVKPŠ, 5%]. – [angličtina]. – [OV 020]. – [článok]. – DOI 10.17853/1994-5639-2021-1-136-155. – WOS CC ; SCO In: Obrazovanije i nauka [textový dokument (print)] [elektronický dokument] . – Jekaterinburg (Ruská federácia) : Rossijskij gosudarstvennyj professionalʹno-pedagogičeskij universitet. – ISSN 1994-5639. – ISSN (online) 2310-5828. – Roč. 23, č. 1 (2021), s. 136-155 [tlačená forma] [online] . – CiteScore: 2,3 ; SJR: 0,314 ; SNIP: 0,764 Scimago - Developmental and educational psychology - Q3, Education - Q3, Physical therapy, sports therapy and rehabilitation - Q3 </t>
  </si>
  <si>
    <t xml:space="preserve">Acute and subacute silent cerebral infarction in patients before elective coronary intervention / Viszlayová, Daša [Autor, 14%] ; Školoudík, David [Autor, 14%] ; Brozman, Miroslav [Autor, UKFFSVKUM, 20%] ; Langová, Kateřina [Autor, 13%] ; Herzig, Roman [Autor, 13%] ; Pátrovič, Lukáš [Autor, 13%] ; Királová, Silvia [Autor, 13%]. – text. – [angličtina]. – [OV 180]. – [článok]. – DOI 10.14735/amcsnn2018563. – WOS CC ; SCO In: Česká a slovenská neurologie a neurochirurgie [textový dokument (print)] [elektronický dokument] : časopis českých a slovenských neurologů a neurochirurgů. – Brno (Česko) : Česká lékařská společnost Jana Evangelisty Purkyně, Brno (Česko) : Ambit Media, Brno (Česko) : Medica Healthworld. – ISSN 1210-7859. – ISSN (online) 1802-4041. – Roč. 81/114, č. 5 (2018), s. 563-569 [tlačená forma] [online] . – IF: 0,355 ; SJR: 0,153 ; SNIP: 0,231 ; CiteScore: 0,70 JIF - Neurosciences - Q4, Surgery - Q4 Scimago - Neurology (clinical) - Q4, Surgery - Q4 </t>
  </si>
  <si>
    <t xml:space="preserve">Acute effects of different durations of static stretching on the eccentric strength and power of leg flexor muscles / Krčmár, Matúš [Autor, UKOTVDKCH, 10%] ; Xaverová, Zuzana [Autor, 10%] ; Lehnert, Michal [Autor, 10%] ; Krčmárová, Bohumila [Autor, UKFPFAKTV, 10%] ; Šimonek, Jaromír [Autor, UKFPFAKTV, 10%] ; Kanásová, Janka [Autor, UKFPFAKTV, 10%] ; Bognar, Gábor [Autor, 10%] ; Vanderka, Marián [Autor, UKOTVKLA, 10%] ; Ruiz-Pérez, Ignacio [Autor, 10%] ; Ayala, Francisco [Autor, 10%]. – text, graf., tab., obr. – [angličtina]. – [OV 210]. – [článok]. – [recenzované]. – DOI 10.3233/IES-171187. – WOS CC ; SCO In: Isokinetics and exercise science [textový dokument (print)] [elektronický dokument] . – Amsterdam (Holandsko) : IOS Press. – ISSN 0959-3020. – ISSN (online) 1878-5913. – Roč. 26, č. 1 (2018), s. 43-52 [tlačená forma] [online] . – IF: 0,452 ; SNIP: 0,300 ; SJR: 0,356 ; CiteScore: 0,80 JIF - Engineering, biomedical - Q4, Orthopedics - Q4, Sport sciences - Q4 Scimago - Biophysics - Q3, Orthopedics and sports medicine - Q3, Physical therapy, sports therapy and rehabilitation - Q3, Sports science - Q3 </t>
  </si>
  <si>
    <t xml:space="preserve">Acute Performance Enhancement following squats Combined With Elastic Bands on Short Sprint and Vertical Jump Height in Female Athletes / Krčmár, Matúš [Autor, UKFPFAKTV, 60%] ; Krčmárová, Bohumila [Autor, UKFPFAKTV, 20%] ; Bakaľár, Igor [Autor, UKFPFAKTV, 5%] ; Šimonek, Jaromír [Autor, UKFPFAKTV, 15%]. – text. – [angličtina]. – [OV 210]. – [článok]. – DOI 10.1519/JSC.0000000000003881. – WOS CC ; SCO In: Journal of strength and conditioning research [textový dokument (print)] : Research journal of the NSCA : Official journal of the National Strength and Conditioning Association (NSCA). – Colorado Springs (USA) : National Strength &amp; Conditioning Association. – ISSN 1064-8011. – ISSN (online) 1533-4287. – Roč. 35, č. 2 (2021), s. 318-324 [tlačená forma] [online] . – CiteScore: 6 ; IF: 4.415 ; SJR: 1,474 ; SNIP: 1,801 ; AIS: 0.832 AIS - Sport sciences - Q2 JIF - Sport sciences - Q1 Scimago - Medicine (miscellaneous) - Q1, Orthopedics and sports medicine - Q1, Physical therapy, sports therapy and rehabilitation - Q1, Sports science - Q1 </t>
  </si>
  <si>
    <t xml:space="preserve">Adaptation of the Idea of Phronesis in Contemporary Approach to Innovation / Kuzior, Aleksandra [Autor, 20%] ; Zozuľak, Ján [Autor, UKFFFAKFI, 80%]. – text. – [angličtina]. – [OV 020]. – [článok]. – DOI 10.1515/mspe-2019-0014. – WOS CC ; SCO In: Management systems in production engineering [textový dokument (print)] [elektronický dokument] . – Gliwice (Poľsko) : P.A. NOVA. – ISSN 2299-0461. – ISSN (online) 2450-5781. – Roč. 27, č. 2 (2019), 84-87 [tlačená forma] [online] . – SJR: 0,197 ; CiteScore: 0,5 ; SNIP: 0,459 Scimago - Industrial and manufacturing engineering - Q3, Management information systems - Q3, Management of technology and innovation - Q3 </t>
  </si>
  <si>
    <t xml:space="preserve">Adaptation of university students of different age groups to the conditions of education / Kozárová, Nina [Autor, UKFPFAKPE, 50%] ; Komora, Juraj [Autor, UKFPFAKPE, 50%].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11, č. 1 (2021), s. 145-159 [tlačená forma] [online] . – AIS: 0.028 AIS - Multidisciplinary sciences - Q4 </t>
  </si>
  <si>
    <t xml:space="preserve">Algorithmic verification of constraint satisfaction method on timetable problem / Ďuriš, Viliam [Autor, UKFFPVKMA, 100%]. – text. – [angličtina]. – [OV 240, 010]. – [článok]. – DOI 10.13189/ms.2020.080614. – SCO In: Mathematics and Statistics [textový dokument (print)] [elektronický dokument] . – San José (USA) : Horizon Research Publishing. – ISSN 2332-2071. – ISSN (online) 2332-2144. – Roč. 8, č. 6 (2020), 728-739 [tlačená forma] [online] . – SJR: 0,149 ; CiteScore: 0,3 ; SNIP: 0,66 Scimago - Economics and econometrics - Q4, Statistics and probability - Q4, Statistics, probability and uncertainty - Q4 </t>
  </si>
  <si>
    <t xml:space="preserve">An alternative approach to pupils'acquiring a concept parameter in solving inequalities in school mathematics / Gonda, Dalibor [Autor, ZUZFHVKPŠ, 50%] ; Tirpáková, Anna [Autor, UKFFPVKMA, 50%]. – text. – [angličtina]. – [OV 240]. – [článok]. – DOI 10.1080/0020739X.2019.1670365. – WOS CC ; SCO In: International Journal of Mathematical Education in Science and Technology [textový dokument (print)] [elektronický dokument] . – Abingdon (Veľká Británia) : Taylor &amp; Francis Group. – ISSN 0020-739X. – ISSN (online) 1464-5211. – 2019, s. 1-16 [tlačená forma] [online] . – SJR: 0,63 ; CiteScore: 1,4 ; SNIP: 1,463 Scimago - Applied mathematics - Q2, Education - Q2, Mathematics (miscellaneous) - Q2 </t>
  </si>
  <si>
    <t xml:space="preserve">An alternative to real number axioms / Líška, Igor [Autor, 34%] ; Riečan, Beloslav [Autor, 33%] ; Tirpáková, Anna [Autor, UKFFPVKMA, 33%]. – text. – [angličtina]. – [OV 240]. – [článok]. – DOI 10.3390/axioms7030059. – WOS CC ; SCO In: Axioms [elektronický dokument] . – Bazilej (Švajčiarsko) : Multidisciplinary Digital Publishing Institute. – ISSN (online) 2075-1680. – Roč. 7, č. 3 (2018), s. 1-6 [online] . – SJR: 0,23 ; CiteScore: 1,1 ; SNIP: 0,677 Scimago - Algebra and number theory - Q4, Analysis - Q4, Geometry and topology - Q4, Logic - Q4, Mathematical physics - Q3 </t>
  </si>
  <si>
    <t xml:space="preserve">Analogs of the conjunctions in the compound sentences / Rakhimova, Dinara [Autor, 10%] ; Chernysheva, Alevtina [Autor, 10%] ; Adamka, Pavol [Autor, UKFFFAJZC, 80%]. – text. – [angličtina]. – [OV 020]. – [článok]. – WOS CC In: Revista Publicando. – Ekvádor : RML Consultores. – ISSN 1390-9304. – Roč. 5, č. 16 (2018), s. 429-434 </t>
  </si>
  <si>
    <t xml:space="preserve">Analysis of innovation activities of Slovak small and medium-sized family businesses / Urbaníková, Marta [Autor, UKFFPVUMI, 35%] ; Štubňová, Michaela [Autor, UKFFPVUMI, 35%] ; Papcunová, Viera [Autor, UKFFPVUMI, 15%] ; Hudáková, Jarmila [Autor, UKFFPVUMI, 15%]. – text. – [angličtina]. – [OV 060]. – [článok]. – [recenzované]. – DOI 10.3390/admsci10040080. – WOS CC ; SCO In: Administrative Sciences [elektronický dokument] . – Basel (Švajčiarsko) : Multidisciplinary Digital Publishing Institute. – ISSN 2076-3387. – Roč. 10, č. 4 (2020), art. no. 80, s. 1-19 [online] . – AIS: 0.357 AIS - Management - Q1 </t>
  </si>
  <si>
    <t xml:space="preserve">Analysis of Pupils ́ Higher and Lower Order Thinking Skills in Traffic Education / Valentová, Monika [Autor, UKFPFAKTT, 34%] ; Brečka, Peter [Autor, UKFPFAKTT, 33%] ; Tureková, Ivana [Autor, UKFPFAKTT, 33%]. – text. – [angličtina]. – [OV 010]. – [článok]. – DOI 10.18421/TEM102-46. – WOS CC ; SCO In: TEM Journal [textový dokument (print)] [elektronický dokument] : Technology, Education, Management, Informatics. – Novi Pazar (Srbsko) : Association for Information Communication Technology Education and Science. – ISSN 2217-8309. – ISSN (online) 2217-8333. – Roč. 10, č. 2 (2021), s. 858-863 [tlačená forma] [online] . – CiteScore: 1,6 ; SJR: 0,245 ; SNIP: 0,675 ; AIS: 0.085 AIS - Computer science, information systems - Q3 Scimago - Computer science (miscellaneous) - Q3, Education - Q3, Information systems - Q3, Information systems and management - Q3, Management of technology and innovation - Q3, Strategy and management - Q3 </t>
  </si>
  <si>
    <t xml:space="preserve">Analýza vybraných metodologických charakteristík výskumných štúdií v časopise Sociální práce / Sociálna práca za obdobie rokov 2002–2019 = Analysis of Selected Methodological Characteristics of Research Studies in the Journal Sociální práce / Sociálna práca (Czech and Slovak Social Work) for the Period 2002–2019 / Almašiová, Angela [Autor, KURPESP, 34%] ; Kohútová, Katarína [Autor, KURPESP, 33%] ; Rosinský, Rastislav [Autor, UKFFSVURS, 33%]. – text. – [slovenčina]. – [OV 060]. – [článok]. – SCO In: Sociální práce [textový dokument (print)] [elektronický dokument] : nabízíme spojení teorie s praxí = ponúkame spojenie teórie s praxou. – Brno (Česko) : Národní centrum pro rodinu, Brno (Česko) : Asociace vzdělavatelů v sociální práci. – ISSN 1213-6204. – ISSN (online) 1805-885X. – Roč. 21, č. 5 (2021), s. 130-152 [tlačená forma] [online] . – CiteScore: 0,7 ; SJR: 0,245 ; SNIP: 0,575 Scimago - Applied psychology - Q4, Health (social science) - Q3, Social sciences (miscellaneous) - Q3, Sociology and political science - Q3 </t>
  </si>
  <si>
    <t xml:space="preserve">Animal and plant remains from two Kalenderberg Group (Hallstatt Culture) : cremation graves in Devín-Záhrady, Slovakia / Bielichová, Zora [Autor, 35%] ; Hajnalová, Mária [Autor, UKFFFAKAR, 35%] ; Kmeťová, Petra [Autor, 15%] ; Barta, Peter [Autor, UKOFIPV, 15%]. – text, fotogr., mapy, graf., tab., obr. – [angličtina]. – [OV 030]. – [článok]. – SCO In: Interdisciplinaria Archaeologica [textový dokument (print)] [elektronický dokument] : Natural Sciences in Archaeology. – Olomouc (Česko) : Archeologické centrum Olomouc. – ISSN 1804-848X. – ISSN (online) 2336-1220. – Roč. 11, č. 2 (2020), s. 149-176 [tlačená forma] [online] . – SJR: 0,458 ; CiteScore: 1 ; SNIP: 0,552 Scimago - Archeology - Q1, Archeology (arts and humanities) - Q1 </t>
  </si>
  <si>
    <t xml:space="preserve">Anxiety management in speaking in a foreign language in the context of cognitive and behavioral methods / Müller De Morais, Marianna [Autor, UKFPFAKPE, 33.334%] ; Škorvagová, Eva [Autor, ZUZFHVKPŠ, 33.333%] ; Kráľová, Zdena [Autor, UKFPFAKLI, 33.333%]. – [angličtina]. – [OV 010]. – [článok]. – [recenzované]. – WOS CC In: AD ALTA [textový dokument (print)] [elektronický dokument] : journal of interdisciplinary research = recenzovaný mezioborový vědecký časopis. – Hradec Králové (Česko) : Magnanimitas akademické sdružení. – ISSN 1804-7890. – ISSN (online) 2464-6733. – Roč. 9, č. 1 (2019), s. 214-221 [tlačená forma] [online] </t>
  </si>
  <si>
    <t xml:space="preserve">Apoptosis signal-regulating kinase (ASK-1) controls ovarian cell functions / Sirotkin, Alexander [Autor, UKFFPVKZA, 20%] ; Benčo, Andrej [Autor, 20%] ; Kotwica, Jan [Autor, 20%] ; Alwasel, Saleh Hamad Amad [Autor, 20%] ; Harrath, Abdel Halim [Autor, 20%]. – text. – [angličtina]. – [OV 130]. – [článok]. – DOI 10.1071/RD19055. – WOS CC ; SCO In: Reproduction, Fertility and Development [textový dokument (print)] : the official journal of the Fertility Society of Australia and of the Australian Society for Reproduction Biology. – Collingwood (Austrália) : Commonwealth Scientific and Industrial Research Organisation CSIRO. – ISSN 1031-3613. – ISSN (online) 1448-5990. – 2019, s. 1-8 [tlačená forma] . – SJR: 0,61 ; CiteScore: 3,5 ; SNIP: 0,76 ; IF: 1.721 JIF - Developmental biology - Q4, Reproductive biology - Q4, Zoology - Q2 Scimago - Animal science and zoology - Q1, Biotechnology - Q2, Developmental biology - Q4, Endocrinology - Q3, Genetics - Q3, Molecular biology - Q3, Reproductive medicine - Q2 </t>
  </si>
  <si>
    <t xml:space="preserve">Apple Tree Model of Emotion-Involved Processing: Videos for Emotions and Foreign Language Learning / Kamenická, Jana [Autor, UKFPFAKLI, 100%]. – text. – [angličtina]. – [OV 010]. – [článok]. – DOI 10.15503/jecs2021.1.103.116. – WOS CC In: Journal of education culture and society [elektronický dokument] . – Vroclav (Poľsko) : Fundacja Pro Scientia Publica. – ISSN 2081-1640. – Roč. 12, č. 1 (2021), s. 103-116 [online] </t>
  </si>
  <si>
    <t xml:space="preserve">Application of Hierarchical Cluster Analysis in Educational Research: Distinguishing between Transmissive and Constructivist Oriented Mathematics Teachers / Medová, Janka [Autor, UKFFPVKMA, 80%] ; Bakušová, Jana [Autor, 20%]. – [angličtina]. – [OV 240]. – [článok]. – WOS CC ; SCO In: Statistika [textový dokument (print)] [elektronický dokument] : Statistics and Economy Journal. – Praha (Česko) : Český statistický úřad. – ISSN 0322-788X. – ISSN (online) 1804-8765. – Roč. 99, č. 2 (2019), 142-150 [tlačená forma] [online] . – SJR: 0,26 ; CiteScore: 0,6 ; SNIP: 0,842 Scimago - Economics and econometrics - Q3, Statistics, probability and uncertainty - Q3 </t>
  </si>
  <si>
    <t xml:space="preserve">Application of online teaching tools and aids during corona pandemics 2020 / Hašková, Alena [Autor, UKFPFAKTT, 35%] ; Šafranko, Csilla [Autor, 35%] ; Pavlíková, Martina [Autor, UKFFFAKZU, 15%] ; Petrikovičová, Lucia [Autor, UKFFPVKGR, 15%].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10, č. 2 (2020), s. 106-112 [tlačená forma] [online] . – AIS: 0.021 AIS - Multidisciplinary sciences - Q4 </t>
  </si>
  <si>
    <t xml:space="preserve">Applying of strategies of critical and creative thinking by teachers according to the teaching subject and degree of education / Duchovičová, Jana [Autor, UKFPFAKPE, 50%] ; Fenyvesiová, Lívia [Autor, UKFPFAKPE, 50%].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9, č. 1 (2019), 49-55 [tlačená forma] [online] </t>
  </si>
  <si>
    <t xml:space="preserve">Are Instructed Emotional States Suitable for Classification? Demonstration of How They Can Significantly Influence the Classification Result in An Automated Recognition System / Magdin, Martin [Autor, UKFFPVKIN, 50%] ; Prikler, Filip [Autor, 50%]. – text. – [angličtina]. – [OV 160]. – [článok]. – DOI 10.9781/ijimai.2018.03.002. – WOS CC In: International Journal of Interactive Multimedia and Artificial Intelligence [elektronický dokument] . – Logroño (Španielsko) : Universidad Internacional de La Rioja. – ISSN 1989-1660. – Roč. 5, č. 4 (2019), 141-147 [online] . – IF: 2.561 JIF - Computer science, artificial intelligence - Q2, Computer science, interdisciplinary applications - Q2 </t>
  </si>
  <si>
    <t xml:space="preserve">Archaeological Digital Archiving in Heritage Management in Slovakia [Archeologická digitálna archivácia v oblasti správy kultúrneho dedičstva na Slovensku] / Bisták, Peter [Autor, UKFFFAKAR, 18%] ; Zachar, Ján [Autor, 5%] ; Bucha Rášová, Alexandra [Autor, 010130, 5%] ; Lieskovský, Tibor [Autor, 010130, 60%] ; Kravjanská, Ivica [Autor, 5%] ; Orosová, Martina [Autor, 5%] ; Kročková, Kristína [Autor, 1%] ; Felcan, Michal [Autor, 1%]. – [angličtina]. – [OV 050]. – [článok]. – [recenzované]. – DOI 10.11141/ia.58.16. – SCO In: Internet Archaeology [elektronický dokument] : an open access journal . – York (Veľká Británia) : University of York. – ISSN 1363-5387. – suppl. Digital Archiving in Archaeology: The State of the Art : special issue of SEADDA workshop in Gothenburg in November 2019, č. 58 (2021), s. 1-9 [online] . – CiteScore: 1,5 ; SJR: 0,206 ; SNIP: 0,469 Scimago - Archeology - Q2, Archeology (arts and humanities) - Q2 </t>
  </si>
  <si>
    <t xml:space="preserve">Art therapy as a tool of personal development in university education Frida Kahlo in the students' written and visual reflections / Satková, Janka [Autor, UKFPFAKVV, 100%].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9, č. 1 (2019), 255-258 [tlačená forma] [online] </t>
  </si>
  <si>
    <t xml:space="preserve">Artistic verbal fiction as a medium: polemical reflection on the possibilities and limits of interpretation = Umělecká slovesná fikce jako médium: polemická úvaha nad možnostmi a mezemi interpretace / Mikulášek, Alexej [Autor, UKFFSSUSJ, 100%]. – text. – [angličtina]. – [OV 020]. – [článok]. – SCO In: Bohemistyka [textový dokument (print)] [elektronický dokument] . – Poznań (Poľsko) : Polska Akademia Nauk. – ISSN 1642-9893. – Roč. 21, č. 2 (2021), s. 143-168 [tlačená forma] [online] . – CiteScore: 0,1 ; SJR: 0,122 ; SNIP: 0,011 Scimago - Electrical and electronic engineering - Q4, Linguistics and language - Q3 </t>
  </si>
  <si>
    <t xml:space="preserve">Assessing the Intensity of the Usability of the Course Content within the Virtual Learning Environment / Obonya, Juraj [Autor, UKFFPVKIN, 50%] ; Kadlečík, Miroslav [Autor, UKFFPVKIN, 50%]. – text. – [angličtina]. – [OV 010, 240, 160]. – [článok]. – DOI 10.3991/ijet.v15i17.13715. – WOS CC ; SCO In: International Journal of Emerging Technologies in Learning [textový dokument (print)] [elektronický dokument] . – Viedeň (Rakúsko) : International Association of Online Engineering. – ISSN 1863-0383. – ISSN (online) 1868-8799. – Roč. 15, č. 17 (2020), 165-180 [tlačená forma] [online] . – SJR: 0,454 ; CiteScore: 2,6 ; SNIP: 1,342 ; AIS: 0.164 AIS - Education &amp; educational research - Q3 Scimago - E-learning - Q2, Education - Q2, Engineering (miscellaneous) - Q2 </t>
  </si>
  <si>
    <t xml:space="preserve">Assessment of Antioxidants by HPLC-MS in Grapevine Seeds / Sochorova, Lenka [Autor, 12.5%] ; Klejdus, Borivoj [Autor, 12.5%] ; Baroň, Mojmír [Autor, 12.5%] ; Juríková, Tünde [Autor, UKFFSSUVP, 12.5%] ; Mlček, Jiří [Autor, 12.5%] ; Sochor, Jiří [Autor, 12.5%] ; Ercisli, Sezai [Autor, 12.5%] ; Kupe, Muhhamed [Autor, 12.5%]. – text. – [angličtina]. – [OV 010]. – [článok]. – DOI 10.24326/asphc.2019.6.2. – WOS CC ; SCO In: Acta Scientiarum Polonorum [textový dokument (print)] [elektronický dokument] : Hortorum Cultus = Ogrodnictwo. – Lublin (Poľsko) : Uniwersytet Przyrodniczy w Lublinie. Wydawnictwo Uniwersytetu Przyrodniczego w Lublinie. – ISSN 1644-0692. – ISSN (online) 2545-1405. – Roč. 18, č. 6 (2019), 17-28 [tlačená forma] [online] . – IF: 0.616 ; SJR: 0,264 ; CiteScore: 0,8 ; SNIP: 0,512 JIF - Horticulture - Q4 Scimago - Horticulture - Q3, Plant science - Q3 </t>
  </si>
  <si>
    <t xml:space="preserve">Assessment of school image / Eger, Ludvik [Autor, 30%] ; Egerová, Dana [Autor, 30%] ; Pisoňová, Mária [Autor, UKFPFAKPE, 40%]. – text. – [angličtina]. – [OV 010]. – [článok]. – DOI 10.26529/cepsj.546. – SCO In: Center for Educational Policy Studies Journal [textový dokument (print)] [elektronický dokument] . – ISSN 1855-9719. – ISSN (online) 2232-2647. – Roč. 8, č. 2 (2018), s. 97-122 [tlačená forma] [online] . – SJR: 0,253 ; CiteScore: 0,9 ; SNIP: 1,01 Scimago - Education - Q3 </t>
  </si>
  <si>
    <t xml:space="preserve">Assessment of soil quality in agroecosystems based on soil fauna / Langraf, Vladimír [Autor, UKFFPVKZA, 62%] ; Petrovičová, Kornélia [Autor, SPUFAP26, 30%] ; Schlarmannová, Janka [Autor, UKFFPVKZA, 2%] ; David, Stanislav [Autor, UKFFPVKEE, 2%] ; Avtaeva, Tamara [Autor, 2%] ; Brygadyrenko, Viktor [Autor, 2%]. – text. – [angličtina]. – [OV 190, 130]. – [článok]. – DOI 10.15421/012140. – WOS CC ; SCO In: Biosystems Diversity [textový dokument (print)] [elektronický dokument] . – Dnipro (Ukrajina) : Oles Honchar Dnipro National University. – ISSN 2519-8513. – ISSN (online) 2520-2529. – Roč. 29, č. 4 (2021), s. 319-325 [tlačená forma] [online] . – CiteScore: 1,3 ; SJR: 0,227 ; SNIP: 0,629 Scimago - Ecology - Q3, Ecology, evolution, behavior and systematics - Q4 </t>
  </si>
  <si>
    <t xml:space="preserve">Assessment of the innovated State Educational Program impact on technology literacy of lower secondary education pupils (ISCED 2) / Hašková, Alena [Autor, UKFPFAKTT, 50%] ; Lukáčová, Danka [Autor, UKFPFAKTT, 50%].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9, č. 1 (2019), s. 92-96 [tlačená forma] [online] </t>
  </si>
  <si>
    <t xml:space="preserve">Attachment in patients with an obsessive compulsive disorder / Hodný, František [Autor, 16%] ; Praško Pavlov, Ján [Korešpondenčný autor, UKFFSVKPV, 14%] ; Ocisková, Marie [Autor, 14%] ; Vanek, Jakub [Autor, 14%] ; Holubová, Michaela [Autor, 14%] ; Sollár, Tomáš [Autor, UKFFSVUAP, 14%] ; Nesnídal, Vlastimil [Autor, 14%]. – text. – [angličtina]. – [OV 060]. – [článok]. – WOS CC In: Neuroendocrinology Letters [textový dokument (print)] [elektronický dokument] . – Štokholm (Švédsko) : Maghira and Maas Publications. – ISSN 0172-780X. – ISSN (online) 2354-4716. – Roč. 42, č. 5 (2021), s. 283-291 [tlačená forma] [online] . – SNIP: 0.414 ; SJR: 0.208 ; CiteScore: 1.4 ; IF: 0.638 ; AIS: 0.162 AIS - Endocrinology &amp; metabolism - Q4, Neurosciences - Q4 JIF - Endocrinology &amp; metabolism - Q4, Neurosciences - Q4 Scimago - Endocrine and autonomic systems - Q4, Endocrinology - Q4, Endocrinology, diabetes and metabolism - Q4, Medicine (miscellaneous) - Q4, Neurology - Q4, Neurology (clinical) - Q4, Psychiatry and mental health - Q4 </t>
  </si>
  <si>
    <t xml:space="preserve">Attachment in Structuring Information in Students' Mental Representations / Kozárová, Nina [Korešpondenčný autor, UKFPFAKPE, 50%] ; Komora, Juraj [Autor, UKFPFAKPE, 50%]. – [angličtina]. – [OV 010]. – [článok]. – DOI 10.18421/TEM94-50. – WOS CC ; SCO In: TEM Journal [textový dokument (print)] [elektronický dokument] : Technology, Education, Management, Informatics. – Novi Pazar (Srbsko) : Association for Information Communication Technology Education and Science. – ISSN 2217-8309. – ISSN (online) 2217-8333. – Roč. 9, č. 4 (2020), 1697-1703 [tlačená forma] [online] . – SJR: 0,199 ; CiteScore: 1,2 ; SNIP: 0,671 ; AIS: 0.083 AIS - Computer science, information systems - Q4 Scimago - Computer science (miscellaneous) - Q3, Education - Q4, Information systems - Q4, Information systems and management - Q3, Management of technology and innovation - Q4, Strategy and management - Q4 </t>
  </si>
  <si>
    <t xml:space="preserve">Attempts at creating a new concept of literature : (the Hungarian literature in Slovakia between the two world wars) / Bárcziová, Žofia [Autor, UKFFSSUML, 100%]. – text. – [angličtina]. – [OV 020, 010]. – [článok]. – DOI 10.1556/044.2020.00002. – SCO In: Hungarian Studies [textový dokument (print)] [elektronický dokument] : A Journal of the International Association for Hungarian Studies. – Budapešť (Maďarsko) : Akadémiai Kiadó. – ISSN 0236-6568. – ISSN (online) 1588-2772. – Roč. 34, č. 1 (2020), 7-14 [tlačená forma] [online] . – SJR: 0,1 ; CiteScore: 0,1 ; SNIP: 0,49 Scimago - Arts and humanities (miscellaneous) - Q4, Social sciences (miscellaneous) - Q4 </t>
  </si>
  <si>
    <t xml:space="preserve">Author’s transformations and their translation in “the plumed serpent” by D.H. Lawrence / Gololobova, Nailya I. [Autor, 30%] ; Arsenteva, Elena F. [Autor, 40%] ; Zelenická, Elena [Autor, UKFFFAJZC, 30%]. – text. – [angličtina]. – [OV 020]. – [článok]. – DOI 10.35940/ijitee.A9205.119119. – SCO In: International journal of innovative technology and exploring engineering [elektronický dokument] . – Madhya Pradesh (India) : Blue Eyes Intelligence Engineering and Sciences Publication. – ISSN (online) 2278-3075. – Roč. 9, č. 1 (2019), 5101-5104 [online] . – SJR: 0,102 ; CiteScore: 0,6 ; SNIP: 0,055 Scimago - Civil and structural engineering - Q4, Computer science (miscellaneous) - Q4, Electrical and electronic engineering - Q4, Mechanics of materials - Q4 </t>
  </si>
  <si>
    <t xml:space="preserve">Az államnyelv oktatása, az írás és az olvasás tanítása a határon túli magyar régiókban / Tolcsvai Nagy, Gábor [Autor, UKFFSSUML, 100%]. – text. – [maďarčina]. – [OV 020]. – [článok]. – SCO In: Magyar nyelvőr [textový dokument (print)] [elektronický dokument] : a magyar Tudományos Akadémia Magyar Nyelvi Bizottságának folyóirata. – Budapešť (Maďarsko) : Magyar Tudományos Akadémia. – ISSN 0025-0236. – ISSN (online) 1585-4515. – Roč. 143, č. 2 (2019), 133-137 [tlačená forma] [online] . – SJR: 0,189 ; CiteScore: 0,2 ; SNIP: 0,523 Scimago - Language and linguistics - Q2, Linguistics and language - Q2 </t>
  </si>
  <si>
    <t xml:space="preserve">Barbi e il progetto di edizione delle Opere di Dante: gli esordi degli «Studi Danteschi» alle soglie del Centenario del 1921 / Zaccarello, Michelangelo [Autor, UKFFFAKRO, 100%]. – text. – [taliančina]. – [OV 020]. – [článok]. – SCO In: Studi danteschi [textový dokument (print)] . – Rím (Taliansko) : Le Lettere. – ISSN 0391-7835. – Roč. 85, č. 1 (2020), s. 27-44 [tlačená forma] </t>
  </si>
  <si>
    <t xml:space="preserve">Barriers to assistance for women from marginalised Roma communities who are experiencing domestic violence / Rác, Ivan [Autor, UKFFSVURS, 100%]. – text. – [angličtina]. – [OV 060]. – [článok]. – DOI 10.32725/kont.2020.042. – SCO In: Kontakt [textový dokument (print)] [elektronický dokument] : vědecký časopis Zdravotně sociální fakulty Jihočeské univerzity : časopis pro ošetřovatelství a sociální vědy ve zdraví a nemoci = Journal of nursing and social sciences related to health and illness. – České Budejovice (Česko) : Jihočeská univerzita v Českých Budějovicích. Zdravotně sociální fakulta. – ISSN 1212-4117. – ISSN (online) 1804-7122. – Roč. 22, č. 4 (2020), 251-257 [tlačená forma] [online] . – SNIP: 0,253 ; SJR: 0,167 ; CiteScore: 0,7 Scimago - Nursing (miscellaneous) - Q4, Philosophy - Q2, Public health, environmental and occupational health - Q4 </t>
  </si>
  <si>
    <t xml:space="preserve">Bee pollens originating from different species have unique effects on ovarian cell functions / Sirotkin, Alexander [Korešpondenčný autor, UKFFPVKZA, 50%] ; Tarko, Adam [Autor, UKFFPVKZA, 10%] ; Alexa, Richard [Autor, 10%] ; Fakova, Alla [Autor, 10%] ; Alwasel, Saleh Hamad Amad [Autor, 10%] ; Harrath, Abdel Halim [Autor, 10%]. – text. – [angličtina]. – [OV 190, 130]. – [článok]. – DOI 10.1080/13880209.2020.1839514. – WOS CC ; SCO In: Pharmaceutical Biology [textový dokument (print)] . – Abingdon (Veľká Británia) : Taylor &amp; Francis Group. – ISSN 1388-0209. – ISSN (online) 1744-5116. – Roč. 58, č. 1 (2020), s. 1092-1097 [tlačená forma] . – SJR: 0,702 ; CiteScore: 6,4 ; SNIP: 1,403 ; IF: 3.503 ; AIS: 0.515 AIS - Medical laboratory technology - Q3, Pharmacology &amp; pharmacy - Q3, Plant sciences - Q2 JIF - Medical laboratory technology - Q2, Pharmacology &amp; pharmacy - Q2, Plant sciences - Q1 Scimago - Complementary and alternative medicine - Q1, Drug discovery - Q2, Medicine (miscellaneous) - Q2, Molecular medicine - Q3, Pharmaceutical science - Q2, Pharmacology - Q2 </t>
  </si>
  <si>
    <t xml:space="preserve">Benefits of the long-term research into the Pustý Hrad castle (deserted castle) in Zvolen and its prospects for the future / Beljak Pažinová, Noémi [Autor, UKFFFAKAR, 90%] ; Beljak, Ján [Autor, 10%]. – text. – [angličtina]. – [OV 030]. – [článok]. – DOI 10.5817/AH2020-2-20. – SCO In: Archaeologia historica [textový dokument (print)] [elektronický dokument] . – Brno (Česko) : Masarykova univerzita. Filozofická fakulta. – ISSN 0231-5823. – ISSN (online) 2336-4386. – Roč. 45, č. 2 (2020), 941-956 [tlačená forma] [online] . – SJR: 0,254 ; CiteScore: 0,4 ; SNIP: 0,792 Scimago - Archeology - Q2, Archeology (arts and humanities) - Q2, History - Q1 </t>
  </si>
  <si>
    <t xml:space="preserve">Benchmarking and its use in financial analysis of local self-government / Hornyák Gregáňová, Radomíra [Autor, SPUFEM07, 35%] ; Vavrek, Roman [Autor, 35%] ; Papcunová, Viera [Autor, UKFFPVUMI, 30%]. – [angličtina]. – [OV 060]. – [článok]. – DOI 10.1504/IJPMB.2021.117334. – SCO In: International journal of process management and benchmarking [textový dokument (print)] [elektronický dokument] . – Ženeva (Švajčiarsko) : Inderscience Publishers. – ISSN 1460-6739. – ISSN 1741-816X online. – Roč. 11, č. 5 (2021), s. 601-619 [tlačená forma] [online] . – CiteScore: 1,2 ; SJR: 0,24 ; SNIP: 0,608 Scimago - Business and international management - Q3, Management science and operations research - Q4, Strategy and management - Q3 </t>
  </si>
  <si>
    <t xml:space="preserve">Best practices for improving spatial imagination in mathematics / Nagyová Lehocká, Zuzana [Autor, UKFFSSUVP, 40%] ; Csáky, Antal [Autor, UKFFSSUVP, 30%] ; Žitný, Rastislav [Autor, UKFFSSUVP, 30%].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11, č. 1 (2021), s. 162-166 [tlačená forma] [online] . – AIS: 0.028 AIS - Multidisciplinary sciences - Q4 </t>
  </si>
  <si>
    <t xml:space="preserve">Bézier curve parametrisation and echo state network methods for solving optimal control problems of SIR model / Kmeť, Tibor [Autor, UJSEFKMI, 50%] ; Kmeťová, Mária [Autor, UKFFPVKMA, 50%]. – text. – [angličtina]. – [OV 240]. – [článok]. – DOI 10.1016/j.biosystems.2019.104029. – WOS CC ; SCO In: BioSystems [textový dokument (print)] [elektronický dokument] . – Oxford (Veľká Británia) : Elsevier. – ISSN 0303-2647. – ISSN (online) 1872-8324. – Roč. 186 (2019), art. no. 104029, s. 1-12 [tlačená forma] [online] . – SJR: 0,515 ; CiteScore: 3,2 ; SNIP: 0,783 ; IF: 1.808 JIF - Biology - Q3, Mathematical &amp; computational biology - Q3 Scimago - Applied mathematics - Q2, Biochemistry, genetics and molecular biology (miscellaneous) - Q2, Medicine (miscellaneous) - Q2, Modeling and simulation - Q2, Statistics and probability - Q3 </t>
  </si>
  <si>
    <t xml:space="preserve">Biometrics authentication of fingerprint with using fingerprint reader and microcontroller Arduino / Magdin, Martin [Autor, UKFFPVKIN, 45%] ; Koprda, Štefan [Autor, UKFFPVKIN, 45%] ; Ferenczy, Ľubor [Autor, 10%]. – [angličtina]. – [OV 160]. – [článok]. – SCO In: Telkomnika [textový dokument (print)] : Telecommunication Computing Electronics and Control. – Jogjakarta (Indonézia) : Universitas Ahmad Dahlan. – ISSN 1693-6930. – ISSN (online) 2302-9293. – Roč. 16, č. 2 (2018), s. 755-765 [tlačená forma] . – SJR: 0,283 ; CiteScore: 1,4 ; SNIP: 0,817 Scimago - Electrical and electronic engineering - Q2 </t>
  </si>
  <si>
    <t xml:space="preserve">Blueprint as a Motivating Factor for the Development of Spatial Ability in Teaching of Mathematics: An Action Research Study / Rumanová, Lucia [Autor, UKFFPVKMA, 45%] ; Vallo, Dušan [Autor, UKFFPVKMA, 45%] ; Smiešková, Edita [Autor, UKFFPVKMA, 10%]. – text. – [angličtina]. – [OV 010]. – [článok]. – DOI 10.18421/TEM102-30. – WOS CC ; SCO In: TEM Journal [textový dokument (print)] [elektronický dokument] : Technology, Education, Management, Informatics. – Novi Pazar (Srbsko) : Association for Information Communication Technology Education and Science. – ISSN 2217-8309. – ISSN (online) 2217-8333. – Roč. 10, č. 2 (2021), s. 732-742 [tlačená forma] [online] . – CiteScore: 1,6 ; SJR: 0,245 ; SNIP: 0,675 ; AIS: 0.085 AIS - Computer science, information systems - Q3 Scimago - Computer science (miscellaneous) - Q3, Education - Q3, Information systems - Q3, Information systems and management - Q3, Management of technology and innovation - Q3, Strategy and management - Q3 </t>
  </si>
  <si>
    <t xml:space="preserve">Body fat affects mouse reproduction, ovarian hormone release, and response to follicular stimulating hormone / Sirotkin, Alexander [Autor, UKFFPVKZA, 20%] ; Fabian, Dušan [Autor, 20%] ; Babeľová, Janka [Autor, 20%] ; Vlčková, Radoslava [Autor, UVLFKAHF, 20%] ; Alwasel, Saleh Hamad Amad [Autor, 10%] ; Harrath, Abdel Halim [Autor, 10%]. – text. – [angličtina]. – [OV 130]. – [článok]. – DOI 10.1016/j.repbio.2017.12.002. – WOS CC ; SCO In: Reproductive Biology [textový dokument (print)] [elektronický dokument] . – Olsztyn (Poľsko) : Institute of Animal Reproduction and Food Research of the Polish Academy of Sciences. – ISSN 1642-431X. – ISSN (online) 2300-732X. – Roč. 18, č. 1 (2018), s. 5-11 [tlačená forma] [online] . – SJR: 0,622 ; CiteScore: 2,3 ; SNIP: 0,779 ; IF: 1.880 JIF - Reproductive biology - Q3 Scimago - Animal science and zoology - Q2, Developmental biology - Q4, Endocrinology - Q3 </t>
  </si>
  <si>
    <t xml:space="preserve">Borderline personality disorder and recovery / Nesnídal, Vlastimil [Autor, 15%] ; Praško Pavlov, Ján [Korešpondenčný autor, UKFFSVKPV, 50%] ; Vanek, Jakub [Autor, 5%] ; Ocisková, Marie [Autor, 5%] ; Holubová, Michaela [Autor, 5%] ; Kantor, Kryštof [Autor, 5%] ; Látalová, Klára [Autor, 5%] ; Minariková, Kamila [Autor, 5%] ; Hodný, František [Autor, 5%]. – text. – [angličtina]. – [OV 180]. – [článok]. – WOS CC ; SCO In: Neuroendocrinology Letters [textový dokument (print)] [elektronický dokument] . – Štokholm (Švédsko) : Maghira and Maas Publications. – ISSN 0172-780X. – ISSN (online) 2354-4716. – Roč. 41, č. 6 (2020), 308-317 [tlačená forma] [online] . – IF: 0,765 ; SNIP: 0.383 ; SJR: 0.264 ; CiteScore: 1.5 ; AIS: 0.211 AIS - Endocrinology &amp; metabolism - Q4, Neurosciences - Q4 JIF - Endocrinology &amp; metabolism - Q4, Neurosciences - Q4 Scimago - Endocrine and autonomic systems - Q4, Endocrinology - Q4, Endocrinology, diabetes and metabolism - Q3, Medicine (miscellaneous) - Q3, Neurology - Q4, Neurology (clinical) - Q3, Psychiatry and mental health - Q3 </t>
  </si>
  <si>
    <t xml:space="preserve">Brief Survey of History of Roma people in the Great Rye Island / Sipos, Ladislav [Autor, UKFFSSUSJ, 100%]. – text. – [angličtina]. – [OV 020, 010]. – [článok]. – DOI 10.22359/cswhi_11_4_09. – WOS CC In: Clinical Social Work and Health Intervention [textový dokument (print)] [elektronický dokument] . – Viedeň (Rakúsko) : Gesellschaft für angewandte Präventionsmedizin. – ISSN 2222-386X. – ISSN (online) 2076-9741. – Roč. 11, č. 4 (2020), 64-67 [tlačená forma] [online] . – AIS: 0.038 AIS - Public, environmental &amp; occupational health - Q4 </t>
  </si>
  <si>
    <t xml:space="preserve">Byzantine Philosophy of the Person and its Theological Implications / Zozuľak, Ján [Autor, UKFFFAKFI, 70%] ; Valčo, Michal [Autor, PUPGRHV, 30%]. – text. – [angličtina]. – [OV 020, 030]. – [článok]. – SIGN-PU GTF 191/18. – WOS CC ; SCO In: Bogoslovni vestnik [textový dokument (print)] [elektronický dokument] : glasilo Teološke fakultete v Ljubljani. – Ljubljana (Slovinsko) : Univerza v Ljubljani. – ISSN 0006-5722. – ISSN (online) 1581-2987. – Roč. 78, č. 4 (2018), 1037-1049 [tlačená forma] [online] . – SNIP: 1,142 ; SJR: 0,398 ; CiteScore: 0,9 Scimago - Religious studies - Q1 </t>
  </si>
  <si>
    <t xml:space="preserve">Can motivation for choosing teaching as a profession predict academic achievement? The role of gender, secondary school type and study programme / Tomšik, Robert [Autor, UKFPFAKAP, 100%].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9, č. 1 (2019), 299-304 [tlačená forma] [online] </t>
  </si>
  <si>
    <t xml:space="preserve">Career growth of teacher of pre-primary education through self-reflection in qualification thesis = Karernyj rost pedagoga doškoľnogo obrazovanija čerez samorefleksiju v kvalifikacionnoj rabote / Pupíková, Eva [Autor, UKFPFAKPE, 34%] ; Kollárová, Dana [Autor, UKFPFAKPE, 33%] ; Bírová, Jana [Autor, UCMFIFKPED, 33%]. – text. – [angličtina]. – [OV 010]. – [článok]. – DOI 10.15293/2658-6762.2001.10. – SCO In: Science for Education Today [elektronický dokument] . – Novosibirsk (Ruská federácia) : Novosibirsk State Pedagogical University. – ISSN (online) 2658-6762. – Roč. 10, č. 1 (2020), 174-190 [online] </t>
  </si>
  <si>
    <t xml:space="preserve">Civic virtues and functions of religion in public life / Žalec, Bojan [Autor, 50%] ; Pavlíková, Martina [Autor, UKFFFAKZU, 50%]. – [angličtina]. – [OV 020]. – [článok]. – WOS CC ; SCO In: European Journal of Science and Theology [textový dokument (print)] [elektronický dokument] . – Jasy (Rumunsko) : Academic organisation for environmental engineering and sustainable development. – ISSN 1841-0464. – ISSN (online) 1842-8517. – Roč. 15, č. 6 (2019), 75-84 [tlačená forma] [online] . – SNIP: 0,697 ; SJR: 0,35 ; CiteScore: 1,6 Scimago - Engineering (miscellaneous) - Q2, History and philosophy of science - Q2, Multidisciplinary - Q1, Religious studies - Q1 </t>
  </si>
  <si>
    <t xml:space="preserve">Classification of athletic decathlon using methods of hierarchical analysis / Broďáni, Jaroslav [Autor, UKFPFAKTV, 34%] ; Dvořáčková, Natália [Autor, UKFPFAKTV, 33%] ; Czaková, Monika [Autor, UKFPFAKTV, 33%]. – text. – [angličtina]. – [OV 210]. – [článok]. – SCO In: Journal of physical education and sport [elektronický dokument] [textový dokument (print)] . – Pitesti, Arges (Rumunsko) : Universitatea din Pitesti. – ISSN 2247-8051. – ISSN (online) 2247-806X. – Roč. 20, č. 6 (2020), s. 3253-3259 [online] [tlačená forma] . – SNIP: 0,678 ; SJR: 0,346 ; CiteScore: 2,10 Scimago - Physical therapy, sports therapy and rehabilitation - Q3, Sports science - Q4 </t>
  </si>
  <si>
    <t xml:space="preserve">Clinical, Demographic and Psychological Predictors of Quality of Life in Patients with Osteoarthritis / Libová, Ľubica [Autor, VSSVArektorat, 11.111%] ; Solgajová, Andrea [Autor, UKFFSVKOS, 11.111%] ; Vörösová, Gabriela [Autor, UKFFSVKOS, 11.111%] ; Zrubcová, Dana [Autor, UKFFSVKOS, 11.111%] ; Sollár, Tomáš [Autor, UKFFSVUAP, 11.111%] ; Mrázová, Simona [Autor, 11.111%] ; Debnárová, Jana [Autor, SZUFOZOSKIOSD, 11.111%] ; Zubatá, Renáta [Autor, 11.111%] ; Pechová, Katarína [Autor, VSSVArektorat, 11.112%]. – text. – [angličtina]. – [OV 180]. – [článok]. – DOI 10.22359/cswhi_12_4_07. – WOS CC In: Clinical Social Work and Health Intervention [textový dokument (print)] [elektronický dokument] . – Viedeň (Rakúsko) : Gesellschaft für angewandte Präventionsmedizin. – ISSN 2222-386X. – ISSN (online) 2076-9741. – Roč. 12, č. 4 (2021), 62-68 [tlačená forma] [online] . – AIS: 0.013 AIS - Public, environmental &amp; occupational health - Q4 </t>
  </si>
  <si>
    <t xml:space="preserve">Clubiona pseudoneglecta and Paratrachelas maculatus, two spider species new to the Slovak fauna (Araneae: Clubionidae, Trachelidae) / Gajdoš, Peter [Autor, 20%] ; Szinetár, Csaba Miklós [Autor, 20%] ; Román, Krisztína [Autor, 20%] ; Šestáková, Anna [Autor, 15%] ; Purgat, Pavol [Autor, UKFFPVKEE, 15%] ; Černecká, Ľudmila [Autor, 10%]. – text. – [angličtina]. – [OV 100]. – [článok]. – DOI 10.30963/aramit6009. – SCO In: Arachnologische Mitteilungen [textový dokument (print)] [elektronický dokument] . – Basel (Švajčiarsko) : Arachnologische Gesellschaft. – ISSN 1018-4171. – ISSN (online) 2199-7233. – Roč. 60, č. 1 (2020), 44-49 [tlačená forma] [online] . – SJR: 0,292 ; CiteScore: 1,2 ; SNIP: 0,519 Scimago - Ecology, evolution, behavior and systematics - Q3, Insect science - Q3 </t>
  </si>
  <si>
    <t xml:space="preserve">Code notation as a significant motivational element in the beginnings of teaching playing the accordion / Haragová, Paulína [Autor, UKFPFAKHU, 100%].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8, č. 2 (2018), 73-78 [tlačená forma] [online] </t>
  </si>
  <si>
    <t xml:space="preserve">Cognitive Aspects Of Anthropocentric Modeling Linguistic Worldview / Gallo, Ján [Autor, UKFFFAKRU, 100%]. – text. – [angličtina]. – [OV 020]. – [článok]. – WOS CC In: Filologičeskij klass [textový dokument (print)] [elektronický dokument] : regional'nyj žurnal učitelej- slovesnikov Urala. – Ekaterinburg (Ruská federácia) : Uraľskij gosudarstvennyj pedagogičeskij universitet. – ISSN 2071-2405. – ISSN (online) 2658-5235. – č. 1(51) (2018), s. 39-42 [tlačená forma] [online] </t>
  </si>
  <si>
    <t xml:space="preserve">Coherence Problems of EFL Students’ Writing in Light of the Gricean Maxims / Khonamri, Fatemeh [Autor, 25%] ; Hashemi, Ehsan [Autor, 5%] ; Pavlíková, Martina [Autor, UKFFFAKZU, 35%] ; Petrášová, Božena [Autor, UCMFIFKAAM, 35%]. – text. – [angličtina]. – [OV 010]. – [článok]. – DOI 10.15503/jecs2021.2.294.313. – WOS CC In: Journal of education culture and society [elektronický dokument] . – Vroclav (Poľsko) : Fundacja Pro Scientia Publica. – ISSN 2081-1640. – Roč. 12, č. 2 (2021), s. 294-313 [online] </t>
  </si>
  <si>
    <t xml:space="preserve">Colonisation of Staphylococcus aureus in patients with Nasal Polyposis / Štrelingerová, Jana [Autor, 50%] ; Lengyelová, Libuša [Autor, UKFFPVKBG, 43%] ; Boldiš, Martin [Autor, 2%] ; Rybanský, Ľubomír [Autor, UKFFPVKMA, 2%] ; Mrázová, Mariana [Autor, VSSVArektorat, 1%] ; Mráz, Michal [Autor, 1%] ; Zelenák, Adam [Autor, 1%]. – text. – [angličtina]. – [OV 130, 180, 190]. – [článok]. – WOS CC ; SCO In: Neuroendocrinology Letters [textový dokument (print)] [elektronický dokument] . – Štokholm (Švédsko) : Maghira and Maas Publications. – ISSN 0172-780X. – ISSN (online) 2354-4716. – suppl. Roč. 40, č. Suppl. 1 (2019), s. 37-42 [tlačená forma] [online] . – IF: 0,750 ; SNIP: 0,433 ; SJR: 0,27 ; CiteScore: 1,3 JIF - Endocrinology &amp; metabolism - Q4, Neurosciences - Q4 Scimago - Endocrine and autonomic systems - Q4, Endocrinology - Q4, Endocrinology, diabetes and metabolism - Q3, Medicine (miscellaneous) - Q3, Neurology - Q4, Neurology (clinical) - Q3, Psychiatry and mental health - Q3 </t>
  </si>
  <si>
    <t xml:space="preserve">Communicative Competence in Primary English Textbooks - a Content Analysis / Pauliková, Klaudia [Autor, UKFPFAKLI, 100%].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10, č. 1 (2020), 214-220 [tlačená forma] [online] . – AIS: 0.021 AIS - Multidisciplinary sciences - Q4 </t>
  </si>
  <si>
    <t xml:space="preserve">Communities of Small Terrestrial Mammals of Western Slovakia Wetlands within the Danube Basin / Kalivodová, Michaela [Autor, 20%] ; Hulejová Sládkovičová, Veronika [Autor, UKOPRBZO, 20%] ; Rajniak, Andrej [Autor, UKFFPVKEE, 20%] ; Kanka, Róbert [Autor, 20%] ; Žiak, Dávid [Autor, 20%]. – text, fotogr., tab. – [angličtina]. – [OV 130]. – [článok]. – [recenzované]. – SIGN-UKO PR 831/21. – WOS CC ; SCO In: Acta Zoologica Bulgarica [textový dokument (print)] . – Sofia (Bulharsko) : Balgarska akademiya na naukite. – ISSN 0324-0770. – Roč. 73, č. 4 (2021), 517-523 [tlačená forma] . – CiteScore: 1,1 ; IF: 0.362 ; SJR: 0,213 ; SNIP: 0,389 ; AIS: 0.099 AIS - Zoology - Q4 JIF - Zoology - Q4 Scimago - Animal science and zoology - Q4, Aquatic science - Q4, Ecology, evolution, behavior and systematics - Q4, Insect science - Q4 </t>
  </si>
  <si>
    <t xml:space="preserve">Comparison of human, machine and post-editing translations from Slovak into German by means of automatic evaluation / Munková, Daša [Autor, UKFFFAKTR, 33.334%] ; Wrede, Oľga [Autor, UKFFFAKGE, 33.333%] ; Absolon, Jakub [Autor, UKFFFAKTR, 33.333%]. – text. – [angličtina]. – [OV 020]. – [článok]. – DOI 10.1515/slaw-2018-0042. – WOS CC ; SCO In: Zeitschrift für Slawistik [textový dokument (print)] [elektronický dokument] . – Berlin (Nemecko) : De Gruyter. – ISSN 0044-3506. – ISSN (online) 2196-7016. – Roč. 64, č. 2 (2019), 231-261 [tlačená forma] [online] . – SJR: 0,108 ; CiteScore: 0,3 ; SNIP: 0,297 Scimago - Cultural studies - Q3, Language and linguistics - Q3, Linguistics and language - Q3, Literature and literary theory - Q2 </t>
  </si>
  <si>
    <t xml:space="preserve">Competencies of Midwifery Graduates in Kenya, Slovakia, Hungary and Czech Republic: Do we want to replace obstetrics? (Short communication) / Matulníková, Ľudmila [Autor, VSSVArektorat, 11.112%] ; Kimuli, Dária [Autor, VSSVArektorat, 11.111%] ; Tvrdoň, Miroslav [Autor, UKFFSVKSP, 11.111%] ; Hvizdák, František [Autor, VSSVArektorat, 11.111%] ; Bartkovjak, Marián [Autor, VSSVArektorat, 11.111%] ; Kalátová, Dagmar [Autor, VSSVArektorat, 11.111%] ; Mulama, Katarína [Autor, VSSVArektorat, 11.111%] ; Bérešová, Anna [Autor, VSSVArektorat, 11.111%] ; Sabo, Ana [Autor, VSSVArektorat, 11.111%]. – [angličtina]. – [OV 060]. – [článok]. – WOS CC In: Clinical Social Work and Health Intervention [textový dokument (print)] [elektronický dokument] . – Viedeň (Rakúsko) : Gesellschaft für angewandte Präventionsmedizin. – ISSN 2222-386X. – ISSN (online) 2076-9741. – Roč. 9, č. 4 (2018), s. 78-81 [tlačená forma] [online] </t>
  </si>
  <si>
    <t xml:space="preserve">Compositional diversity in fruits of rowanberry (Sorbus aucuparia L.) genotypes originating from seeds / Bozhuyuk, Mehmet Ramazan [Autor, 12%] ; Ercisli, Sezai [Autor, 12%] ; Ayed, Rayda Ben [Autor, 12%] ; Juríková, Tünde [Autor, UKFFSSUVP, 16%] ; Fidan, Hafize [Autor, 12%] ; Ilhan, Dulce [Autor, 12%] ; Ozkan, Durcel [Autor, 12%] ; Sagbas, Halil Ibrahim [Autor, 12%]. – text. – [angličtina]. – [OV 010, 130]. – [článok]. – DOI 10.2298/GENSR2001055B. – WOS CC ; SCO In: Genetika [textový dokument (print)] [elektronický dokument] . – Belehrad (Srbsko) : Društvo genetičara Jugoslavije. – ISSN 0534-0012. – ISSN (online) 1820-6069. – Roč. 52, č. 1 (2020), 55-65 [tlačená forma] [online] . – SJR: 0,24 ; CiteScore: 1,1 ; SNIP: 0,459 ; IF: 0.761 ; AIS: 0.094 AIS - Agronomy - Q4, Genetics &amp; heredity - Q4 JIF - Agronomy - Q4, Genetics &amp; heredity - Q4 Scimago - Agricultural and biological sciences (miscellaneous) - Q3, Genetics - Q4, Plant science - Q3 </t>
  </si>
  <si>
    <t xml:space="preserve">Concept of working with mistakes in the educational process / Petrová, Gabriela [Autor, UKFPFAKPE, 50%] ; Kozárová, Nina [Autor, UKFPFAKPE, 50%].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8, č. 1 (2018), s. 148-153 [tlačená forma] [online] </t>
  </si>
  <si>
    <t xml:space="preserve">Construction of triangles with the algebraic geometry method / Ďuriš, Viliam [Autor, UKFFPVKMA, 50%] ; Šumný, Timotej [Autor, UKFFPVKMA, 50%]. – text. – [angličtina]. – [OV 010, 240]. – [článok]. – DOI 10.13189/ms.2020.080404. – SCO In: Mathematics and Statistics [textový dokument (print)] [elektronický dokument] . – San José (USA) : Horizon Research Publishing. – ISSN 2332-2071. – ISSN (online) 2332-2144. – Roč. 8, č. 4 (2020), 392-403 [tlačená forma] [online] . – SJR: 0,149 ; CiteScore: 0,3 ; SNIP: 0,66 Scimago - Economics and econometrics - Q4, Statistics and probability - Q4, Statistics, probability and uncertainty - Q4 </t>
  </si>
  <si>
    <t xml:space="preserve">Consumption of sage (Salvia officinalis) promotes ovarian function by stimulating estradiol hormone release and controlling folliculogenesis, steroidogenesis, and autophagy / Alrezaki, Abdulkarem [Autor, 5%] ; Aldawood, Nouf [Autor, 5%] ; Alanazi, Shamsa [Autor, 5%] ; Arafah, Maria [Autor, 5%] ; Fabová, Zuzana [Autor, UKFFPVKZA, 35%] ; Yacine, Badjah [Autor, 5%] ; Sirotkin, Alexander [Autor, UKFFPVKZA, 30%] ; Alwasel, Saleh Hamad Amad [Autor, 5%] ; Harrath, Abdel Halim [Korešpondenčný autor, 5%]. – text. – [angličtina]. – [OV 190]. – [článok]. – DOI 10.1016/j.jksus.2020.101319. – WOS CC ; SCO In: Journal of King Saud University [textový dokument (print)] [elektronický dokument] : Science. – Amsterdam (Holandsko) : Elsevier. – ISSN 1018-3647. – ISSN (online) 2213-686X. – Roč. 33, č. 2 (2021), s. 1-8 [tlačená forma] [online] . – CiteScore: 5,3 ; IF: 3.829 ; SJR: 0,513 ; SNIP: 1,506 ; AIS: 0.507 AIS - Multidisciplinary sciences - Q3 JIF - Multidisciplinary sciences - Q2 Scimago - Multidisciplinary - Q1 </t>
  </si>
  <si>
    <t xml:space="preserve">Contrastive vs Non-Contrastive Meta-Phonetic Input in Teaching Foreign Language Pronunciation = Apport de l'enseignement métaphhonétique contrastif ou non contrastif dans l'enseignement de la prononciation des langues étrangeres / Kráľová, Zdena [Autor, UKFPFAKLI, 80%] ; Nemčoková, Katarína [Autor, 15%] ; Bírová, Jana [Autor, UCMFIFKPED, 5%]. – [angličtina]. – [OV 010]. – [článok]. – DOI 10.4000/lidil.7377. – SCO In: Lidil [textový dokument (print)] [elektronický dokument] : revue de linguistique et de didactique des langues. – ISSN 1146-6480. – ISSN (online) 1960-6052. – č. 61 (2020), s. 1-12 [tlačená forma] [online] . – SJR: 0,115 ; CiteScore: 0,1 ; SNIP: 0,1 Scimago - Language and linguistics - Q3, Linguistics and language - Q3 </t>
  </si>
  <si>
    <t xml:space="preserve">Contribution of Traditional Farming to Ecosystem Services Provision: Case Studies from Slovakia / Špulerová, Jana [Autor, 20%] ; Petrovič, František [Autor, UKFFPVKEE, 20%] ; Mederly, Peter [Autor, UKFFPVKEE, 20%] ; Mojses, Matej [Autor, 20%] ; Izakovičová, Zita [Autor, 20%]. – text. – [angličtina]. – [OV 100]. – [článok]. – DOI 10.3390/land7020074. – WOS CC ; SCO In: Land [elektronický dokument] . – Bazilej (Švajčiarsko) : Multidisciplinary Digital Publishing Institute. – ISSN 2073-445X. – Roč. 7, č. 2 (2018), s. 1-24 [online] . – SJR: 0,64 ; CiteScore: 2,1 ; SNIP: 0,957 Scimago - Ecology - Q2, Global and planetary change - Q3, Nature and landscape conservation - Q2 </t>
  </si>
  <si>
    <t xml:space="preserve">Control (editing) of the genome within reach, or already in our hands? / Brdička, Radim [Autor, 50%] ; Omelka, Radoslav [Autor, UKFFPVKBG, 50%]. – text. – [angličtina]. – [OV 130]. – [článok]. – SCO In: Časopis lékařů českých [textový dokument (print)] [elektronický dokument] . – Praha (Česko) : Česká lékařská společnost Jana Evangelisty Purkyně. – ISSN 0008-7335. – ISSN (online) 1805-4420. – Roč. 157, č. 2 (2018), s. 79-83 [tlačená forma] [online] . – SJR: 0,119 ; CiteScore: 0,4 ; SNIP: 0,214 Scimago - Medicine (miscellaneous) - Q4 </t>
  </si>
  <si>
    <t xml:space="preserve">Cooperation between municipalities and the private sector in the field of tourism / Beresecká, Janka [Autor, SPUFES16, 50%] ; Papcunová, Viera [Autor, UKFFPVUMI, 50%]. – [angličtina]. – [OV 080]. – [článok]. – DOI 10.46585/sp28041074. – SCO In: Scientific Papers of the University of Pardubice [textový dokument (print)] [elektronický dokument] : Series D. – Pardubice (Česko) : Univerzita Pardubice. – ISSN 1211-555X. – ISSN (online) 1804-8048. – Roč. 28, č. 4 (2020), art. no 1074, s. 1-10 [tlačená forma] [online] . – SJR: 0,16 ; CiteScore: 0,7 ; SNIP: 0,281 Scimago - Business, management and accounting (miscellaneous) - Q4, Economics, econometrics and finance (miscellaneous) - Q4 </t>
  </si>
  <si>
    <t xml:space="preserve">Coping Strategies and Mental Toughness in Sports Students / Romanová, Martina [Autor, UKFFSVUAP, 100%]. – text. – [angličtina]. – [OV 060]. – [článok]. – WOS CC In: AD ALTA [textový dokument (print)] [elektronický dokument] : journal of interdisciplinary research = recenzovaný mezioborový vědecký časopis. – Hradec Králové (Česko) : Magnanimitas akademické sdružení. – ISSN 1804-7890. – ISSN (online) 2464-6733. – Roč. 11, č. 1 (2021), 260-264 [tlačená forma] [online] . – AIS: 0.028 AIS - Multidisciplinary sciences - Q4 </t>
  </si>
  <si>
    <t xml:space="preserve">Corporate social and digital responsibility / Orbik, Zbigniew [Autor, 20%] ; Zozuľaková, Viera [Autor, UKFFFAKSO, 80%]. – text. – [angličtina]. – [OV 020]. – [článok]. – DOI 10.1515/mspe-2019-0013. – WOS CC ; SCO In: Management systems in production engineering [textový dokument (print)] [elektronický dokument] . – Gliwice (Poľsko) : P.A. NOVA. – ISSN 2299-0461. – ISSN (online) 2450-5781. – Roč. 27, č. 2 (2019), 79-83 [tlačená forma] [online] . – SJR: 0,197 ; CiteScore: 0,5 ; SNIP: 0,459 Scimago - Industrial and manufacturing engineering - Q3, Management information systems - Q3, Management of technology and innovation - Q3 </t>
  </si>
  <si>
    <t xml:space="preserve">Correlation analysis and hierarchical cluster analysis of perceived parents' control and big five personality traits of adolescents / Tomšik, Robert [Autor, UKFPFAKPE, 100%].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8, č. 2 (2018), 287-294 [tlačená forma] [online] </t>
  </si>
  <si>
    <t xml:space="preserve">Creativity and Technology in Education: An International Perspective / Henriksen, Danah [Autor, 12.5%] ; Henderson, Michael [Autor, 12.5%] ; Creeely, Edwin [Autor, 12.5%] ; Čeretková, Soňa [Autor, UKFFPVKMA, 12.5%] ; Černochová, Miroslava [Autor, 12.5%] ; Sendova, Evgenija [Autor, 12.5%] ; Sointu, Erkko Tapio [Autor, 12.5%] ; Tienken, Christopher H. [Autor, 12.5%]. – text. – [angličtina]. – [OV 010]. – [článok]. – DOI 10.1007/s10758-018-9380-1. – WOS CC ; SCO In: Technology, Knowledge and Learning. – Holandsko : Springer Nature. Springer International Publishing AG. – ISSN 2211-1662. – ISSN (online) 2211-1670. – Roč. 23, č. 3 (2018), s. 409-424 . – SJR: 0,573 ; CiteScore: 2,6 ; SNIP: 0,973 Scimago - Computational theory and mathematics - Q2, Computer science applications - Q2, Education - Q2, Engineering (miscellaneous) - Q1, Human-computer interaction - Q2, Mathematics (miscellaneous) - Q2, Theoretical computer science - Q2 </t>
  </si>
  <si>
    <t xml:space="preserve">Crossings over the lower and central reaches of the River Váh in the high and late Middle Ages in the context of written and material sources / Ivanič, Peter [Autor, UKFFFAUKD, 50%] ; Husár, Martin [Autor, UKFFFAUKD, 50%]. – text. – [angličtina]. – [OV 030]. – [článok]. – DOI 10.5817/AH2019-2-22. – SCO In: Archaeologia historica [textový dokument (print)] [elektronický dokument] . – Brno (Česko) : Masarykova univerzita. Filozofická fakulta. – ISSN 0231-5823. – ISSN (online) 2336-4386. – Roč. 44, č. 2 (2019), 1029-1055 [tlačená forma] [online] . – SJR: 0,214 ; CiteScore: 0,6 ; SNIP: 1,115 Scimago - Archeology - Q2, Archeology (arts and humanities) - Q2, History - Q1 </t>
  </si>
  <si>
    <t xml:space="preserve">Czech Medieval Codifications : The Code of Vladislav (1500) / Krafl, Pavel Otmar [Autor, UKFFFAKHI, 100%]. – text. – [angličtina]. – [OV 030]. – [článok]. – DOI 10.5817/cphpj-2020-006. – WOS CC In: Czech-polish historical and pedagogical journal [textový dokument (print)] [elektronický dokument] . – Brno (Česko) : Masarykova univerzita. Pedagogická fakulta. – ISSN 1803-6546. – Roč. 12, č. 1 (2020), s. 69-73 [tlačená forma] [online] . – AIS: 0.017 AIS - Education &amp; educational research - Q4 </t>
  </si>
  <si>
    <t xml:space="preserve">Dependence of the skating and running performance from the explosive strength of lower limbs and dynamic balance of ice hockey players / Blanár, Michal [Autor, 25%] ; Broďáni, Jaroslav [Autor, UKFPFAKTV, 25%] ; Czaková, Monika [Autor, UKFPFAKTV, 25%] ; Kováčová, Natália [Autor, UKFPFAKTV, 25%]. – text. – [angličtina]. – [OV 210]. – [článok]. – SCO In: Sport Science [textový dokument (print)] [elektronický dokument] : International Scientific Journal of Kinesiology. – Travnik (Bosna a Hercegovina) : Faculty of Education University of Travnik. – ISSN 1840-3662. – ISSN (online) 1840-3670. – Roč. 12, č. 1 (2019), s. 16-22 [tlačená forma] [online] . – SJR: 0,759 ; CiteScore: 2,8 ; SNIP: 1,177 Scimago - Orthopedics and sports medicine - Q2, Physical therapy, sports therapy and rehabilitation - Q1 </t>
  </si>
  <si>
    <t xml:space="preserve">Design and realization of interconnection of multifunctional weighing device with sigfox data network / Magdin, Martin [Autor, UKFFPVKIN, 50%] ; Valovič, Miloš [Autor, 20%] ; Koprda, Štefan [Autor, UKFFPVKIN, 15%] ; Balogh, Zoltán [Autor, UKFFPVKIN, 15%]. – text. – [angličtina]. – [OV 160]. – [článok]. – DOI 10.7160/aol.2020.120209. – SCO In: AGRIS on-line Papers in Economics and Informatics [elektronický dokument] . – Praha (Česko) : Česká zemědelská univerzita v Praze. Provozně ekonomická fakulta. – ISSN (online) 1804-1930. – Roč. 12, č. 2 (2020), 99-110 [online] . – SJR: 0,245 ; CiteScore: 1,6 ; SNIP: 0,686 Scimago - Agricultural and biological sciences (miscellaneous) - Q3, Economics, econometrics and finance (miscellaneous) - Q3, Geography, planning and development - Q3, Management, monitoring, policy and law - Q3 </t>
  </si>
  <si>
    <t xml:space="preserve">Design of an educational virtual assistant software / Halvoník, Dominik [Autor, UKFFPVKIN, 50%] ; Pšenák, Péter [Autor, UKOMAKKM, 50%]. – text. – [angličtina]. – [OV 160, 080]. – [článok]. – DOI 10.3991/ijet.v16i11.19847. – ESCI ; WOS CC ; SCO In: International Journal of Emerging Technologies in Learning [textový dokument (print)] [elektronický dokument] . – Viedeň (Rakúsko) : International Association of Online Engineering. – ISSN 1863-0383. – ISSN (online) 1868-8799. – Roč. 16, č. 11 (2021), s. 308-321 [tlačená forma] [online] . – CiteScore: 3,8 ; SJR: 0,632 ; SNIP: 1,414 ; AIS: 0.203 AIS - Education &amp; educational research - Q3 Scimago - E-learning - Q2, Education - Q2, Engineering (miscellaneous) - Q1 </t>
  </si>
  <si>
    <t xml:space="preserve">Destruction of Democracy in Autonomous Slovakia Analysed by the Example of the Horná Nitra Region / Arpáš, Róbert [Autor, UKFFFAKHI, 100%]. – text. – [angličtina]. – [OV 030]. – [článok]. – SCO In: West Bohemian Historical Review [textový dokument (print)] . – Plzeň (Česko) : Západočeská univerzita v Plzni. Fakulta filozofická. Katedra historických věd. – ISSN 1804-5480. – Roč. 11, č. 1 (2021), s. 50-70 [tlačená forma] . – SJR: 0,101 Scimago - History - Q4 </t>
  </si>
  <si>
    <t xml:space="preserve">Developing critical Thinking in Reading Comprehension of Texts for Specific Purposes at all Levels of Bloom’s Taxonomy / Horváthová, Božena [Autor, UKFPFAKLI, 90%] ; Naďová, Lýdia [Autor, 10%]. – text. – [angličtina]. – [OV 010]. – [článok]. – DOI 10.22190/JTESAP2101001H. – WOS CC ; SCO In: Journal of Teaching English for Specific and Academic Purposes [textový dokument (print)] [elektronický dokument] . – Niš (Srbsko) : Univerzitet u Nišu. – ISSN 2334-9182. – ISSN (online) 2334-9212. – Roč. 9, č. 1 (2021), s. 1-16 [tlačená forma] [online] . – CiteScore: 0.1 ; SJR: 0.126 ; Nordic List: 1 ; SNIP: 0,018 ; AIS: 0.039 AIS - Education &amp; educational research - Q4 Scimago - Education - Q4 </t>
  </si>
  <si>
    <t xml:space="preserve">Developing Slovak language competencies at the first stage of Hungarian-language primary schools in Slovakia / Vančo, Ildikó [Autor, UKFFSSUML, 100%]. – text. – [angličtina]. – [OV 010]. – [článok]. – SCO In: Magyar nyelvőr [textový dokument (print)] [elektronický dokument] : a magyar Tudományos Akadémia Magyar Nyelvi Bizottságának folyóirata. – Budapešť (Maďarsko) : Magyar Tudományos Akadémia. – ISSN 0025-0236. – ISSN (online) 1585-4515. – Roč. 143, č. 2 (2019), 138-150 [tlačená forma] [online] . – SJR: 0,189 ; CiteScore: 0,2 ; SNIP: 0,523 Scimago - Language and linguistics - Q2, Linguistics and language - Q2 </t>
  </si>
  <si>
    <t xml:space="preserve">Development of crop production in the Slovakia and Czechia after the year 2004 in comparison with V4 countries / Némethová, Jana [Autor, UKFFPVKGR, 25%] ; Svobodová, Hana [Autor, 25%] ; Křejčí, Ondřej [Autor, 25%] ; Věžník, Antonín [Autor, 25%]. – [angličtina]. – [OV 190, 092]. – [článok]. – DOI 10.2478/bog-2020-0028. – WOS CC ; SCO In: Bulletin of geography [textový dokument (print)] [elektronický dokument] : Socio-economic series. – Warsaw (Poľsko) : De Gruyter. – ISSN 1732-4254. – ISSN (online) 2083-8298. – č. 50 (2020), s. 7-22 [tlačená forma] [online] . – SJR: 0,305 ; SNIP: 0,551 ; CiteScore: 2,1 ; AIS: 0.186 AIS - Geography - Q2 Scimago - Cultural studies - Q1, Demography - Q2, Geography, planning and development - Q3, Urban studies - Q2 </t>
  </si>
  <si>
    <t xml:space="preserve">Development of logical thinking using excel / Ďuriš, Viliam [Korešpondenčný autor, UKFFPVKMA, 50%] ; Šumný, Timotej [Autor, UKFFPVKMA, 50%]. – text. – [angličtina]. – [OV 010, 240]. – [článok]. – DOI 10.33543/1001. – WOS CC In: AD ALTA [textový dokument (print)] [elektronický dokument] : journal of interdisciplinary research = recenzovaný mezioborový vědecký časopis. – Hradec Králové (Česko) : Magnanimitas akademické sdružení. – ISSN 1804-7890. – ISSN (online) 2464-6733. – Roč. 10, č. 1 (2020), 334-341 [tlačená forma] [online] . – AIS: 0.021 AIS - Multidisciplinary sciences - Q4 </t>
  </si>
  <si>
    <t xml:space="preserve">Development of motivation for achieving professional success of technical specialties students in Russia during practical training at industrial enterprises / Ďuriš, Viliam [Korešpondenčný autor, UKFFPVKMA, 60%] ; Chumarov, Sergey [Autor, 20%] ; Vasileva, Lidia [Autor, 20%]. – text. – [angličtina]. – [OV 010, 240]. – [článok]. – DOI 10.3991/ijet.v15i16.14709. – WOS CC ; SCO In: International Journal of Emerging Technologies in Learning [textový dokument (print)] [elektronický dokument] . – Viedeň (Rakúsko) : International Association of Online Engineering. – ISSN 1863-0383. – ISSN (online) 1868-8799. – Roč. 15, č. 16 (2020), 221-229 [tlačená forma] [online] . – SJR: 0,454 ; CiteScore: 2,6 ; SNIP: 1,342 ; AIS: 0.164 AIS - Education &amp; educational research - Q3 Scimago - E-learning - Q2, Education - Q2, Engineering (miscellaneous) - Q2 </t>
  </si>
  <si>
    <t xml:space="preserve">Development of professional competence of students of technical universities in Russia when training in a student design bureau / Ďuriš, Viliam [Autor, UKFFPVKMA, 25%] ; Tirpáková, Anna [Autor, UKFFPVKMA, 25%] ; Chumarov, Sergey [Autor, 25%] ; Vasileva, Lidia [Autor, 25%].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9, č. 2 (2019), 384-388 [tlačená forma] [online] </t>
  </si>
  <si>
    <t xml:space="preserve">Development of specific training load in boxing / Šiška, Ľuboslav [Autor, KURPETS, 25%] ; Hubinák, Andrej [Autor, KURPETS, 25%] ; Krška, Peter [Autor, KURPETS, 25%] ; Broďáni, Jaroslav [Autor, UKFPFAKTV, 25%]. – text. – [angličtina]. – [OV 210]. – [článok]. – DOI 10.7752/jpes.2020.05352. – SCO In: Journal of physical education and sport [elektronický dokument] [textový dokument (print)] . – Pitesti, Arges (Rumunsko) : Universitatea din Pitesti. – ISSN 2247-8051. – ISSN (online) 2247-806X. – Roč. 20, č. 5 (2020), s. 2580-2585 [online] [tlačená forma] . – SNIP: 0,678 ; SJR: 0,346 ; CiteScore: 2,10 Scimago - Physical therapy, sports therapy and rehabilitation - Q3, Sports science - Q4 </t>
  </si>
  <si>
    <t xml:space="preserve">Development of students' key competences and knowledge through interactive whiteboard / Brečka, Peter [Autor, UKFPFAKTT, 40%] ; Valentová, Monika [Autor, UKFPFAKTT, 40%] ; Hašková, Alena [Autor, UKFPFAKTT, 20%].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9, č. 1 (2019), s. 19-28 [tlačená forma] [online] </t>
  </si>
  <si>
    <t xml:space="preserve">Development tendencies in crop production in Slovakia after 2004 - regional differentiations / Némethová, Jana [Autor, UKFFPVKGR, 34%] ; Midler, Milan [Autor, UKFFPVKGR, 33%] ; Civáň, Marek [Autor, 33%]. – [angličtina]. – [OV 092]. – [článok]. – DOI 10.5513/JCEA01/19.1.2040. – WOS CC ; SCO In: Journal of Central European Agriculture [elektronický dokument] . – Zahreb (Chorvátsko) : Sveučilište u Zagrebu, Keszthely (Maďarsko) : Pannon Egyetem, Nitra (Slovensko) : Slovenská poľnohospodárska univerzita v Nitre. – ISSN (online) 1332-9049. – ISSN (chybné) 6453-2356. – Roč. 19, č. 1 (2018), s. 245-269 [online] . – SJR: 0,197 ; CiteScore: 0,6 ; SNIP: 0,541 Scimago - Agronomy and crop science - Q4, Animal science and zoology - Q4 </t>
  </si>
  <si>
    <t xml:space="preserve">Diecézní zákonodárství ve středověkém Polsku = Diocesan Legislation in Medieval Poland / Krafl, Pavel Otmar [Autor, UKFFFAKHI, 100%]. – [čeština]. – [OV 030]. – [článok]. – WOS CC In: Revue církevního práva [textový dokument (print)] [elektronický dokument] . – Praha (Česko) : Univerzita Karlova v Praze. Právnická fakulta. Společnost pro církevní právo. – ISSN 1211-1635. – ISSN (online) 2336-5609. – TUTPR signatúra E014236. – Roč. 84, č. 3 (2021), 59-70 [tlačená forma] [online] </t>
  </si>
  <si>
    <t xml:space="preserve">Dietary flaxseed's protective effects on body tissues of mice after oral exposure to xylene / Andrejčáková, Zuzana [Autor, 25%] ; Vlčková, Radoslava [Autor, 15%] ; Sopková, Drahomíra [Autor, 15%] ; Kozioł, Katarzyna [Autor, 4%] ; Koziorowski, Marek [Autor, 4%] ; Fabian, Dušan [Autor, 4%] ; Šefčíková, Zuzana [Autor, 3%] ; Holovská, Katarína [Autor, 10%] ; Almášiová, Viera [Autor, 10%] ; Sirotkin, Alexander [Autor, UKFFPVKZA, 10%]. – text. – [angličtina]. – [OV 130]. – [článok]. – DOI 10.1016/j.sjbs.2021.03.055. – WOS CC ; SCO In: Saudi Journal of Biological Sciences [elektronický dokument] . – Rijád (Saudská Arábia) : King Saud University. – ISSN 1319-562X. – Roč. 28, č. 7 (2021), s. 3789-3798 [online] . – CiteScore: 5 ; IF: 4.052 ; SJR: 0,656 ; SNIP: 1,568 ; AIS: 0.550 AIS - Biology - Q3 JIF - Biology - Q2 Scimago - Agricultural and biological sciences (miscellaneous) - Q1 </t>
  </si>
  <si>
    <t xml:space="preserve">Different user groups of university students and their ICT competence: Evidence from three countries in Central Europe / Eger, Ludvik [Autor, 20%] ; Klement, Milan [Autor, 20%] ; Tomczyk, Lukasz [Autor, 20%] ; Pisoňová, Mária [Autor, UKFPFAKPE, 25%] ; Petrová, Gabriela [Autor, UKFPFAKPE, 15%]. – text. – [angličtina]. – [OV 010]. – [článok]. – WOS CC ; SCO In: Journal of Baltic Science Education [textový dokument (print)] [elektronický dokument] . – Šiauliai (Litva) : Scientific Methodical Center. – ISSN 1648-3898. – ISSN (online) 2538-7138. – Roč. 17, č. 5 (2018), s. 851-866 [tlačená forma] [online] . – IF: 1,024 ; SJR: 0.387 ; CiteScore: 1,3 ; SNIP: 0,945 JIF - Education &amp; educational research - Q3 Scimago - Education - Q2 </t>
  </si>
  <si>
    <t xml:space="preserve">Digital Competences of Future Teachers of Fine Arts / Récka, Adriana [Autor, UKFPFAKVV, 100%].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10, č. 1 (2020), 243-252 [tlačená forma] [online] . – AIS: 0.021 AIS - Multidisciplinary sciences - Q4 </t>
  </si>
  <si>
    <t xml:space="preserve">Digital methods in researching Slovakia Hungarian regional dialects / Presinszky, Károly [Autor, UKFFSSUML, 100%]. – text. – [angličtina]. – [OV 020, 010]. – [článok]. – DOI 10.1556/044.2020.00009. – SCO In: Hungarian Studies [textový dokument (print)] [elektronický dokument] : A Journal of the International Association for Hungarian Studies. – Budapešť (Maďarsko) : Akadémiai Kiadó. – ISSN 0236-6568. – ISSN (online) 1588-2772. – Roč. 34, č. 1 (2020), 98-107 [tlačená forma] [online] . – SJR: 0,1 ; CiteScore: 0,1 ; SNIP: 0,49 Scimago - Arts and humanities (miscellaneous) - Q4, Social sciences (miscellaneous) - Q4 </t>
  </si>
  <si>
    <t xml:space="preserve">Dilemmas about quality of life in older people / Gabura, Ján [Autor, UKFFSVKSP, 50%] ; Mojtová, Martina [Autor, UKFFSVKSP, 50%]. – [angličtina]. – [OV 060]. – [článok]. – DOI 10.22359/cswhi_11_3_01. – WOS CC In: Clinical Social Work and Health Intervention [textový dokument (print)] [elektronický dokument] . – Viedeň (Rakúsko) : Gesellschaft für angewandte Präventionsmedizin. – ISSN 2222-386X. – ISSN (online) 2076-9741. – Roč. 11, č. 3 (2020), s. 7-11 [tlačená forma] [online] . – AIS: 0.038 AIS - Public, environmental &amp; occupational health - Q4 </t>
  </si>
  <si>
    <t xml:space="preserve">Dino Campana's mythical journey in South America. A literary and personal subversion = Il viaggio mitico in sud america. Dino campana -una sovversione non solo letteraria / Rusnáková, Natália [Autor, UKFFFAKRO, 60%] ; Gritti, Fabiano [Autor, UKFFFAKRO, 20%] ; Šavelová, Monika [Autor, UKFFFAKRO, 20%]. – text. – [taliančina]. – [OV 020]. – [ŠO 7320]. – [článok]. – DOI 10.5507/ro.2021.023. – WOS CC In: Romanica Olomucensia [textový dokument (print)] [elektronický dokument] . – Olomouc (Česko) : Univerzita Palackého v Olomouci. – ISSN 1803-4136. – ISSN (online) 2571-0966. – Roč. 32, č. 2 (2020), s. 325-338 [tlačená forma] [online] AIS - Literature, romance - Q4 </t>
  </si>
  <si>
    <t xml:space="preserve">Diophantine Geometry in Space E-2 and E-3 / Ďuriš, Viliam [Autor, UKFFPVKMA, 50%] ; Šumný, Timotej [Autor, UKFFPVKMA, 50%]. – text. – [angličtina]. – [OV 240]. – [článok]. – DOI 10.18421/TEM81-10. – WOS CC ; SCO In: TEM Journal [textový dokument (print)] [elektronický dokument] : Technology, Education, Management, Informatics. – Novi Pazar (Srbsko) : Association for Information Communication Technology Education and Science. – ISSN 2217-8309. – ISSN (online) 2217-8333. – Roč. 8, č. 1 (2019), 78-81 [tlačená forma] [online] . – SJR: 0,167 ; CiteScore: 0,7 ; SNIP: 0,587 Scimago - Computer science (miscellaneous) - Q3, Education - Q4, Information systems - Q4, Information systems and management - Q4, Management of technology and innovation - Q4, Strategy and management - Q4 </t>
  </si>
  <si>
    <t xml:space="preserve">Discrepancy between readiness to change, insight and motivation in alcohol-dependent inpatients / Šlepecký, Miloš [Autor, UKFFSVKPV, 9.1%] ; Stanislav, Vladimír [Autor, 9.09%] ; Martinove, Mária [Autor, 9.09%] ; Kotianová, Antónia [Autor, UKFFSVKPV, 9.09%] ; Kotian, Michal [Autor, 9.09%] ; Chupáčová, Michaela [Autor, 9.09%] ; Ryniak, Jolanta [Autor, 9.09%] ; Betkovka Korpala, Barbara [Autor, 9.09%] ; Zaťková, Marta [Autor, UKFFSVKPV, 9.09%] ; Látalová, Klára [Autor, 9.09%] ; Praško Pavlov, Ján [Autor, UKFFSVKPV, 9.09%]. – text. – [angličtina]. – [OV 060]. – [článok]. – WOS CC ; SCO In: Neuroendocrinology Letters [textový dokument (print)] [elektronický dokument] . – Štokholm (Švédsko) : Maghira and Maas Publications. – ISSN 0172-780X. – ISSN (online) 2354-4716. – Roč. 39, č. 2 (2018), s. 135-142 [tlačená forma] [online] . – IF: 0,698 ; SNIP: 0,405 ; SJR: 0,302 ; CiteScore: 1,5 JIF - Endocrinology &amp; metabolism - Q4, Neurosciences - Q4 Scimago - Endocrine and autonomic systems - Q4, Endocrinology - Q4, Endocrinology, diabetes and metabolism - Q3, Medicine (miscellaneous) - Q3, Neurology - Q4, Neurology (clinical) - Q3, Psychiatry and mental health - Q3 </t>
  </si>
  <si>
    <t xml:space="preserve">Distance education during COVID-19: The perspective of Slovak teachers / Ballová Mikušková, Eva [Korešpondenčný autor, UKFPFAKAP, 50%] ; Verešová, Marcela [Autor, UKFPFAKAP, 50%]. – text. – [angličtina]. – [OV 010]. – [článok]. – DOI 10.33225/pec/20.78.884. – WOS CC In: Problems of education in the 21st century [textový dokument (print)] [elektronický dokument] . – Šiauliai (Litva) : Scientia Socialis. – ISSN 1822-7864. – ISSN (online) 2538-7111. – Roč. 78, č. 6 (2020), s. 884-906 [tlačená forma] [online] . – AIS: 0.089 AIS - Education &amp; educational research - Q3 </t>
  </si>
  <si>
    <t xml:space="preserve">Distortion of names and parallelism of characters in crime fiction / Benyovszky, Kristian [Autor, UKFFSSUML, 100%]. – text. – [angličtina]. – [OV 020]. – [článok]. – DOI 10.18349/MagyarNyelv.2018.3.278. – SCO In: Magyar nyelv [textový dokument (print)] [elektronický dokument] : közérdekű havi folyóirat a művelt közönség számára. – Budapešť (Maďarsko) : Magyar Nyelvtudományi Társaságot. – ISSN 0025-0228. – ISSN (online) 1588-1210. – Roč. 114, č. 3 (2018), 278-287 [tlačená forma] [online] . – SJR: 0,205 ; CiteScore: 0,2 ; SNIP: 0,469 Scimago - Language and linguistics - Q2, Linguistics and language - Q2 </t>
  </si>
  <si>
    <t xml:space="preserve">Diverse strategies of rhododendron (Rhododendron sp.) genotypes in the water shortage management / Ferus, Peter [Autor, 25%] ; Bošiaková, Dominika [Autor, UKFFPVKBG, 25%] ; Konôpková, Jana [Autor, 25%] ; Hoťka, Peter [Autor, 25%]. – text. – [angličtina]. – [OV 190, 130]. – [článok]. – DOI 10.24326/asphc.2020.3.14. – WOS CC ; SCO In: Acta Scientiarum Polonorum [textový dokument (print)] [elektronický dokument] : Hortorum Cultus = Ogrodnictwo. – Lublin (Poľsko) : Uniwersytet Przyrodniczy w Lublinie. Wydawnictwo Uniwersytetu Przyrodniczego w Lublinie. – ISSN 1644-0692. – ISSN (online) 2545-1405. – Roč. 19, č. 3 (2020), 159-165 [tlačená forma] [online] . – SJR: 0,252 ; CiteScore: 1 ; SNIP: 0,459 ; IF: 0.673 ; AIS: 0.115 AIS - Horticulture - Q4 JIF - Horticulture - Q4 Scimago - Horticulture - Q3, Plant science - Q3 </t>
  </si>
  <si>
    <t xml:space="preserve">Doc. Ing. Ivan Herčko, csc. – Jeho prínos pre muzeológiu ako vedu / Hegyi, Elena [Autor, UKFFFAKHI, 100%]. – text. – [slovenčina]. – [OV 030]. – [článok]. – DOI 10.5817/MuB2019-2-6. – SCO In: Museologica Brunensia [textový dokument (print)] [elektronický dokument] : vědecký recenzovaný muzeologický časopis. – Brno (Česko) : Masarykova univerzita. – ISSN 1805-4722. – ISSN (online) 2464-5362. – Roč. 8, č. 2 (2019), 49-55 [tlačená forma] . – CiteScore: 0.3 </t>
  </si>
  <si>
    <t xml:space="preserve">Dynamics of livestock production development in the Slovak Republic between the years 2004 and 2017 and potential impact of the changes on the agricultural sector and landscape / Némethová, Jana [Autor, UKFFPVKGR, 90%] ; Hudáková, Monika [Autor, SPUFEM15, 10%]. – text. – [angličtina]. – [OV 080, 190, 092]. – [článok]. – DOI 10.15666/aeer/1704_76497666. – WOS CC ; SCO In: Applied Ecology and Environmental Research [textový dokument (print)] [elektronický dokument] : international scientific journal. – Budapešť (Maďarsko) : Applied Ecological Research and Forensic Institute. – ISSN 1589-1623. – ISSN (online) 1785-0037. – Roč. 17, č. 4 (2019), 7649-7666 [tlačená forma] [online] . – SJR: 0,229 ; CiteScore: 0,8 ; SNIP: 0,523 ; IF: 0.712 JIF - Ecology - Q4, Environmental sciences - Q4 Scimago - Agronomy and crop science - Q3, Ecology, evolution, behavior and systematics - Q4 </t>
  </si>
  <si>
    <t xml:space="preserve">Dynamika nadlokálneho a lokálneho v každodennosti života na hranici (na príklade regiónu Kysuce) = The Dynamics of the Supralocal and the Local in Everyday Life on the  Border (Based on the Example of the Kysuce Region)   / Kontriková Šusteková, Ivana [Autor, UKFFFAKEF, 100%]. – text. – [slovenčina]. – [OV 030]. – [článok]. – DOI 10.21104/CL.2021.3.04. – SCO In: Český lid [textový dokument (print)] [elektronický dokument] : etnologický časopis = ethnological journal. – Praha (Česko) : Akademie věd České republiky. Etnologický ústav AV ČR. – ISSN 0009-0794. – ISSN (online) 2570-9216. – Roč. 108, č. 3 (2021), s. 353-370 [tlačená forma] [online] . – CiteScore: 0,6 ; SJR: 0,198 ; SNIP: 1,16 Scimago - Anthropology - Q3, Arts and humanities (miscellaneous) - Q3, Cultural studies - Q2 </t>
  </si>
  <si>
    <t xml:space="preserve">Economic Evaluation of the Management of Municipal Firms at the Level of Rural Local Self-Governments (Case Study) / Ágh, Peter [Autor, SPUFES14, 40%] ; Vavrek, Roman [Autor, 25%] ; Dvorak, Marek [Autor, 25%] ; Papcunová, Viera [Autor, UKFFPVUMI, 10%]. – text. – [angličtina]. – [OV 060, 190]. – [článok]. – DOI 10.3390/economies9030130. – WOS CC ; SCO In: Economies [elektronický dokument] . – Bazilej (Švajčiarsko) : Multidisciplinary Digital Publishing Institute. – ISSN 2227-7099. – Roč. 9, č. 3 (2021), s. 1-17 . – CiteScore: 2,7 ; SJR: 0,435 ; SNIP: 1,095 ; AIS: 0.317 AIS - Economics - Q1 Scimago - Development - Q2, Economics, econometrics and finance (miscellaneous) - Q2 </t>
  </si>
  <si>
    <t xml:space="preserve">Economic policy for sustainable regional development: A case study of Slovak Republic / Vojtech, František [Autor, VŠEMVSÚEMKMSP, 33.334%] ; Levický, Michal [Autor, UKFFPVUMI, 33.333%] ; Filip, Stanislav [Autor, 1, 33.333%]. – text. – [angličtina]. – [OV 060]. – [článok]. – DOI 10.9770/jssi.2019.8.4(4). – SCO In: Journal of Security and Sustainability Issues [textový dokument (print)] [elektronický dokument] . – Vilnius (Litva) : The General Jonas Žemaitis Military Academy. – ISSN 2029-7017. – ISSN (online) 2029-7025. – Roč. 8, č. 4 (2019), 597-608 [tlačená forma] [online] . – SJR: 0,375 ; CiteScore: 3,9 ; SNIP: 1,055 Scimago - Geography, planning and development - Q2, Renewable energy, sustainability and the environment - Q3, Safety research - Q2 </t>
  </si>
  <si>
    <t xml:space="preserve">Educational construct of Natural and Social realia in 2nd Grade of Elementary school with an Emphasis on Environmental education a Comparison of the Slovak and  Czech  model / Kollárová, Dana [Autor, UKFPFAKPE, 60%] ; Hegarová, Eva [Autor, UKFPFAKPE, 15%] ; Nagyová, Alexandra [Autor, UKFPFAKPE, 25%].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11, č. 1 (2021), s. 138-144 [tlačená forma] [online] . – AIS: 0.028 AIS - Multidisciplinary sciences - Q4 </t>
  </si>
  <si>
    <t xml:space="preserve">Effect of dry matter and sugar beet shoot extract on growth and photosynthetic pigment content in leaves of winter wheat / Piršelová, Beáta [Autor, UKFFPVKBG, 40%] ; Galuščáková, Ľudmila [Autor, UKFFPVKBG, 30%] ; Lengyelová, Libuša [Autor, UKFFPVKBG, 30%]. – text. – [angličtina]. – [OV 130]. – [článok]. – WOS CC ; SCO In: Listy cukrovarnické a řepařské [textový dokument (print)] [elektronický dokument] : odborný časopis pro obor cukrovka-cukr. – Praha (Česko) : Cukrospol, Praha (Česko) : Výzkumný ústav cukrovarů. – ISSN 1210-3306. – ISSN (online) 1805-9708. – Roč. 137, č. 2 (2021), 60-64 [tlačená forma] [online] . – CiteScore: 0,4 ; IF: 0.308 ; SJR: 0,197 ; SNIP: 0,295 ; AIS: 0.031 AIS - Food science &amp; technology - Q4 JIF - Food science &amp; technology - Q4 Scimago - Agronomy and crop science - Q4 </t>
  </si>
  <si>
    <t xml:space="preserve">Effect of Preparations  Substituting the Use of Barrique Barrels on Parameters of White Wine / Baroň, Mojmír [Autor, 20%] ; Mlček, Jiří [Autor, 20%] ; Juríková, Tünde [Autor, UKFFSSUVP, 20%] ; Trojan, Václav [Autor, 20%] ; Sochor, Jiří [Autor, 20%]. – text. – [angličtina]. – [OV 010]. – [článok]. – WOS CC In: Mitteilungen Klosterneuburg [textový dokument (print)] : Rebe und Wein, Obstbau und Früchteverwertung. – Klosterneuburg (Rakúsko) : Höhere Bundeslehranstalt und Bundesamt für Wein- und Obstbau. – ISSN 0007-5922. – Roč. 68, č. 1 (2018), 1-10 [tlačená forma] . – IF: 0.217 JIF - Food science &amp; technology - Q4, Horticulture - Q4 </t>
  </si>
  <si>
    <t xml:space="preserve">Effect of storage on pollen viability in Pinus sylvestris L., Pinus mugo Turra and their hybrid swarms / Kormuťák, Andrej [Autor, 25%] ; Galgóci, Martin [Autor, UKFFPVKBG, 25%] ; Boleček, Peter [Autor, UKFFPVKBG, 25%] ; Gömöry, Dušan [Autor, KF, 25%]. – text. – [angličtina]. – [OV 190, 130]. – [článok]. – DOI 10.12657/denbio.082.005. – WOS CC ; SCO In: Dendrobiology [textový dokument (print)] . – Kórnik (Poľsko) : Polska Akademia Nauk. Instytut Dendrologii. – ISSN 1641-1307. – Roč. 82 (2019), 43-51 [tlačená forma] . – SJR: 0,397 ; CiteScore: 3 ; SNIP: 0,79 ; IF: 1.375 JIF - Forestry - Q3 Scimago - Forestry - Q2, Plant science - Q2 </t>
  </si>
  <si>
    <t xml:space="preserve">Effect of the Period of Maceration on the Content of Antioxidant Substances in Grape Juice / Baroň, Mojmír [Autor, 4%] ; Kumšta, Michal [Autor, 4%] ; Sumczynski, Daniela [Autor, 4%] ; Mlček, Jiří [Autor, 4%] ; Juríková, Tünde [Autor, UKFFSSUVP, 80%] ; Sochor, Jiří [Autor, 4%]. – text. – [angličtina]. – [OV 010]. – [článok]. – DOI 10.1007/s10341-018-0385-7. – WOS CC ; SCO In: Erwerbsobstbau [textový dokument (print)] [elektronický dokument] : Berichte aus Wissenschaft und Praxis. – USA : Springer Nature. – ISSN 0014-0309. – ISSN (online) 1439-0302. – Roč. 60, č. 3 (2018), s. 1-8 [tlačená forma] [online] . – SJR: 0,357 ; CiteScore: 1,1 ; SNIP: 0,767 ; IF: 0.905 JIF - Horticulture - Q2 Scimago - Horticulture - Q2 </t>
  </si>
  <si>
    <t xml:space="preserve">Effectiveness of the complex movement program of physical training for professional soldiers / Markovič, Roman [Autor, UKFPFAKTV, 100%]. – text. – [angličtina]. – [OV 210]. – [článok]. – DOI 10.7752/jpes.2018.03258. – SCO In: Journal of physical education and sport [elektronický dokument] [textový dokument (print)] . – Pitesti, Arges (Rumunsko) : Universitatea din Pitesti. – ISSN 2247-8051. – ISSN (online) 2247-806X. – Roč. 18, č. 3 (2018), s. 1773-1778 [online] [tlačená forma] . – SNIP: 0,973 ; SJR: 0,318 ; CiteScore: 2,00 Scimago - Physical therapy, sports therapy and rehabilitation - Q3, Sports science - Q4 </t>
  </si>
  <si>
    <t xml:space="preserve">Effects of outdoor education on traveling habits of adults in Slovakia and Hungary / Bánhidi, Miklós [Autor, 33.333%] ; Šimonek, Jaromír [Autor, UKFPFAKTV, 33.333%] ; Dobay, Beáta [Autor, UJSPFKTVŠ, 33.334%]. – text. – [angličtina]. – [OV 240]. – [článok]. – DOI 10.7752/jpes.2018.02107. – SCO In: Journal of physical education and sport [elektronický dokument] [textový dokument (print)] . – Pitesti, Arges (Rumunsko) : Universitatea din Pitesti. – ISSN 2247-8051. – ISSN (online) 2247-806X. – suppl. Supplement issue Roč. 18, č. 2 (2018), art. no. 107, s. 731-738 [online] [tlačená forma] . – SNIP: 0,973 ; SJR: 0,318 ; CiteScore: 2,00 Scimago - Physical therapy, sports therapy and rehabilitation - Q3, Sports science - Q4 </t>
  </si>
  <si>
    <t xml:space="preserve">Effects of tree size and park maintenance on soil seed bank of Gleditsia triacanthos, an exotic tree in urban green areas / Csontos, Peter [Autor, 20%] ; Kalapos, Tibor [Autor, 16%] ; Faradhimu, Tito [Autor, 16%] ; Laborczi, Annamária [Autor, 16%] ; Hardi, Tamás [Autor, UKFFSSKCR, 16%] ; Tamás, Júlia [Autor, 16%]. – text. – [angličtina]. – [OV 130]. – [článok]. – WOS CC ; SCO In: Biologia Futura [elektronický dokument] : A Quarterly of the Hungarian Academy of Sciences. – Budapest (Maďarsko) : Akadémiai Kiadó. – ISSN (online) 2676-8615. – Roč. 71, č. 1-2 (2020), s. 81-91 [tlačená forma] [online] . – SJR: 0,268 ; CiteScore: 1,6 ; SNIP: 0,465 ; IF: 0.821 ; AIS: 0.170 AIS - Biology - Q4 JIF - Biology - Q4 Scimago - Agricultural and biological sciences (miscellaneous) - Q3, Biochemistry, genetics and molecular biology (miscellaneous) - Q3 </t>
  </si>
  <si>
    <t xml:space="preserve">EFL Teachers’ Perceptions of Implementing Critical Thinking in Teaching Reading: Focus on the Possible Hindrances / Khonamri, Fatemeh [Autor, 25%] ; Amirdehi, Monireh Mosleh [Autor, 25%] ; Pavlíková, Martina [Autor, UKFFFAKZU, 25%] ; Tkáčová, Hedviga [Autor, 25%]. – text. – [angličtina]. – [OV 020]. – [článok]. – DOI 10.26907/esd.16.4.05. – SCO In: Education and Self Development [textový dokument (print)] . – ISSN 1991-7740. – Roč. 16, č. 4 (2021), 48-63 [tlačená forma] . – CiteScore: 0,6 ; SJR: 0,196 ; SNIP: 0,434 Scimago - Development - Q4, Education - Q4, Political science and international relations - Q3 </t>
  </si>
  <si>
    <t xml:space="preserve">Ekumena wartości: między ekumenizmem konfesyjnym a ekumenizmem globalnym. Refleksje wokół „Dekretu o Ekumenizmie” (1964) oraz „Dokumentu o ludzkim braterstwie dla pokoju światowego i współistnienia” / Swiatkiewicz, Wojciech  Krzysztof [Autor, UKFFFAKSO, 100%]. – text. – [poľština]. – [OV 060]. – [článok]. – SCO In: Rocznik Teologiczny [textový dokument (print)] . – Waršava (Poľsko) : Wydawnictwo Naukowe ChAT. – ISSN 0239-2550. – Roč. 62, č. 3 (2020), s. 917-939 [tlačená forma] . – CiteScore: 0,1 </t>
  </si>
  <si>
    <t xml:space="preserve">Electroacoustic Music and the Slovak Musical Avant-garde in the 1960s / Čierna, Alena [Autor, UKFPFAKHU, 100%]. – text. – [angličtina]. – [OV 020]. – [článok]. – WOS CC In: AD ALTA [textový dokument (print)] [elektronický dokument] : journal of interdisciplinary research = recenzovaný mezioborový vědecký časopis. – Hradec Králové (Česko) : Magnanimitas akademické sdružení. – ISSN 1804-7890. – ISSN (online) 2464-6733. – Roč. 11, č. 1 (2021), s. 59-64 [tlačená forma] [online] . – AIS: 0.028 AIS - Multidisciplinary sciences - Q4 </t>
  </si>
  <si>
    <t xml:space="preserve">Employees' leaving to retirement from personal management and self-management perspective / Pisoňová, Mária [Korešpondenčný autor, UKFPFAKPE, 50%] ; Müller De Morais, Marianna [Autor, UKFPFAKPE, 50%].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10, č. 1 (2020), 231-237 [tlačená forma] [online] . – AIS: 0.021 AIS - Multidisciplinary sciences - Q4 </t>
  </si>
  <si>
    <t xml:space="preserve">Enactment of compassionate leadership by nursing and midwifery managers: results from an international online survey / Papadopoulos, Irena [Autor, 3.04%] ; Wright, Steve [Autor, 3.03%] ; Lazzarino, Runa [Autor, 3.03%] ; Koulouglioti, Christina [Autor, 3.03%] ; Aagard, Magdeline [Autor, 3.03%] ; Akman, Ozlem [Autor, 3.03%] ; Alpers, Lise-Merete [Autor, 3.03%] ; Apostolara, Paraskevi [Autor, 3.03%] ; Araneda, Julieta [Autor, 3.03%] ; Biglete-Pangilinan, Sylvia [Autor, 3.03%] ; Eldar-Regev, Orit [Autor, 3.03%] ; Gonzalez-Gil, Maria Teresa [Autor, 3.03%] ; Kouta, Christiana [Autor, 3.03%] ; Krepinska, Radka [Autor, 3.03%] ; Lesinska-Sawicka, Malgorzata [Autor, 3.03%] ; Líšková, Miroslava [Autor, UKFFSVKOS, 3.03%] ; Lopez-Diaz, Lucero [Autor, 3.03%] ; Malliarou, Maria [Autor, 3.03%] ; Martin-Garcia, Angel [Autor, 3.03%] ; Munoz-Salinas, Mara [Autor, 3.03%] ; Nagorska, Malgorzata [Autor, 3.03%] ; Ngunyulu, Roinah Nkhensani [Autor, 3.03%] ; Nissim, Sara [Autor, 3.03%] ; Nortvedt, Line [Autor, 3.03%] ; Oconer-Rubiano, Florinda [Autor, 3.03%]. – text. – [angličtina]. – [OV 180]. – [ŠO 5602]. – [článok]. – DOI 10.1136/leader-2020-000385. – WOS CC In: BMJ LEADER [elektronický dokument] . – London (Veľká Británia) : British Medical Association. BMJ Publishing Group. – ISSN (online) 2398-631X. – Roč. 5, č. 4 (2021), s. 1-6 [online] . – CiteScore: 1,8 ; SJR: 0,343 ; SNIP: 0,751 ; AIS: 0.662 AIS - Health care sciences &amp; services - Q1 Scimago - Health policy - Q3, Leadership and management - Q2, Strategy and management - Q3 </t>
  </si>
  <si>
    <t xml:space="preserve">Enhancing Higher Education Student Class Attendance through Gamification / Pinter, Robert [Autor, 25%] ; Cisar, Sanja Maravic [Autor, 25%] ; Balogh, Zoltán [Autor, UKFFPVKIN, 25%] ; Manojlovic, Helena [Autor, 25%]. – text. – [angličtina]. – [OV 160]. – [článok]. – DOI 10.12700/APH.17.2.2020.2.2. – WOS CC ; SCO In: Acta Polytechnica Hungarica [textový dokument (print)] [elektronický dokument] : An international peer-reviewed scientific journal of Óbuda University, Hungarian Academy of Engineering and IEEE Hungary Section : journal of applied sciences. – Budapešt (Maďarsko) : Óbudai Egyetem. – ISSN 1785-8860. – ISSN (online) 2064-2687. – Roč. 17, č. 2 (2020), 13-33 [tlačená forma] [online] . – IF: 1,806 ; SNIP: 0,820 ; SJR: 0,277 ; CiteScore: 4,4 ; AIS: 0.162 AIS - Engineering, multidisciplinary - Q4 JIF - Engineering, multidisciplinary - Q3 Scimago - Engineering (miscellaneous) - Q2, Multidisciplinary - Q2 </t>
  </si>
  <si>
    <t xml:space="preserve">Enjoyment of physical activity and perception of success in sports high school students / Romanová, Martina [Autor, UKFFSVUAP, 50%] ; Sollár, Tomáš [Autor, UKFFSVUAP, 50%]. – text. – [angličtina]. – [OV 060]. – [článok]. – WOS CC In: AD ALTA [textový dokument (print)] [elektronický dokument] : journal of interdisciplinary research = recenzovaný mezioborový vědecký časopis. – Hradec Králové (Česko) : Magnanimitas akademické sdružení. – ISSN 1804-7890. – ISSN (online) 2464-6733. – Roč. 9, č. 1 (2019), 249-251 [tlačená forma] [online] </t>
  </si>
  <si>
    <t xml:space="preserve">Environmental Consequences of the Urban Sprawl in the Suburban Zone of Nitra. An Analysis Based on Landcover Data / Hardi, Tamás [Korešpondenčný autor, UKFFSSKCR, 45%] ; Repaská, Gabriela [Autor, UKFFPVKGR, 30%] ; Veselovský, Ján [Autor, UKFFPVKGR, 20%] ; Vilinová, Katarína [Autor, UKFFPVKGR, 5%]. – text. – [angličtina]. – [OV 080, 092]. – [článok]. – DOI 10.5937/gp24-25543. – WOS CC ; SCO In: Geographica Pannonica [textový dokument (print)] [elektronický dokument] . – Novi Sad (Srbsko) : Univerzitet u Novom Sadu. – ISSN 0354-8724. – ISSN (online) 1820-7138. – Roč. 24, č. 3 (2020), 205-220 [tlačená forma] [online] . – SJR: 0,365 ; CiteScore: 1,9 ; SNIP: 0,692 ; AIS: 0.162 AIS - Geography - Q2 Scimago - Atmospheric science - Q3, Earth-surface processes - Q2, Geography, planning and development - Q2, Geology - Q3, Tourism, leisure and hospitality management - Q3 </t>
  </si>
  <si>
    <t xml:space="preserve">Environmental education in the forest environment and its key factors in pre-elemenatry education / Chlpošová, Dana [Autor, 25%] ; Výbošťok, Jozef [Autor, KERLH, 25%] ; Kollárová, Dana [Autor, UKFPFAKPE, 25%] ; Výbohová, Darina [Autor, 25%]. – text. – [angličtina]. – [OV 010, 190]. – [článok]. – WOS CC In: AD ALTA [textový dokument (print)] [elektronický dokument] : journal of interdisciplinary research = recenzovaný mezioborový vědecký časopis. – Hradec Králové (Česko) : Magnanimitas akademické sdružení. – ISSN 1804-7890. – ISSN (online) 2464-6733. – Roč. 10, č. 2 (2020), s. 151-160 [tlačená forma] [online] . – AIS: 0.021 AIS - Multidisciplinary sciences - Q4 </t>
  </si>
  <si>
    <t xml:space="preserve">Estimation of Residential Property Market Price: Comparison of Artificial Neural Networks and Hedonic Pricing Model / Štubňová, Michaela [Autor, UKFFPVUMI, 35%] ; Urbaníková, Marta [Autor, UKFFPVUMI, 35%] ; Hudáková, Jarmila [Autor, UKFFPVUMI, 15%] ; Papcunová, Viera [Autor, UKFFPVUMI, 15%]. – [angličtina]. – [OV 060]. – [článok]. – DOI 10.28991/esj-2020-01250. – SCO In: Emerging Science Journal. – Calabria (Taliansko) : Ital Publication. – ISSN 2610-9182. – Roč. 4, č. 6 (2020), s. 530-538 . – SJR: 0,76 ; CiteScore: 4,4 ; SNIP: 2,394 Scimago - Multidisciplinary - Q1 </t>
  </si>
  <si>
    <t xml:space="preserve">Ethnic approach in social work with social excluded groups and critical social work alternatives / Kozubík, Michal [Autor, UKFFSVKSP, 90%] ; Kajanová, Alena [Autor, 9%] ; Kozlová, Lucie [Autor, 1%]. – text. – [angličtina]. – [OV 060]. – [článok]. – SCO In: Sociální práce [textový dokument (print)] [elektronický dokument] : nabízíme spojení teorie s praxí = ponúkame spojenie teórie s praxou. – Brno (Česko) : Národní centrum pro rodinu, Brno (Česko) : Asociace vzdělavatelů v sociální práci. – ISSN 1213-6204. – ISSN (online) 1805-885X. – Roč. 18, č. 3 (2018), s. 70-83 [tlačená forma] [online] . – SJR: 0,201 ; CiteScore: 0,3 ; SNIP: 0,185 Scimago - Applied psychology - Q4, Health (social science) - Q4, Social sciences (miscellaneous) - Q3, Sociology and political science - Q3 </t>
  </si>
  <si>
    <t xml:space="preserve">Evaluation of Acquired Knowledge about Occupational Safety in Dual Education / Tureková, Ivana [Autor, UKFPFAKTT, 25%] ; Hrmo, Roman [Autor, 25%] ; Marková, Iveta [Autor, ZUZFBIPŽI, 25%] ; Kordosova, Miroslava [Autor, 25%]. – text. – [angličtina]. – [OV 010]. – [ŠO 7605]. – [článok]. – DOI 10.18421/TEM104-39. – WOS CC ; SCO In: TEM Journal [textový dokument (print)] [elektronický dokument] : Technology, Education, Management, Informatics. – Novi Pazar (Srbsko) : Association for Information Communication Technology Education and Science. – ISSN 2217-8309. – ISSN (online) 2217-8333. – Roč. 10, č. 4 (2021), 1775-1780 [tlačená forma] [online] . – CiteScore: 1,6 ; SJR: 0,245 ; SNIP: 0,675 ; AIS: 0.085 AIS - Computer science, information systems - Q3 Scimago - Computer science (miscellaneous) - Q3, Education - Q3, Information systems - Q3, Information systems and management - Q3, Management of technology and innovation - Q3, Strategy and management - Q3 </t>
  </si>
  <si>
    <t xml:space="preserve">Evaluation of financial management of towns in relation to political cycles using CV-TOPSIS / Vavrek, Roman [Autor, 50%] ; Papcunová, Viera [Autor, UKFFPVUMI, 25%] ; Tej, Juraj [Autor, PUPFMKM, 25%]. – text. – [angličtina]. – [OV 080, 060]. – [článok]. – DOI 10.4335/18.2.231-252(2020). – SIGN-PU FM-20 191/20. – WOS CC ; SCO In: Lex Localis [textový dokument (print)] [elektronický dokument] : journal of Local Self-Government. – Maribor  (Slovinsko) : Institute for Local Self-Government Maribor. – ISSN 1581-5374. – ISSN (online) 1855-363X. – Roč. 18, č. 2 (2020), 231-252 [tlačená forma] [online] . – SJR: 0,218 ; CiteScore: 1 ; SNIP: 0,616 ; IF: 0.592 ; AIS: 0.134 AIS - Political science - Q4, Public administration - Q4 JIF - Political science - Q4, Public administration - Q4 Scimago - Law - Q2, Public administration - Q4 </t>
  </si>
  <si>
    <t xml:space="preserve">Evaluation of mountain pastures quality forming the landscape archetype in Western Carpathians / Novák, Ján [Autor, SPUFAP25, 34%] ; Hreško, Juraj [Autor, UKFFPVKEE, 33%] ; Vadel, Ľuboš [Autor, 33%]. – [angličtina]. – [OV 190]. – [článok]. – DOI 10.11118/actaun201967010111. – SCO In: Acta Universitatis agriculturae et silviculturae Mendelianae Brunensis [textový dokument (print)] [elektronický dokument] . – Brno (Česko) : Mendelova univerzita v Brně. – ISSN 1211-8516. – ISSN (online) 2464-8310. – TUTPR signatúra E074241. – Roč. 67, č. 1 (2019), s. 111-119 [tlačená forma] [online] . – SNIP: 0,338 ; SJR: 0,167 ; CiteScore: 0,7 Scimago - Agricultural and biological sciences (miscellaneous) - Q3 </t>
  </si>
  <si>
    <t xml:space="preserve">Examination of Spatial Ability with Emphasis on Solving Cube Tasks / Vallo, Dušan [Autor, UKFFPVKMA, 25%] ; Rumanová, Lucia [Autor, UKFFPVKMA, 25%] ; Ďuriš, Viliam [Autor, UKFFPVKMA, 25%] ; Rybanský, Ľubomír [Autor, UKFFPVKMA, 25%]. – text. – [angličtina]. – [OV 010]. – [článok]. – DOI 10.18421/TEM91-49. – WOS CC ; SCO In: TEM Journal [textový dokument (print)] [elektronický dokument] : Technology, Education, Management, Informatics. – Novi Pazar (Srbsko) : Association for Information Communication Technology Education and Science. – ISSN 2217-8309. – ISSN (online) 2217-8333. – Roč. 9, č. 1 (2020), 361-366 [tlačená forma] [online] . – SJR: 0,199 ; CiteScore: 1,2 ; SNIP: 0,671 ; AIS: 0.083 AIS - Computer science, information systems - Q4 Scimago - Computer science (miscellaneous) - Q3, Education - Q4, Information systems - Q4, Information systems and management - Q3, Management of technology and innovation - Q4, Strategy and management - Q4 </t>
  </si>
  <si>
    <t xml:space="preserve">Existence and Prevention of Social Exclusion of Religious University Students due to Stereotyping / Tkáčová, Hedviga [Autor, ZUZFHVKFR, 55%] ; Pavlíková, Martina [Autor, UKFFFAKZU, 23%] ; Tvrdoň, Miroslav [Autor, UKFFSVKSP, 21%] ; Prokopyev, Alexey I. [Autor, 1%]. – text. – [angličtina]. – [OV 010, 020]. – [článok]. – DOI 10.34291/BV2021/01/TKACOVA. – WOS CC ; SCO In: Bogoslovni vestnik [textový dokument (print)] [elektronický dokument] : glasilo Teološke fakultete v Ljubljani. – Ljubljana (Slovinsko) : Univerza v Ljubljani. – ISSN 0006-5722. – ISSN (online) 1581-2987. – Roč. 81, č. 1 (2021), s. 191-223 [tlačená forma] [online] . – CiteScore: 1,9 ; SJR: 0,368 ; SNIP: 1,391 ; AIS: 0.228 AIS - Religion - Q2 Scimago - Religious studies - Q1 </t>
  </si>
  <si>
    <t xml:space="preserve">Existential Motifs in Slovak Literature with the Issue of the Shoah / Adamická, Monika [Autor, UKFFSSUSJ, 100%].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10, č. 1 (2020), 11-17 [tlačená forma] [online] . – AIS: 0.021 AIS - Multidisciplinary sciences - Q4 </t>
  </si>
  <si>
    <t xml:space="preserve">Exogenous risk factors for colorectal cancer in people aged 50 years and older / Spáčilová, Zuzana [Autor, UKFFSVKOS, 25%] ; Solgajová, Andrea [Autor, UKFFSVKOS, 25%] ; Vörösová, Gabriela [Autor, UKFFSVKOS, 25%] ; Zrubcová, Dana [Autor, UKFFSVKOS, 25%]. – text. – [angličtina]. – [OV 180]. – [článok]. – DOI 10.1016/j.kontakt.2017.11.005. – SCO In: Kontakt [textový dokument (print)] [elektronický dokument] : vědecký časopis Zdravotně sociální fakulty Jihočeské univerzity : časopis pro ošetřovatelství a sociální vědy ve zdraví a nemoci = Journal of nursing and social sciences related to health and illness. – České Budejovice (Česko) : Jihočeská univerzita v Českých Budějovicích. Zdravotně sociální fakulta. – ISSN 1212-4117. – ISSN (online) 1804-7122. – Roč. 20, č. 2 (2018), s. 81-91 [tlačená forma] [online] . – SNIP: 0,248 ; SJR: 0,157 ; CiteScore: 0,5 Scimago - Nursing (miscellaneous) - Q3, Philosophy - Q2, Public health, environmental and occupational health - Q4 </t>
  </si>
  <si>
    <t xml:space="preserve">Exploring literature reading classes in terms of types of feedback provided by efl teachers: Does teaching experience play a determining role? / Azizi, Mahmoud [Autor, 49%] ; Pavlíková, Martina [Autor, UKFFFAKZU, 49%] ; Masalimova, Alfiya R. [Autor, 2%]. – text. – [angličtina]. – [OV 020]. – [článok]. – DOI 10.26907/esd15.3.02. – SCO In: Education and Self Development [textový dokument (print)] . – ISSN 1991-7740. – Roč. 15, č. 3 (2020), 19-36 [tlačená forma] . – SJR: 0,228 ; CiteScore: 0,4 ; SNIP: 0,406 Scimago - Development - Q3, Education - Q3, Political science and international relations - Q2 </t>
  </si>
  <si>
    <t xml:space="preserve">Exploring teachers’ and learners’ attitude towards homework: The case of english versus non-english-major teachers’ homework practices / Khonamri, Fatemeh [Autor, 50%] ; Pavlíková, Martina [Autor, UKFFFAKZU, 50%]. – text. – [angličtina]. – [OV 010]. – [článok]. – DOI 10.26907/esd15.4.07. – SCO In: Education and Self Development [textový dokument (print)] . – ISSN 1991-7740. – Roč. 15, č. 4 (2020), 32-49 [tlačená forma] . – SJR: 0,228 ; CiteScore: 0,4 ; SNIP: 0,406 Scimago - Development - Q3, Education - Q3, Political science and international relations - Q2 </t>
  </si>
  <si>
    <t xml:space="preserve">Exploring the performative function in literary translation: The translator’s purpose / Miššíková, Gabriela [Autor, UKFFFAKAA, 100%]. – text. – [angličtina]. – [OV 020]. – [článok]. – DOI 10.5817/DI2019-2-29. – SCO In: Discourse and Interaction [textový dokument (print)] . – Brno (Česko) : Masarykova univerzita. Pedagogická fakulta. Katedra anglického jazyka a literatury. – ISSN 1802-9930. – ISSN (online) 1805-952X. – Roč. 12, č. 2 (2019), 29-45 [tlačená forma] . – SJR: 0,198 ; CiteScore: 0,6 ; SNIP: 0,787 Scimago - Language and linguistics - Q2, Linguistics and language - Q2 </t>
  </si>
  <si>
    <t xml:space="preserve">Factors conditioning the creation and development of a network of Camino de Santiago routes in Visegrád group countries / Mróz, Franciszek [Autor, 25%] ; Mróz, Łukasz [Autor, 25%] ; Krogmann, Alfred [Autor, UKFFPVKGR, 50%]. – text. – [angličtina]. – [OV 092]. – [článok]. – DOI 10.21427/x89p-6r88. – SCO In: International Journal of Religious Tourism and Pilgrimage [elektronický dokument] . – ISSN (online) 2009-7379. – Roč. 7, č. 5 (2019), 56-71 [online] . – SJR: 0,242 ; CiteScore: 0,6 ; SNIP: 0,426 Scimago - Religious studies - Q1, Tourism, leisure and hospitality management - Q3 </t>
  </si>
  <si>
    <t xml:space="preserve">Factors determining the choice of teaching as a career / Fenyvesiová, Lívia [Autor, UKFPFAKPE, 50%] ; Pavličková, Alexandra [Autor, UKFPFAKPE, 50%].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9, č. 2 (2019), 39-41 [tlačená forma] [online] </t>
  </si>
  <si>
    <t xml:space="preserve">Farming tools in the Middle Ages through the prism of Czech and Slovak archaeology: development trends and perspectives of further research / Borzová, Zuzana [Autor, UKFFFAKAR, 100%]. – text. – [angličtina]. – [OV 030]. – [článok]. – DOI 10.5817/AH2020-2-18. – SCO In: Archaeologia historica [textový dokument (print)] [elektronický dokument] . – Brno (Česko) : Masarykova univerzita. Filozofická fakulta. – ISSN 0231-5823. – ISSN (online) 2336-4386. – Roč. 45, č. 2 (2020), 907-923 [tlačená forma] [online] . – SJR: 0,254 ; CiteScore: 0,4 ; SNIP: 0,792 Scimago - Archeology - Q2, Archeology (arts and humanities) - Q2, History - Q1 </t>
  </si>
  <si>
    <t xml:space="preserve">Father and his role in the current family / Mendelová, Eleonóra [Autor, UKFPFAKPE, 100%].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8, č. 1 (2018), s. 171-174 [tlačená forma] [online] </t>
  </si>
  <si>
    <t xml:space="preserve">Figurative 'eye' expressions in the conceptualization of emotions and personality traits in Slovak / Ciprianová, Elena [Autor, UKFFFAKAA, 50%] ; Kováčová, Zuzana [Autor, UKFFFASJL, 50%]. – text. – [angličtina]. – [OV 020]. – [článok]. – WOS CC ; SCO In: Jezikoslovlje [textový dokument (print)] . – Osijek (Chorvátsko) : Sveučilište Josipa Jurja Strossmayera u Osijeku. Strojarski fakultet. – ISSN 1331-7202. – ISSN (online) 1848-9001. – Roč. 19, č. 1 (2018), s. 5-38 [tlačená forma] . – SJR: 0,116 ; CiteScore: 0,2 ; SNIP: 0,077 Scimago - Language and linguistics - Q3, Linguistics and language - Q3 </t>
  </si>
  <si>
    <t xml:space="preserve">Filosofie ironie Karla Wilhelma Ferdinanda Solgera = Karl Wilhelm Ferdinand Solger’s Philosophy of Irony / Horyna, Břetislav [Autor, UKFFFAKFI, 100%]. – text. – [čeština]. – [OV 020]. – [článok]. – DOI 10.5817/pf21-2-2457. – SCO In: Pro-Fil [elektronický dokument] : internetový časopis pro filosofii = an Internet Journal of Philosophy. – Brno (Česko) : Masarykova univerzita. Filozofická fakulta. Katedra filozofie. – ISSN (online) 1212-9097. – Roč. 22, č. 1 (2021), s. 68-77 [online] . – CiteScore: 0,1 ; SJR: 0,102 ; SNIP: 0,027 Scimago - Philosophy - Q4 </t>
  </si>
  <si>
    <t xml:space="preserve">Fixed-dose enoxaparin provides efficient DVT prophylaxis in mixed ICU patients despite low anti-Xa levels: A prospective observational cohort study / Beneš, Jan [Autor, 25%] ; Skulec, Roman [Autor, 25%] ; Jobanek, Jakub [Autor, 25%] ; Černý, Vladimír [Autor, UKFFSVKUM, 25%]. – [angličtina]. – [OV 180]. – [článok]. – DOI 10.5507/bp.2021.031. – WOS CC ; SCO In: Biomedical papers [textový dokument (print)] [elektronický dokument] . – Olomouc (Česko) : Univerzita Palackého v Olomouci. – ISSN 1213-8118. – ISSN (online) 1804-7521. – Roč. 165, č. 4 (2021), s. 1-7 [tlačená forma] [online] . – SNIP: 0.638 ; SJR: 0.348 ; CiteScore: 2.2 ; IF: 1.648 ; AIS: 0.352 AIS - Medicine, research &amp; experimental - Q4 JIF - Medicine, research &amp; experimental - Q4 Scimago - Biochemistry, genetics and molecular biology (miscellaneous) - Q3, Medicine (miscellaneous) - Q3 </t>
  </si>
  <si>
    <t xml:space="preserve">Focus on teaching pronunciation at primary schools in Slovakia / Reid, Eva [Autor, UKFPFAKLI, 90%] ; Debnárová, Michaela [Autor, 10%]. – text. – [angličtina]. – [OV 020, 010]. – [článok]. – DOI 10.17051/ilkonline.2020.734971. – SCO In: Elementary Education Online [elektronický dokument] . – Ankara (Turecko) : Sinan Olkun. – ISSN (online) 1305-3515. – Roč. 19, č. 3 (2020), 1740-1750 [online] </t>
  </si>
  <si>
    <t xml:space="preserve">Fonetičeskie pravila v obučenii proiznošeniju na inostrannom jazyke = Phonics generalizations in teaching foreign language pronunciation / Sorádová, Daniela [Autor, UKFPFAKLI, 34%] ; Kráľová, Zdena [Autor, UKFPFAKLI, 33%] ; Bírová, Jana [Autor, UCMFIFKPED, 33%]. – text. – [angličtina]. – [OV 010]. – [článok]. – DOI 10.15293/2226-3365.1804.03. – SCO In: Vestnik Novosibirskogo gosudarstvennogo pedagogičeskogo universiteta [textový dokument (print)] [elektronický dokument] . – Novosibirsk (Ruská federácia) : Novosibirk State Pedagogical University. – ISSN 2226-3365. – Roč. 8, č. 4 (2018), s. 46-54 [tlačená forma] [online] Scimago - Education - Q4 </t>
  </si>
  <si>
    <t xml:space="preserve">Foreign Language Reading Comprehension in the Context of Internet Use / Ficzere, Anikó [Autor, UKFFSSKCR, 40%] ; Stranovská, Eva [Autor, UKFFFAKGE, 30%] ; Gadušová, Zdenka [Autor, UKFFFAKAA, 30%]. – text. – [angličtina]. – [OV 010]. – [článok]. – DOI 10.18421/TEM104-64. – WOS CC ; SCO In: TEM Journal [textový dokument (print)] [elektronický dokument] : Technology, Education, Management, Informatics. – Novi Pazar (Srbsko) : Association for Information Communication Technology Education and Science. – ISSN 2217-8309. – ISSN (online) 2217-8333. – Roč. 10, č. 4 (2021), s. 1983-1991 [tlačená forma] [online] . – CiteScore: 1,6 ; SJR: 0,245 ; SNIP: 0,675 ; AIS: 0.085 AIS - Computer science, information systems - Q3 Scimago - Computer science (miscellaneous) - Q3, Education - Q3, Information systems - Q3, Information systems and management - Q3, Management of technology and innovation - Q3, Strategy and management - Q3 </t>
  </si>
  <si>
    <t xml:space="preserve">Forest pedagogy as a part of environmental education: opportunities and challenges for the forestry sector in Slovakia / Sarvaš, Milan [Autor, 50%] ; Chlpošová, Dana [Autor, UKFFPVKEE, 50%]. – text. – [angličtina]. – [OV 100]. – [článok]. – WOS CC ; SCO In: Zprávy lesnického výzkumu [textový dokument (print)] [elektronický dokument] . – Jíloviště (Česko) : Výzkumný ústav lesního hospodářství a myslivosti. – ISSN 0322-9688. – ISSN (online) 1805-9872. – Roč. 66, č. 1 (2021), 67-71 [tlačená forma] [online] . – CiteScore: 0,7 ; SJR: 0,196 ; SNIP: 0,365 ; AIS: 0.038 AIS - Forestry - Q4 Scimago - Forestry - Q3, Nature and landscape conservation - Q4 </t>
  </si>
  <si>
    <t xml:space="preserve">Forum theater and movement / Hubinská, Zuzana [Autor, UKFPFAKHU, 100%].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10, č. 2 (2020), s. 146-150 [tlačená forma] [online] . – AIS: 0.021 AIS - Multidisciplinary sciences - Q4 </t>
  </si>
  <si>
    <t xml:space="preserve">Forum theatre and the teaching process / Tischler, Ladislav [Autor, UKFPFAKHU, 100%].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11, č. 1 (2021), s. 328-330 [tlačená forma] [online] . – AIS: 0.028 AIS - Multidisciplinary sciences - Q4 </t>
  </si>
  <si>
    <t xml:space="preserve">Forum theatre as a means of risk youth resocialization / Gálisová, Lenka [Autor, UKFPFAKHU, 50%] ; Sondorová, Dominika [Autor, UKFPFAKHU, 50%].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9, č. 2 (2019), 42-46 [tlačená forma] [online] </t>
  </si>
  <si>
    <t xml:space="preserve">Fragments of Judaism in the memoir literature of Eastern Slovakia / Hrešková, Sylvia [Autor, UKFFSSUSJ, 100%]. – text. – [angličtina]. – [OV 020]. – [článok]. – WOS CC In: AD ALTA [textový dokument (print)] [elektronický dokument] : journal of interdisciplinary research = recenzovaný mezioborový vědecký časopis. – Hradec Králové (Česko) : Magnanimitas akademické sdružení. – ISSN 1804-7890. – ISSN (online) 2464-6733. – Roč. 11, č. 1 (2021), s. 86-92 [tlačená forma] [online] . – AIS: 0.028 AIS - Multidisciplinary sciences - Q4 </t>
  </si>
  <si>
    <t xml:space="preserve">Framework for E-Learning Materials Optimization / Halvoník, Dominik [Autor, UKFFPVKIN, 50%] ; Kapusta, Jozef [Autor, UKFFPVKIN, 50%]. – text. – [angličtina]. – [OV 160]. – [článok]. – DOI 10.3991/ijet.v15i11.12721. – WOS CC ; SCO In: International Journal of Emerging Technologies in Learning [textový dokument (print)] [elektronický dokument] . – Viedeň (Rakúsko) : International Association of Online Engineering. – ISSN 1863-0383. – ISSN (online) 1868-8799. – Roč. 15, č. 11 (2020), 67-77 [tlačená forma] [online] . – SJR: 0,454 ; CiteScore: 2,6 ; SNIP: 1,342 ; AIS: 0.164 AIS - Education &amp; educational research - Q3 Scimago - E-learning - Q2, Education - Q2, Engineering (miscellaneous) - Q2 </t>
  </si>
  <si>
    <t xml:space="preserve">From church perseverance in authoritarian states to today's religious inspired tourism / Ambrósio, Vítor [Autor, 12%] ; Fernandes, Carlos [Autor, 5%] ; Krogmann, Alfred [Autor, UKFFPVKGR, 23%] ; Leitão, Isolda [Autor, 23%] ; Oremusová, Daša [Autor, UKFFPVKGR, 18%] ; Šolcová, Lucia [Autor, UKFFPVKGR, 19%]. – text. – [angličtina]. – [OV 092]. – [článok]. – DOI 10.25145/j.pasos.2019.17.074. – WOS CC In: Pasos [textový dokument (print)] : Revista de Tourismo y Patrimonio Cultural . – Španielsko : Instituto Universitario de Investigación Social y Turismo de la Universidad de La Laguna. – ISSN 1695-7121. – Roč. 17, č. 5 (2019), 1065-1078 [tlačená forma] </t>
  </si>
  <si>
    <t xml:space="preserve">From primary meanings of the sensory perceptions of touch and taste to lexicalized metaphors in an associative-semantic network in Slovak = Od primárnych významov zmyslových vnemov hmatu a chuti k lexikalizovaným metaforám v asociačno-sémantickej sieti v slovenčine / Kováčová, Zuzana [Autor, UKFFFASJL, 50%] ; Ciprianová, Elena [Autor, UKFFFAKAA, 50%]. – text. – [angličtina]. – [OV 020]. – [článok]. – WOS CC ; SCO In: Slovo a slovesnost [textový dokument (print)] [elektronický dokument] : časopis pro otázky teorie a kultury jazyka. – Praha (Česko) : Akademie věd České republiky. Ústav pro jazyk český AV ČR. – ISSN 0037-7031. – ISSN (online) 2571-0885. – Roč. 82, č. 1 (2021), s. 45-66 [tlačená forma] [online] . – CiteScore: 0,3 ; IF: 0.227 ; SJR: 0,123 ; SNIP: 0,683 ; AIS: 0.159 AIS - Language &amp; linguistics - Q4, Linguistics - Q4 JIF - Linguistics - Q4 Scimago - Linguistics and language - Q3 </t>
  </si>
  <si>
    <t xml:space="preserve">Fruit maturity stage in relation to content of polyphenols, flavonoids and antioxidant activity of selected clones of Lonicera kamtschatica (Sevast.) Pojark / Juríková, Tünde [Autor, UKFFSSUVP, 40%] ; Mlček, Jiří [Autor, 5%] ; Žitná, Marcela [Autor, UKFFPVKBG, 30%] ; Hlaváčová, Irena [Autor, 5%] ; Dokoupil, Libor [Autor, 5%] ; Sochor, Jiří [Autor, 5%] ; Ercisli, Sezai [Autor, 5%] ; Ozkan, Durcel [Autor, 5%]. – text. – [angličtina]. – [OV 010]. – [článok]. – DOI 10.2298/GENSR2003881J. – WOS CC ; SCO In: Genetika [textový dokument (print)] [elektronický dokument] . – Belehrad (Srbsko) : Društvo genetičara Jugoslavije. – ISSN 0534-0012. – ISSN (online) 1820-6069. – Roč. 52, č. 3 (2020), 881-893 [tlačená forma] [online] . – SJR: 0,24 ; CiteScore: 1,1 ; SNIP: 0,459 ; IF: 0.761 ; AIS: 0.094 AIS - Agronomy - Q4, Genetics &amp; heredity - Q4 JIF - Agronomy - Q4, Genetics &amp; heredity - Q4 Scimago - Agricultural and biological sciences (miscellaneous) - Q3, Genetics - Q4, Plant science - Q3 </t>
  </si>
  <si>
    <t xml:space="preserve">Future of religious faith the case of present-day Slovakia / Kardis, Kamil [Autor, PUPGRFR, 50%] ; Valčo, Michal [Autor, UKFFFAKAE 06.2022, 50%]. – text. – [angličtina]. – [OV 060, 020]. – [článok]. – SIGN-PU GTF 46/18. – WOS CC ; SCO In: European Journal of Science and Theology [textový dokument (print)] [elektronický dokument] . – Jasy (Rumunsko) : Academic organisation for environmental engineering and sustainable development. – ISSN 1841-0464. – ISSN (online) 1842-8517. – Roč. 14, č. 4 (2018), s. 95-107 [tlačená forma] [online] . – SJR: 0,377 ; CiteScore: 1,6 ; SNIP: 0,676 Scimago - Engineering (miscellaneous) - Q1, History and philosophy of science - Q2, Multidisciplinary - Q1, Religious studies - Q1 </t>
  </si>
  <si>
    <t xml:space="preserve">Gem-quality pseudomalachite from Slovakia / Štubňa, Ján [Autor, UKFFPVGMU, 75%] ; Illášová, Ľudmila [Autor, UKFFPVGMU, 23%] ; Galád, Radovan [Autor, 1%] ; Hanus, Radek [Autor, 1%]. – text. – [angličtina]. – [OV 092]. – [článok]. – WOS CC ; SCO In: The Journal of Gemmology [textový dokument (print)] . – Londýn (Veľká Británia) : The Gemmological Association of Great Britain. – ISSN 1355-4565. – ISSN (online) 2632-1718. – Roč. 36, č. 3 (2018), s. 194-195 [tlačená forma] . – SJR: 0,206 ; CiteScore: 0,3 ; SNIP: 0,348 Scimago - Geochemistry and petrology - Q4 </t>
  </si>
  <si>
    <t xml:space="preserve">Gender, Age, previous Myocardial Infarction, and Personality as Predictors of Anxiety in Patients after Myocardial Infarction / Libová, Ľubica [Autor, VSSVArektorat, 15%] ; Minárik, Peter [Autor, UKFFSVKUM, 15%] ; Solgajová, Andrea [Autor, UKFFSVKOS, 15%] ; Sollár, Tomáš [Autor, UKFFSVUAP, 15%] ; Zrubcová, Dana [Autor, UKFFSVKOS, 15%] ; Turzáková, Jana [Autor, UKFFSVUAP, 15%] ; Vörösová, Gabriela [Autor, UKFFSVKOS, 10%]. – [angličtina]. – [OV 180, 060]. – [článok]. – DOI 10.22359/cswhi_12_3_17. – WOS CC In: Clinical Social Work and Health Intervention [textový dokument (print)] [elektronický dokument] . – Viedeň (Rakúsko) : Gesellschaft für angewandte Präventionsmedizin. – ISSN 2222-386X. – ISSN (online) 2076-9741. – Roč. 12, č. 3 (2021), s. 97-103 [tlačená forma] [online] . – AIS: 0.013 AIS - Public, environmental &amp; occupational health - Q4 </t>
  </si>
  <si>
    <t xml:space="preserve">Geometric applications of measure as a definite integral in mathematics education / Ďuriš, Viliam [Autor, UKFFPVKMA, 100%]. – [angličtina]. – [OV 010, 240]. – [článok]. – DOI 10.1080/09720502.2020.1743507. – WOS CC ; SCO In: Journal of interdisciplinary mathematics [textový dokument (print)] [elektronický dokument] . – Veľká Británia : Taylor &amp; Francis Group. – ISSN 0972-0502. – ISSN (online) 2169-012X. – Roč. 23, č. 3 (2020), s. 739-753 [tlačená forma] [online] . – SJR: 0,221 ; CiteScore: 1 ; SNIP: 0,529 ; AIS: 0.107 AIS - Mathematics - Q4 Scimago - Analysis - Q4, Applied mathematics - Q4 </t>
  </si>
  <si>
    <t xml:space="preserve">Global and local challenges of the interaction of natural and human sciences / Valčo, Michal [Autor, UKFFFAKAE 06.2022, 100%]. – text. – [angličtina]. – [OV 020]. – [článok]. – WOS CC ; SCO In: European Journal of Science and Theology [textový dokument (print)] [elektronický dokument] . – Jasy (Rumunsko) : Academic organisation for environmental engineering and sustainable development. – ISSN 1841-0464. – ISSN (online) 1842-8517. – Roč. 14, č. 5 (2018), 1-3 [tlačená forma] [online] . – SJR: 0,377 ; CiteScore: 1,6 ; SNIP: 0,676 Scimago - Engineering (miscellaneous) - Q1, History and philosophy of science - Q2, Multidisciplinary - Q1, Religious studies - Q1 </t>
  </si>
  <si>
    <t xml:space="preserve">Grape vine and viticulture tradition in Mikulčice / Látková, Michaela [Autor, 33.334%] ; Hajnalová, Mária [Autor, UKFFFAKAR, 33.333%] ; Havlík, Miroslav [Autor, 33.333%]. – text. – [angličtina]. – [OV 030]. – [článok]. – SCO In: Přehled výzkumů [textový dokument (print)] [elektronický dokument] . – Brno (Česko) : Akademie věd České republiky. Archeologický ústav AV ČR. – ISSN 1211-7250. – Roč. 60, č. 2 (2019), 79-91 [tlačená forma] [online] . – SJR: 0,308 ; CiteScore: 0,4 ; SNIP: 0,646 Scimago - Language and linguistics - Q1, Linguistics and language - Q1 </t>
  </si>
  <si>
    <t xml:space="preserve">Graphic visualization of learners' mental reprezentation / Kozárová, Nina [Autor, UKFPFAKPE, 50%] ; Duchovičová, Jana [Autor, UKFPFAKPE, 50%].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10, č. 2 (2020), s. 208-211 [tlačená forma] [online] . – AIS: 0.021 AIS - Multidisciplinary sciences - Q4 </t>
  </si>
  <si>
    <t xml:space="preserve">Ground-dwelling spiders in diverse mosaic of garden habitats / Krumpálová, Zuzana [Autor, UKFFPVKEE, 50%] ; Ondrejková, Natália [Autor, UKFFPVKEE, 30%] ; Petrovičová, Kornélia [Autor, SPUFAP26, 5%] ; Ivanič Porhajašová, Jana [Autor, SPUFAP26, 5%] ; Langraf, Vladimír [Autor, UKFFPVKZA, 10%]. – text. – [angličtina]. – [OV 100]. – [článok]. – DOI 10.15666/aeer. – WOS CC ; SCO In: Applied Ecology and Environmental Research [textový dokument (print)] [elektronický dokument] : international scientific journal. – Budapešť (Maďarsko) : Applied Ecological Research and Forensic Institute. – ISSN 1589-1623. – ISSN (online) 1785-0037. – Roč. 19, č. 3 (2021), s. 1703-1717 [tlačená forma] [online] . – CiteScore: 1,5 ; IF: 0.816 ; SJR: 0,232 ; SNIP: 0,4 ; AIS: 0.122 AIS - Ecology - Q4, Environmental sciences - Q4 JIF - Ecology - Q4, Environmental sciences - Q4 Scimago - Agronomy and crop science - Q3, Ecology, evolution, behavior and systematics - Q4 </t>
  </si>
  <si>
    <t xml:space="preserve">Historical changes and vegetation development after intensive peat extraction in the lowland mires of Slovakia / Horáčková, Šárka [Autor, UKOPRZFG, 60%] ; Pišút, Peter [Autor, UKOPRZFG, 20%] ; Falťan, Vladimír [Autor, UKOPRZFG, 10%] ; Chovanec, Patrik [Autor, 5%] ; Petrovič, František [Autor, UKFFPVKEE, 5%]. – text, tab., obr. – [angličtina]. – [OV 100, 092]. – [článok]. – DOI 10.15666/aeer/1604_50255045. – SIGN-UKO PR 347/18. – WOS CC ; SCO In: Applied Ecology and Environmental Research [textový dokument (print)] [elektronický dokument] : international scientific journal. – Budapešť (Maďarsko) : Applied Ecological Research and Forensic Institute. – ISSN 1589-1623. – ISSN (online) 1785-0037. – Roč. 16, č. 4 (2018), s. 5025-5045 [tlačená forma] [online] . – SJR: 0,224 ; CiteScore: 0,8 ; SNIP: 0,508 ; IF: 0.689 JIF - Ecology - Q4, Environmental sciences - Q4 Scimago - Agronomy and crop science - Q3, Ecology, evolution, behavior and systematics - Q4 </t>
  </si>
  <si>
    <t xml:space="preserve">Histories of Romani Education in Slovakia: A Kazamian Perspective / New, William S. [Autor, 40%] ; Kyuchukov, Hristo [Autor, 30%] ; Samko, Milan [Autor, UKFFSVURS, 30%]. – text. – [angličtina]. – [OV 060]. – [článok]. – DOI 10.1080/10564934.2018.1458322. – WOS CC ; SCO In: European Education [textový dokument (print)] . – ISSN 1056-4934. – ISSN (online) 1944-7086. – Roč. 50, č. 2 (2018), s. 185-200 [tlačená forma] . – SJR: 0,232 ; CiteScore: 0,5 ; SNIP: 0,779 Scimago - Education - Q3 </t>
  </si>
  <si>
    <t xml:space="preserve">Homo culturalis versus cultura animi / Maturkanič, Patrik [Autor, 40%] ; Čergeťová Tomanová, Ivana [Autor, 33%] ; Kondrla, Peter [Autor, UKFFFAKNS, 25%] ; Kurilenko, Victoria [Autor, 1%] ; Martín, José García [Autor, 1%]. – text. – [angličtina]. – [OV 010]. – [článok]. – DOI 10.15503.jecs2021.2.51.58. – WOS CC In: Journal of education culture and society [elektronický dokument] . – Vroclav (Poľsko) : Fundacja Pro Scientia Publica. – ISSN 2081-1640. – Roč. 12, č. 2 (2021), s. 51-58 [online] </t>
  </si>
  <si>
    <t xml:space="preserve">How can suicidal behaviour in the elderly be prevented? A scoping review of the Visegrad group countries / Tokovská, Miroslava [Autor, 34%] ; Jusko, Peter [Autor, UMBPF12, 33%] ; Kozubík, Michal [Autor, UKFFSVKSP, 33%]. – text. – [slovenčina]. – [OV 060]. – [článok]. – SCO In: Sociální práce [textový dokument (print)] [elektronický dokument] : nabízíme spojení teorie s praxí = ponúkame spojenie teórie s praxou. – Brno (Česko) : Národní centrum pro rodinu, Brno (Česko) : Asociace vzdělavatelů v sociální práci. – ISSN 1213-6204. – ISSN (online) 1805-885X. – Roč. 19, č. 4 (2019), s. 19-31 [tlačená forma] [online] . – SJR: 0,235 ; CiteScore: 0,4 ; SNIP: 0,142 Scimago - Applied psychology - Q4, Health (social science) - Q3, Social sciences (miscellaneous) - Q3, Sociology and political science - Q3 </t>
  </si>
  <si>
    <t xml:space="preserve">How Do First Year University Students Use ICT in Their Leisure Time and for Learning Purposes? / Eger, Ludvik [Autor, 25%] ; Tomczyk, Lukasz [Korešpondenčný autor, 15%] ; Klement, Milan [Autor, 10%] ; Pisoňová, Mária [Autor, UKFPFAKPE, 25%] ; Petrová, Gabriela [Autor, UKFPFAKPE, 25%]. – text. – [angličtina]. – [OV 010]. – [článok]. – DOI 10.5937/IJCRSEE2002035E. – WOS CC ; SCO In: International Journal of Cognitive Research in Science, Engineering and Education [textový dokument (print)] [elektronický dokument] . – Vranje (Srbsko) : Elsevier. – ISSN 2334-847X. – ISSN (online) 2334-8496. – Roč. 8, č. 2 (2020), 35-52 [tlačená forma] [online] . – SJR: 0,373 ; CiteScore: 1,8 ; SNIP: 1,457 ; AIS: 0.320 AIS - Education &amp; educational research - Q2 Scimago - Cognitive neuroscience - Q4, Education - Q3, Experimental and cognitive psychology - Q4 </t>
  </si>
  <si>
    <t xml:space="preserve">How kindergarten teachers assess their own professional competencies / Pupíková, Eva [Autor, UKFPFAKPE, 17%] ; Gonda, Dalibor [Autor, ZUZRIAMOA, 17%] ; Páleníková, Kitti [Autor, UKFFPVKMA, 17%] ; Medová, Janka [Autor, UKFFPVKMA, 16%] ; Kollárová, Dana [Autor, UKFPFAKPE, 17%] ; Tirpáková, Anna [Autor, UKFFPVKMA, 16%]. – text. – [angličtina]. – [OV 010, 240]. – [článok]. – DOI 10.3390/educsci11120769. – WOS CC ; SCO In: Education sciences [elektronický dokument] . – Bazilej (Švajčiarsko) : Multidisciplinary Digital Publishing Institute. – ISSN (online) 2227-7102. – Roč. 11, č. 12 (2021), s. 1-15 [online] . – SNIP: 1,314 ; SJR: 0,518 ; CiteScore: 2,9 ; AIS: 0.434 AIS - Education &amp; educational research - Q1 Scimago - Computer science (miscellaneous) - Q2, Computer science applications - Q2, Developmental and educational psychology - Q3, Education - Q2, Physical therapy, sports therapy and rehabilitation - Q2, Public administration - Q2 </t>
  </si>
  <si>
    <t xml:space="preserve">How students perceive educational support through Facebook / Šebo, Miroslav [Autor, UKFPFAKTT, 50%] ; Hašková, Alena [Autor, UKFPFAKTT, 50%]. – text. – [angličtina]. – [OV 010]. – [článok]. – SCO In: Education and Self Development [textový dokument (print)] . – ISSN 1991-7740. – Roč. 15, č. 3 (2020), s. 67-75 [tlačená forma] . – SJR: 0,228 ; CiteScore: 0,4 ; SNIP: 0,406 Scimago - Development - Q3, Education - Q3, Political science and international relations - Q2 </t>
  </si>
  <si>
    <t xml:space="preserve">How to manage cognitive behavioral supervision session / Praško Pavlov, Ján [Korešpondenčný autor, UKFFSVKPV, 44%] ; Krone, Ilona [Autor, 2%] ; Abeltina, Marija [Autor, 2%] ; Zande, Diana [Autor, 2%] ; Ocisková, Marie [Autor, 3%] ; Bagdonaviciene, Lina [Autor, 2%] ; Šlepecký, Miloš [Autor, UKFFSVKPV, 45%]. – text. – [angličtina]. – [OV 060]. – [článok]. – WOS CC ; SCO In: Activitas Nervosa Superior Rediviva [textový dokument (print)] [elektronický dokument] : international journal for integrated neuroscience. – Bratislava (Slovensko) : Vysoká škola zdravotníctva a sociálnej práce sv. Alžbety v Bratislave, Bratislava (Slovensko) : Slovenská akadémia vied. – ISSN 1337-933X. – ISSN (online) 1338-4015. – Roč. 61, č. 3-4 (2019), 107-116 [tlačená forma] [online] . – SNIP: 0,145 ; SJR: 0,145 ; CiteScore: 0,5 Scimago - Neuroscience (miscellaneous) - Q4 </t>
  </si>
  <si>
    <t xml:space="preserve">How to teach CAD/CAE systems / Záhorec, Ján [Autor, UKOPDDPP, 20%] ; Kuna, Peter [Autor, UKFPFAKTT, 20%] ; Hašková, Alena [Autor, UKFPFAKTT, 20%] ; Palaj, Miloš [Autor, UKFPFAKTT, 20%] ; Skačan, Miloslav [Autor, UKFPFAKTT, 20%]. – text. – [angličtina]. – [OV 010]. – [článok]. – [recenzované]. – DOI 10.3991/ijep.v8i1.8185. – WOS CC ; SCO In: International Journal of Engineering Pedagogy [elektronický dokument] . – Viedeň (Rakúsko) : International Association of Online Engineering. – ISSN (online) 2192-4880. – Roč. 8, č. 1 (2018), s. 148-161 [online] </t>
  </si>
  <si>
    <t xml:space="preserve">How to Train Teachers to Support Pupils' Orientation for Technical Study Programs / Bánesz, Gabriel [Korešpondenčný autor, UKFPFAKTT, 50%] ; Hašková, Alena [Autor, UKFPFAKTT, 50%].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10, č. 1 (2020), 24-27 [tlačená forma] [online] . – AIS: 0.021 AIS - Multidisciplinary sciences - Q4 </t>
  </si>
  <si>
    <t xml:space="preserve">How to use self-reflection in cognitive behavioral supervision / Praško Pavlov, Ján [Autor, 9.091%] ; Abeltina, Marija [Autor, 9.091%] ; Vanek, Jakub [Autor, 9.091%] ; Dicevicius, Darius [Autor, 9.091%] ; Ocisková, Marie [Autor, 9.091%] ; Krone, Ilona [Autor, 9.091%] ; Kantor, Kryštof [Autor, 9.091%] ; Burkauskas, Julius [Autor, 9.091%] ; Juskiene, Alicia [Autor, 9.091%] ; Šlepecký, Miloš [Autor, UKFFSVKPV, 9.091%] ; Bagdonaviciene, Lina [Autor, 9.09%]. – text. – [angličtina]. – [OV 180]. – [článok]. – WOS CC ; SCO In: Activitas Nervosa Superior Rediviva [textový dokument (print)] [elektronický dokument] : international journal for integrated neuroscience. – Bratislava (Slovensko) : Vysoká škola zdravotníctva a sociálnej práce sv. Alžbety v Bratislave, Bratislava (Slovensko) : Slovenská akadémia vied. – ISSN 1337-933X. – ISSN (online) 1338-4015. – Roč. 63, č. 2 (2021), 68-83 [tlačená forma] [online] . – SNIP: 0.080 ; SJR: 0.112 ; AIS: 0.061 AIS - Clinical neurology - Q4 Scimago - Neuroscience (miscellaneous) - Q4 </t>
  </si>
  <si>
    <t xml:space="preserve">How to work with conceptualization in cognitive behavioral supervision / Praško Pavlov, Ján [Autor, UKFFSVKPV, 12.5%] ; Dicevicius, Darius [Autor, 12.5%] ; Abeltina, Marija [Autor, 12.5%] ; Krone, Ilona [Autor, 12.5%] ; Šlepecký, Miloš [Autor, UKFFSVKPV, 12.5%] ; Ocisková, Marie [Autor, 12.5%] ; Bagdonaviciene, Lina [Autor, 12.5%] ; Grambal, Aleš [Autor, 12.5%]. – text. – [angličtina]. – [OV 060]. – [článok]. – WOS CC ; SCO In: Activitas Nervosa Superior Rediviva [textový dokument (print)] [elektronický dokument] : international journal for integrated neuroscience. – Bratislava (Slovensko) : Vysoká škola zdravotníctva a sociálnej práce sv. Alžbety v Bratislave, Bratislava (Slovensko) : Slovenská akadémia vied. – ISSN 1337-933X. – ISSN (online) 1338-4015. – Roč. 61, č. 3-4 (2019), 126-138 [tlačená forma] [online] . – SNIP: 0,145 ; SJR: 0,145 ; CiteScore: 0,5 Scimago - Neuroscience (miscellaneous) - Q4 </t>
  </si>
  <si>
    <t xml:space="preserve">Change Phenotypic Traits in Ground Beetles (Carabidae) Reflects Biotope Disturbance in Central Europe / Langraf, Vladimír [Autor, UKFFPVKEE, 30%] ; Petrovičová, Kornélia [Autor, 30%] ; David, Stanislav [Autor, UKFFPVKEE, 30%] ; Kanská, Monika [Autor, 4%] ; Nozdrovická, Jana [Autor, UKFFPVKEE, 4%] ; Schlarmannová, Janka [Autor, UKFFPVKZA, 2%]. – text. – [angličtina]. – [OV 100]. – [článok]. – WOS CC ; SCO In: Journal of the Entomological Research Society. – Ankara (Turecko) : Gazi Entomological Research Society. – ISSN 1302-0250. – Roč. 20, č. 2 (2018), s. 119-129 . – SJR: 0,197 ; CiteScore: 0,4 ; SNIP: 0,275 ; IF: 0.182 JIF - Entomology - Q4 Scimago - Ecology, evolution, behavior and systematics - Q4, Insect science - Q4 </t>
  </si>
  <si>
    <t xml:space="preserve">Changes in the dispersion of epigeic groups of animals in different types  of agricultural crops / Langraf, Vladimír [Autor, UKFFPVKZA, 59%] ; Petrovičová, Kornélia [Autor, SPUFAP26, 30%] ; David, Stanislav [Autor, UKFFPVKEE, 2%] ; Krumpálová, Zuzana [Autor, UKFFPVKEE, 2%] ; Schlarmannová, Janka [Autor, UKFFPVKZA, 2%] ; Hreusová, Nikol [Autor, 2%] ; Klimentová, Veronika [Autor, 1%] ; Urban, Martin [Autor, 1%] ; Šartarová, Hana [Autor, 1%]. – text. – [angličtina]. – [OV 130, 190]. – [článok]. – DOI 10.5513/JCEA01/22.4.3220. – WOS CC ; SCO In: Journal of Central European Agriculture [elektronický dokument] . – Zahreb (Chorvátsko) : Sveučilište u Zagrebu, Keszthely (Maďarsko) : Pannon Egyetem, Nitra (Slovensko) : Slovenská poľnohospodárska univerzita v Nitre. – ISSN (online) 1332-9049. – ISSN (chybné) 6453-2356. – Roč. 22, č. 4 (2021), s. 798-806 [online] . – CiteScore: 1,1 ; SJR: 0,201 ; SNIP: 0,38 ; AIS: 0.093 AIS - Agriculture, dairy &amp; animal science - Q3 Scimago - Agronomy and crop science - Q4, Animal science and zoology - Q4 </t>
  </si>
  <si>
    <t xml:space="preserve">Changes in the microstructure of compact and trabecular bone tissues of mice subchronically exposed to alcohol / Martiniaková, Monika [Autor, UKFFPVKZA, 12.5%] ; Šarocká, Anna [Autor, UKFFPVKZA, 12.5%] ; Babosová, Ramona [Autor, UKFFPVKZA, 12.5%] ; Grosskopf, Birgit [Autor, 12.5%] ; Kapusta, Edyta [Autor, 12.5%] ; Goc, Zofia [Autor, 12.5%] ; Formicki, Grzegorz [Autor, 12.5%] ; Omelka, Radoslav [Autor, UKFFPVKBG, 12.5%]. – text. – [angličtina]. – [OV 130]. – [článok]. – DOI 10.1186/s40709-018-0079-1. – WOS CC In: Journal of Biological Research-Thessaloniki. – Londýn (Veľká Británia) : Springer Nature. BioMed Central. – ISSN 2241-5793. – Roč. 25 (2018), s. 1-13 . – SJR: 0,798 ; CiteScore: 3,9 ; SNIP: 0,823 ; IF: 2.364 JIF - Biology - Q2 Scimago - Agricultural and biological sciences (miscellaneous) - Q1, Biochemistry, genetics and molecular biology (miscellaneous) - Q2 </t>
  </si>
  <si>
    <t xml:space="preserve">Choosing teaching as a profession: Influence of big five personality traits on fallback career / Tomšik, Robert [Autor, UKFPFAKPE, 50%] ; Gatial, Viktor [Autor, UKFPFAKAP, 50%]. – text. – [angličtina]. – [OV 010]. – [článok]. – WOS CC ; SCO In: Problems of education in the 21st century [textový dokument (print)] [elektronický dokument] . – Šiauliai (Litva) : Scientia Socialis. – ISSN 1822-7864. – ISSN (online) 2538-7111. – Roč. 76, č. 1 (2018), s. 100-108 [tlačená forma] [online] . – SJR: 0,125 ; CiteScore: 0,3 ; SNIP: 0,263 Scimago - Education - Q4 </t>
  </si>
  <si>
    <t xml:space="preserve">Choosing teaching as a profession: validation of an smvup-4-s assessment tool / Tomšik, Robert [Autor, UKFPFAKAP, 100%]. – text. – [angličtina]. – [OV 010]. – [článok]. – DOI 10.33225/pec/19.77.545. – WOS CC ; SCO In: Problems of education in the 21st century [textový dokument (print)] [elektronický dokument] . – Šiauliai (Litva) : Scientia Socialis. – ISSN 1822-7864. – ISSN (online) 2538-7111. – Roč. 77, č. 4 (2019), 545-559 [tlačená forma] [online] Scimago - Education - Q3 </t>
  </si>
  <si>
    <t xml:space="preserve">Chosen aspects of the parental role from the point of view of three generations / Mendelová, Eleonóra [Autor, UKFPFAKPE, 100%].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9, č. 1 (2019), 181-185 [tlačená forma] [online] </t>
  </si>
  <si>
    <t xml:space="preserve">Chosen Possibilities of Developing Social Competences of Adults with Attention Deficit / Hyperactivity Disorder / Müller De Morais, Marianna [Autor, UKFPFAKPE, 50%] ; Jedličková, Petra [Autor, UKFPFAKPE, 50%].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8, č. 1 (2018), s. 187-192 [tlačená forma] [online] </t>
  </si>
  <si>
    <t xml:space="preserve">Christianization of the territory of today's Moravia and Slovakia before 863 / Ivanič, Peter [Autor, UKFFFAUKD, 100%]. – text. – [angličtina]. – [OV 020, 030]. – [článok]. – DOI 10.34291/BV2020/03/Ivanic. – WOS CC ; SCO In: Bogoslovni vestnik [textový dokument (print)] [elektronický dokument] : glasilo Teološke fakultete v Ljubljani. – Ljubljana (Slovinsko) : Univerza v Ljubljani. – ISSN 0006-5722. – ISSN (online) 1581-2987. – Roč. 80, č. 3 (2020), s. 655-667 [tlačená forma] [online] . – SJR: 0,471 ; CiteScore: 1,6 ; SNIP: 1,182 ; AIS: 0.122 AIS - Religion - Q3 Scimago - Religious studies - Q1 </t>
  </si>
  <si>
    <t xml:space="preserve">Identification of agility predictors in basketball / Horička, Pavol [Autor, UKFPFAKTV, 50%] ; Šimonek, Jaromír [Autor, UKFPFAKTV, 50%]. – text. – [angličtina]. – [OV 210]. – [článok]. – SCO In: Trends in sport sciences [elektronický dokument] [textový dokument (print)] . – Poznaň (Poľsko) : Akademia Wychowania Fizycznego w Poznaniu. – ISSN 2299-9590. – ISSN (online) 2391-436X. – Roč. 26, č. 1 (2019), s. 27-32 [tlačená forma] [online] . – SNIP: 0,473 ; SJR: 0,176 ; CiteScore: 0,50 Scimago - Orthopedics and sports medicine - Q4, Physical therapy, sports therapy and rehabilitation - Q4 </t>
  </si>
  <si>
    <t xml:space="preserve">Identification of Crucial Steps and Skills in High-Achievers’ Solving Complex Mathematical Problem within Mathematical Contest / Bulková, Kristína [Autor, UKFFPVKMA, 34%] ; Medová, Janka [Autor, UKFFPVKMA, 33%] ; Čeretková, Soňa [Autor, UKFFPVKMA, 33%]. – text. – [angličtina]. – [OV 010, 240]. – [článok]. – DOI 10.7160/eriesj.2020.130202. – WOS CC ; SCO In: The Journal on Efficiency and Responsibility in Education and Science [textový dokument (print)] [elektronický dokument] . – Praha (Česko) : Česká zemědelská univerzita v Praze. – ISSN 2336-2375. – ISSN (online) 1803-1617. – Roč. 13, č. 2 (2020), 67-78 [tlačená forma] [online] . – SJR: 0,204 ; CiteScore: 1,3 ; SNIP: 0,615 ; AIS: 0.052 AIS - Education &amp; educational research - Q4 Scimago - Education - Q3 </t>
  </si>
  <si>
    <t xml:space="preserve">Identifying major policy challenges and policy interventions via expert methods : application of the Delphi and AHP methods in preparation of the Partnership Agreement for the Slovak Republic in period 2021-2027 / Dokupilová, Dušana [Autor, 20%] ; Baláž, Vladimír [Autor, 20%] ; Kurincová Čavojová, Vladimíra [Autor, 20%] ; Ballová Mikušková, Eva [Autor, UKFPFAKAP, 20%] ; Gombitová, Dagmar [Autor, UKOFSVP, 20%]. – [angličtina]. – [OV 060]. – [článok]. – DOI 10.2478/revecp-2020-0017. – SIGN-UKO FS20-0062. – WOS CC ; SCO In: Národohospodářský obzor [textový dokument (print)] [elektronický dokument] : Časopis věnovaný otázkám národohospodářským a sociálněpolitickým = The Journal of Masaryk University. – Brno (Česko) : Masarykova univerzita. – ISSN 1213-2446. – ISSN (online) 1804-1663. – Roč. 20, č. 3 (2020), s. 361-377 [tlačená forma] [online] . – SJR: 0,178 ; CiteScore: 1,1 ; SNIP: 0,307 ; AIS: 0.109 AIS - Economics - Q3 Scimago - Economics, econometrics and finance (miscellaneous) - Q3 </t>
  </si>
  <si>
    <t xml:space="preserve">Ikonizácia strádania v orientálnom arcinaratíve (na komparatívnom pozadí západných prapríbehov) / Plesník, Ľubomír [Autor, UKFFFAULK, 100%]. – text. – [slovenčina]. – [OV 020]. – [článok]. – SCO In: Porównania [elektronický dokument] . – Poznaň (Poľsko) : Uniwersytet im. Adama Mickiewicza w Poznaniu. – ISSN (online) 1733-165X. – Roč. 22, č. 1 (2018), s. 267-287 [online] . – SJR: 0,1 Scimago - Cultural studies - Q4, Literature and literary theory - Q4 </t>
  </si>
  <si>
    <t xml:space="preserve">Imagery in cognitive behavioral supervision / Praško Pavlov, Ján [Autor, UKFFSVKPV, 42%] ; Dicevicius, Darius [Autor, 2%] ; Ocisková, Marie [Autor, 2%] ; Krone, Ilona [Autor, 5%] ; Šlepecký, Miloš [Autor, UKFFSVKPV, 43%] ; Abeltina, Marija [Autor, 2%] ; Bagdonaviciene, Lina [Autor, 2%] ; Juskiene, Alicja [Autor, 2%]. – text. – [angličtina]. – [OV 060]. – [článok]. – WOS CC ; SCO In: Neuroendocrinology Letters [textový dokument (print)] [elektronický dokument] . – Štokholm (Švédsko) : Maghira and Maas Publications. – ISSN 0172-780X. – ISSN (online) 2354-4716. – Roč. 41, č. 1 (2020), 33-45 [tlačená forma] [online] . – IF: 0,765 ; SNIP: 0.383 ; SJR: 0.264 ; CiteScore: 1.5 ; AIS: 0.211 AIS - Endocrinology &amp; metabolism - Q4, Neurosciences - Q4 JIF - Endocrinology &amp; metabolism - Q4, Neurosciences - Q4 Scimago - Endocrine and autonomic systems - Q4, Endocrinology - Q4, Endocrinology, diabetes and metabolism - Q3, Medicine (miscellaneous) - Q3, Neurology - Q4, Neurology (clinical) - Q3, Psychiatry and mental health - Q3 </t>
  </si>
  <si>
    <t xml:space="preserve">Impact of selected motion programs on swimming capacity and motoric performance of 7 - 8 year children in Slovakia / Viczayová, Ildikó [Autor, UKFFSSUVP, 40%] ; Kontra, József [Autor, 1%] ; Benčuriková, Ľubomíra [Autor, UKOTVKPP, 40%] ; Putala, Matúš [Autor, UKOTVKPP, 19%]. – text, graf., tab. – [angličtina]. – [OV 210]. – [článok]. – [recenzované]. – DOI 10.7752/jpes.2019.03249. – SIGN-UKO TV. – SCO In: Journal of physical education and sport [elektronický dokument] [textový dokument (print)] . – Pitesti, Arges (Rumunsko) : Universitatea din Pitesti. – ISSN 2247-8051. – ISSN (online) 2247-806X. – Roč. 19, č. 3 (2019), art. no. 249, s. 1703-1707 [online] [tlačená forma] . – SNIP: 0,916 ; SJR: 0,357 ; CiteScore: 2,20 Scimago - Physical therapy, sports therapy and rehabilitation - Q3, Sports science - Q4 </t>
  </si>
  <si>
    <t xml:space="preserve">Impact of soil management on biodiversity of epigeic groups / Ivanič Porhajašová, Jana [Autor, SPUFAP26, 18%] ; Petrovičová, Kornélia [Autor, SPUFAP26, 18%] ; Mlyneková, Eva [Autor, SPUFAP14, 5%] ; Ernst, Dávid [Autor, SPUFAP25, 18%] ; Babošová, Mária [Autor, SPUFAP26, 18%] ; Noskovič, Jaroslav [Autor, SPUFAP26, 18%] ; Krumpálová, Zuzana [Autor, UKFFPVKEE, 5%]. – [angličtina]. – [OV 190, 100]. – [článok]. – DOI 10.15666/aeer/1706_1389713908. – WOS CC ; SCO In: Applied Ecology and Environmental Research [textový dokument (print)] [elektronický dokument] : international scientific journal. – Budapešť (Maďarsko) : Applied Ecological Research and Forensic Institute. – ISSN 1589-1623. – ISSN (online) 1785-0037. – Roč. 17, č. 3 (2019), s. 13897-13908 [tlačená forma] [online] . – SJR: 0,229 ; CiteScore: 0,8 ; SNIP: 0,523 ; IF: 0.712 JIF - Ecology - Q4, Environmental sciences - Q4 Scimago - Agronomy and crop science - Q3, Ecology, evolution, behavior and systematics - Q4 </t>
  </si>
  <si>
    <t xml:space="preserve">Impact of sugar beet shoot exudates on germination and root growth of wheat, barley and maize / Piršelová, Beáta [Autor, UKFFPVKBG, 25%] ; Lengyelová, Libuša [Autor, UKFFPVKBG, 25%] ; Galuščáková, Ľudmila [Autor, UKFFPVKBG, 25%] ; Kuna, Roman [Autor, UKFFPVKBG, 25%]. – text. – [angličtina]. – [OV 130]. – [článok]. – WOS CC ; SCO In: Listy cukrovarnické a řepařské [textový dokument (print)] [elektronický dokument] : odborný časopis pro obor cukrovka-cukr. – Praha (Česko) : Cukrospol, Praha (Česko) : Výzkumný ústav cukrovarů. – ISSN 1210-3306. – ISSN (online) 1805-9708. – Roč. 135, č. 3 (2019), 112-114 [tlačená forma] [online] . – SJR: 0,193 ; CiteScore: 0,4 ; SNIP: 0,33 ; IF: 0.263 JIF - Food science &amp; technology - Q4 Scimago - Agronomy and crop science - Q4 </t>
  </si>
  <si>
    <t xml:space="preserve">Impact of using personalized e-course in computer science education / Mudrák, Marián [Autor, 20%] ; Turčáni, Milan [Autor, UKFFPVKIN, 40%] ; Reichel, Jaroslav [Autor, UKFFPVKIN, 40%]. – text. – [angličtina]. – [OV 010]. – [článok]. – DOI 10.7160/eriesj.2020.130402. – WOS CC ; SCO In: The Journal on Efficiency and Responsibility in Education and Science [textový dokument (print)] [elektronický dokument] . – Praha (Česko) : Česká zemědelská univerzita v Praze. – ISSN 2336-2375. – ISSN (online) 1803-1617. – Roč. 13, č. 4 (2020), 174-188 [tlačená forma] [online] . – SJR: 0,204 ; CiteScore: 1,3 ; SNIP: 0,615 ; AIS: 0.052 AIS - Education &amp; educational research - Q4 Scimago - Education - Q3 </t>
  </si>
  <si>
    <t xml:space="preserve">Impact of Working Environment on Student Learning / Lukáčová, Danka [Autor, UKFPFAKTT, 40%] ; Bánesz, Gabriel [Autor, UKFPFAKTT, 30%] ; Tureková, Ivana [Autor, UKFPFAKTT, 30%].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11, č. 1 (2021), s. 172-175 [tlačená forma] [online] . – AIS: 0.028 AIS - Multidisciplinary sciences - Q4 </t>
  </si>
  <si>
    <t xml:space="preserve">Implementation of CLIL at technical university focusing on clil teacher profile / Štefková, Jaroslava [Autor, UCJ, 45%] ; Danihelová, Zuzana [Autor, UCJ, 30%] ; Kováčiková, Elena [Autor, UKFPFAKLI, 25%]. – text. – [angličtina]. – [OV 010]. – [článok]. – DOI 10.20535/2410-8286.240313. – WOS CC In: Advanced Education [elektronický dokument] [textový dokument (print)] . – Kyiv (Ukrajina) : National Technical University of Ukraine "Igor Sikorsky Kyiv Polytechnic Institute". – ISSN 2409-3351. – ISSN (online) 2410-8286. – č. 19 (2021), s. 89-102 . – AIS: 0.084 AIS - Education &amp; educational research - Q4 </t>
  </si>
  <si>
    <t xml:space="preserve">Implementation of Environmental Issues in Teaching the Subject of Technical Education at Primary Schools / Tureková, Ivana [Autor, UKFPFAKTT, 30%] ; Bilčíková, Jana [Autor, UKFPFAKTT, 30%] ; Bilčík, Alexander [Autor, 20%] ; Marková, Iveta [Autor, ZUZFBIPŽI, 20%]. – text. – [angličtina]. – [OV 010]. – [článok]. – DOI 10.3991/ijep.v10i4.13077. – WOS CC ; SCO In: International Journal of Engineering Pedagogy [elektronický dokument] . – Viedeň (Rakúsko) : International Association of Online Engineering. – ISSN (online) 2192-4880. – Roč. 10, č. 4 (2020), 93-107 [online] . – SJR: 0,437 ; CiteScore: 2 ; SNIP: 1,231 ; AIS: 0.154 AIS - Education, scientific disciplines - Q3 Scimago - Education - Q2, Engineering (miscellaneous) - Q2 </t>
  </si>
  <si>
    <t xml:space="preserve">Implementation of the Critical Thinking Strategies in the School Subject Technology: A Preliminary Study / Valentová, Monika [Autor, UKFPFAKTT, 50%] ; Brečka, Peter [Autor, UKFPFAKTT, 50%]. – text. – [angličtina]. – [OV 010]. – [článok]. – DOI 10.18421/TEM83-43. – WOS CC ; SCO In: TEM Journal [textový dokument (print)] [elektronický dokument] : Technology, Education, Management, Informatics. – Novi Pazar (Srbsko) : Association for Information Communication Technology Education and Science. – ISSN 2217-8309. – ISSN (online) 2217-8333. – Roč. 8, č. 3 (2019), 998-1004 [tlačená forma] [online] . – SJR: 0,167 ; CiteScore: 0,7 ; SNIP: 0,587 Scimago - Computer science (miscellaneous) - Q3, Education - Q4, Information systems - Q4, Information systems and management - Q4, Management of technology and innovation - Q4, Strategy and management - Q4 </t>
  </si>
  <si>
    <t xml:space="preserve">Importance and method of teaching biblical Hebrew and aramaic in religious education of children and adults / Roubalová, Marie [Autor, 10%] ; Králik, Roman [Autor, 25%] ; Kondrla, Peter [Autor, UKFFFAKNS, 65%]. – text. – [angličtina]. – [OV 020]. – [článok]. – DOI 10.15503/jecs2021.1.59.67. – WOS CC In: Journal of education culture and society [elektronický dokument] . – Vroclav (Poľsko) : Fundacja Pro Scientia Publica. – ISSN 2081-1640. – Roč. 12, č. 1 (2021), s. 59-67 [online] </t>
  </si>
  <si>
    <t xml:space="preserve">Importance of the incarnation in the works of CS Lewis and S. Kierkegaard [Importance of the incarnation in the works of C.S. Lewis and S. Kierkegaard] / Máhrik, Tibor [Autor, UKFFFAKAE 06.2022, 34%] ; Pavlíková, Martina [Autor, 33%] ; Root, Jerry [Autor, 33%]. – [angličtina]. – [OV 020]. – [článok]. – WOS CC ; SCO In: European Journal of Science and Theology [textový dokument (print)] [elektronický dokument] . – Jasy (Rumunsko) : Academic organisation for environmental engineering and sustainable development. – ISSN 1841-0464. – ISSN (online) 1842-8517. – Roč. 14, č. 2 (2018), s. 43-53 [tlačená forma] [online] . – SJR: 0,377 ; CiteScore: 1,6 ; SNIP: 0,676 Scimago - Engineering (miscellaneous) - Q1, History and philosophy of science - Q2, Multidisciplinary - Q1, Religious studies - Q1 </t>
  </si>
  <si>
    <t xml:space="preserve">Improve estimated time-on-task calculation in a Virtual Learning Environment / Halvoník, Dominik [Korešpondenčný autor, UKFFPVKIN, 34%] ; Kapusta, Jozef [Autor, UKFFPVKIN, 33%] ; Munk, Michal [Autor, UKFFPVKIN, 33%]. – text. – [angličtina]. – [OV 160]. – [článok]. – DOI 10.1080/10494820.2021.1913609. – WOS CC ; SCO In: Interactive Learning Environments [textový dokument (print)] . – Londýn (Veľká Británia) : Taylor &amp; Francis Group. – ISSN 1049-4820. – ISSN (online) 1744-5191. – Roč. 29, č. 1 (2021), s. 1-15 [tlačená forma] . – CiteScore: 7,2 ; IF: 4.965 ; SJR: 1,165 ; SNIP: 1,761 ; AIS: 0.847 AIS - Education &amp; educational research - Q2 JIF - Education &amp; educational research - Q1 Scimago - Computer science applications - Q1, E-learning - Q1, Education - Q1 </t>
  </si>
  <si>
    <t xml:space="preserve">Improvement of misleading and fake news classification for flective languages by morphological group analysis / Kapusta, Jozef [Autor, UKFFPVKIN, 50%] ; Obonya, Juraj [Autor, UKFFPVKIN, 50%]. – text. – [angličtina]. – [OV 160]. – [článok]. – DOI 10.3390/informatics7010004. – WOS CC ; SCO In: Informatics [elektronický dokument] . – Basel (Švajčiarsko) : Multidisciplinary Digital Publishing Institute. – ISSN 2227-9709. – Roč. 7, č. 1 (2020), s. 1-9 [online] . – SJR: 0,451 ; CiteScore: 3,9 ; SNIP: 1,748 ; AIS: 0.285 AIS - Computer science, interdisciplinary applications - Q2 Scimago - Communication - Q2, Computer networks and communications - Q2, Human-computer interaction - Q2 </t>
  </si>
  <si>
    <t xml:space="preserve">Improving fake news classification using dependency grammar / Nagy, Kitti [Autor, UKFFPVKIN, 50%] ; Kapusta, Jozef [Autor, UKFFPVKIN, 50%]. – text. – [angličtina]. – [OV 160]. – [článok]. – DOI 10.1371/journal.pone.0256940. – WOS CC ; SCO In: PLoS One [elektronický dokument] . – San Francisco (USA) : Public Library of Science. – ISSN (online) 1932-6203. – Roč. 16, č. 9 (2021), s. 1-22 [online] . – IF: 3,752 ; SNIP: 1,368 ; SJR: 0,852 ; CiteScore: 5,60 ; AIS: 0.974 AIS - Multidisciplinary sciences - Q2 JIF - Multidisciplinary sciences - Q2 Scimago - Multidisciplinary - Q1 </t>
  </si>
  <si>
    <t xml:space="preserve">Impulsivity and aggression in the system lower secondary education in Slovak and Czech Republic / Tomšik, Robert [Autor, UKFPFAKPE, 16.67%] ; Dolejš, Martin [Autor, 16.666%] ; Čerešník, Michal [Autor, UKFPFAKAP, 16.666%] ; Suchá, Jaroslava [Autor, 16.666%] ; Skopal, Ondrej [Autor, 16.666%] ; Čerešníková, Miroslava [Autor, UKFFSVURS, 16.666%]. – text. – [angličtina]. – [OV 060]. – [článok]. – WOS CC In: AD ALTA [textový dokument (print)] [elektronický dokument] : journal of interdisciplinary research = recenzovaný mezioborový vědecký časopis. – Hradec Králové (Česko) : Magnanimitas akademické sdružení. – ISSN 1804-7890. – ISSN (online) 2464-6733. – Roč. 8, č. 1 (2018), s. 223-227 [tlačená forma] [online] </t>
  </si>
  <si>
    <t xml:space="preserve">In search of modern teaching methods - Humanoid NAO robot, as help in the realization of it subjects / Depešová, Jana [Autor, UKFPFAKTT, 40%] ; Noga, Henryk [Autor, 30%] ; Migo, Piotr [Autor, UKFPFAKTT, 30%]. – text. – [angličtina]. – [OV 010]. – [článok]. – DOI 10.18421/TEM72-02. – WOS CC ; SCO In: TEM Journal [textový dokument (print)] [elektronický dokument] : Technology, Education, Management, Informatics. – Novi Pazar (Srbsko) : Association for Information Communication Technology Education and Science. – ISSN 2217-8309. – ISSN (online) 2217-8333. – Roč. 7, č. 2 (2018), s. 250-254 [tlačená forma] [online] . – SJR: 0,148 ; CiteScore: 0,4 ; SNIP: 0,538 Scimago - Computer science (miscellaneous) - Q4, Education - Q4, Information systems - Q4, Information systems and management - Q4, Management of technology and innovation - Q4, Strategy and management - Q4 </t>
  </si>
  <si>
    <t xml:space="preserve">Incorporating mindfulness into EFL literature courses to foster critical reading ability / Azizi, Mahmood [Autor, 50%] ; Králik, Roman [Autor, UKFFFAKAE 06.2022, 50%]. – text. – [angličtina]. – [OV 060]. – [článok]. – DOI 10.26907/esd15.4.06. – SCO In: Education and Self Development [textový dokument (print)] . – ISSN 1991-7740. – Roč. 15, č. 4 (2020), 21-31 [tlačená forma] . – SJR: 0,228 ; CiteScore: 0,4 ; SNIP: 0,406 Scimago - Development - Q3, Education - Q3, Political science and international relations - Q2 </t>
  </si>
  <si>
    <t xml:space="preserve">Increasing pupils ́ interest in nature protection and sustainable development through a philosophical literary story / Borisová, Simona [Autor, UKFPFAKPE, 100%].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10, č. 2 (2020), s. 27-30 [tlačená forma] [online] . – AIS: 0.021 AIS - Multidisciplinary sciences - Q4 </t>
  </si>
  <si>
    <t xml:space="preserve">Influence of periodization in long-term sports preparation on dynamics of changes in punch force of a boxer / Hlavačka, Pavol [Autor, 34%] ; Šiška, Ľuboslav [Autor, UKFPFAKTV, 33%] ; Broďáni, Jaroslav [Autor, UKFPFAKTV, 33%]. – [angličtina]. – [OV 210]. – [článok]. – DOI 10.23736/S0393-3660.17.03469-6. – WOS CC ; SCO In: Gazzetta medica Italiana. Archivio per le scienze mediche [textový dokument (print)] [elektronický dokument] . – Turín (Taliansko) : Edizioni Minerva Medica. – ISSN 0393-3660. – ISSN (online) 1827-1812. – Roč. 177, č. 1-2 (2018), s. 20-25 [tlačená forma] [online] . – SNIP: 0,098 ; SJR: 0,131 ; CiteScore: 0,10 Scimago - Medicine (miscellaneous) - Q4 </t>
  </si>
  <si>
    <t xml:space="preserve">Influence of the Social Competence Training on Personality Variables / Rapsová, Lucia [Autor, UKFPFAKPE, 100%].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11, č. 1 (2021), 245-249 [tlačená forma] [online] . – AIS: 0.028 AIS - Multidisciplinary sciences - Q4 </t>
  </si>
  <si>
    <t xml:space="preserve">Innovations for business management: motivation and barriers / Fiľa, Milan [Autor, UKFFPVUMI, 25%] ; Levický, Michal [Autor, UKFFPVUMI, 25%] ; Mura, Ladislav [Autor, PEUFEPUMP, 20%] ; Maroš, Milan [Autor, UKFFPVUMI, 15%] ; Korenková, Marcela [Autor, UKFFPVUMI, 15%]. – text. – [angličtina]. – [OV 060, 080]. – [článok]. – DOI 10.21272/mmi.2020.4-22. – PEVŠ 2020ADE0012. – WOS CC In: Marketing and Management of Innovations [textový dokument (print)] [elektronický dokument] . – Sumy (Ukrajina) : Sumy state university. – ISSN 2218-4511. – ISSN (online) 2227-6718. – TUTPR signatúra E067764. – č. 4 (2020), s. 266-278 [tlačená forma] [online] . – AIS: 0.141 AIS - Management - Q3 </t>
  </si>
  <si>
    <t xml:space="preserve">Innovative didactic tools and classical music in children’s musical physical activities as part of their dance training at primary schools of arts / Hubinská, Zuzana [Autor, UKFPFAKHU, 100%].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8, č. 2 (2018), 93-96 [tlačená forma] [online] </t>
  </si>
  <si>
    <t xml:space="preserve">Insomnia and emotion regulation / Vanek, Jakub [Autor, 6%] ; Praško Pavlov, Ján [Autor, UKFFSVKPV, 30%] ; Genzor, Samuel [Autor, 6%] ; Ociskova, Maria [Autor, 6%] ; Holubová, Michaela [Autor, 6%] ; Sova, Milan [Autor, 6%] ; Kantor, Kryštof [Autor, 6%] ; Šlepecký, Miloš [Autor, UKFFSVKPV, 30%] ; Nesnídal, Vlastimil [Autor, 4%]. – text. – [angličtina]. – [OV 180]. – [článok]. – WOS CC ; SCO In: Neuroendocrinology Letters [textový dokument (print)] [elektronický dokument] . – Štokholm (Švédsko) : Maghira and Maas Publications. – ISSN 0172-780X. – ISSN (online) 2354-4716. – Roč. 41, č. 5 (2020), 255-269 [tlačená forma] [online] . – IF: 0,765 ; SNIP: 0.383 ; SJR: 0.264 ; CiteScore: 1.5 ; AIS: 0.211 AIS - Endocrinology &amp; metabolism - Q4, Neurosciences - Q4 JIF - Endocrinology &amp; metabolism - Q4, Neurosciences - Q4 Scimago - Endocrine and autonomic systems - Q4, Endocrinology - Q4, Endocrinology, diabetes and metabolism - Q3, Medicine (miscellaneous) - Q3, Neurology - Q4, Neurology (clinical) - Q3, Psychiatry and mental health - Q3 </t>
  </si>
  <si>
    <t xml:space="preserve">Institute of Synod According to Legatine Statutes of Buda of 1279 / Krafl, Pavel Otmar [Autor, UKFFFAKHI, 100%]. – text. – [angličtina]. – [OV 030]. – [článok]. – WOS CC In: Revue církevního práva [textový dokument (print)] [elektronický dokument] . – Praha (Česko) : Univerzita Karlova v Praze. Právnická fakulta. Společnost pro církevní právo. – ISSN 1211-1635. – ISSN (online) 2336-5609. – TUTPR signatúra E014236. – Roč. 25, č. 3 (76) (2019), s. 73-80 [tlačená forma] [online] </t>
  </si>
  <si>
    <t xml:space="preserve">Inšpiračné zdroje kultúrno-spoločenských podujatí a slávností v súčasnom vidieckom prostredí (na príklade obcí Vlachovo, Soblahov, Malé Dvorníky a Liptovská Teplička) = Inspirational Sources of Cultural and Social Events and Celebrations in Current Rural Environment (on the example of the villages of Vlachovo, Soblahov, Malé Dvorníky, and Liptovská Teplička) / Jágerová, Margita [Autor, UKFFFAKEF, 100%]. – text. – [slovenčina]. – [OV 030]. – [článok]. – SCO In: Národopisná revue [textový dokument (print)] [elektronický dokument] . – Strážnice (Česko) : Národní ústav lidové kultury. – ISSN 0862-8351. – ISSN (online) 2570-9437. – Roč. 30, č. 3 (2020), s. 223-235 [tlačená forma] [online] . – SNIP: 0,406 ; SJR: 0,156 ; CiteScore: 0,2 Scimago - Anthropology - Q3, Cultural studies - Q2 </t>
  </si>
  <si>
    <t xml:space="preserve">Integrated Approach to Sustainable Land Use Management / Izakovičová, Zita [Autor, 40%] ; Špulerová, Jana [Autor, 30%] ; Petrovič, František [Autor, UKFFPVKEE, 30%]. – text. – [angličtina]. – [OV 100]. – [článok]. – DOI 10.3390/environments5030037. – WOS CC In: Environments [elektronický dokument] . – Bazilej (Švajčiarsko) : Multidisciplinary Digital Publishing Institute. – ISSN (online) 2076-3298. – Roč. 5, č. 3 (2018), s. 1-16 [online] </t>
  </si>
  <si>
    <t xml:space="preserve">Intensive tourist-related urbanisation impacts on a mountain village: The case study of Velka Lomnica in Slovakia / Petrikovičová, Lucia [Autor, UKFFPVKGR, 25%] ; Krogmann, Alfred [Autor, UKFFPVKGR, 25%] ; Fialová, Dana [Autor, 25%] ; Svorad, Andrej [Autor, 25%]. – text. – [angličtina]. – [OV 092]. – [článok]. – DOI 10.7163/GPol.0155. – WOS CC ; SCO In: Geographia Polonica [textový dokument (print)] [elektronický dokument] . – Varšava (Poľsko) : Wydawnictwo Naukowe PWN. – ISSN 0016-7282. – ISSN (online) 2300-7362. – Roč. 92, č. 4 (2019), 395-408 [tlačená forma] [online] . – SJR: 0,294 ; SNIP: 0,904 ; CiteScore: 1,9 Scimago - Cultural studies - Q1, Earth and planetary sciences (miscellaneous) - Q3, Geography, planning and development - Q3, Urban studies - Q2 </t>
  </si>
  <si>
    <t xml:space="preserve">Intercultural Approach as a Prerequisite for Economics Students to Form an Accurate Professional Thesaurus / Zueva, Ekaterina A. [Autor, 50%] ; Kráľová, Zdena [Autor, UKFPFAKLI, 50%]. – text. – [angličtina]. – [OV 010]. – [článok]. – WOS CC In: International journal of applied exercise physiology [elektronický dokument] . – Mázandarán (Irán) : Asian exercise and sport science journal. – ISSN (online) 2322-3537. – Roč. 8, č. 2 (2019), s. 356-363 [online] </t>
  </si>
  <si>
    <t xml:space="preserve">Intercultural Connections in Archetypal Stories Concerning the Protagonist's Predestination / Čechová, Mariana [Autor, UKFFFAULK, 50%] ; Klimková, Simona [Autor, UKFFFAKAA, 50%]. – text. – [angličtina]. – [OV 020]. – [článok]. – DOI 10.13128/Studi_Slavis-7474. – WOS CC ; SCO In: Studi slavistici [elektronický dokument] . – Rím (Slovensko) : Firenze University Press. – ISSN (online) 1824-7601. – Roč. 16, č. 2 (2019), 77-89 [online] . – SJR: 0,104 ; CiteScore: 0,1 ; SNIP: 0,11 Scimago - Cultural studies - Q3, Language and linguistics - Q3, Linguistics and language - Q4, Literature and literary theory - Q3 </t>
  </si>
  <si>
    <t xml:space="preserve">Internal consistency and factorial validity of the Slovak Version of the Young Schema Questionnaire - Short Form 3 (YSQ-S3) / Šlepecký, Miloš [Autor, UKFFSVKPV, 19%] ; Kotianová, Antónia [Autor, UKFFSVKPV, 1%] ; Sollár, Tomáš [Autor, UKFFSVUAP, 18%] ; Ocisková, Marie [Autor, 1%] ; Turzáková, Jana [Autor, UKFFSVUAP, 10%] ; Zaťková, Marta [Autor, UKFFSVKPV, 10%] ; Popelková, Marta [Autor, UKFFSVKPV, 10%] ; Praško Pavlov, Ján [Autor, UKFFSVKPV, 10%] ; Solgajová, Andrea [Autor, UKFFSVKOS, 10%] ; Romanová, Martina [Autor, UKFFSVUAP, 10%] ; Trizna, Peter [Autor, 1%]. – text. – [angličtina]. – [OV 060]. – [článok]. – WOS CC ; SCO In: Neuroendocrinology Letters [textový dokument (print)] [elektronický dokument] . – Štokholm (Švédsko) : Maghira and Maas Publications. – ISSN 0172-780X. – ISSN (online) 2354-4716. – Roč. 40, č. 3 (2019), s. 141-148 [tlačená forma] [online] . – IF: 0,750 ; SNIP: 0,433 ; SJR: 0,27 ; CiteScore: 1,3 JIF - Endocrinology &amp; metabolism - Q4, Neurosciences - Q4 Scimago - Endocrine and autonomic systems - Q4, Endocrinology - Q4, Endocrinology, diabetes and metabolism - Q3, Medicine (miscellaneous) - Q3, Neurology - Q4, Neurology (clinical) - Q3, Psychiatry and mental health - Q3 </t>
  </si>
  <si>
    <t xml:space="preserve">Interpretation of Visual Inputs as a Tool For Measuring the Effectiveness of Fine Arts Education With an Emphasis on the Disciplines of Theory and Art History / Récka, Adriana [Autor, UKFPFAKVV, 100%].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8, č. 2 (2018), 204-209 [tlačená forma] [online] </t>
  </si>
  <si>
    <t xml:space="preserve">Interrelationships between metabolic hormones, leptin and ghrelin, and oil-related contaminants in control of oxytocin and prostaglandin F release by feline ovaries. / Sirotkin, Alexander [Autor, UKFFPVKZA, 60%] ; Tarko, Adam [Autor, UKFFPVKZA, 10%] ; Kotwica, Jan [Autor, 10%] ; Alrezaki, Abdulkarem [Autor, 10%] ; Harrath, Abdel Halim [Autor, 10%]. – text. – [slovenčina]. – [OV 190]. – [článok]. – DOI 10.1016/j.repbio.2020.02.003. – WOS CC ; SCO In: Reproductive Biology [textový dokument (print)] [elektronický dokument] . – Olsztyn (Poľsko) : Institute of Animal Reproduction and Food Research of the Polish Academy of Sciences. – ISSN 1642-431X. – ISSN (online) 2300-732X. – Roč. 20, č. 2 (2020), s. 1-5 [tlačená forma] [online] . – SJR: 0,646 ; CiteScore: 3,1 ; SNIP: 0,755 ; IF: 2.376 ; AIS: 0.516 AIS - Reproductive biology - Q4 JIF - Reproductive biology - Q4 Scimago - Animal science and zoology - Q1, Developmental biology - Q3, Endocrinology - Q3 </t>
  </si>
  <si>
    <t xml:space="preserve">Intervention in teaching reading in a foreign language: development of divergent thinking and ambiguity tolerance / Gadušová, Zdenka [Autor, UKFFFAKAA, 50%] ; Pavlíková, Martina [Autor, UKFFFAKZU, 25%] ; Havettová, Romana [Autor, 25%]. – text. – [angličtina]. – [OV 020]. – [článok]. – DOI 10.15503/jecs2021.1.297.313. – WOS CC In: Journal of education culture and society [elektronický dokument] . – Vroclav (Poľsko) : Fundacja Pro Scientia Publica. – ISSN 2081-1640. – Roč. 12, č. 1 (2021), s. 297-313 [online] </t>
  </si>
  <si>
    <t xml:space="preserve">Intervention Reading Comprehension Program in French Language / Lalinská, Mária [Autor, UKFFFAKRO, 34%] ; Hučková, Jana [Autor, UKFFFAKMK, 33%] ; Hvozdíková, Silvia [Autor, UKFFFAKAA, 33%]. – text. – [angličtina]. – [OV 010]. – [ŠO 7605]. – [článok]. – [recenzované]. – DOI 10.26907/esd.16.4.06. – SCO In: Education and Self Development [textový dokument (print)] . – ISSN 1991-7740. – Roč. 16, č. 4 (2021), s. 64-73 [tlačená forma] . – CiteScore: 0,6 ; SJR: 0,196 ; SNIP: 0,434 Scimago - Development - Q4, Education - Q4, Political science and international relations - Q3 </t>
  </si>
  <si>
    <t xml:space="preserve">Intrinsic and Extrinsic Motivation of Students of Constantine the Philosopher University in Nitra Regarding Study of Social Work / Morávková, Silvia [Autor, UKFFSVKSP, 20%] ; Fellnerová, Nikoleta [Autor, UKFFSVKSP, 10%] ; Pikna, Jakub [Autor, UKFFSVKSP, 20%] ; Balážová, Miroslava [Autor, UKFFSVKPV, 20%] ; Mojtová, Martina [Autor, UKFFSVKSP, 30%]. – text. – [angličtina]. – [OV 060]. – [článok]. – SCO In: Sociální práce [textový dokument (print)] [elektronický dokument] : nabízíme spojení teorie s praxí = ponúkame spojenie teórie s praxou. – Brno (Česko) : Národní centrum pro rodinu, Brno (Česko) : Asociace vzdělavatelů v sociální práci. – ISSN 1213-6204. – ISSN (online) 1805-885X. – Roč. 19, č. 2 (2019), s. 133-147 [tlačená forma] [online] . – SJR: 0,235 ; CiteScore: 0,4 ; SNIP: 0,142 Scimago - Applied psychology - Q4, Health (social science) - Q3, Social sciences (miscellaneous) - Q3, Sociology and political science - Q3 </t>
  </si>
  <si>
    <t xml:space="preserve">Introducing the ergonomics and human factors regional educational CEEPUS network / Szabo, Gyula [Autor, 20%] ; Balogh, Zoltán [Autor, UKFFPVKIN, 20%] ; Dovramadjiev, Tihomir [Autor, 10%] ; Draghici, Anca [Autor, 10%] ; Gajsek, Brigita [Autor, 10%] ; Lulic, Tanja Jurcevic [Autor, 10%] ; Reiner, Michael [Autor, 10%] ; Mrugalska, Beata [Autor, 5%] ; Zunjic, Aleksandar [Autor, 5%]. – text. – [angličtina]. – [OV 160]. – [článok]. – WOS CC In: Acta technica napocensis series-applied mathematics mechanics and engineering. – ISSN 1221-5872. – Roč. 64, č. 1 (2021), 201-212 . – AIS: 0.022 AIS - Mechanics - Q4 </t>
  </si>
  <si>
    <t xml:space="preserve">Investigating the co-development of reading fluency and reading comprehension through mindful teaching of collocations in EFL classroom / Khonamri, Fatemeh [Autor, 5%] ; Pavlíková, Martina [Autor, UKFFFAKZU, 45%] ; Falahati, Mojataba [Autor, 5%] ; Petrikovičová, Lucia [Autor, UKFFPVKGR, 45%]. – text. – [angličtina]. – [OV 010]. – [článok]. – DOI 10.15293/2658-6762.2003.01. – SCO In: Science for Education Today [elektronický dokument] . – Novosibirsk (Ruská federácia) : Novosibirsk State Pedagogical University. – ISSN (online) 2658-6762. – Roč. 10, č. 3 (2020), 7-27 [online] </t>
  </si>
  <si>
    <t xml:space="preserve">Investigating the complex story of one ditch-A multidisciplinary study of ditch infill provides insight into the spatial organisation within the oppidum of Bibracte (Burgundy, France). / Goláňová, Petra [Autor, 15%] ; Hajnalová, Mária [Autor, UKFFFAKAR, 15%] ; Lisá, Lenka [Autor, 10%] ; Milo, Peter [Autor, 5%] ; Petr, Libor [Autor, 10%] ; Fránková, Markéta [Autor, 10%] ; Kyseľa, Jan [Autor, 10%] ; Flammer, Patrik G. [Autor, 10%] ; Kočárová, Romana [Autor, 5%] ; Barta, Peter [Autor, 10%]. – text, fotogr., mapy, graf., tab. – [angličtina]. – [OV 030]. – [článok]. – DOI 10.1371/journal.pone.0231790. – WOS CC ; SCO In: PLoS One [elektronický dokument] . – San Francisco (USA) : Public Library of Science. – ISSN (online) 1932-6203. – Roč. 15, č. 4 (2020), Art. No. e0231790, s. 1-32 [online] . – IF: 3,240 ; SNIP: 1,349 ; SJR: 0,990 ; CiteScore: 5,30 ; AIS: 1.011 AIS - Multidisciplinary sciences - Q2 JIF - Multidisciplinary sciences - Q2 Scimago - Multidisciplinary - Q1 </t>
  </si>
  <si>
    <t xml:space="preserve">Investigation and Visual Explanation in Dynamic Geometry Environment / Kmeťová, Mária [Autor, UKFFPVKMA, 33.334%] ; Vágová, Renáta [Autor, UKFFPVKMA, 33.333%] ; Kmeť, Tibor [Autor, UJSEFKMI, 33.333%]. – text. – [angličtina]. – [OV 240]. – [článok]. – DOI 10.1564/tme_v26.2.03. – WOS CC In: International Journal for Technology in Mathematics Education. – London (Veľká Británia) : Research Information. – ISSN 1744-2710. – ISSN (online) 2045-2519. – Roč. 26, č. 2 (2019), 65-71 . – SJR: 0,111 ; CiteScore: 0,5 ; SNIP: 0,447 Scimago - Computational theory and mathematics - Q4, Computer science applications - Q4, Education - Q4 </t>
  </si>
  <si>
    <t xml:space="preserve">Investigation of Selected Aspects of Fraction Understanding / Pavlovičová, Gabriela [Autor, UKFFPVKMA, 50%] ; Vargová, Lucia [Autor, UKFFPVKMA, 50%]. – text. – [angličtina]. – [OV 010]. – [článok]. – DOI 10.18421/TEM92-37. – WOS CC ; SCO In: TEM Journal [textový dokument (print)] [elektronický dokument] : Technology, Education, Management, Informatics. – Novi Pazar (Srbsko) : Association for Information Communication Technology Education and Science. – ISSN 2217-8309. – ISSN (online) 2217-8333. – Roč. 9, č. 2 (2020), 702-707 [tlačená forma] [online] . – SJR: 0,199 ; CiteScore: 1,2 ; SNIP: 0,671 ; AIS: 0.083 AIS - Computer science, information systems - Q4 Scimago - Computer science (miscellaneous) - Q3, Education - Q4, Information systems - Q4, Information systems and management - Q3, Management of technology and innovation - Q4, Strategy and management - Q4 </t>
  </si>
  <si>
    <t xml:space="preserve">Investigation of Stressors Teachers Face in Schools / Gadušová, Zdenka [Autor, UKFFFAKAA, 50%] ; Hašková, Alena [Autor, UKFPFAKTT, 50%]. – text. – [angličtina]. – [OV 010]. – [článok]. – DOI 10.26907/esd.16.3.16. – SCO In: Education and Self Development [textový dokument (print)] . – ISSN 1991-7740. – Roč. 16, č. 3 (2021), s. 192-203 [tlačená forma] . – CiteScore: 0,6 ; SJR: 0,196 ; SNIP: 0,434 Scimago - Development - Q4, Education - Q4, Political science and international relations - Q3 </t>
  </si>
  <si>
    <t xml:space="preserve">Involvement of obestatin, cyclin-dependent kinase and protein kinase C in control of feline ovarian cell viability and hormones release / Loncová, Barbora [Autor, UKFFPVKZA, 40%] ; Fabová, Zuzana [Autor, UKFFPVKZA, 30%] ; Sirotkin, Alexander [Autor, UKFFPVKZA, 30%]. – text. – [angličtina]. – [OV 130]. – [článok]. – DOI 10.1016/j.repbio.2021.100560. – WOS CC ; SCO In: Reproductive Biology [textový dokument (print)] [elektronický dokument] . – Olsztyn (Poľsko) : Institute of Animal Reproduction and Food Research of the Polish Academy of Sciences. – ISSN 1642-431X. – ISSN (online) 2300-732X. – Roč. 21, č. 1 (2021), s. 1-5 [tlačená forma] [online] . – CiteScore: 3,4 ; IF: 2.089 ; SJR: 0,514 ; SNIP: 0,754 ; AIS: 0.457 AIS - Reproductive biology - Q4 JIF - Reproductive biology - Q4 Scimago - Animal science and zoology - Q2, Developmental biology - Q3, Endocrinology - Q3 </t>
  </si>
  <si>
    <t xml:space="preserve">Is Feuerstein's Instrumental Enrichment (FIE) a good method for social inclusion of poor Slovak children in school? A study focused on social and educational levels / Kozubík, Michal [Autor, UKFFSVKSP, 80%] ; Síthová, Svetlana [Autor, 15%] ; Kajanová, Alena [Autor, 4%] ; Rác, Ivan [Autor, UKFFSVURS, 1%]. – [angličtina]. – [OV 060]. – [článok]. – DOI 10.1016/j.kontakt.2017.10.006. – SCO In: Kontakt [textový dokument (print)] [elektronický dokument] : vědecký časopis Zdravotně sociální fakulty Jihočeské univerzity : časopis pro ošetřovatelství a sociální vědy ve zdraví a nemoci = Journal of nursing and social sciences related to health and illness. – České Budejovice (Česko) : Jihočeská univerzita v Českých Budějovicích. Zdravotně sociální fakulta. – ISSN 1212-4117. – ISSN (online) 1804-7122. – Roč. 20, č. 1 (2018), s. 42-47 [tlačená forma] [online] . – SNIP: 0,248 ; SJR: 0,157 ; CiteScore: 0,5 Scimago - Nursing (miscellaneous) - Q3, Philosophy - Q2, Public health, environmental and occupational health - Q4 </t>
  </si>
  <si>
    <t xml:space="preserve">Johann Georg Hamann, Metakritika purismu čistého rozumu / Horyna, Břetislav [Autor, UKFFFAKFI, 100%]. – text. – [čeština]. – [OV 020]. – [článok]. – DOI 10.5817/pf20-3-2099. – SCO In: Pro-Fil [elektronický dokument] : internetový časopis pro filosofii = an Internet Journal of Philosophy. – Brno (Česko) : Masarykova univerzita. Filozofická fakulta. Katedra filozofie. – ISSN (online) 1212-9097. – suppl. Roč. 21 (2020), s. 69-75 [online] . – SJR: 0,143 ; CiteScore: 0,1 ; SNIP: 0,436 Scimago - Philosophy - Q2 </t>
  </si>
  <si>
    <t xml:space="preserve">Johanna Georga Sulzera členění v pojmu rozumu / Horyna, Břetislav [Autor, UKFFFAKFI, 100%]. – text. – [čeština]. – [OV 060]. – [článok]. – DOI 10.5817/pf20-2-2235. – SCO In: Pro-Fil [elektronický dokument] : internetový časopis pro filosofii = an Internet Journal of Philosophy. – Brno (Česko) : Masarykova univerzita. Filozofická fakulta. Katedra filozofie. – ISSN (online) 1212-9097. – Roč. 21, č. 2 (2020), s. 57-74 [online] . – SJR: 0,143 ; CiteScore: 0,1 ; SNIP: 0,436 Scimago - Philosophy - Q2 </t>
  </si>
  <si>
    <t xml:space="preserve">Knowledge and Experiences of Safety and Health Occupation Risks among Students / Tureková, Ivana [Autor, UKFPFAKTT, 90%] ; Bagalová, Terézia [Autor, 10%]. – text. – [angličtina]. – [OV 010]. – [článok]. – DOI 10.3991/ijep.v8i5.8981. – WOS CC ; SCO In: International Journal of Engineering Pedagogy [elektronický dokument] . – Viedeň (Rakúsko) : International Association of Online Engineering. – ISSN (online) 2192-4880. – Roč. 8, č. 5 (2018), s. 108-120 [online] </t>
  </si>
  <si>
    <t xml:space="preserve">Landscape Tranformation of Small Rural Settlements with Dispersed Type of Settlement in Slovakia / Petrovič, František [Autor, UKFFPVKEE, 50%] ; Petrikovičová, Lucia [Autor, UKFFPVKGR, 50%]. – text. – [angličtina]. – [OV 100]. – [článok]. – DOI 10.2478/euco-2021-0027. – WOS CC ; SCO In: European Countryside [elektronický dokument] : The Journal of Mendel University in Brno. – Brno (Česko) : SCIENDO. – ISSN (online) 1803-8417. – Roč. 13, č. 2 (2021), 455-478 [online] . – CiteScore: 2,5 ; SJR: 0,329 ; SNIP: 0,842 ; AIS: 0.188 AIS - Geography - Q2 Scimago - Geography, planning and development - Q2, Management, monitoring, policy and law - Q3, Nature and landscape conservation - Q3 </t>
  </si>
  <si>
    <t xml:space="preserve">Learners’ Success and Self-esteem in Foreign Language Reading Comprehension / Stranovská, Eva [Autor, UKFFFAKGE, 50%] ; Gadušová, Zdenka [Autor, UKFFFAKAA, 50%]. – text. – [angličtina]. – [OV 010]. – [článok]. – SCO In: Education and Self Development [textový dokument (print)] . – ISSN 1991-7740. – Roč. 15, č. 3 (2020), s. 109-119 [tlačená forma] . – SJR: 0,228 ; CiteScore: 0,4 ; SNIP: 0,406 Scimago - Development - Q3, Education - Q3, Political science and international relations - Q2 </t>
  </si>
  <si>
    <t xml:space="preserve">Learning Experience as a Factor of Motivation in Lower-Secondary School in Foreign Language Learning / Stranovská, Eva [Autor, UKFFFAKGE, 28%] ; Ficzere, Anikó [Autor, UKFFSSKCR, 28%] ; Hvozdíková, Silvia [Autor, UKFFFAKAA, 24%] ; Hockicková, Beáta [Autor, UKFFFAKGE, 20%]. – text. – [angličtina]. – [OV 010]. – [článok]. – DOI 10.33225/pec/19.77.437. – WOS CC ; SCO In: Problems of education in the 21st century [textový dokument (print)] [elektronický dokument] . – Šiauliai (Litva) : Scientia Socialis. – ISSN 1822-7864. – ISSN (online) 2538-7111. – Roč. 77, č. 3 (2019), s. 437-448 [tlačená forma] [online] Scimago - Education - Q3 </t>
  </si>
  <si>
    <t xml:space="preserve">Leisure activities and Education of Seniors in residental Facilities / Debnáriková, Miroslava [Autor, UKFPFAKPE, 50%] ; Koricina, Michal [Autor, UKFPFAKPE, 50%].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10, č. 2 (2020), s. 195-200 [tlačená forma] [online] . – AIS: 0.021 AIS - Multidisciplinary sciences - Q4 </t>
  </si>
  <si>
    <t xml:space="preserve">Lexical semantic variability in the variety of Hungarian spoken in Slovakia: A case study / Tolcsvai Nagy, Gábor [Autor, UKFFSSUML, 100%]. – text. – [angličtina]. – [OV 020]. – [článok]. – SCO In: Magyar nyelvőr [textový dokument (print)] [elektronický dokument] : a magyar Tudományos Akadémia Magyar Nyelvi Bizottságának folyóirata. – Budapešť (Maďarsko) : Magyar Tudományos Akadémia. – ISSN 0025-0236. – ISSN (online) 1585-4515. – Roč. 142, č. 3 (2018), 401-414 [tlačená forma] [online] . – SJR: 0,208 ; CiteScore: 0,2 ; SNIP: 0,709 Scimago - Language and linguistics - Q2, Linguistics and language - Q2 </t>
  </si>
  <si>
    <t xml:space="preserve">Lighting as an Important Factor of Students' Work Environment / Tureková, Ivana [Autor, UKFPFAKTT, 40%] ; Lukáčová, Danka [Autor, UKFPFAKTT, 30%] ; Bánesz, Gabriel [Autor, UKFPFAKTT, 30%]. – text. – [angličtina]. – [OV 010]. – [článok]. – DOI 10.3991/ijep.v9i1.9319. – WOS CC ; SCO In: International Journal of Engineering Pedagogy [elektronický dokument] . – Viedeň (Rakúsko) : International Association of Online Engineering. – ISSN (online) 2192-4880. – Roč. 9, č. 1 (2019), 57-67 [online] . – SJR: 0,243 ; CiteScore: 0,9 ; SNIP: 0,49 Scimago - Education - Q3, Engineering (miscellaneous) - Q2 </t>
  </si>
  <si>
    <t xml:space="preserve">Lichenometric curve for the southern slope of the Tatra mountains (Slovak Tatras) / Kędzia, Stanisław [Autor, 20%] ; Hreško, Juraj [Autor, UKFFPVKEE, 40%] ; Bugár, Gabriel [Autor, UKFFPVKEE, 40%]. – text. – [angličtina]. – [OV 100]. – [článok]. – DOI 10.7163/GPol.0187. – WOS CC ; SCO In: Geographia Polonica [textový dokument (print)] [elektronický dokument] . – Varšava (Poľsko) : Wydawnictwo Naukowe PWN. – ISSN 0016-7282. – ISSN (online) 2300-7362. – Roč. 93, č. 4 (2020), 597-610 [tlačená forma] [online] . – SJR: 0,519 ; CiteScore: 3,1 ; SNIP: 1,278 ; AIS: 0.259 AIS - Geography - Q1 Scimago - Cultural studies - Q1, Earth and planetary sciences (miscellaneous) - Q2, Geography, planning and development - Q2, Urban studies - Q2 </t>
  </si>
  <si>
    <t xml:space="preserve">Limits and possibilities of investigating linguistic discrimination / Jánk, István [Autor, UKFFSSUML, 100%]. – text. – [angličtina]. – [OV 020]. – [článok]. – SCO In: Magyar nyelvőr [textový dokument (print)] [elektronický dokument] : a magyar Tudományos Akadémia Magyar Nyelvi Bizottságának folyóirata. – Budapešť (Maďarsko) : Magyar Tudományos Akadémia. – ISSN 0025-0236. – ISSN (online) 1585-4515. – Roč. 142, č. 2 (2018), s. 150-169 [tlačená forma] [online] . – SJR: 0,208 ; CiteScore: 0,2 ; SNIP: 0,709 Scimago - Language and linguistics - Q2, Linguistics and language - Q2 </t>
  </si>
  <si>
    <t xml:space="preserve">Linking sustainability and happiness. What kind of happiness? / Petrovič, František [Autor, UKFFPVKEE, 90%] ; Murgaš, František [Autor, 10%]. – text. – [angličtina]. – [OV 100]. – [článok]. – DOI 10.2478/geosc-2020-0007. – WOS CC ; SCO In: GeoScape [elektronický dokument] . – Varšava (Poľsko) : SCIENDO. – ISSN (online) 1802-1115. – Roč. 14, č. 1 (2020), 70-79 [online] . – SJR: 0,115 ; CiteScore: 0,5 ; SNIP: 0,624 ; AIS: 0.256 AIS - Geography - Q1 Scimago - Ecology - Q4, Geography, planning and development - Q4, Nature and landscape conservation - Q4, Urban studies - Q4 </t>
  </si>
  <si>
    <t xml:space="preserve">Literary text and its integration into the educational content of the subjects of elementary realia / Karasová, Lenka [Autor, UKFPFAKPE, 33%] ; Kollárová, Dana [Autor, UKFPFAKPE, 34%] ; Nagyová, Alexandra [Autor, UKFPFAKPE, 33%].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9, č. 2 (2019), 114-120 [tlačená forma] [online] </t>
  </si>
  <si>
    <t xml:space="preserve">Literature as a tool of awareness : Traits of autism spectrum disorders for students in ESP class / Židová, Diana [Autor, UKFPFAKLI, 100%]. – text. – [angličtina]. – [OV 010]. – [článok]. – DOI 10.22190/JTESAP2003297Z. – WOS CC ; SCO In: Journal of Teaching English for Specific and Academic Purposes [textový dokument (print)] [elektronický dokument] . – Niš (Srbsko) : Univerzitet u Nišu. – ISSN 2334-9182. – ISSN (online) 2334-9212. – Roč. 8, č. 3 (2020), s. 297-305 [tlačená forma] [online] . – AIS: 0.028 AIS - Education &amp; educational research - Q4 </t>
  </si>
  <si>
    <t xml:space="preserve">Logical entropy of dynamical systems / Markechová, Dagmar [Autor, UKFFPVKMA, 80%] ; Ebrahimzadeh, Abolfazl [Autor, 10%] ; Eslami Giski, Zahra [Autor, 10%]. – [angličtina]. – [OV 240]. – [článok]. – DOI 10.1186/s13662-018-1524-z. – SCO In: Advances in Difference Equations [textový dokument (print)] [elektronický dokument] . – Cham (Švajčiarsko) : Springer Nature. Springer International Publishing AG. – ISSN 1687-1839. – ISSN (online) 1687-1847. – č. 1 (2018), s. 1-17 [tlačená forma] [online] . – SJR: 0,525 ; CiteScore: 2,2 ; SNIP: 0,849 ; IF: 1.510 JIF - Mathematics - Q1, Mathematics, applied - Q2 Scimago - Algebra and number theory - Q3, Analysis - Q3, Applied mathematics - Q2 </t>
  </si>
  <si>
    <t xml:space="preserve">Malnutrition in older people in clinical nursing diagnosis / Poledníková, Ľubica [Autor, UKFFSVKOS, 25%] ; Slamková, Alica [Autor, UKFFSVKOS, 25%] ; Solgajová, Andrea [Autor, UKFFSVKOS, 25%] ; Zrubcová, Dana [Autor, UKFFSVKOS, 25%]. – text. – [angličtina]. – [OV 180]. – [článok]. – DOI 10.32725/kont.2019.040. – SCO In: Kontakt [textový dokument (print)] [elektronický dokument] : vědecký časopis Zdravotně sociální fakulty Jihočeské univerzity : časopis pro ošetřovatelství a sociální vědy ve zdraví a nemoci = Journal of nursing and social sciences related to health and illness. – České Budejovice (Česko) : Jihočeská univerzita v Českých Budějovicích. Zdravotně sociální fakulta. – ISSN 1212-4117. – ISSN (online) 1804-7122. – Roč. 21, č. 4 (2019), 337-343 [tlačená forma] [online] . – SNIP: 0.385 ; SJR: 0.170 ; CiteScore: 0.6 Scimago - Nursing (miscellaneous) - Q4, Philosophy - Q2, Public health, environmental and occupational health - Q4 </t>
  </si>
  <si>
    <t xml:space="preserve">Managerial competencies of a teacher in the context of learners' critical thinking development: Exploratory factor analysis of a research tool and the results of the research / Tomšik, Robert [Autor, UKFPFAKPE, 50%] ; Duchovičová, Jana [Autor, UKFPFAKPE, 50%]. – [angličtina]. – [OV 010]. – [článok]. – DOI 10.18421/TEM72-15. – WOS CC ; SCO In: TEM Journal [textový dokument (print)] [elektronický dokument] : Technology, Education, Management, Informatics. – Novi Pazar (Srbsko) : Association for Information Communication Technology Education and Science. – ISSN 2217-8309. – ISSN (online) 2217-8333. – Roč. 7, č. 2 (2018), s. 335-347 [tlačená forma] [online] . – SJR: 0,148 ; CiteScore: 0,4 ; SNIP: 0,538 Scimago - Computer science (miscellaneous) - Q4, Education - Q4, Information systems - Q4, Information systems and management - Q4, Management of technology and innovation - Q4, Strategy and management - Q4 </t>
  </si>
  <si>
    <t xml:space="preserve">Mapping the Knowledge of Dante Commentaries in the Digital Context: A Web Ontology Approach / Zaccarello, Michelangelo [Autor, UKFFFAKRO, 80%] ; Meghini, Carlo [Autor, 10%] ; Tavoni, Mirko [Autor, 10%]. – text. – [angličtina]. – [OV 020]. – [článok]. – DOI 10.1215/00358118-8901843. – WOS CC In: Romanic review [textový dokument (print)] . – ISSN 0035-8118. – Roč. 112, č. 1 (2021), s. 138-157 [tlačená forma] . – SJR: 0,101 Scimago - Arts and humanities (miscellaneous) - Q4 </t>
  </si>
  <si>
    <t xml:space="preserve">Marriage in a panic: Panic disorder and intimate relationships / Kasalová, Petra [Autor, 1%] ; Praško Pavlov, Ján [Autor, UKFFSVKPV, 45%] ; Holubová, Michaela [Autor, 1%] ; Vanek, Jakub [Autor, 1%] ; Ocisková, Marie [Autor, 1%] ; Minariková, Kamila [Autor, 1%] ; Chupáčová, Michaela [Autor, 1%] ; Kantor, Kryštof [Autor, 1%] ; Kolek, Antonín [Autor, 1%] ; Sollár, Tomáš [Autor, UKFFSVUAP, 15%] ; Nesnídal, Vlastimil [Autor, 1%] ; Zaťková, Marta [Autor, UKFFSVKPV, 15%] ; Šlepecký, Miloš [Autor, UKFFSVKPV, 15%] ; Barnard, Lianne [Autor, 1%]. – [angličtina]. – [OV 060]. – [článok]. – WOS CC In: Neuroendocrinology Letters [textový dokument (print)] [elektronický dokument] . – Štokholm (Švédsko) : Maghira and Maas Publications. – ISSN 0172-780X. – ISSN (online) 2354-4716. – Roč. 41, č. 4 (2020), 179-194 [tlačená forma] [online] . – IF: 0,765 ; SNIP: 0.383 ; SJR: 0.264 ; CiteScore: 1.5 ; AIS: 0.211 AIS - Endocrinology &amp; metabolism - Q4, Neurosciences - Q4 JIF - Endocrinology &amp; metabolism - Q4, Neurosciences - Q4 Scimago - Endocrine and autonomic systems - Q4, Endocrinology - Q4, Endocrinology, diabetes and metabolism - Q3, Medicine (miscellaneous) - Q3, Neurology - Q4, Neurology (clinical) - Q3, Psychiatry and mental health - Q3 </t>
  </si>
  <si>
    <t xml:space="preserve">Marriage under control: Obsessive compulsive disorder and partnership / Kasalova, Petra [Autor, 10%] ; Praško Pavlov, Ján [Autor, UKFFSVKPV, 10%] ; Ocisková, Marie [Autor, 10%] ; Holubová, Michaela [Autor, 10%] ; Vanek, Jakub [Autor, 10%] ; Kantor, Kryštof [Autor, 10%] ; Minarikova, Kamila [Autor, 10%] ; Hodný, František [Autor, 10%] ; Šlepecký, Miloš [Autor, UKFFSVKPV, 10%] ; Barnard, Lianne [Autor, 10%]. – text. – [angličtina]. – [OV 060]. – [článok]. – WOS CC ; SCO In: Neuroendocrinology Letters [textový dokument (print)] [elektronický dokument] . – Štokholm (Švédsko) : Maghira and Maas Publications. – ISSN 0172-780X. – ISSN (online) 2354-4716. – Roč. 41, č. 3 (2020), 134-145 [tlačená forma] [online] . – IF: 0,765 ; SNIP: 0.383 ; SJR: 0.264 ; CiteScore: 1.5 ; AIS: 0.211 AIS - Endocrinology &amp; metabolism - Q4, Neurosciences - Q4 JIF - Endocrinology &amp; metabolism - Q4, Neurosciences - Q4 Scimago - Endocrine and autonomic systems - Q4, Endocrinology - Q4, Endocrinology, diabetes and metabolism - Q3, Medicine (miscellaneous) - Q3, Neurology - Q4, Neurology (clinical) - Q3, Psychiatry and mental health - Q3 </t>
  </si>
  <si>
    <t xml:space="preserve">Martin of Cochem’s Golden Key of Heaven and its Czech Relatives: Quantitative Analysis of Baroque Prayers / Kubát, Miroslav [Autor, 25%] ; Netolická, Šárka [Autor, 25%] ; Čech, Radek [Autor, 25%] ; Mačutek, Ján [Autor, UKFFPVKMA, 25%]. – text. – [angličtina]. – [OV 240]. – [článok]. – DOI 10.14746/bo.2021.3.1. – SCO In: Bohemistyka [textový dokument (print)] [elektronický dokument] . – Poznań (Poľsko) : Polska Akademia Nauk. – ISSN 1642-9893. – Roč. 21, č. 3 (2021), s. 283-294 [tlačená forma] [online] . – CiteScore: 0,1 ; SJR: 0,122 ; SNIP: 0,011 Scimago - Electrical and electronic engineering - Q4, Linguistics and language - Q3 </t>
  </si>
  <si>
    <t xml:space="preserve">Massive open online courses (moocs): the promise of non-formal education in english language learning / Židová, Diana [Autor, UKFPFAKLI, 100%]. – text. – [angličtina]. – [OV 010]. – [článok]. – DOI 10.33543/1002. – WOS CC In: AD ALTA [textový dokument (print)] [elektronický dokument] : journal of interdisciplinary research = recenzovaný mezioborový vědecký časopis. – Hradec Králové (Česko) : Magnanimitas akademické sdružení. – ISSN 1804-7890. – ISSN (online) 2464-6733. – Roč. 10, č. 2 (2020), s. 352-355 [tlačená forma] [online] . – AIS: 0.021 AIS - Multidisciplinary sciences - Q4 </t>
  </si>
  <si>
    <t xml:space="preserve">Mathematical and Statistical Bibliometric Indicators for Scholars in the Field of Romance Languages and Linguistics / Bírová, Jana [Autor, UCMFIFKPED, 40%] ; Kružlík, Peter [Autor, UKFUNIKNZ, 35%] ; Kalimullin, Aydar M. [Autor, 5%] ; Sokolova, Natalia L. [Autor, 5%] ; Haroun, Zineb [Autor, 5%] ; Králik, Roman [Autor, UKFFFAKAE 06.2022, 5%] ; Vasbieva, Dinara G. [Autor, 5%]. – text, obr. – [angličtina]. – [OV 020]. – [článok]. – DOI 10.29333/ejmste/97826. – SCO In: Eurasia Journal of Mathematics, Science and Technology Education [textový dokument (print)] [elektronický dokument] . – London (Veľká Británia) : Modestum. – ISSN 1305-8215. – ISSN (online) 1305-8223. – Roč. 14, č. 12 (2018), s. 1-15 [tlačená forma] [online] . – SJR: 0,325 ; CiteScore: 1,9 ; SNIP: 1,236 Scimago - Applied mathematics - Q3, Education - Q3 </t>
  </si>
  <si>
    <t xml:space="preserve">Maximal amount of o2 per unit of time can suggest improvements in cardio-respiratory fitness in response to exercise training / Židek, Radoslav [Autor, SPUFBP05, 20%] ; Belej, Ľubomír [Autor, SPUFBP05, 16%] ; Šimonek, Jaromír [Autor, UKFPFAKTV, 16%] ; Kasarda, Radovan [Autor, SPUFAP10, 16%] ; Trakovická, Anna [Autor, SPUFAP10, 16%] ; Moravčíková, Nina [Autor, SPUFAP10, 16%]. – text. – [angličtina]. – [OV 130, 190, 210]. – [článok]. – SCO In: Journal of Hygienic Engineering and Design [elektronický dokument] . – Skopje (Macedónsko) : Consulting and Training Center KEY. – ISSN (online) 1857-8489. – č. 30 (2020), s. 69-74 [online] . – SJR: 0,151 ; CiteScore: 0,5 ; SNIP: 0,461 Scimago - Food science - Q4, Safety, risk, reliability and quality - Q4 </t>
  </si>
  <si>
    <t xml:space="preserve">Measuring and comparing the water activity and salt content in Parenica cheeses made by traditional and industrial technology / Zeleňáková, Lucia [Autor, SPUFBP05, 16%] ; Ševčík, Michal [Autor, UKFFPVKEE, 14%] ; Jakabová, Silvia [Autor, SPUFBP08, 14%] ; Zajác, Peter [Autor, SPUFBP05, 14%] ; Čanigová, Margita [Autor, SPUFBP04, 14%] ; Habánová, Marta [Autor, SPUFAP16, 14%] ; Wyka, Joanna [Autor, 14%]. – text. – [angličtina]. – [OV 190]. – [článok]. – [recenzované]. – DOI 10.32394/rpzh.2020.0127. – SCO In: Roczniki Państwowego Zakładu Higieny [textový dokument (print)] [elektronický dokument] . – Varšava (Poľsko) : Narodowy Instytut Zdrowia Publicznego – Panstwowy Zaklad Higieny. – ISSN 0035-7715. – ISSN (online) 2451-2311. – Roč. 71, č. 3 (2020), s. 291-301 [tlačená forma] [online] . – SJR: 0,261 ; CiteScore: 1,3 Scimago - Medicine (miscellaneous) - Q3, Public health, environmental and occupational health - Q4 </t>
  </si>
  <si>
    <t xml:space="preserve">Mediation of Knowledge Transfer in the Transition from Visual to Textual Programming / Tóth, Tomáš [Autor, SPUFEM05, 50%] ; Lovászová, Gabriela [Autor, UKFFPVKIN, 50%]. – text. – [angličtina]. – [OV 160]. – [článok]. – DOI 10.15388/infedu.2021.20. – WOS CC ; SCO In: Informatics in Education [textový dokument (print)] : A Journal of Eastern and Central Europe. – Vilnius (Litva) : Vilniaus universitetas. Matematikos ir informatikos institutas. – ISSN 1648-5831. – ISSN (online) 2335-8971. – Roč. 20, č. 3 (2021), 489-511 [tlačená forma] . – CiteScore: 4,1 ; SJR: 0,956 ; SNIP: 1,553 ; AIS: 0.470 AIS - Education &amp; educational research - Q1 Scimago - Communication - Q1, Computer science applications - Q2, Education - Q1 </t>
  </si>
  <si>
    <t xml:space="preserve">Methodological aspects of online forms of teaching / Gadušová, Zdenka [Autor, UKFFFAKAA, 40%] ; Hašková, Alena [Autor, UKFPFAKTT, 40%] ; Havettová, Romana [Autor, UKFFFAKRO, 20%]. – text. – [angličtina]. – [OV 010]. – [článok]. – DOI 10.15503.jecs2021.2.139.152. – WOS CC In: Journal of education culture and society [elektronický dokument] . – Vroclav (Poľsko) : Fundacja Pro Scientia Publica. – ISSN 2081-1640. – Roč. 12, č. 2 (2021), s. 139-152 [online] </t>
  </si>
  <si>
    <t xml:space="preserve">Methodology of stakeholders’ behaviour modelling based on time / Munk, Michal [Autor, UKFFPVKIN, 20%] ; Pilková, Anna [Autor, UKOMAKSP, 20%] ; Benko, Ľubomír [Autor, UKFFPVKIN, 20%] ; Blažeková, Petra [Autor, 20%] ; Švec, Peter [Autor, UKFFPVKIN, 20%]. – text. – [angličtina]. – [OV 160, 080]. – [ŠO 2508]. – [článok]. – [recenzované]. – DOI 10.1016/j.mex.2021.101570. – WOS CC ; SCO In: MethodsX [elektronický dokument] . – Amsterdam (Holandsko) : Elsevier. – ISSN (online) 2215-0161. – Roč. 8 (2021), art. no. 101570, s. 1-4 [online] . – CiteScore: 2,8 ; SJR: 0,394 ; SNIP: 0,78 ; AIS: 0.396 AIS - Multidisciplinary sciences - Q1 Scimago - Clinical biochemistry - Q3, Medical laboratory technology - Q2 </t>
  </si>
  <si>
    <t xml:space="preserve">Minority language policy and bilingual name semiotic landscape in Slovakia / Bauko, Ján [Autor, UKFFSSUML, 100%]. – text. – [angličtina]. – [OV 020, 010]. – [článok]. – DOI 10.1556/044.2020.00006. – SCO In: Hungarian Studies [textový dokument (print)] [elektronický dokument] : A Journal of the International Association for Hungarian Studies. – Budapešť (Maďarsko) : Akadémiai Kiadó. – ISSN 0236-6568. – ISSN (online) 1588-2772. – Roč. 34, č. 1 (2020), 60-72 [tlačená forma] [online] . – SJR: 0,1 ; CiteScore: 0,1 ; SNIP: 0,49 Scimago - Arts and humanities (miscellaneous) - Q4, Social sciences (miscellaneous) - Q4 </t>
  </si>
  <si>
    <t xml:space="preserve">Mixed marriages (transnational marriages) in the context of present-day migration processes in Slovakia = Zmiešané manželstvá (manželstvá s cudzincami) v kontexte súčasných migračných procesov na Slovensku / Letavajová, Silvia [Autor, UKFFFAKMK, 100%]. – text. – [slovenčina]. – [OV 060]. – [článok]. – SCO In: Národopisný věstník [textový dokument (print)] [elektronický dokument] . – Praha (Česko) : Česká národopisná společnost. – ISSN 1211-8117. – ISSN (online) 2571-0982. – Roč. 35 (77), č. 1 (2018), s. 39-55 [tlačená forma] [online] </t>
  </si>
  <si>
    <t xml:space="preserve">Mobile technology and generation Z in the English language classroom – A preliminary study / Poláková, Petra [Autor, UKFPFAKLI, 60%] ; Klímová, Blanka [Autor, 40%]. – text. – [angličtina]. – [OV 020]. – [článok]. – DOI 10.3390/educsci9030203. – WOS CC ; SCO In: Education sciences [elektronický dokument] . – Bazilej (Švajčiarsko) : Multidisciplinary Digital Publishing Institute. – ISSN (online) 2227-7102. – Roč. 9, č. 3 (2019), s. 1-11 [online] . – SJR: 0,242 ; CiteScore: 0,8 ; SNIP: 0,733 Scimago - Developmental and educational psychology - Q4, Education - Q3, Public administration - Q3 </t>
  </si>
  <si>
    <t xml:space="preserve">Modelling Behaviour on a Game Theory Principle / Ďuriš, Viliam [Autor, UKFFPVKMA, 50%] ; Šumný, Timotej [Autor, UKFFPVKMA, 50%]. – text. – [angličtina]. – [OV 240]. – [článok]. – DOI 10.18421/TEM74-09. – WOS CC ; SCO In: TEM Journal [textový dokument (print)] [elektronický dokument] : Technology, Education, Management, Informatics. – Novi Pazar (Srbsko) : Association for Information Communication Technology Education and Science. – ISSN 2217-8309. – ISSN (online) 2217-8333. – Roč. 7, č. 4 (2018), 758-761 [tlačená forma] [online] . – SJR: 0,148 ; CiteScore: 0,4 ; SNIP: 0,538 Scimago - Computer science (miscellaneous) - Q4, Education - Q4, Information systems - Q4, Information systems and management - Q4, Management of technology and innovation - Q4, Strategy and management - Q4 </t>
  </si>
  <si>
    <t xml:space="preserve">Molecular Profiling and Gene Banking of Rabbit EPCs Derived from Two Biological Sources / Vašíček, Jaromír [Korešpondenčný autor, SPUFBP01, 16%] ; Baláži, Andrej [Autor, 14%] ; Bauer, Miroslav [Autor, UKFFPVKBG, 14%] ; Svoradová, Andrea [Autor, UKFFPVKZA, 14%] ; Tirpáková, Mária [Autor, SPUPRA15, 14%] ; Tomka, Marián [Autor, SPUFBP01, 14%] ; Chrenek, Peter [Korešpondenčný autor, SPUFBP01, 14%]. – text. – [angličtina]. – [OV 190, 130]. – [článok]. – DOI 10.3390/genes12030366. – WOS CC ; SCO In: Genes [elektronický dokument] . – Basel (Švajčiarsko) : Multidisciplinary Digital Publishing Institute. – ISSN (online) 2073-4425. – Roč. 12, č. 3 (2021), art. no. 366, s. 1-25 [online] . – CiteScore: 5 ; IF: 4.141 ; SJR: 1,032 ; SNIP: 1,042 ; AIS: 0.968 AIS - Genetics &amp; heredity - Q2 JIF - Genetics &amp; heredity - Q2 Scimago - Genetics - Q2, Genetics (clinical) - Q2 </t>
  </si>
  <si>
    <t xml:space="preserve">Monitoring of Bioactive Compounds of Tomato Cultivars as Affected by Mulching Film / Valšíková-Frey, Magdaléna [Autor, 12.5%] ; Mlček, Jiří [Autor, 12.5%] ; Snopek, Lukáš [Autor, 12.5%] ; Rehuš, Marián [Autor, 12.5%] ; Škrovánková, Soňa [Autor, 12.5%] ; Juríková, Tünde [Autor, UKFFSSUVP, 12.5%] ; Sumczynski, Daniela [Autor, 12.5%] ; Paulen, Oleg [Autor, SPUFZK06, 12.5%]. – [angličtina]. – [OV 190, 010]. – [článok]. – DOI 10.2478/sab-2018-0033. – kis 148050. – SCO In: Scientia Agriculturae Bohemica [textový dokument (print)] [elektronický dokument] : the Scientific Journal of Czech University of Life Sciences Prague. – Praha (Česko) : Česká zemědelská univerzita v Praze. – ISSN 1211-3174. – ISSN (online) 1805-9430. – Roč. 49, č. 4 (2018), 267-273 [tlačená forma] [online] . – SJR: 0,212 ; CiteScore: 0,9 ; SNIP: 0,512 Scimago - Agricultural and biological sciences (miscellaneous) - Q3 </t>
  </si>
  <si>
    <t xml:space="preserve">Monitoring open water area changes in a small tarn using historical orthophotomaps and a historical bathymetric map: a case study of the Litworowy Staw lake, the High Tatras / Kapusta, Juraj [Autor, UKFFPVKEE, 40%] ; Petrovič, František [Autor, UKFFPVKEE, 30%] ; Hreško, Juraj [Autor, UKFFPVKEE, 30%]. – text. – [angličtina]. – [OV 100]. – [článok]. – DOI 10.1007/s11629-018-4915-4. – WOS CC ; SCO In: Journal of Mountain Science [textový dokument (print)] [elektronický dokument] . – Beijing (Čína) : Science China Press. – ISSN 1672-6316. – ISSN (online) 1993-0321. – Roč. 15, č. 10 (2018), s. 2089-2102 [tlačená forma] [online] . – SJR: 0,462 ; CiteScore: 2,1 ; SNIP: 0,713 ; IF: 1.423 JIF - Environmental sciences - Q4 Scimago - Earth-surface processes - Q2, Geography, planning and development - Q2, Geology - Q2, Global and planetary change - Q3, Nature and landscape conservation - Q3 </t>
  </si>
  <si>
    <t xml:space="preserve">Motion Detection and Face Recognition using Raspberry Pi, as a Part of, the Internet of Things / Balogh, Zoltán [Autor, UKFFPVKIN, 60%] ; Magdin, Martin [Autor, UKFFPVKIN, 30%] ; Molnár, György [Autor, 10%]. – text. – [angličtina]. – [OV 160]. – [článok]. – DOI 10.12700/APH.16.3.2019.3.9. – WOS CC In: Acta Polytechnica Hungarica [textový dokument (print)] [elektronický dokument] : An international peer-reviewed scientific journal of Óbuda University, Hungarian Academy of Engineering and IEEE Hungary Section : journal of applied sciences. – Budapešt (Maďarsko) : Óbudai Egyetem. – ISSN 1785-8860. – ISSN (online) 2064-2687. – Roč. 16, č. 3 (2019), 167-185 [tlačená forma] [online] . – IF: 1,219 ; SNIP: 0,867 ; SJR: 0,298 ; CiteScore: 2,7 JIF - Engineering, multidisciplinary - Q3 Scimago - Engineering (miscellaneous) - Q2, Multidisciplinary - Q2 </t>
  </si>
  <si>
    <t xml:space="preserve">MT evaluation in the context of language complexity / Munková, Daša [Autor, UKFFFAKTR, 25%] ; Munk, Michal [Autor, UKFFPVKIN, 25%] ; Benko, Ľubomír [Autor, UKFFPVKIN, 25%] ; Šťastný, Jiří [Autor, 25%]. – text. – [angličtina]. – [OV 160]. – [článok]. – DOI 10.1155/2021/2806108. – WOS CC ; SCO In: Complexity [elektronický dokument] . – Cairo (Egypt) : Hindawi Publishing Corporation. – ISSN 1076-2787. – ISSN (online) 1099-0526. – Roč. 2021 (2021), s. 1-15 [online] . – CiteScore: 3,5 ; IF: 2.121 ; SJR: 0,463 ; SNIP: 0,766 ; AIS: 0.366 AIS - Mathematics, interdisciplinary applications - Q3, Multidisciplinary sciences - Q3 JIF - Mathematics, interdisciplinary applications - Q2, Multidisciplinary sciences - Q3 Scimago - Computer science (miscellaneous) - Q2, Multidisciplinary - Q1 </t>
  </si>
  <si>
    <t xml:space="preserve">Multi – Level governance towards regional development in postcommunist countries / Dvořáková Líšková, Zuzana [Autor, 33.5%] ; Pártlová, Petra [Autor, 33.5%] ; Krogmann, Alfred [Autor, UKFFPVKGR, 33%]. – [angličtina]. – [OV 092]. – [článok]. – SCO In: Theoretical and Empirical Researches in Urban Management [textový dokument (print)] . – Bukurešť (Rumunsko) : Academia de Studii Economice din Bucuresti. – ISSN 2065-3913. – ISSN (online) 2065-3921. – Roč. 13, č. 1 (2018), s. 5-20 [tlačená forma] . – SJR: 0,166 ; CiteScore: 0,8 ; SNIP: 0,832 Scimago - Geography, planning and development - Q3, Urban studies - Q3 </t>
  </si>
  <si>
    <t xml:space="preserve">Multiple athletic performances, maturation, and Functional Movement Screen total and individual scores across different age categories in young soccer players / Bakaľár, Igor [Autor, UKFPFAKTV, 30%] ; Šimonek, Jaromír [Autor, UKFPFAKTV, 15%] ; Kanásová, Janka [Autor, UKFPFAKTV, 10%] ; Krčmárová, Bohumila [Autor, UKFPFAKTV, 15%] ; Krčmár, Matúš [Autor, UKFPFAKTV, 30%]. – text. – [angličtina]. – [OV 210]. – [článok]. – DOI 10.12965/jer.2040546.273. – WOS CC ; SCO In: Journal of  Exercise Rehabilitation [textový dokument (print)] [elektronický dokument] . – Sejong (Kórejská republika) : Korean Society of Exercise Rehabilitation. – ISSN 2288-176X. – ISSN (online) 2288-1778. – Roč. 16, č. 5 (2020), s. 432-441 [tlačená forma] [online] . – SJR: 0,546 ; CiteScore: 2,6 ; SNIP: 0,867 ; AIS: 0.378 AIS - Rehabilitation - Q1 Scimago - Orthopedics and sports medicine - Q3, Physical therapy, sports therapy and rehabilitation - Q2 </t>
  </si>
  <si>
    <t xml:space="preserve">Muscular Strength, Functional Fitness, Body Composition, and Quality of Life after 12 Weeks of Detraining in Older Females / Krčmár, Matúš [Korešpondenčný autor, UKFPFAKTV, 50%] ; Halmová, Nora [Autor, UKFPFAKTV, 10%] ; Krajčovič, Jaroslav [Autor, UKFPFAKTV, 10%] ; Krčmárová, Bohumila [Autor, UKFPFAKTV, 30%]. – text. – [angličtina]. – [OV 010]. – [článok]. – DOI 10.1080/02703181.2020.1809602. – WOS CC ; SCO In: Physical and occupational therapy in geriatrics [textový dokument (print)] [elektronický dokument] . – Londýn (Veľká Británia) : Informa Healthcare. – ISSN 0270-3181. – ISSN (online) 1541-3152. – Roč. 38, č. 3 (2020), s. 1-15 [tlačená forma] [online] . – SJR: 0,184 ; CiteScore: 0,7 ; SNIP: 0,448 ; AIS: 0.155 AIS - Rehabilitation - Q3 Scimago - Geriatrics and gerontology - Q4, Gerontology - Q4, Occupational therapy - Q4, Rehabilitation - Q4 </t>
  </si>
  <si>
    <t xml:space="preserve">National ecosystem services assessment in Slovakia – meeting old liabilities and introducing new methods / Mederly, Peter [Autor, UKFFPVKEE, 20%] ; Černecký, Ján [Autor, UKFFPVKEE, 8%] ; Špulerová, Jana [Autor, 8%] ; Izakovičová, Zita [Autor, UKFFPVKEE, 8%] ; Ďuricová, Viktória [Autor, 5%] ; Považan, Radoslav [Autor, 5%] ; Švajda, Juraj [Autor, UMBFP09, 5%] ; Močko, Matej [Autor, UKFFPVKEE, 5%] ; Jančovič, Martin [Autor, UKFFPVKEE, 4%] ; Gusejnov, Simona [Autor, UKFFPVKEE, 4%] ; Hreško, Juraj [Autor, UKFFPVKEE, 4%] ; Petrovič, František [Autor, UKFFPVKEE, 4%] ; Štefunková, Dagmar [Autor, 4%] ; Šatalová, Barbora [Autor, 2%] ; Vrbičanová, Gréta [Autor, UKFFPVKEE, 4%] ; Kaisová, Dominika [Autor, UKFFPVKEE, 4%] ; Turanovičová, Martina [Autor, UKFFPVKGR, 2%] ; Kováč, Tomáš [Autor, UKFFPVKGR, 2%] ; Laco, Ivan [Autor, UKFFPVKEE, 2%]. – text. – [angličtina]. – [OV 100, 190]. – [článok]. – [recenzované]. – DOI 10.3897/ONEECO.5.E53677. – SCO In: One Ecosystem [elektronický dokument] . – Sofia (Bulharsko) : Pensoft Publishers, Sofia (Bulharsko) : Bulgarian Pharmaceutical Science Society. – ISSN (online) 2367-8194. – Roč. 5 (2020), 1-31 [online] . – SJR: 0,801 ; CiteScore: 6,1 ; SNIP: 0,903 Scimago - Earth and planetary sciences (miscellaneous) - Q1, Ecology - Q2, Nature and landscape conservation - Q2 </t>
  </si>
  <si>
    <t xml:space="preserve">National interrelationships from the viewpoint of biologist / Sirotkin, Alexander [Autor, UKFFPVKZA, 100%]. – text. – [angličtina]. – [OV 010, 130]. – [článok]. – WOS CC In: AD ALTA [textový dokument (print)] [elektronický dokument] : journal of interdisciplinary research = recenzovaný mezioborový vědecký časopis. – Hradec Králové (Česko) : Magnanimitas akademické sdružení. – ISSN 1804-7890. – ISSN (online) 2464-6733. – Roč. 10, č. 2 (2020), s. 312-314 [tlačená forma] [online] . – AIS: 0.021 AIS - Multidisciplinary sciences - Q4 </t>
  </si>
  <si>
    <t xml:space="preserve">Necessity of improvement of foreign language teaching in the Slovak Republic / Šarvajcová, Marcela [Autor, UKFFFAKSO, 50%] ; Štrbová, Monika [Autor, UKFFFAKSO, 50%]. – text. – [angličtina]. – [OV 060]. – [článok]. – DOI 10.15503.jecs2021.2.251.263. – WOS CC In: Journal of education culture and society [elektronický dokument] . – Vroclav (Poľsko) : Fundacja Pro Scientia Publica. – ISSN 2081-1640. – Roč. 12, č. 2 (2021), s. 251-263 [online] </t>
  </si>
  <si>
    <t xml:space="preserve">Negative emotions about climate change are related to insomnia symptoms and mental health: Cross-sectional evidence from 25 countries / Ogunbode, Charles Adedayo [Korešpondenčný autor, 2.947%] ; Pallesen, Ståle [Autor, 2.941%] ; Böhm, Gisela [Autor, 2.941%] ; Doran, Rouven [Autor, 2.941%] ; Bhullar, Navjot [Autor, 2.941%] ; Sollár, Tomáš [Autor, UKFFSVUAP, 2.941%]. – text. – [angličtina]. – [OV 060]. – [článok]. – DOI 10.1007/s12144-021-01385-4. – WOS CC ; SCO In: Current Psychology [textový dokument (print)] [elektronický dokument] : A Journal for Diverse Perspectives on Diverse Psychological Issues . – New York (USA) : Springer Nature. Springer International Publishing AG. – ISSN 1046-1310. – ISSN (online) 1936-4733. – Roč. 40, č. 1 (2021), s. 1-11 [tlačená forma] [online] . – CiteScore: 3,4 ; IF: 2.387 ; SJR: 0,513 ; SNIP: 0,936 ; AIS: 0.545 AIS - Psychology, multidisciplinary - Q3 JIF - Psychology, multidisciplinary - Q2 Scimago - Psychology (miscellaneous) - Q2 </t>
  </si>
  <si>
    <t xml:space="preserve">Nightmares and their treatment / Vanek, Jakub [Autor, 8%] ; Praško Pavlov, Ján [Autor, UKFFSVKPV, 50%] ; Ocisková, Marie [Autor, 7%] ; Holubová, Michaela [Autor, 7%] ; Minarikova, Kamila [Autor, 7%] ; Kamaradova-Koncelikova, Dana [Autor, 7%] ; Kantor, Kryštof [Autor, 7%] ; Nesnisal, Vlastimil [Autor, 7%]. – text. – [angličtina]. – [OV 060]. – [článok]. – WOS CC ; SCO In: Neuroendocrinology Letters [textový dokument (print)] [elektronický dokument] . – Štokholm (Švédsko) : Maghira and Maas Publications. – ISSN 0172-780X. – ISSN (online) 2354-4716. – Roč. 41, č. 2 (2020), 86-101 [tlačená forma] [online] . – IF: 0,765 ; SNIP: 0.383 ; SJR: 0.264 ; CiteScore: 1.5 ; AIS: 0.211 AIS - Endocrinology &amp; metabolism - Q4, Neurosciences - Q4 JIF - Endocrinology &amp; metabolism - Q4, Neurosciences - Q4 Scimago - Endocrine and autonomic systems - Q4, Endocrinology - Q4, Endocrinology, diabetes and metabolism - Q3, Medicine (miscellaneous) - Q3, Neurology - Q4, Neurology (clinical) - Q3, Psychiatry and mental health - Q3 </t>
  </si>
  <si>
    <t xml:space="preserve">Nightmares in obstructive sleep apnoea / Vanek, Jakub [Autor, 10%] ; Praško Pavlov, Ján [Autor, UKFFSVKPV, 10%] ; Ocisková, Marie [Autor, 10%] ; Genzor, Samuel [Autor, 10%] ; Holubová, Michaela [Autor, 10%] ; Šlepecký, Miloš [Autor, UKFFSVKPV, 10%] ; Nesnídal, Vlastimil [Autor, 10%] ; Koncelikova, Dana [Autor, 10%] ; Minarikova, Kamila [Autor, 10%] ; Kantor, Kryštof [Autor, 10%]. – text. – [angličtina]. – [OV 180]. – [článok]. – WOS CC In: Neuroendocrinology Letters [textový dokument (print)] [elektronický dokument] . – Štokholm (Švédsko) : Maghira and Maas Publications. – ISSN 0172-780X. – ISSN (online) 2354-4716. – Roč. 42, č. 4 (2021), 245-256 [tlačená forma] [online] . – SNIP: 0.414 ; SJR: 0.208 ; CiteScore: 1.4 ; IF: 0.638 ; AIS: 0.162 AIS - Endocrinology &amp; metabolism - Q4, Neurosciences - Q4 JIF - Endocrinology &amp; metabolism - Q4, Neurosciences - Q4 Scimago - Endocrine and autonomic systems - Q4, Endocrinology - Q4, Endocrinology, diabetes and metabolism - Q4, Medicine (miscellaneous) - Q4, Neurology - Q4, Neurology (clinical) - Q4, Psychiatry and mental health - Q4 </t>
  </si>
  <si>
    <t xml:space="preserve">Non-isothermal kinetic analysis of the thermal decomposition of spruce wood in air atmosphere / Ondro, Tomáš [Autor, UKFFPVKFY, 20%] ; Vitázek, Ivan [Autor, SPUTFA02, 20%] ; Húlan, Tomáš [Autor, UKFFPVKFY, 20%] ; Lawson, Michael Kenneth [Autor, UKFFPVKCH, 20%] ; Csáki, Štefan [Autor, UKFFPVKFY, 20%]. – [angličtina]. – [OV 091]. – [článok]. – [recenzované]. – DOI 10.17221/115/2016-RAE. – SCO In: Research in Agricultural Engineering [textový dokument (print)] [elektronický dokument] . – ISSN 1212-9151. – ISSN (online) 1805-9376. – Roč. 64, č. 1 (2018), s. 41-46 [tlačená forma] [online] . – SJR: 0,179 ; CiteScore: 0,9 ; SNIP: 0,426 Scimago - Agronomy and crop science - Q4, Animal science and zoology - Q4 </t>
  </si>
  <si>
    <t xml:space="preserve">Note on Archimedes' quadrature of the parabola / Vallo, Dušan [Korešpondenčný autor, UKFFPVKMA, 75%] ; Fulier, Jozef [Autor, UKFFPVKMA, 15%] ; Rumanová, Lucia [Autor, UKFFPVKMA, 10%]. – text. – [angličtina]. – [OV 010]. – [článok]. – DOI 10.1080/0020739X.2021.1889700. – ESCI ; WOS CC ; SCO In: International Journal of Mathematical Education in Science and Technology [textový dokument (print)] [elektronický dokument] . – Abingdon (Veľká Británia) : Taylor &amp; Francis Group. – ISSN 0020-739X. – ISSN (online) 1464-5211. – Roč. 53, č. 4 (2022), s. 1025-1036 [tlačená forma] [online] </t>
  </si>
  <si>
    <t xml:space="preserve">Number of financial indicators as a factor of multi-criteria analysis via the TOPSIS technique: a municipal case study / Vavrek, Roman [Autor, 50%] ; Bečica, Jiří [Autor, 20%] ; Papcunová, Viera [Autor, UKFFPVUMI, 10%] ; Gundová, Petra [Autor, 10%] ; Mitríková, Jana [Autor, PUPFMTHM, 10%]. – text. – [angličtina]. – [OV 060]. – [článok]. – DOI 10.3390/a14020064. – SIGN-PU FM-21 130/21. – WOS CC ; SCO In: Algorithms [elektronický dokument] . – Basel (Švajčiarsko) : Multidisciplinary Digital Publishing Institute. – ISSN (online) 1999-4893. – Roč. 14, č. 2 (2021), art. no. 64, s. [1-16] [online] . – CiteScore: 3,3 ; SJR: 0,515 ; SNIP: 0,911 ; AIS: 0.360 AIS - Computer science, artificial intelligence - Q2, Computer science, theory &amp; methods - Q1 Scimago - Computational mathematics - Q2, Computational theory and mathematics - Q3, Numerical analysis - Q3, Theoretical computer science - Q3 </t>
  </si>
  <si>
    <t xml:space="preserve">Obsidian from Slovakia / Štubňa, Ján [Autor, UKFFPVGMU, 25%] ; Illášová, Ľudmila [Autor, UKFFPVGMU, 25%] ; Fridrichová, Jana [Autor, UKOPRGMP, 25%] ; Bačík, Peter [Autor, UKOPRGMP, 25%]. – text, fotogr. – [angličtina]. – [OV 092]. – [článok]. – SIGN-UKO PR 110/19. – ESCI ; WOS CC In: The Journal of Gemmology [textový dokument (print)] . – Londýn (Veľká Británia) : The Gemmological Association of Great Britain. – ISSN 1355-4565. – ISSN (online) 2632-1718. – Roč. 36, č. 5 (2019), 409-410 [tlačená forma] . – IF: 0,767 ; SJR: 0,113 ; CiteScore: 0,4 ; SNIP: 0,156 JIF - Mineralogy - Q4 Scimago - Geochemistry and petrology - Q4 </t>
  </si>
  <si>
    <t xml:space="preserve">Obstructive sleep apnea, depression and cognitive impairment / Vanek, Jakub [Autor, 4%] ; Praško Pavlov, Ján [Autor, UKFFSVKPV, 40%] ; Genzor, Samuel [Autor, 3%] ; Ocisková, Marie [Autor, 4%] ; Kantor, Kryštof [Autor, 4%] ; Holubová, Michaela [Autor, 3%] ; Šlepecký, Miloš [Autor, UKFFSVKPV, 30%] ; Nesnídal, Vlastimil [Autor, 3%] ; Kolek, Antonín [Autor, 4%] ; Sova, Milan [Autor, 5%]. – text. – [angličtina]. – [OV 060]. – [článok]. – DOI 10.1016/j.sleep.2020.03.017. – WOS CC ; SCO In: Sleep Medicine [textový dokument (print)] [elektronický dokument] : the Official Journal of the World Association of Sleep Medicine and International Pediatric Sleep Association. – Londýn (Veľká Británia) : Elsevier. – ISSN 1389-9457. – ISSN (online) 1878-5506. – č. 72 (2020), 50-58 [tlačená forma] [online] . – IF: 3,492 ; SJR: 1,335 ; CiteScore: 5,1 ; SNIP: 1,362 ; AIS: 1.275 AIS - Clinical neurology - Q2 JIF - Clinical neurology - Q2 Scimago - Medicine (miscellaneous) - Q1 </t>
  </si>
  <si>
    <t xml:space="preserve">On the definition of the notion of National in Slavic operatic production / Smolík, Pavol [Autor, UKFPFAKHU, 25%] ; Čierna, Alena [Autor, UKFPFAKHU, 25%] ; Sondorová, Dominika [Autor, UKFPFAKHU, 25%] ; Daniš, Miroslav [Autor, UKOFIHS, 25%]. – text. – [angličtina]. – [OV 010, 030]. – [článok]. – SIGN-UKO FI 20/18 HS. – ESCI ; WOS CC In: AD ALTA [textový dokument (print)] [elektronický dokument] : journal of interdisciplinary research = recenzovaný mezioborový vědecký časopis. – Hradec Králové (Česko) : Magnanimitas akademické sdružení. – ISSN 1804-7890. – ISSN (online) 2464-6733. – Roč. 8, č. 2 (2018), 265-277 [tlačená forma] [online] </t>
  </si>
  <si>
    <t xml:space="preserve">On the names of the direct line of the house of mojmirs / Diweg-Pukanec, Martin [Autor, UKFFFAKSJ, 100%]. – text. – [angličtina]. – [OV 030]. – [článok]. – SCO In: Acta Onomastica [textový dokument (print)] . – Praha (Česko) : Akademie věd České republiky. Ústav pro jazyk český AV ČR. – ISSN 1211-4413. – Roč. 61, č. 1 (2020), 185-193 [tlačená forma] . – SJR: 0,154 ; CiteScore: 0,2 ; SNIP: 0,043 Scimago - Language and linguistics - Q2, Linguistics and language - Q2 </t>
  </si>
  <si>
    <t xml:space="preserve">On the Typological Classification of Motion Verbs in Finno-Ugric Languages / Kozmács, István [Autor, UKFFSSUML, 100%]. – text. – [angličtina]. – [OV 020, 010]. – [článok]. – DOI 10.35634/2224-9443-2020-14-2-222-226. – WOS CC In: Ezhegodnik Finno-Ugorskikh Issledovanii [textový dokument (print)] : Yearbook of Finno-Ugric Studies". – [s.l.] : Udmurt State University. – ISSN 2224-9443. – ISSN (online) 2311-0333. – Roč. 14, č. 2 (2020), 222-226 [tlačená forma] . – AIS: 0.037 AIS - Humanities, multidisciplinary - Q4 </t>
  </si>
  <si>
    <t xml:space="preserve">One Hundred Years Ago, Jiri Kejr Was Born / Krafl, Pavel Otmar [Autor, UKFFFAKHI, 100%]. – text. – [angličtina]. – [OV 030]. – [článok]. – WOS CC In: Revue církevního práva [textový dokument (print)] [elektronický dokument] . – Praha (Česko) : Univerzita Karlova v Praze. Právnická fakulta. Společnost pro církevní právo. – ISSN 1211-1635. – ISSN (online) 2336-5609. – TUTPR signatúra E014236. – Roč. 84, č. 3 (2021), 101-104 [tlačená forma] [online] </t>
  </si>
  <si>
    <t xml:space="preserve">Opinion of the Committee CSARIM 13/2020: Decision making in patients in intensive care in a situation of scarcity of scarce resources / Renata, Cerna Parizkova [Autor, 4.762%] ; Petr, Sustek [Autor, 4.762%] ; Lukas, Prudil [Autor, 4.762%] ; Jolana, Tesinova [Autor, 4.762%] ; Martin, Solc [Autor, 4.762%] ; Karel, Cvachovec [Autor, 4.762%] ; Ondrej, Dostal [Autor, 4.762%] ; Černý, Vladimír [Autor, UKFFSVKUM, 5%] ; Tomas, Holcapek [Autor, 4.462%] ; Marek, Vacha [Autor, 4.762%] ; Pavel, Sevcik [Autor, 4.762%] ; Frantisek, Duska [Autor, 4.762%] ; Jan, Manak [Autor, 4.762%] ; Zdenek, Mrozek [Autor, 4.762%] ; Stanislav, Plisek [Autor, 4.762%] ; Josef, Skola [Autor, 4.762%] ; Vladimir, Sramek [Autor, 4.762%] ; Martina, Vasakova [Autor, 4.762%] ; Šustek, Petr [Autor, 4.782%] ; Holčapek, Tomáš [Autor, 4.782%]. – text. – [angličtina]. – [OV 180]. – [článok]. – WOS CC In: Anesteziologie &amp; intenzivní medicína [textový dokument (print)] [elektronický dokument] : časopis České společnosti anesteziologie, resuscitace a intenzivní medicíny a České společnosti intenzivní medicíny. – Praha (Česko) : Česká lékařská společnost Jana Evangelisty Purkyně. – ISSN 1214-2158. – ISSN (online) 1805-4412. – Roč. 31, č. 5 (2020), 249-255 [tlačená forma] [online] . – SNIP: 0.088 ; SJR: 0.127 ; CiteScore: 0.2 ; AIS: 0.005 AIS - Anesthesiology - Q4 Scimago - Anesthesiology and pain medicine - Q4, Critical care and intensive care medicine - Q4 </t>
  </si>
  <si>
    <t xml:space="preserve">Opowieściowy wzór przeznaczenia bohaterów / Čechová, Mariana [Autor, UKFFFAULK, 100%]. – text. – [poľština]. – [OV 020]. – [článok]. – SCO In: Porównania [elektronický dokument] . – Poznaň (Poľsko) : Uniwersytet im. Adama Mickiewicza w Poznaniu. – ISSN (online) 1733-165X. – Roč. 22, č. 1 (2018), s. 289-301 [online] . – SJR: 0,1 Scimago - Cultural studies - Q4, Literature and literary theory - Q4 </t>
  </si>
  <si>
    <t xml:space="preserve">Outcomes of Homework on Facebook : A Case Study from an English for Academic Purposes Course / Datko, Juraj [Autor, UKFPFAKLI, 100%]. – text. – [angličtina]. – [OV 010]. – [článok]. – SCO In: International Journal of Information and Education Technology [textový dokument (print)] . – Singapur (Singapur) : IACSIT Press. – ISSN 2010-3689. – Roč. 11, č. 7 (2021), s. 324-331 [tlačená forma] . – CiteScore: 1,3 ; SJR: 0,262 ; SNIP: 1,233 Scimago - Computer science applications - Q3, Education - Q3 </t>
  </si>
  <si>
    <t xml:space="preserve">Particular results of a research aimed at curricula design of teacher training in the area of didactic technological competences / Záhorec, Ján [Autor, UKOPDDPP, 34%] ; Hašková, Alena [Autor, UKFPFAKTT, 33%] ; Munk, Michal [Autor, UKFFPVKIN, 33%]. – text, graf., tab. – [angličtina]. – [OV 010]. – [článok]. – DOI 10.3991/ijep.v8i4.8184. – WOS CC ; SCO In: International Journal of Engineering Pedagogy [elektronický dokument] . – Viedeň (Rakúsko) : International Association of Online Engineering. – ISSN (online) 2192-4880. – Roč. 8, č. 4 (2018), s. 16-31 [online] </t>
  </si>
  <si>
    <t xml:space="preserve">Pavol Strauss - a genius outsider / Žilka, Tibor [Autor, UKFFSSUSJ, 100%]. – text. – [angličtina]. – [OV 020]. – [článok]. – SCO In: Porównania [elektronický dokument] . – Poznaň (Poľsko) : Uniwersytet im. Adama Mickiewicza w Poznaniu. – ISSN (online) 1733-165X. – Roč. 23, č. 2 (2018), s. 227-238 [online] . – SJR: 0,1 Scimago - Cultural studies - Q4, Literature and literary theory - Q4 </t>
  </si>
  <si>
    <t xml:space="preserve">Perceived autonomy support and motivation in young people: A comparative investigation of physical education and leisure-time in four countries / Soos, István [Autor, 11.112%] ; Dizmatsek, Ibolya [Autor, 11.111%] ; Ling, Jonathan [Autor, 11.111%] ; Ojelabi, Adedokun [Autor, 11.111%] ; Boros-Balint, Iulianna [Autor, 11.111%] ; Szabo, Peter [Autor, 11.111%] ; Szabo, Attila [Autor, 11.111%] ; Hamar, Pal [Autor, 11.111%] ; Šimonek, Jaromír [Autor, UKFPFAKTV, 11.111%]. – text. – [angličtina]. – [OV 210]. – [článok]. – DOI 10.5964/ejop.v15i3.1735. – WOS CC ; SCO In: Europe's Journal of Psychology [elektronický dokument] . – Trier (Nemecko) : PsychOpen. – ISSN (online) 1841-0413. – Roč. 15, č. 3 (2019), 509-530 [online] . – SJR: 0,508 ; CiteScore: 2,3 ; SNIP: 1,032 Scimago - Psychology (miscellaneous) - Q2 </t>
  </si>
  <si>
    <t xml:space="preserve">Personality disorder in marriage and partnership - a narrative review / Kasalová, Petra [Autor, 12.5%] ; Kantor, Kryštof [Autor, 12.5%] ; Praško Pavlov, Ján [Autor, UKFFSVKPV, 12.5%] ; Zaťková, Marta [Autor, UKFFSVKPV, 12.5%] ; Holubová, Michaela [Autor, 12.5%] ; Sedláčková, Zuzana [Autor, 12.5%] ; Šlepecký, Miloš [Autor, UKFFSVKPV, 12.5%] ; Grambal, Aleš [Autor, 12.5%]. – text. – [angličtina]. – [OV 060]. – [článok]. – WOS CC ; SCO In: Neuroendocrinology Letters [textový dokument (print)] [elektronický dokument] . – Štokholm (Švédsko) : Maghira and Maas Publications. – ISSN 0172-780X. – ISSN (online) 2354-4716. – Roč. 39, č. 3 (2018), 159-171 [tlačená forma] [online] . – IF: 0,698 ; SNIP: 0,405 ; SJR: 0,302 ; CiteScore: 1,5 JIF - Endocrinology &amp; metabolism - Q4, Neurosciences - Q4 Scimago - Endocrine and autonomic systems - Q4, Endocrinology - Q4, Endocrinology, diabetes and metabolism - Q3, Medicine (miscellaneous) - Q3, Neurology - Q4, Neurology (clinical) - Q3, Psychiatry and mental health - Q3 </t>
  </si>
  <si>
    <t xml:space="preserve">Personality variables in relation to the effect of feedback on the effect of overconfidence / Krause, Robert [Autor, UKFPFAKAP, 100%]. – text. – [angličtina]. – [OV 010]. – [článok]. – DOI 10.33225/pec/21.79.597. – WOS CC In: Problems of education in the 21st century [textový dokument (print)] [elektronický dokument] . – Šiauliai (Litva) : Scientia Socialis. – ISSN 1822-7864. – ISSN (online) 2538-7111. – Roč. 79, č. 4 (2021), 597-610 [tlačená forma] [online] . – SNIP: 1,261 ; AIS: 0.114 AIS - Education &amp; educational research - Q3 </t>
  </si>
  <si>
    <t xml:space="preserve">Person-centered approach in primary education / Jaslovská, Barbora [Autor, UKOPDPEP, 50%] ; Pisoňová, Mária [Autor, UKFPFAKPE, 50%]. – text, graf., tab.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8, č. 2 (2018), 113-119 [tlačená forma] [online] </t>
  </si>
  <si>
    <t xml:space="preserve">Person-marking constructions in impersonalising lyrical poetry. On a poetic feature of János Pilinszky's poetry / Tolcsvai Nagy, Gábor [Autor, UKFFSSUML, 100%]. – text. – [angličtina]. – [OV 020]. – [článok]. – SCO In: Magyar nyelvőr [textový dokument (print)] [elektronický dokument] : a magyar Tudományos Akadémia Magyar Nyelvi Bizottságának folyóirata. – Budapešť (Maďarsko) : Magyar Tudományos Akadémia. – ISSN 0025-0236. – ISSN (online) 1585-4515. – Roč. 142, č. 3 (2018), 280-297 [tlačená forma] [online] . – SJR: 0,208 ; CiteScore: 0,2 ; SNIP: 0,709 Scimago - Language and linguistics - Q2, Linguistics and language - Q2 </t>
  </si>
  <si>
    <t xml:space="preserve">Perspectives of Perfecting the Aural Skills of Sound Engineers / Brezina, Pavol [Autor, UKFPFAKHU, 100%].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10, č. 1 (2020), 50-54 [tlačená forma] [online] . – AIS: 0.021 AIS - Multidisciplinary sciences - Q4 </t>
  </si>
  <si>
    <t xml:space="preserve">Peru - the land of Inca descendants = Peru - dežela potomcev Inkov / Chalupa, Petr [Autor, 50%] ; Veselovský, Ján [Autor, UKFFPVKGR, 50%]. – text. – [angličtina, slovinčina]. – [OV 092]. – [článok]. – SCO In: Geografski obzornik [textový dokument (print)] . – Ľubľana (Slovinsko) : Zveza geografov Slovenije. – ISSN 0016-7274. – Roč. 65, č. 3-4 (2018), s. 43-51 [tlačená forma] . – SJR: 0,1 ; CiteScore: 0,2 ; SNIP: 0,5 Scimago - Earth-surface processes - Q4, Geography, planning and development - Q4 </t>
  </si>
  <si>
    <t xml:space="preserve">Pet'uša Castle: An aristocratic seat or a toll station? Comparison of archaeological and historical sources / Beljak Pažinová, Noémi [Autor, UKFFFAKAR, 80%] ; Ragač, Radoslav [Autor, 20%]. – text. – [angličtina]. – [OV 030]. – [článok]. – DOI 10.5817/AH2018-1-10. – SCO In: Archaeologia historica [textový dokument (print)] [elektronický dokument] . – Brno (Česko) : Masarykova univerzita. Filozofická fakulta. – ISSN 0231-5823. – ISSN (online) 2336-4386. – Roč. 43, č. 1 (2018), s. 187-201 [tlačená forma] [online] . – SJR: 0,210 ; CiteScore: 0,4 ; SNIP: 0,602 Scimago - Archeology - Q2, Archeology (arts and humanities) - Q2, History - Q1 </t>
  </si>
  <si>
    <t xml:space="preserve">Phenomena of Recycling in the Context of the Current Independent Scene in Slovakia / Ballay, Miroslav [Autor, UKFFFAKKU, 100%]. – text. – [angličtina]. – [OV 040]. – [článok]. – SCO In: Critical Stages [elektronický dokument] . – Paríž (Francúzsko) : International Association of Theatre Critics. – ISSN (online) 2409-7411. – č. 24 (2021), s. 1-8 [online] </t>
  </si>
  <si>
    <t xml:space="preserve">Philosophy for children (P4C) in non-formal education / Pintes, Gábor [Autor, UKFPFAKPE, 50%] ; Borisová, Simona [Autor, UKFPFAKPE, 50%].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9, č. 2 (2019), 272-278 [tlačená forma] [online] </t>
  </si>
  <si>
    <t xml:space="preserve">Physical fitness and level of body components in the 11-15-year old population in west Slovakia / Halmová, Nora [Autor, UKFPFAKTV, 34%] ; Kanásová, Janka [Autor, UKFPFAKTV, 33%] ; Šiška, Ľuboslav [Autor, UKFPFAKTV, 33%]. – text. – [angličtina]. – [OV 210]. – [článok]. – DOI 10.23829/TSS.2019.26.1-3. – SCO In: Trends in sport sciences [elektronický dokument] [textový dokument (print)] . – Poznaň (Poľsko) : Akademia Wychowania Fizycznego w Poznaniu. – ISSN 2299-9590. – ISSN (online) 2391-436X. – Roč. 26, č. 1 (2019), s. 21-26 [tlačená forma] [online] . – SNIP: 0,473 ; SJR: 0,176 ; CiteScore: 0,50 Scimago - Orthopedics and sports medicine - Q4, Physical therapy, sports therapy and rehabilitation - Q4 </t>
  </si>
  <si>
    <t xml:space="preserve">Pillar 3: Does banking regulation support stakeholders' interest in banks financial and risk profile? / Pilková, Anna [Autor, UKOMAKSP, 20%] ; Munk, Michal [Autor, UKFFPVKIN, 20%] ; Benko, Ľubomír [Autor, UKFFPVKIN, 20%] ; Blažeková, Petra [Autor, 20%] ; Kapusta, Jozef [Autor, UKFFPVKIN, 20%]. – text. – [angličtina]. – [OV 160, 080]. – [článok]. – DOI 10.1371/journal.pone.0258449. – WOS CC ; SCO In: PLoS One [elektronický dokument] . – San Francisco (USA) : Public Library of Science. – ISSN (online) 1932-6203. – Roč. 16, č. 10 (2021), s. 1-22 [online] . – IF: 3,752 ; SNIP: 1,368 ; SJR: 0,852 ; CiteScore: 5,60 ; AIS: 0.974 AIS - Multidisciplinary sciences - Q2 JIF - Multidisciplinary sciences - Q2 Scimago - Multidisciplinary - Q1 </t>
  </si>
  <si>
    <t xml:space="preserve">Planning education - assessment of the competence (case study) / Gadušová, Zdenka [Korešpondenčný autor, UKFFFAKAA, 35%] ; Malá, Eva [Autor, 30%] ; Predanocyová, Ľubica [Autor, UKFFFAKFI, 35%].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10, č. 1 (2020), 82-86 [tlačená forma] [online] . – AIS: 0.021 AIS - Multidisciplinary sciences - Q4 </t>
  </si>
  <si>
    <t xml:space="preserve">Positive and negative symptoms in schizophrenia and their relation to depression, anxiety, hope, self-stigma and personality traits - a cross-sectional study / Vrbová, Kristýna [Autor, 5%] ; Praško Pavlov, Ján [Autor, UKFFSVKPV, 35%] ; Holubová, Michaela [Autor, 5%] ; Šlepecký, Miloš [Autor, UKFFSVKPV, 50%] ; Ocisková, Marie [Autor, 5%]. – text. – [angličtina]. – [OV 060]. – [článok]. – WOS CC ; SCO In: Neuroendocrinology Letters [textový dokument (print)] [elektronický dokument] . – Štokholm (Švédsko) : Maghira and Maas Publications. – ISSN 0172-780X. – ISSN (online) 2354-4716. – Roč. 39, č. 1 (2018), s. 9-18 [tlačená forma] [online] . – IF: 0,698 ; SNIP: 0,405 ; SJR: 0,302 ; CiteScore: 1,5 JIF - Endocrinology &amp; metabolism - Q4, Neurosciences - Q4 Scimago - Endocrine and autonomic systems - Q4, Endocrinology - Q4, Endocrinology, diabetes and metabolism - Q3, Medicine (miscellaneous) - Q3, Neurology - Q4, Neurology (clinical) - Q3, Psychiatry and mental health - Q3 </t>
  </si>
  <si>
    <t xml:space="preserve">Positive Views and Challenges of Using Project Work in ESP Lessons / Kováčiková, Elena [Autor, UKFPFAKLI, 50%] ; Kráľová, Zdena [Autor, UKFPFAKLI, 50%]. – text. – [angličtina]. – [OV 010]. – [článok]. – DOI 10.22190/JTESAP2101031K. – WOS CC ; SCO In: Journal of Teaching English for Specific and Academic Purposes [textový dokument (print)] [elektronický dokument] . – Niš (Srbsko) : Univerzitet u Nišu. – ISSN 2334-9182. – ISSN (online) 2334-9212. – Roč. 9, č. 1 (2021), s. 31-41 [tlačená forma] [online] . – CiteScore: 0.1 ; SJR: 0.126 ; Nordic List: 1 ; SNIP: 0,018 ; AIS: 0.039 AIS - Education &amp; educational research - Q4 Scimago - Education - Q4 </t>
  </si>
  <si>
    <t xml:space="preserve">Possibilities for Developing Beer Routes in Slovakia / Krogmann, Alfred [Autor, UKFFPVKGR, 22%] ; Mróz, Franciszek [Autor, 6%] ; Dvořáková Líšková, Zuzana [Autor, 6%] ; Dubcová, Alena [Autor, UKFFPVKGR, 22%] ; Nemčíková, Magdaléna [Autor, UKFFPVKGR, 22%] ; Oremusová, Daša [Autor, UKFFPVKGR, 22%]. – text. – [angličtina]. – [OV 092]. – [článok]. – DOI 10.24917/20801653.343.3. – WOS CC In: Prace Komisji Geografii Przemysłu Polskiego Towarzystwa Geograficznego [textový dokument (print)] [elektronický dokument] . – Krakow (Poľsko) : Uniwersytet Pedagogiczny im. Komisji Edukacji Narodowej w Krakowie. – ISSN 2080-1653. – ISSN (online) 2449-903X. – Roč. 34, č. 3 (2020), s. 36-52 [tlačená forma] . – AIS: 0.027 AIS - Geography - Q4 </t>
  </si>
  <si>
    <t xml:space="preserve">Postcolonialism in Central Europe / Tolcsvai Nagy, Gábor [Autor, UKFFSSUML, 100%]. – text. – [angličtina]. – [OV 020, 010]. – [článok]. – DOI 10.1556/044.2020.00005. – SCO In: Hungarian Studies [textový dokument (print)] [elektronický dokument] : A Journal of the International Association for Hungarian Studies. – Budapešť (Maďarsko) : Akadémiai Kiadó. – ISSN 0236-6568. – ISSN (online) 1588-2772. – Roč. 34, č. 1 (2020), 47-59 [tlačená forma] [online] . – SJR: 0,1 ; CiteScore: 0,1 ; SNIP: 0,49 Scimago - Arts and humanities (miscellaneous) - Q4, Social sciences (miscellaneous) - Q4 </t>
  </si>
  <si>
    <t xml:space="preserve">Post-traumatic Stress Disorder in The Sun Also Rises / Briedik, Adam [Autor, UKFFFAKAA, 100%]. – text. – [angličtina]. – [OV 020]. – [článok]. – SCO In: The International Journal of Literary Humanities [textový dokument (print)] [elektronický dokument] . – Champaign (USA) : University of Illinois Research Park. – ISSN 2327-7912. – ISSN (online) 2327-8676. – DOI 10.18848/2327-7912/CGP. – Roč. 18, č. 2 (2020), s. 103-115 [tlačená forma] [online] . – SJR: 0,101 ; CiteScore: 0,1 ; SNIP: 0,307 Scimago - Literature and literary theory - Q4 </t>
  </si>
  <si>
    <t xml:space="preserve">Potential effets of ginkgo (Ginkgo biloba, L.) on female reproduction / Sirotkin, Alexander [Autor, UKFFPVKZA, 100%]. – text. – [angličtina]. – [OV 130]. – [článok]. – DOI 10.1016/j.repbio.2021.100568. – WOS CC ; SCO In: Reproductive Biology [textový dokument (print)] [elektronický dokument] . – Olsztyn (Poľsko) : Institute of Animal Reproduction and Food Research of the Polish Academy of Sciences. – ISSN 1642-431X. – ISSN (online) 2300-732X. – Roč. 21, č. 4 (2021), s. 1-8 [tlačená forma] [online] . – CiteScore: 3,4 ; IF: 2.089 ; SJR: 0,514 ; SNIP: 0,754 ; AIS: 0.457 AIS - Reproductive biology - Q4 JIF - Reproductive biology - Q4 Scimago - Animal science and zoology - Q2, Developmental biology - Q3, Endocrinology - Q3 </t>
  </si>
  <si>
    <t xml:space="preserve">Potrzeba ekumenizmu w opinii młodzieży słowackiej / Štefaňak, Ondrej [Autor, UKFFFAKSO, 100%]. – text. – [poľština]. – [OV 060]. – [článok]. – DOI 10.36124/rt.2020.42. – SCO In: Rocznik Teologiczny [textový dokument (print)] . – Waršava (Poľsko) : Wydawnictwo Naukowe ChAT. – ISSN 0239-2550. – Roč. 62, č. 3 (2020), s. 999-1011 [tlačená forma] . – CiteScore: 0,1 </t>
  </si>
  <si>
    <t xml:space="preserve">Poverty, segregation and social exclusion of Roma communities in Slovakia / Rochovská, Alena [Autor, UKOPRZHG, 50%] ; Rusnáková, Jurina [Autor, UKFFSVURS, 50%]. – text, tab., obr. – [angličtina]. – [OV 092]. – [článok]. – SIGN-UKO PR 1005/18. – WOS CC ; SCO In: Bulletin of geography [textový dokument (print)] [elektronický dokument] : Socio-economic series. – Warsaw (Poľsko) : De Gruyter. – ISSN 1732-4254. – ISSN (online) 2083-8298. – č. 42 (2018), s. 195-212 [tlačená forma] [online] . – SJR: 0,218 ; CiteScore: 1,7 ; SNIP: 0,614 Scimago - Cultural studies - Q2, Demography - Q3, Geography, planning and development - Q3, Urban studies - Q3 </t>
  </si>
  <si>
    <t xml:space="preserve">Preconceptions about the selected phenomenon of “success” as a potential identification tool for giftedness in children of pre-primary education / Duchovičová, Jana [Autor, UKFPFAKPE, 50%] ; Koleňáková, Rebeka Štefánia [Autor, UKFPFAKPE, 50%].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10, č. 2 (2020), s. 56-63 [tlačená forma] [online] . – AIS: 0.021 AIS - Multidisciplinary sciences - Q4 </t>
  </si>
  <si>
    <t xml:space="preserve">Prediction of ecological importance of carabidae biotopes using community index of the ground beetles (IKS) in the southern part of Central Slovakia / Langraf, Vladimír [Autor, 27%] ; Petrovičová, Kornélia [Autor, SPUFAP26, 26%] ; David, Stanislav [Autor, UKFFPVKEE, 26%] ; Svoradová, Andrea [Autor, 15%] ; Schlarmannová, Janka [Autor, UKFFPVKZA, 6%]. – text. – [angličtina]. – [OV 100]. – [článok]. – DOI 10.15666/aeer/1801_11971210. – WOS CC ; SCO In: Applied Ecology and Environmental Research [textový dokument (print)] [elektronický dokument] : international scientific journal. – Budapešť (Maďarsko) : Applied Ecological Research and Forensic Institute. – ISSN 1589-1623. – ISSN (online) 1785-0037. – Roč. 18, č. 1 (2020), 1197-1210 [tlačená forma] [online] . – SJR: 1,234 ; CiteScore: 1,1 ; SNIP: 0,432 ; IF: 0.711 ; AIS: 0.121 AIS - Ecology - Q4, Environmental sciences - Q4 JIF - Ecology - Q4, Environmental sciences - Q4 Scimago - Agronomy and crop science - Q3, Ecology, evolution, behavior and systematics - Q4 </t>
  </si>
  <si>
    <t xml:space="preserve">Prediction of stock indices using artificial neural networks and technical indicators / Urbaníková, Marta [Autor, UKFFPVUMI, 35%] ; Štubňová, Michaela [Autor, UKFFPVUMI, 35%] ; Hudáková, Jarmila [Autor, UKFFPVUMI, 15%] ; Papcunová, Viera [Autor, UKFFPVUMI, 15%]. – text. – [angličtina]. – [OV 060]. – [článok]. – WOS CC In: AD ALTA [textový dokument (print)] [elektronický dokument] : journal of interdisciplinary research = recenzovaný mezioborový vědecký časopis. – Hradec Králové (Česko) : Magnanimitas akademické sdružení. – ISSN 1804-7890. – ISSN (online) 2464-6733. – Roč. 11, č. 1 (2021), s. 358-364 [tlačená forma] [online] . – AIS: 0.028 AIS - Multidisciplinary sciences - Q4 </t>
  </si>
  <si>
    <t xml:space="preserve">Preparation for old age as part of the adaptation to old age / Müller De Morais, Marianna [Autor, UKFPFAKPE, 100%].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9, č. 2 (2019), 215-219 [tlačená forma] [online] </t>
  </si>
  <si>
    <t xml:space="preserve">Princíp spoluvykúpenia ako esencia fatimsky inšpirovanej mariológie Pavla M. Hnilicu: historicko - teologická štúdia = Co - redemption as the Essence of the Mariology of Pavol M. Hnilica as Inspired by the Messages of Fatima / Hlad, Ľubomír [Autor, UKFFFAKNS, 100%]. – text. – [slovenčina]. – [OV 020]. – [článok]. – DOI 10.5507/sth.2020.054. – WOS CC ; SCO In: Studia Theologica [textový dokument (print)] [elektronický dokument] . – Olomouc (Česko) : Univerzita Palackého v Olomouci. Cyrilometodějská teologická fakulta. – ISSN 1212-8570. – ISSN (online) 2570-9798. – TUTPR signatúra E007353. – Roč. 23, č. 2 (2021), s. 125-150 [tlačená forma] [online] . – CiteScore: 0,2 ; SJR: 0,14 ; SNIP: 0,089 ; AIS: 0.010 AIS - Religion - Q4 Scimago - Religious studies - Q2 </t>
  </si>
  <si>
    <t xml:space="preserve">Professionally oriented training of specialists to work in the conditions of the inclusive educational environment / Tohochynskyi, Olekcii [Autor, 33%] ; Yermak, Serhii [Autor, 15%] ; Popryzhna, Alla [Autor, 10%] ; Tvrdoň, Miroslav [Autor, UKFFSVKSP, 32%] ; Oleksiuk, Nataliya [Autor, 10%]. – text. – [angličtina]. – [OV 060]. – [článok]. – DOI 10.18844/CJES.V16I3.5845. – SCO In: Cypriot Journal of Educational Sciences [textový dokument (print)] . – Nicosia (Cyprus) : SciencePark Research, Organization &amp; Counseling. – ISSN 1305-905X. – Roč. 16, č. 3 (2021), 1244-1254 [tlačená forma] . – CiteScore: 1,1 ; SJR: 0,22 ; SNIP: 0,71 Scimago - Education - Q3 </t>
  </si>
  <si>
    <t xml:space="preserve">Project-based learning and its effectiveness: evidence from Slovakia / Maroš, Milan [Autor, UKFFPVUMI, 33%] ; Korenková, Marcela [Autor, UKFFPVUMI, 33%] ; Fiľa, Milan [Autor, UKFFPVUMI, 15%] ; Levický, Michal [Autor, UKFFPVUMI, 15%] ; Schoberová, Mária [Autor, UKFFPVUMI, 4%]. – text. – [angličtina]. – [OV 060]. – [článok]. – DOI 10.1080/10494820.2021.1954036. – WOS CC ; SCO In: Interactive Learning Environments [textový dokument (print)] . – Londýn (Veľká Británia) : Taylor &amp; Francis Group. – ISSN 1049-4820. – ISSN (online) 1744-5191. – Roč. 29, č. 3 (2021), s. 1-16 [tlačená forma] . – CiteScore: 7,2 ; IF: 4.965 ; SJR: 1,165 ; SNIP: 1,761 ; AIS: 0.847 AIS - Education &amp; educational research - Q2 JIF - Education &amp; educational research - Q1 Scimago - Computer science applications - Q1, E-learning - Q1, Education - Q1 </t>
  </si>
  <si>
    <t xml:space="preserve">Projekt obnova dediny: Lokálne stratégie starostlivosti o kultúrne dedičstvo a ich vplyv na kvalitu každodenného života vo vidieckom prostredí na Slovensku = Project “The Restoration of the Countryside“: Local strategies in the care of cultural heritage and their influence on the quality of everyday life in rural environme / Beňušková, Zuzana [Autor, UKFFFAKEF, 100%]. – text. – [slovenčina]. – [OV 030]. – [článok]. – SCO In: Národopisná revue [textový dokument (print)] [elektronický dokument] . – Strážnice (Česko) : Národní ústav lidové kultury. – ISSN 0862-8351. – ISSN (online) 2570-9437. – Roč. 29, č. 4 (2019), s. 287-297 [tlačená forma] [online] . – SNIP: 0,136 ; SJR: 0,111 ; CiteScore: 0,2 Scimago - Anthropology - Q4, Cultural studies - Q3 </t>
  </si>
  <si>
    <t xml:space="preserve">Proposal for the combustion method of liquid radioactive ion exchange resins. Case study / Tureková, Ivana [Autor, UKFPFAKTT, 60%] ; Marková, Iveta [Autor, UMBFP04, 30%] ; Fridrich, Vladimír [Autor, 10%]. – text. – [angličtina]. – [OV 010]. – [článok]. – SCO In: Waste forum [elektronický dokument] [textový dokument (print)] : recenzovaný časopis pro výsledky výzkumu a vývoje pro odpadové hospodářství. – Praha (Česko) : České ekologické manažerské centrum. – ISSN (online) 1804-0195. – č. 3 (2018), s. 336-345 [online] [tlačená forma] . – SJR: 0,117 ; CiteScore: 0,1 ; SNIP: 0,005 Scimago - Environmental chemistry - Q4, Environmental engineering - Q4, Waste management and disposal - Q4 </t>
  </si>
  <si>
    <t xml:space="preserve">Proposal of a Relational Database (SQL) for Zoological Research of Epigeic Synusion / Langraf, Vladimír [Autor, UKFFPVKZA, 56%] ; Petrovičová, Kornélia [Autor, SPUFAP26, 20%] ; David, Stanislav [Autor, UKFFPVKEE, 7%] ; Krumpálová, Zuzana [Autor, UKFFPVKEE, 7%] ; Purkart, Adrián [Autor, UKOPRBZO, 5%] ; Schlarmannová, Janka [Autor, UKFFPVKZA, 5%]. – text, obr. – [angličtina]. – [OV 100, 130]. – [článok]. – DOI 10.13164/mendel.2021.1.023. – SIGN-UKO PR 558/21. – SCO In: MENDEL [textový dokument (print)] [elektronický dokument] : soft computing journal. – Brno (Česko) : Vysoké učení technické v Brně. – ISSN 1803-3814. – ISSN (online) 2571-3701. – Roč. 27, č. 1 (2021), s. 23-28 [tlačená forma] [online] . – CiteScore: 1,1 ; SJR: 0,199 ; SNIP: 0,447 Scimago - Artificial intelligence - Q4, Computational mathematics - Q4, Computer science (miscellaneous) - Q4, Control and systems engineering - Q4, Decision sciences (miscellaneous) - Q4, Theoretical computer science - Q4 </t>
  </si>
  <si>
    <t xml:space="preserve">Psychological bases of developing social competences of seniors with disability / Müller De Morais, Marianna [Autor, UKFPFAKPE, 50%] ; Rapsová, Lucia [Autor, UKFPFAKPE, 50%]. – text. – [angličtina]. – [OV 010]. – [článok]. – WOS CC ; SCO In: Australian Journal of Adult Learning [textový dokument (print)] . – Canberra (Austrália) : Adult Learning Australia. – ISSN 1443-1394. – Roč. 59, č. 2 (2019), 269-292 [tlačená forma] . – SJR: 0,274 ; CiteScore: 0,9 ; SNIP: 0,627 ; IF: 0.467 JIF - Education &amp; educational research - Q4 Scimago - E-learning - Q3, Education - Q3 </t>
  </si>
  <si>
    <t xml:space="preserve">Puncturevine (Tribulus terrestris L.) affects the proliferation, apoptosis, and ghrelin response of ovarian cells / Sirotkin, Alexander [Autor, UKFFPVKZA, 50%] ; Alexa, Richard [Autor, 25%] ; Harath, Abdel Halim [Autor, 25%]. – text. – [angličtina]. – [OV 190]. – [článok]. – DOI 10.1016/j.repbio.2019.12.009. – WOS CC ; SCO In: Reproductive Biology [textový dokument (print)] [elektronický dokument] . – Olsztyn (Poľsko) : Institute of Animal Reproduction and Food Research of the Polish Academy of Sciences. – ISSN 1642-431X. – ISSN (online) 2300-732X. – Roč. 20, č. 1 (2020), s. 33-36 [tlačená forma] [online] . – SJR: 0,646 ; CiteScore: 3,1 ; SNIP: 0,755 ; IF: 2.376 ; AIS: 0.516 AIS - Reproductive biology - Q4 JIF - Reproductive biology - Q4 Scimago - Animal science and zoology - Q1, Developmental biology - Q3, Endocrinology - Q3 </t>
  </si>
  <si>
    <t xml:space="preserve">Quality assessment of the university classroom lighting - A case study / Tureková, Ivana [Autor, UKFPFAKTT, 34%] ; Lukáčová, Danka [Autor, UKFPFAKTT, 33%] ; Bánesz, Gabriel [Autor, UKFPFAKTT, 33%]. – text. – [angličtina]. – [OV 010]. – [článok]. – DOI 10.18421/TEM74-21. – WOS CC ; SCO In: TEM Journal [textový dokument (print)] [elektronický dokument] : Technology, Education, Management, Informatics. – Novi Pazar (Srbsko) : Association for Information Communication Technology Education and Science. – ISSN 2217-8309. – ISSN (online) 2217-8333. – Roč. 7, č. 4 (2018), s. 829-836 [tlačená forma] [online] . – SJR: 0,148 ; CiteScore: 0,4 ; SNIP: 0,538 Scimago - Computer science (miscellaneous) - Q4, Education - Q4, Information systems - Q4, Information systems and management - Q4, Management of technology and innovation - Q4, Strategy and management - Q4 </t>
  </si>
  <si>
    <t xml:space="preserve">Quality assurance of informatics education within tertiary economy and managerial study fields / Záhorec, Ján [Autor, UKOPDDPP, 40%] ; Hašková, Alena [Autor, UKFPFAKTT, 35%] ; Munk, Michal [Autor, UKFFPVKIN, 15%] ; Bílek, Martin [Autor, 10%]. – text, graf., tab. – [angličtina]. – [OV 010]. – [článok]. – [recenzované]. – WOS CC ; SCO In: Problems of education in the 21st century [textový dokument (print)] [elektronický dokument] . – Šiauliai (Litva) : Scientia Socialis. – ISSN 1822-7864. – ISSN (online) 2538-7111. – Roč. 76, č. 2 (2018), s. 250-278 [tlačená forma] [online] . – SJR: 0,125 ; CiteScore: 0,3 ; SNIP: 0,263 Scimago - Education - Q4 </t>
  </si>
  <si>
    <t xml:space="preserve">Quality of close relations and risk behavior of adolescents in the system of lower secondary education in Slovakia / Čerešník, Michal [Autor, UKFPFAKAP, 100%]. – text. – [angličtina]. – [OV 060, 010]. – [článok]. – WOS CC In: AD ALTA [textový dokument (print)] [elektronický dokument] : journal of interdisciplinary research = recenzovaný mezioborový vědecký časopis. – Hradec Králové (Česko) : Magnanimitas akademické sdružení. – ISSN 1804-7890. – ISSN (online) 2464-6733. – Roč. 9, č. 1 (2019), 29-33 [tlačená forma] [online] </t>
  </si>
  <si>
    <t xml:space="preserve">Rabbinic Judaism's perspective on the first crimes against humanity / Roubalová, Marie [Autor, 15%] ; Králik, Roman [Autor, 35%] ; Zaitseva, Natalia A. [Autor, 4%] ; Anikin, George S. [Autor, 3%] ; Popova, Olga V. [Autor, 3%] ; Kondrla, Peter [Autor, UKFFFAKNS, 40%]. – [angličtina]. – [OV 010]. – [článok]. – DOI 10.34291/BV2021/01/ROUBALOVA. – WOS CC ; SCO In: Bogoslovni vestnik [textový dokument (print)] [elektronický dokument] : glasilo Teološke fakultete v Ljubljani. – Ljubljana (Slovinsko) : Univerza v Ljubljani. – ISSN 0006-5722. – ISSN (online) 1581-2987. – Roč. 81, č. 1 (2021), 57-74 [tlačená forma] [online] . – CiteScore: 1,9 ; SJR: 0,368 ; SNIP: 1,391 ; AIS: 0.228 AIS - Religion - Q2 Scimago - Religious studies - Q1 </t>
  </si>
  <si>
    <t xml:space="preserve">Real Time Facial Expression Recognition Using Webcam and SDK Affectiva / Magdin, Martin [Autor, UKFFPVKIN, 90%] ; Prikler, Filip [Autor, 10%]. – text. – [angličtina]. – [OV 160]. – [článok]. – DOI 10.9781/ijimai.2017.11.002. – WOS CC In: International Journal of Interactive Multimedia and Artificial Intelligence [elektronický dokument] . – Logroño (Španielsko) : Universidad Internacional de La Rioja. – ISSN 1989-1660. – Roč. 5, č. 1 (2018), s. 7-15 [online] </t>
  </si>
  <si>
    <t xml:space="preserve">Reflection of the Life and Work of Cyril and Methodius in Television, Film and Internet Production from the 1980s to the Present / Timko, Štefan [Autor, UKFFSSUSJ, 100%]. – text. – [angličtina]. – [OV 020]. – [článok]. – DOI 10.17846/CL.2019.12.1.159-171. – WOS CC ; SCO In: Konštantínove listy [textový dokument (print)] [elektronický dokument] . – Nitra (Slovensko) : Univerzita Konštantína Filozofa v Nitre. Filozofická fakulta. Ústav pre výskum kultúrneho dedičstva Konštantína a Metoda. – ISSN 1337-8740. – ISSN (online) 2453-7675. – Roč. 12, č. 1 (2019), 159-171 [tlačená forma] [online] . – SNIP: 0,608 ; SJR: 0,342 ; CiteScore: 1,1 Scimago - History - Q1, Philosophy - Q1, Religious studies - Q1 </t>
  </si>
  <si>
    <t xml:space="preserve">Relationship between reactive agility, cognitive abilities, and intelligence in adolescents / Horička, Pavol [Korešpondenčný autor, UKFPFAKTV, 34%] ; Šimonek, Jaromír [Autor, UKFPFAKTV, 33%] ; Paška, Ľubomír [Autor, UKFPFAKTV, 33%]. – text. – [angličtina]. – [OV 010]. – [článok]. – DOI 10.7752/jpes.2020.s3304. – SCO In: Journal of physical education and sport [elektronický dokument] [textový dokument (print)] . – Pitesti, Arges (Rumunsko) : Universitatea din Pitesti. – ISSN 2247-8051. – ISSN (online) 2247-806X. – suppl. Supplement issue Roč. 20, č. 4 (2020), 2263-2268 [online] [tlačená forma] . – SNIP: 0,678 ; SJR: 0,346 ; CiteScore: 2,10 Scimago - Physical therapy, sports therapy and rehabilitation - Q3, Sports science - Q4 </t>
  </si>
  <si>
    <t xml:space="preserve">Relationship between risk behavior of pubescents and characteristics of their family environment / Verešová, Marcela [Autor, UKFPFAKAP, 80%] ; Mujkošová, Kristína [Autor, 20%]. – text. – [angličtina]. – [OV 010]. – [článok]. – DOI 10.33543/1002. – WOS CC In: AD ALTA [textový dokument (print)] [elektronický dokument] : journal of interdisciplinary research = recenzovaný mezioborový vědecký časopis. – Hradec Králové (Česko) : Magnanimitas akademické sdružení. – ISSN 1804-7890. – ISSN (online) 2464-6733. – Roč. 10, č. 2 (2020), s. 331-335 [tlačená forma] [online] . – AIS: 0.021 AIS - Multidisciplinary sciences - Q4 </t>
  </si>
  <si>
    <t xml:space="preserve">Relationship of labour costs and labour productivity with foreign direct investment in the v4 countries / Hudáková, Jarmila [Autor, UKFFPVUMI, 35%] ; Papcunová, Viera [Autor, UKFFPVUMI, 35%] ; Štubňová, Michaela [Autor, UKFFPVUMI, 15%] ; Urbaníková, Marta [Autor, UKFFPVUMI, 15%]. – text. – [angličtina]. – [OV 060]. – [článok]. – DOI 10.17512/pjms.2020.22.2.12. – WOS CC ; SCO In: Polish Journal of Management Studies [textový dokument (print)] [elektronický dokument] . – Czestochowa (Poľsko) : Politechnika Częstochowska. Wydział Zarządzania. – ISSN 2081-7452. – WOS IDS number EL7KG. – Roč. 22, č. 2 (2020), 173-186 [tlačená forma] [online] . – SJR: 0,319 ; CiteScore: 3,8 ; SNIP: 0,908 ; AIS: 0.127 AIS - Management - Q3 Scimago - Business and international management - Q3, Organizational behavior and human resource management - Q3, Strategy and management - Q3 </t>
  </si>
  <si>
    <t xml:space="preserve">Religious and museum tourism to Museum of the Holy Father John Paul II Family Home in Wadowice / Mróz, Franciszek [Autor, 25%] ; Krogmann, Alfred [Autor, UKFFPVKGR, 25%] ; Nemčíková, Magdaléna [Autor, UKFFPVKGR, 25%] ; Oremusová, Daša [Autor, UKFFPVKGR, 25%]. – text. – [angličtina]. – [OV 092]. – [článok]. – DOI 10.24917/20801653.354.9. – WOS CC In: Prace Komisji Geografii Przemysłu Polskiego Towarzystwa Geograficznego [textový dokument (print)] [elektronický dokument] . – Krakow (Poľsko) : Uniwersytet Pedagogiczny im. Komisji Edukacji Narodowej w Krakowie. – ISSN 2080-1653. – ISSN (online) 2449-903X. – Roč. 35, č. 4 (2021), s. 145-162 [tlačená forma] . – AIS: 0.041 AIS - Geography - Q4 </t>
  </si>
  <si>
    <t xml:space="preserve">Religious tolerance and intolerance / Žalec, Bojan [Autor, 50%] ; Pavlíková, Martina [Autor, UKFFFAKZU, 50%]. – text. – [angličtina]. – [OV 020]. – [článok]. – WOS CC ; SCO In: European Journal of Science and Theology [textový dokument (print)] [elektronický dokument] . – Jasy (Rumunsko) : Academic organisation for environmental engineering and sustainable development. – ISSN 1841-0464. – ISSN (online) 1842-8517. – Roč. 15, č. 5 (2019), 39-48 [tlačená forma] [online] . – SNIP: 0,697 ; SJR: 0,35 ; CiteScore: 1,6 Scimago - Engineering (miscellaneous) - Q2, History and philosophy of science - Q2, Multidisciplinary - Q1, Religious studies - Q1 </t>
  </si>
  <si>
    <t xml:space="preserve">Remediation of Dysfunctional Families / Minarovičová, Katarína [Autor, UKFFSVKSP, 100%]. – text. – [angličtina]. – [OV 060]. – [článok]. – DOI 10.22359/cswhi_9_2_10. – WOS CC In: Clinical Social Work and Health Intervention [textový dokument (print)] [elektronický dokument] . – Viedeň (Rakúsko) : Gesellschaft für angewandte Präventionsmedizin. – ISSN 2222-386X. – ISSN (online) 2076-9741. – Roč. 9, č. 2 (2018), s. 70-74 [tlačená forma] [online] </t>
  </si>
  <si>
    <t xml:space="preserve">Rényi entropy of fuzzy dynamical systems / Eslami Giski, Zahra [Autor, 33.334%] ; Ebrahimzadeh, Abolfazl [Autor, 33.333%] ; Markechová, Dagmar [Autor, UKFFPVKMA, 33.333%]. – text. – [angličtina]. – [OV 240]. – [článok]. – DOI 10.1016/j.chaos.2019.01.039. – WOS CC ; SCO In: Chaos, Solitons &amp; Fractals [textový dokument (print)] [elektronický dokument] : an Interdisciplinary Journal of Nonlinear Science. – Amsterdam (Holandsko) : Elsevier. Elsevier Science, Oxford (Veľká Británia) : Elsevier. Pergamon Press. – ISSN 0960-0779. – ISSN (online) 1873-2887. – č. 123 (2019), 244-253 [tlačená forma] [online] . – SJR: 1,036 ; CiteScore: 5,9 ; SNIP: 1,38 ; IF: 3.764 JIF - Mathematics, interdisciplinary applications - Q1, Physics, mathematical - Q1, Physics, multidisciplinary - Q1 Scimago - Applied mathematics - Q1, Mathematics (miscellaneous) - Q1, Physics and astronomy (miscellaneous) - Q1, Statistical and nonlinear physics - Q1 </t>
  </si>
  <si>
    <t xml:space="preserve">Reproductive biology of two edible honeysuckles [Lonicera edulis Turcz. ex Freyn., Lonicera kamtchatica (Sevast.) Pojark.] in the conditions of Southwestern Slovakia / Ďurišová, Ľuba [Autor, SPUFAP26, 25%] ; Juríková, Tünde [Autor, UKFFSSUVP, 25%] ; Eliáš, Pavol [Autor, SPUFAP26, 25%] ; Mlček, Jiří [Autor, 25%]. – [angličtina]. – [OV 190]. – [článok]. – WOS CC ; SCO In: Acta Scientiarum Polonorum [textový dokument (print)] [elektronický dokument] : Hortorum Cultus = Ogrodnictwo. – Lublin (Poľsko) : Uniwersytet Przyrodniczy w Lublinie. Wydawnictwo Uniwersytetu Przyrodniczego w Lublinie. – ISSN 1644-0692. – ISSN (online) 2545-1405. – Roč. 19, č. 3 (2020), s. 63-72 [tlačená forma] [online] . – SJR: 0,252 ; CiteScore: 1 ; SNIP: 0,459 ; IF: 0.673 ; AIS: 0.115 AIS - Horticulture - Q4 JIF - Horticulture - Q4 Scimago - Horticulture - Q3, Plant science - Q3 </t>
  </si>
  <si>
    <t xml:space="preserve">Research at the institute of Hungarian linguistics and literary science in Nitra / Vančo, Ildikó [Autor, UKFFSSUML, 100%]. – text. – [angličtina]. – [OV 020, 010]. – [článok]. – DOI 10.1556/044.2020.00001. – SCO In: Hungarian Studies [textový dokument (print)] [elektronický dokument] : A Journal of the International Association for Hungarian Studies. – Budapešť (Maďarsko) : Akadémiai Kiadó. – ISSN 0236-6568. – ISSN (online) 1588-2772. – Roč. 34, č. 1 (2020), 1-6 [tlačená forma] [online] . – SJR: 0,1 ; CiteScore: 0,1 ; SNIP: 0,49 Scimago - Arts and humanities (miscellaneous) - Q4, Social sciences (miscellaneous) - Q4 </t>
  </si>
  <si>
    <t xml:space="preserve">Responses to the challenges of fast digital conversion, in the light of international research results - A comparative look at virtual spaces / Nagy, Katalin [Autor, 17%] ; Orosz, Beáta [Autor, 17%] ; Szüts, Zoltán [Autor, 17%] ; Balogh, Zoltán [Autor, UKFFPVKIN, 17%] ; Magdin, Martin [Autor, UKFFPVKIN, 15%] ; Koprda, Štefan [Autor, UKFFPVKIN, 15%] ; Pinter, Robert [Autor, 1%] ; György, Molnár [Autor, 1%]. – text. – [angličtina]. – [OV 160]. – [článok]. – DOI 10.12700/APH.18.1.2021.1.11. – WOS CC ; SCO In: Acta Polytechnica Hungarica [textový dokument (print)] [elektronický dokument] : An international peer-reviewed scientific journal of Óbuda University, Hungarian Academy of Engineering and IEEE Hungary Section : journal of applied sciences. – Budapešt (Maďarsko) : Óbudai Egyetem. – ISSN 1785-8860. – ISSN (online) 2064-2687. – Roč. 18, č. 1 (2021), s. 175-192 [tlačená forma] [online] . – CiteScore: 4,8 ; IF: 1.711 ; SJR: 0,38 ; SNIP: 0,794 ; AIS: 0.143 AIS - Engineering, multidisciplinary - Q4 JIF - Engineering, multidisciplinary - Q3 Scimago - Engineering (miscellaneous) - Q2, Multidisciplinary - Q2 </t>
  </si>
  <si>
    <t xml:space="preserve">Revenues of Municipalities as a Tool of Local Self-Government Development (Comparative Study) / Papcunová, Viera [Autor, UKFFPVUMI, 35%] ; Hudáková, Jarmila [Korešpondenčný autor, UKFFPVUMI, 35%] ; Štubňová, Michaela [Autor, UKFFPVUMI, 15%] ; Urbaníková, Marta [Autor, UKFFPVUMI, 15%]. – text. – [angličtina]. – [OV 060]. – [článok]. – DOI 10.3390/admsci10040101. – WOS CC ; SCO In: Administrative Sciences [elektronický dokument] . – Basel (Švajčiarsko) : Multidisciplinary Digital Publishing Institute. – ISSN 2076-3387. – Roč. 10, č. 4 (2020), s. 1-9 [online] . – AIS: 0.357 AIS - Management - Q1 </t>
  </si>
  <si>
    <t xml:space="preserve">Revitalizing Saami Through Education in Finland / Vančo, Ildikó [Autor, UKFFSSUML, 80%] ; Efremov, D. A. [Autor, 20%]. – text. – [angličtina]. – [OV 010]. – [článok]. – DOI 10.35634/2224-9443-2020-14-4-617-627. – WOS CC In: Ezhegodnik Finno-Ugorskikh Issledovanii [textový dokument (print)] : Yearbook of Finno-Ugric Studies". – [s.l.] : Udmurt State University. – ISSN 2224-9443. – ISSN (online) 2311-0333. – Roč. 14, č. 4 (2020), 617-627 [tlačená forma] . – AIS: 0.037 AIS - Humanities, multidisciplinary - Q4 </t>
  </si>
  <si>
    <t xml:space="preserve">Rho GTPases in Gynecologic Cancers: In-Depth Analysis toward the Paradigm Change from Reactive to Predictive, Preventive, and Personalized Medical Approach Benefiting the Patient and Healthcare / Žúbor, Pavol [Autor, 17%] ; Danková, Zuzana [Autor, UKOLJ110, 17%] ; Kolková, Zuzana [Autor, UKOLJ110, 6%] ; Holubeková, Veronika [Autor, UKOLJ110, 6%] ; Braný, Dušan [Autor, UKOLJ110, 6%] ; Meršaková, Sandra [Autor, UKOLJ110, 6%] ; Samec, Marek [Autor, UKOLJ120, 6%] ; Mazuráková, Alena [Autor, UKOLJ120, 6%] ; Koklesová, Lenka [Autor, UKOLJ120, 6%] ; Kubatka, Peter [Autor, UKOLJ120, 6%] ; Bujňák, Ján [Autor, 2%] ; Kajo, Karol [Autor, 2%] ; Mlynček, Miloš [Autor, UKFFSVKOS, 2%] ; Giordano, Frank A. [Autor, 2%] ; Golubnitschaja, Olga [Korešpondenčný autor, 10%]. – text, tab. – [angličtina]. – [OV 180]. – [článok]. – DOI 10.3390/cancers12051292. – SIGN-UKO LJ259/20. – WOS CC ; SCO In: Cancers [elektronický dokument] . – Bazilej (Švajčiarsko) : Multidisciplinary Digital Publishing Institute. – ISSN (online) 2072-6694. – Roč. 12, č. 5 (2020), art. no. 1292, s. [1-37] [online] . – IF: 6,639 ; SNIP: 1.292 ; SJR: 1.818 ; CiteScore: 4.4 ; AIS: 1.323 AIS - Oncology - Q2 JIF - Oncology - Q1 Scimago - Cancer research - Q2, Oncology - Q1 </t>
  </si>
  <si>
    <t xml:space="preserve">Rhyming in the Context of the Phonological Awareness of Pre-School Children / Grofčíková, Soňa [Korešpondenčný autor, UKFPFAKPE, 50%] ; Máčajová, Monika [Autor, UKFPFAKPE, 50%]. – text. – [angličtina]. – [OV 010]. – [článok]. – DOI 10.26529/cepsj.685. – SCO In: Center for Educational Policy Studies Journal [textový dokument (print)] [elektronický dokument] . – ISSN 1855-9719. – ISSN (online) 2232-2647. – Roč. 11, č. 1 (2021), s. 115-138 [tlačená forma] [online] . – CiteScore: 1,1 ; SJR: 0,226 ; SNIP: 0,664 Scimago - Education - Q3 </t>
  </si>
  <si>
    <t xml:space="preserve">Risk assessment of fat-soluble vitamins based on genetic score predictive model / Kasarda, Radovan [Autor, SPUFAP10, 25%] ; Židek, Radoslav [Autor, SPUFBP05, 25%] ; Moravčíková, Nina [Autor, SPUFAP10, 25%] ; Šimonek, Jaromír [Autor, UKFPFAKTV, 25%]. – text. – [angličtina]. – [OV 130, 190, 210]. – [článok]. – SCO In: Journal of Hygienic Engineering and Design [elektronický dokument] . – Skopje (Macedónsko) : Consulting and Training Center KEY. – ISSN (online) 1857-8489. – č. 30 (2020), s. 48-52 [online] . – SJR: 0,151 ; CiteScore: 0,5 ; SNIP: 0,461 Scimago - Food science - Q4, Safety, risk, reliability and quality - Q4 </t>
  </si>
  <si>
    <t xml:space="preserve">Risk Behavior and Psychopathy of Adolescents in the System of Higher Secondary Education in Slovakia / Čerešník, Michal [Autor, UKFPFAKAP, 100%].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8, č. 2 (2018), 28-31 [tlačená forma] [online] </t>
  </si>
  <si>
    <t xml:space="preserve">Ritual round walk "ladies" (panicke) as a specific expression of identity of Slovaks in Vojvodina (Serbia) / Letavajová, Silvia [Autor, UKFFFAKMK, 25%] ; Čukan, Jaroslav [Autor, UKFFFAKMK, 25%] ; Michalík, Boris [Autor, UKFFFAKMK, 25%] ; Ďurakov, Viktor [Autor, UKFFFAKMK, 25%]. – text. – [angličtina]. – [OV 030]. – [článok]. – WOS CC In: AD ALTA [textový dokument (print)] [elektronický dokument] : journal of interdisciplinary research = recenzovaný mezioborový vědecký časopis. – Hradec Králové (Česko) : Magnanimitas akademické sdružení. – ISSN 1804-7890. – ISSN (online) 2464-6733. – Roč. 9, č. 1 (2019), 162-166 [tlačená forma] [online] </t>
  </si>
  <si>
    <t xml:space="preserve">Role of public entities in suitable provision of public services: Case study from Slovakia / Papcunová, Viera [Autor, UKFFPVUMI, 34%] ; Vavrek, Roman [Autor, 33%] ; Dvořák, Marek [Autor, 33%]. – text. – [angličtina]. – [OV 080]. – [článok]. – DOI 10.3390/admsci11040143. – WOS CC ; SCO In: Administrative Sciences [elektronický dokument] . – Basel (Švajčiarsko) : Multidisciplinary Digital Publishing Institute. – ISSN 2076-3387. – Roč. 11, č. 4 (2021), s. 1-18 [online] . – CiteScore: 3,4 ; SJR: 0,477 ; SNIP: 0,983 ; AIS: 0.427 AIS - Management - Q1 Scimago - Business, management and accounting (miscellaneous) - Q2 </t>
  </si>
  <si>
    <t xml:space="preserve">Role-playing games, the use of pseudonyms and literary fiction / Benyovszky, Kristian [Autor, UKFFSSUML, 100%]. – text. – [angličtina]. – [OV 020]. – [článok]. – DOI 10.29178/NevtErt.2018.8. – SCO In: Névtani Értesítő [textový dokument (print)] [elektronický dokument] . – Budapešť (Maďarsko) : Magyar nyelvtudományi társaság, Budapešť (Maďarsko) : Eötvös Loránd Tudományegyetem. ELTE Bölcsészettudományi Kar. Magyar Nyelvtudományi és Finnugor Intézet. – ISSN 0139-2190. – ISSN (online) 2064-7484. – Roč. 40, č. 1 (2018), s. 119-129 [tlačená forma] . – SJR: 0,316 ; CiteScore: 0,5 ; SNIP: 0,671 Scimago - Language and linguistics - Q1, Linguistics and language - Q2 </t>
  </si>
  <si>
    <t xml:space="preserve">Rooibos (Aspalathus linearis) influence on health and ovarian functions / Sirotkin, Alexander [Autor, UKFFPVKZA, 100%]. – text. – [angličtina]. – [OV 130]. – [článok]. – DOI 10.1111/jpn.13624. – WOS CC ; SCO In: Journal of Animal Physiology and Animal Nutrition [textový dokument (print)] [elektronický dokument] . – Berlin (Nemecko) : John Wiley &amp; Sons. Wiley-Blackwell. – ISSN 0931-2439. – ISSN (online) 1439-0396. – Roč. 105, č. 4 (2021), s. 1-5 [tlačená forma] [online] . – CiteScore: 4,7 ; IF: 2.718 ; SJR: 0,592 ; SNIP: 1,089 ; AIS: 0.402 AIS - Agriculture, dairy &amp; animal science - Q2, Veterinary sciences - Q2 JIF - Agriculture, dairy &amp; animal science - Q2, Veterinary sciences - Q1 Scimago - Animal science and zoology - Q1, Food animals - Q2 </t>
  </si>
  <si>
    <t xml:space="preserve">Rutin directly affects stimulatory action of FSH on the ovarian cell / Sirotkin, Alexander [Autor, UKFFPVKZA, 25%] ; Pelleová, Betina [Autor, 15%] ; Fabová, Zuzana [Autor, UKFFPVKZA, 15%] ; Makovický, Pavol [Autor, UJSPFKBIO, 15%] ; Alwasel, Saleh Hamad Amad [Autor, 15%] ; Harrath, Abdel Halim [Autor, 15%]. – text. – [angličtina]. – [OV 190, 130]. – [článok]. – DOI 10.1016/j.phanu.2020.100247. – SCO In: PharmaNutrition [elektronický dokument] . – ISSN 2213-4344. – č. 15 (2021), art. no. 100247, s. 1-5 [online] . – CiteScore: 3,9 ; SJR: 0,402 ; SNIP: 0,506 Scimago - Food science - Q2, Pharmacology - Q3, Pharmacology (medical) - Q3 </t>
  </si>
  <si>
    <t xml:space="preserve">Safety Management in the Age of Internet Threats / Štrbová, Monika [Autor, UKFFFAKSO, 80%] ; Kuzior, Aleksandra [Autor, 20%]. – text. – [angličtina]. – [OV 020]. – [článok]. – DOI 10.1515/mspe-2019-0015. – WOS CC ; SCO In: Management systems in production engineering [textový dokument (print)] [elektronický dokument] . – Gliwice (Poľsko) : P.A. NOVA. – ISSN 2299-0461. – ISSN (online) 2450-5781. – Roč. 27, č. 2 (2019), 88-92 [tlačená forma] [online] . – SJR: 0,197 ; CiteScore: 0,5 ; SNIP: 0,459 Scimago - Industrial and manufacturing engineering - Q3, Management information systems - Q3, Management of technology and innovation - Q3 </t>
  </si>
  <si>
    <t xml:space="preserve">Salvation as the teleological vector in kierkegaard’s practice in christianity / Máhrik, Tibor [Autor, 33%] ; Vasbieva, Dinara G. [Autor, 1%] ; Králik, Roman [Korešpondenčný autor, ZUZFHVKFR, 33%] ; Kondrla, Peter [Autor, UKFFFAKNS, 33%]. – text. – [angličtina]. – [OV 020]. – [článok]. – WOS CC ; SCO In: European Journal of Science and Theology [textový dokument (print)] [elektronický dokument] . – Jasy (Rumunsko) : Academic organisation for environmental engineering and sustainable development. – ISSN 1841-0464. – ISSN (online) 1842-8517. – Roč. 16, č. 4 (2020), 43-52 [tlačená forma] [online] . – SJR: 0,493 ; CiteScore: 1,5 ; SNIP: 0,826 ; AIS: 0.111 AIS - Religion - Q3 Scimago - Engineering (miscellaneous) - Q2, History and philosophy of science - Q1, Multidisciplinary - Q1, Religious studies - Q1 </t>
  </si>
  <si>
    <t xml:space="preserve">Scientific experiment focused at pigment degradation by polyvinyl chloride combustion in Science education / Jenisová, Zita [Autor, UKFFPVKCH, 65%] ; Braniša, Jana [Autor, UKFFPVKCH, 35%]. – text. – [angličtina]. – [OV 010]. – [článok]. – SCO In: Journal of Technology and Science Education [textový dokument (print)] [elektronický dokument] . – Terrassa (Španielsko) : OmniaScience. – ISSN 2014-5349. – ISSN (online) 2013-6374. – Roč. 9, č. 3 (2019), s. 458-466 [tlačená forma] . – SJR: 0,354 ; CiteScore: 1,4 ; SNIP: 0,973 Scimago - Computer science applications - Q3, Education - Q3 </t>
  </si>
  <si>
    <t xml:space="preserve">Self efficacy of a teacher and its influence on the classroom climate / Gunišová, Denisa [Autor, UKFPFAKPE, 50%] ; Kozolková, Martina [Autor, UKFPFAKPE, 50%].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8, č. 2 (2018), 70-72 [tlačená forma] [online] </t>
  </si>
  <si>
    <t xml:space="preserve">Self-efficacy of students - future teachers in the cooperation with students' parents / Mendelová, Eleonóra [Autor, UKFPFAKPE, 34%] ; Zelená, Hana [Autor, UKFPFAKPE, 33%] ; Tirpáková, Anna [Autor, UKFFPVKMA, 33%]. – text. – [angličtina]. – [OV 010, 240]. – [článok]. – WOS CC In: AD ALTA [textový dokument (print)] [elektronický dokument] : journal of interdisciplinary research = recenzovaný mezioborový vědecký časopis. – Hradec Králové (Česko) : Magnanimitas akademické sdružení. – ISSN 1804-7890. – ISSN (online) 2464-6733. – Roč. 9, č. 2 (2019), 205-209 [tlačená forma] [online] </t>
  </si>
  <si>
    <t xml:space="preserve">Self-Reflection in the Interaction Style of Teachers / Müller De Morais, Marianna [Autor, UKFPFAKPE, 80%] ; Hanusová, Zuzana [Autor, 20%].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8, č. 1 (2018), s. 180-186 [tlačená forma] [online] </t>
  </si>
  <si>
    <t xml:space="preserve">Self-reflection in the preparation of the future fine arts teachers as the key strategy of the development of students' critical thinking / Satková, Janka [Autor, UKFPFAKVV, 100%].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10, č. 1 (2020), 253-257 [tlačená forma] [online] . – AIS: 0.021 AIS - Multidisciplinary sciences - Q4 </t>
  </si>
  <si>
    <t xml:space="preserve">Self-stigma, severity of psychopatology, dissociation, parental style and comorbid personality disorder in patient with neurotic spectrum disorders / Holubová, Michaela [Autor, 12.5%] ; Praško Pavlov, Ján [Autor, UKFFSVKPV, 12.5%] ; Vanek, Jakub [Autor, 12.5%] ; Hodný, František [Autor, 12.5%] ; Nesnídal, Vlastimil [Autor, 12.5%] ; Kasalova, Petra [Autor, 12.5%] ; Kolek, Antonin [Autor, 12.5%] ; Šlepecký, Miloš [Autor, UKFFSVKPV, 12.5%]. – text. – [angličtina]. – [OV 180]. – [článok]. – WOS CC In: Neuroendocrinology Letters [textový dokument (print)] [elektronický dokument] . – Štokholm (Švédsko) : Maghira and Maas Publications. – ISSN 0172-780X. – ISSN (online) 2354-4716. – Roč. 42, č. 2 (2021), 99-112 [tlačená forma] [online] . – SNIP: 0.414 ; SJR: 0.208 ; CiteScore: 1.4 ; IF: 0.638 ; AIS: 0.162 AIS - Endocrinology &amp; metabolism - Q4, Neurosciences - Q4 JIF - Endocrinology &amp; metabolism - Q4, Neurosciences - Q4 Scimago - Endocrine and autonomic systems - Q4, Endocrinology - Q4, Endocrinology, diabetes and metabolism - Q4, Medicine (miscellaneous) - Q4, Neurology - Q4, Neurology (clinical) - Q4, Psychiatry and mental health - Q4 </t>
  </si>
  <si>
    <t xml:space="preserve">Self-stigma, severity of psychopatology, dissociation, parental style and comorbid personality disorder in patient with neurotic spectrum disorders Part 2: Therapeutic efficacy of intensive psychotherapeutic inpatients program. / Holubová, Michaela [Autor, 16.667%] ; Praško Pavlov, Ján [Autor, UKFFSVKPV, 16.667%] ; Hodný, František [Autor, 16.666%] ; Vanek, Jakub [Autor, 16.667%] ; Šlepecký, Miloš [Autor, UKFFSVKPV, 16.666%] ; Nesnídal, Vlastimil [Autor, 16.667%]. – text. – [angličtina]. – [OV 180]. – [článok]. – WOS CC ; SCO In: Neuroendocrinology Letters [textový dokument (print)] [elektronický dokument] . – Štokholm (Švédsko) : Maghira and Maas Publications. – ISSN 0172-780X. – ISSN (online) 2354-4716. – Roč. 42, č. 3 (2021), 185-199 [tlačená forma] [online] . – SNIP: 0.414 ; SJR: 0.208 ; CiteScore: 1.4 ; IF: 0.638 ; AIS: 0.162 AIS - Endocrinology &amp; metabolism - Q4, Neurosciences - Q4 JIF - Endocrinology &amp; metabolism - Q4, Neurosciences - Q4 Scimago - Endocrine and autonomic systems - Q4, Endocrinology - Q4, Endocrinology, diabetes and metabolism - Q4, Medicine (miscellaneous) - Q4, Neurology - Q4, Neurology (clinical) - Q4, Psychiatry and mental health - Q4 </t>
  </si>
  <si>
    <t xml:space="preserve">Senior Homeless Population was Covid-19 Free in 3 shelter communities after adapting the Life Island model (Note) / Gombita, Peter [Korešpondenčný autor, VSSVArektorat, 5.565%] ; Oláh, Michal [Autor, VSSVArektorat, 5.555%] ; Kováč, Róbert [Autor, VSSVArektorat, 5.555%] ; Jurašek, Martin [Autor, VSSVArektorat, 5.555%] ; Kostičová, Michaela [Autor, UKOLFUSOL, 5.555%] ; Ťažiarová, Marta [Autor, 5.555%] ; Zábavová, Silvia [Autor, VSSVArektorat, 5.555%] ; Halušková, Eva [Autor, VSSVArektorat, 5.555%] ; Jackulíková, Mária [Autor, 5.555%] ; Zemko, Pavol [Autor, 5.555%] ; Katunská, Monika [Autor, 5.555%] ; Adamcová, Jana [Autor, VSSVArektorat, 5.555%] ; Božík, Jozef [Autor, VSSVArektorat, 5.555%] ; Rác, Ivan [Autor, UKFFSVURS, 5.555%] ; Bundzelová, Katarína [Autor, VSSVArektorat, 5.555%] ; Pavlovičová, Anna [Autor, VSSVArektorat, 5.555%] ; Maszlak, Wladimierz [Autor, 5.555%] ; Tonzar, David [Autor, VSSVArektorat, 5.555%]. – text. – [angličtina]. – [OV 060, 180]. – [článok]. – DOI 10.22359/cswhi_11_3_12. – SIGN-UKO LF USOL/20. – WOS CC In: Clinical Social Work and Health Intervention [textový dokument (print)] [elektronický dokument] . – Viedeň (Rakúsko) : Gesellschaft für angewandte Präventionsmedizin. – ISSN 2222-386X. – ISSN (online) 2076-9741. – Roč. 11, č. 3 (2020), s. 78-79 [tlačená forma] [online] . – AIS: 0.038 AIS - Public, environmental &amp; occupational health - Q4 </t>
  </si>
  <si>
    <t xml:space="preserve">Severity of panic disorder, adverse events in childhood, dissociation, self-stigma and comorbid personality disorders Part 1: Relationships between clinical, psychosocial and demographic factors in pharmacoresistant panic disorder patients / Kolek, Antonin [Autor, 10%] ; Vanek, Jakub [Autor, 10%] ; Kantor, Kryštof [Autor, 10%] ; Holubová, Michaela [Autor, 10%] ; Nesnídal, Vlastimil [Autor, 10%] ; Látalová, Klára [Autor, 10%] ; Ocisková, Marie [Autor, 10%] ; Grambal, Ales [Autor, 10%] ; Praško Pavlov, Ján [Autor, UKFFSVKPV, 10%] ; Šlepecký, Miloš [Autor, UKFFSVKPV, 10%]. – text. – [angličtina]. – [OV 060]. – [článok]. – WOS CC ; SCO In: Neuroendocrinology Letters [textový dokument (print)] [elektronický dokument] . – Štokholm (Švédsko) : Maghira and Maas Publications. – ISSN 0172-780X. – ISSN (online) 2354-4716. – Roč. 40, č. 5 (2019), 233-246 [tlačená forma] [online] . – IF: 0,750 ; SNIP: 0,433 ; SJR: 0,27 ; CiteScore: 1,3 JIF - Endocrinology &amp; metabolism - Q4, Neurosciences - Q4 Scimago - Endocrine and autonomic systems - Q4, Endocrinology - Q4, Endocrinology, diabetes and metabolism - Q3, Medicine (miscellaneous) - Q3, Neurology - Q4, Neurology (clinical) - Q3, Psychiatry and mental health - Q3 </t>
  </si>
  <si>
    <t xml:space="preserve">Severity of panic disorder, adverse events in childhood, dissociation, self-stigma and comorbid personality disorders Part 2: Therapeutic effectiveness of a combined cognitive behavioural therapy and pharmacotherapy in treatment-resistant inpatients / Kolek, Antonín [Autor, 14.29%] ; Praško Pavlov, Ján [Korešpondenčný autor, UKFFSVKPV, 14.285%] ; Ocisková, Marie [Autor, 14.285%] ; Holubová, Michaela [Autor, 14.285%] ; Vanek, Jakub [Autor, 14.285%] ; Grambal, Aleš [Autor, 14.285%] ; Šlepecký, Miloš [Autor, UKFFSVKPV, 14.285%]. – text. – [angličtina]. – [OV 060]. – [článok]. – WOS CC ; SCO In: Neuroendocrinology Letters [textový dokument (print)] [elektronický dokument] . – Štokholm (Švédsko) : Maghira and Maas Publications. – ISSN 0172-780X. – ISSN (online) 2354-4716. – Roč. 40, č. 6 (2019), 271-283 [tlačená forma] [online] . – IF: 0,750 ; SNIP: 0,433 ; SJR: 0,27 ; CiteScore: 1,3 JIF - Endocrinology &amp; metabolism - Q4, Neurosciences - Q4 Scimago - Endocrine and autonomic systems - Q4, Endocrinology - Q4, Endocrinology, diabetes and metabolism - Q3, Medicine (miscellaneous) - Q3, Neurology - Q4, Neurology (clinical) - Q3, Psychiatry and mental health - Q3 </t>
  </si>
  <si>
    <t xml:space="preserve">Sex-based differentation of mental representations of students' / Kozárová, Nina [Autor, UKFPFAKPE, 50%] ; Gunišová, Denisa [Autor, UKFPFAKPE, 50%].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9, č. 1 (2019), 73-76 [tlačená forma] [online] </t>
  </si>
  <si>
    <t xml:space="preserve">Sexting and family environment of children and adolescent's / Turzák, Tomáš [Autor, UKFPFAKPE, 25%] ; Kurincová, Viera [Autor, UKFPFAKPE, 35%] ; Hollá, Katarína [Autor, UKFPFAKPE, 25%] ; Zelená, Hana [Autor, UKFPFAKPE, 15%]. – text. – [angličtina]. – [OV 010]. – [článok]. – DOI 10.33543/1002. – WOS CC In: AD ALTA [textový dokument (print)] [elektronický dokument] : journal of interdisciplinary research = recenzovaný mezioborový vědecký časopis. – Hradec Králové (Česko) : Magnanimitas akademické sdružení. – ISSN 1804-7890. – ISSN (online) 2464-6733. – Roč. 10, č. 2 (2020), s. 326-330 [tlačená forma] [online] . – AIS: 0.021 AIS - Multidisciplinary sciences - Q4 </t>
  </si>
  <si>
    <t xml:space="preserve">Sexting and motives for sexting among adolescents / Hollá, Katarína [Autor, UKFPFAKPE, 34%] ; Jedličková, Katarína [Autor, UKFFPVKZA, 33%] ; Seidler, Peter [Autor, UKFPFAKPE, 33%].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8, č. 2 (2018), 89-92 [tlačená forma] [online] </t>
  </si>
  <si>
    <t xml:space="preserve">Sexting Types and Motives Detected among Slovak Adolescents / Hollá, Katarína [Autor, UKFPFAKPE, 100%]. – text. – [angličtina]. – [OV 010]. – [článok]. – DOI 0.5708/EJMH.15.2020.2.1. – WOS CC ; SCO In: European Journal of Mental Health [textový dokument (print)] [elektronický dokument] . – Budapest (Maďarsko) : Akadémiai Kiadó. – ISSN 1788-4934. – ISSN (online) 1788-7119. – Roč. 15, č. 2 (2020), s. 75-92 [tlačená forma] [online] . – SJR: 0,165 ; CiteScore: 0,7 ; SNIP: 0,323 ; AIS: 0.179 AIS - Psychology, clinical - Q3 Scimago - Health (social science) - Q4, Psychiatric mental health - Q4, Psychiatry and mental health - Q4, Psychology (miscellaneous) - Q4, Public health, environmental and occupational health - Q4 </t>
  </si>
  <si>
    <t xml:space="preserve">Share of strength parameters of bench press and barbell bench pull on a horizontal bench in sports performance in kayak disciplines = Častka silovich parametriv žimu ležači ta tjagi štangi na gorizontaľnij lavi u sportivnich pokaznikach u disciplinach vesluvannja na bajdarkach / Broďáni, Jaroslav [Autor, UKFPFAKTV, 30%] ; Dvořáčková, Natália [Autor, UKFPFAKTV, 30%] ; Czaková, Natália [Korešpondenčný autor, UKFPFAKTV, 30%] ; Malik, Zdeněk [Autor, UKFPFAKTV, 5%] ; Lopata, Peter [Autor, 5%]. – text, tab. – [angličtina]. – [OV 210]. – [článok]. – [recenzované]. – DOI org/10.17309/tmfv.2021.1.12. – SIGN-UKO TV. – SCO In: Teoria ta metodika fizičnogo vihovanna [textový dokument (print)] [elektronický dokument] . – Charkov (Ukrajina) : OVS LLC. – ISSN 1993-7989. – ISSN (online) 1993-7997. – Roč. 21, č. 1 (2021), s. 90-95 [tlačená forma] [online] . – SNIP: 0,535 ; SJR: 0,617 ; CiteScore: 2,20 Scimago - Health (social science) - Q2, Physical therapy, sports therapy and rehabilitation - Q2, Public health, environmental and occupational health - Q2 </t>
  </si>
  <si>
    <t xml:space="preserve">School autonomy and school leadership: case study of school operation in Slovakia / Hašková, Alena [Autor, UKFPFAKTT, 50%] ; Bitterová, Miriam [Autor, 50%]. – text. – [angličtina]. – [OV 010]. – [článok]. – WOS CC ; SCO In: Problems of education in the 21st century [textový dokument (print)] [elektronický dokument] . – Šiauliai (Litva) : Scientia Socialis. – ISSN 1822-7864. – ISSN (online) 2538-7111. – Roč. 76, č. 3 (2018), s. 299-308 [tlačená forma] [online] . – SJR: 0,125 ; CiteScore: 0,3 ; SNIP: 0,263 Scimago - Education - Q4 </t>
  </si>
  <si>
    <t xml:space="preserve">School curriculum as a means of shaping national identity: music education in the Slovak region of Czechoslovakia in the interwar period (1918–1939) / Jeseničová, Soňa [Autor, UKFPFAKHU, 50%] ; Szórádová, Eva [Autor, UKFPFAKHU, 50%]. – text. – [angličtina]. – [OV 010]. – [článok]. – DOI 10.1080/14681366.2017.1365751. – WOS CC ; SCO In: Pedagogy, Culture &amp; Society [textový dokument (print)] . – Abingdon (Veľká Británia) : Taylor &amp; Francis Group. – ISSN 1468-1366. – ISSN (online) 1747-5104. – Roč. 26, č. 2 (2018), s. 165-179 [tlačená forma] . – SJR: 0,573 ; CiteScore: 2,2 ; SNIP: 1,063 Scimago - Cultural studies - Q1, Education - Q2 </t>
  </si>
  <si>
    <t xml:space="preserve">School self-concept of children in the system of lower secondary education in slovakia -comparison of Slovak and Roma children / Čerešník, Michal [Autor, UKFPFAKAP, 50%] ; Čerešníková, Miroslava [Autor, UKFFSVURS, 50%]. – text. – [angličtina]. – [OV 060]. – [článok]. – DOI 10.18421/TEM71-26. – WOS CC ; SCO In: TEM Journal [textový dokument (print)] [elektronický dokument] : Technology, Education, Management, Informatics. – Novi Pazar (Srbsko) : Association for Information Communication Technology Education and Science. – ISSN 2217-8309. – ISSN (online) 2217-8333. – Roč. 7, č. 1 (2018), s. 211-218 [tlačená forma] [online] . – SJR: 0,148 ; CiteScore: 0,4 ; SNIP: 0,538 Scimago - Computer science (miscellaneous) - Q4, Education - Q4, Information systems - Q4, Information systems and management - Q4, Management of technology and innovation - Q4, Strategy and management - Q4 </t>
  </si>
  <si>
    <t xml:space="preserve">Simulative (subjective) processing of temporality in the Hungarian prefix / Tolcsvai Nagy, Gábor [Autor, UKFFSSUML, 100%]. – text. – [angličtina]. – [OV 010]. – [článok]. – SCO In: Magyar nyelvőr [textový dokument (print)] [elektronický dokument] : a magyar Tudományos Akadémia Magyar Nyelvi Bizottságának folyóirata. – Budapešť (Maďarsko) : Magyar Tudományos Akadémia. – ISSN 0025-0236. – ISSN (online) 1585-4515. – Roč. 143, č. 1 (2019), 58-71 [tlačená forma] [online] . – SJR: 0,189 ; CiteScore: 0,2 ; SNIP: 0,523 Scimago - Language and linguistics - Q2, Linguistics and language - Q2 </t>
  </si>
  <si>
    <t xml:space="preserve">Single and simultaneous effects of acrylamide and ethanol on bone microstructure of mice after one remodeling cycle / Šarocká, Anna [Autor, UKFFPVKZA, 12.5%] ; Kováčová, Veronika [Autor, UKFFPVKZA, 12.5%] ; Omelka, Radoslav [Autor, UKFFPVKBG, 12.5%] ; Grosskopf, Birgit [Autor, 12.5%] ; Kapusta, Edyta [Autor, 12.5%] ; Goc, Zofia [Autor, 12.5%] ; Formicki, Grzegorz [Autor, 12.5%] ; Martiniaková, Monika [Autor, UKFFPVKZA, 12.5%]. – text. – [angličtina]. – [OV 130]. – [článok]. – DOI 10.1186/s40360-019-0317-7. – WOS CC ; SCO In: BMC Pharmacology and Toxicology [elektronický dokument] . – Londýn (Veľká Británia) : Springer Nature. BioMed Central. – ISSN (online) 2050-6511. – Roč. 20, č. 1 (2019), s. 1-38 [online] . – SJR: 0,612 ; CiteScore: 3,1 ; SNIP: 0,886 ; IF: 1.771 JIF - Pharmacology &amp; pharmacy - Q4, Toxicology - Q4 Scimago - Medicine (miscellaneous) - Q2, Pharmacology - Q2, Pharmacology (medical) - Q2 </t>
  </si>
  <si>
    <t xml:space="preserve">Slovakian Hungarian prose in Slovakia after the change of regime in 1989 / Tóth, Anikó [Autor, UKFFSSUML, 100%]. – text. – [angličtina]. – [OV 010]. – [článok]. – DOI 10.1556/044.2020.00003. – SCO In: Hungarian Studies [textový dokument (print)] [elektronický dokument] : A Journal of the International Association for Hungarian Studies. – Budapešť (Maďarsko) : Akadémiai Kiadó. – ISSN 0236-6568. – ISSN (online) 1588-2772. – Roč. 34, č. 1 (2020), s. 15-31 [tlačená forma] [online] . – SJR: 0,1 ; CiteScore: 0,1 ; SNIP: 0,49 Scimago - Arts and humanities (miscellaneous) - Q4, Social sciences (miscellaneous) - Q4 </t>
  </si>
  <si>
    <t xml:space="preserve">Social curatorship in provision of social services in post-penitentiary care / Vanková, Katarína [Autor, UKFFSVURS, 100%]. – text. – [angličtina]. – [OV 060]. – [článok]. – DOI 10.32861/jssr.412.571.581. – SCO In: The Journal of Social Sciences Research [textový dokument (print)] [elektronický dokument] . – Punjab (Pakistan) : Academic Research Publishing Group. – ISSN 2413-6670. – ISSN (online) 2411-9458. – Roč. 4, č. 12 (2018), 571-581 [tlačená forma] [online] Scimago - Arts and humanities (miscellaneous) - Q3, Economics, econometrics and finance (miscellaneous) - Q3, Social sciences (miscellaneous) - Q3 </t>
  </si>
  <si>
    <t xml:space="preserve">Social work as a tool for anomie correction on second stage of primary school / Tvrdoň, Miroslav [Autor, UKFFSVKSP, 50%] ; Kondrla, Peter [Autor, UKFFFAKNS, 40%] ; Mesárošová, Lucia [Autor, 10%]. – text. – [angličtina]. – [OV 060]. – [článok]. – WOS CC In: AD ALTA [textový dokument (print)] [elektronický dokument] : journal of interdisciplinary research = recenzovaný mezioborový vědecký časopis. – Hradec Králové (Česko) : Magnanimitas akademické sdružení. – ISSN 1804-7890. – ISSN (online) 2464-6733. – Roč. 11, č. 1 (2021), s. 353-357 [tlačená forma] [online] . – AIS: 0.028 AIS - Multidisciplinary sciences - Q4 </t>
  </si>
  <si>
    <t xml:space="preserve">Social Work Challenge: Sex Workers and their Families in Prague and South Bohemia Region / Ondrášek, Stanislav [Autor, 5%] ; Kajanová, Alena [Autor, 5%] ; Kozubík, Michal [Autor, UKFFSVKSP, 90%]. – text. – [angličtina]. – [OV 060]. – [článok]. – DOI 10.22359/cswhi_9_2_11. – WOS CC In: Clinical Social Work and Health Intervention [textový dokument (print)] [elektronický dokument] . – Viedeň (Rakúsko) : Gesellschaft für angewandte Präventionsmedizin. – ISSN 2222-386X. – ISSN (online) 2076-9741. – Roč. 9, č. 2 (2018), s. 75-80 [tlačená forma] [online] </t>
  </si>
  <si>
    <t xml:space="preserve">Sociocultural and Linguistic Diversity in the Mid-European (Slovak) Economic and Technological Space / Burcl, Pavol [Autor, UKFFFAJZC, 20%] ; Kozárová, Zuzana [Autor, UKFFFAJZC, 20%] ; Csalová, Oľga [Autor, UKFFFAJZC, 20%] ; Pavlová, Renáta [Autor, UKFFFAJZC, 20%] ; Zelenická, Elena [Autor, UKFFFAJZC, 20%]. – text. – [angličtina, ruština]. – [OV 010, 020]. – [článok]. – DOI 10.15507/1991-9468.101.024.202004.576-590. – SCO In: Integration of Education [textový dokument (print)] [elektronický dokument] . – Saransk (Ruská federácia) : National Research Ogarev Mordovia State University. – ISSN 1991-9468. – ISSN (online) 2308-1058. – Roč. 24, č. 24 (2021), s. 576-590 [tlačená forma] [online] . – CiteScore: 1,7 ; SJR: 0,237 ; SNIP: 0,664 Scimago - Education - Q3 </t>
  </si>
  <si>
    <t xml:space="preserve">Sound recording technologies and music education / Brezina, Pavol [Autor, UKFPFAKHU, 70%] ; Jeseničová, Soňa [Autor, UKFPFAKHU, 30%]. – text. – [angličtina]. – [OV 020]. – [článok]. – WOS CC In: AD ALTA [textový dokument (print)] [elektronický dokument] : journal of interdisciplinary research = recenzovaný mezioborový vědecký časopis. – Hradec Králové (Česko) : Magnanimitas akademické sdružení. – ISSN 1804-7890. – ISSN (online) 2464-6733. – Roč. 8, č. 2 (2018), 13-18 [tlačená forma] [online] </t>
  </si>
  <si>
    <t xml:space="preserve">Spirituality and irrational beliefs of movement activities in Slovaks and Czechs / Tomanová Čergeťová, Ivana [Autor, 40%] ; Maturkanič, Patrik [Autor, 33%] ; Hlad, Ľubomír [Autor, UKFFFAKNS, 25%] ; Biryukova, Yulia [Autor, 1%] ; Martín, José García [Autor, 1%]. – text. – [angličtina]. – [OV 020]. – [článok]. – DOI 10.15503.jecs2021.2.539.549. – WOS CC In: Journal of education culture and society [elektronický dokument] . – Vroclav (Poľsko) : Fundacja Pro Scientia Publica. – ISSN 2081-1640. – Roč. 12, č. 2 (2021), s. 539-549 [online] </t>
  </si>
  <si>
    <t xml:space="preserve">Sport talent search: genes versus motor tests / Šimonek, Jaromír [Autor, UKFPFAKTV, 50%] ; Židek, Radoslav [Autor, SPUFBP05, 50%]. – text. – [angličtina]. – [OV 210]. – [článok]. – DOI 10.14529/hsm210320. – WOS CC ; SCO In: Čelovek. Sport. Medicina [textový dokument (print)] [elektronický dokument] . – Čeľabinsk (Ruská federácia) : Nacionnaľnyj issledovateľskij universitet. – ISSN 2500-0209. – ISSN (online) 2500-0195. – Roč. 21, č. 3 (2021), s. 160-168 [tlačená forma] [online] . – CiteScore: 0,6 ; SJR: 0,234 ; SNIP: 0,407 ; AIS: 0.015 AIS - Sport sciences - Q4 Scimago - Orthopedics and sports medicine - Q3, Physical therapy, sports therapy and rehabilitation - Q3 </t>
  </si>
  <si>
    <t xml:space="preserve">Sports talent identification based on motor tests and genetic analysis / Šimonek, Jaromír [Autor, UKFPFAKTV, 50%] ; Židek, Radoslav [Autor, SPUFBP05, 50%]. – text. – [angličtina]. – [OV 210, 120]. – [článok]. – DOI 10.23829/TSS.2018.25.4-5. – SCO In: Trends in sport sciences [elektronický dokument] [textový dokument (print)] . – Poznaň (Poľsko) : Akademia Wychowania Fizycznego w Poznaniu. – ISSN 2299-9590. – ISSN (online) 2391-436X. – Roč. 25, č. 4 (2018), s. 201-207 [tlačená forma] [online] . – CiteScore: 0,1 </t>
  </si>
  <si>
    <t xml:space="preserve">Stages of Wittgenstein’s philosophy of mathematics / Ambrozy, Marián [Autor, ISMNEKSV, 34%] ; Králik, Roman [Autor, UKFFFAKAE 06.2022, 33%] ; Roubalová, Marie [Autor, 33%]. – text. – [angličtina]. – [OV 020]. – [článok]. – WOS CC ; SCO In: European Journal of Science and Theology [textový dokument (print)] [elektronický dokument] . – Jasy (Rumunsko) : Academic organisation for environmental engineering and sustainable development. – ISSN 1841-0464. – ISSN (online) 1842-8517. – Roč. 14, č. 5 (2018), s. 49-60 [tlačená forma] [online] . – SJR: 0,377 ; CiteScore: 1,6 ; SNIP: 0,676 Scimago - Engineering (miscellaneous) - Q1, History and philosophy of science - Q2, Multidisciplinary - Q1, Religious studies - Q1 </t>
  </si>
  <si>
    <t xml:space="preserve">State language education in Hungarian medium primary schools in Slovakia / Kozmács, István [Autor, UKFFSSUML, 100%]. – text. – [angličtina]. – [OV 010]. – [článok]. – SCO In: Magyar nyelvőr [textový dokument (print)] [elektronický dokument] : a magyar Tudományos Akadémia Magyar Nyelvi Bizottságának folyóirata. – Budapešť (Maďarsko) : Magyar Tudományos Akadémia. – ISSN 0025-0236. – ISSN (online) 1585-4515. – Roč. 143, č. 2 (2019), 184-195 [tlačená forma] [online] . – SJR: 0,189 ; CiteScore: 0,2 ; SNIP: 0,523 Scimago - Language and linguistics - Q2, Linguistics and language - Q2 </t>
  </si>
  <si>
    <t xml:space="preserve">Stimulation and development of intellectual abilities in preschool-age children / Valovičová, Ľubomíra [Autor, UKFFPVKFY, 25%] ; Trníková, Jana [Autor, UKFPFAKLI, 25%] ; Sollárová, Eva [Autor, 25%] ; Katrušín, Boris [Autor, UKFFSVKPV, 25%]. – text. – [angličtina]. – [OV 010]. – [článok]. – DOI 10.3390/educsci10020043. – WOS CC ; SCO In: Education sciences [elektronický dokument] . – Bazilej (Švajčiarsko) : Multidisciplinary Digital Publishing Institute. – ISSN (online) 2227-7102. – Roč. 10, č. 2 (2020), s. 1-11 [online] . – SNIP: 1,204 ; SJR: 0,453 ; CiteScore: 2,10 ; AIS: 0.386 AIS - Education &amp; educational research - Q1 Scimago - Computer science (miscellaneous) - Q2, Computer science applications - Q2, Developmental and educational psychology - Q3, Education - Q2, Physical therapy, sports therapy and rehabilitation - Q2, Public administration - Q2 </t>
  </si>
  <si>
    <t xml:space="preserve">Stimulation of  Creativity as a Prerequisite of Permanent Sustainability for Personality Development of Gifted Learners / Duchovičová, Jana [Autor, UKFPFAKPE, 40%] ; Šabo, Anton [Autor, UKFPFAKPE, 10%] ; Petrová, Gabriela [Autor, UKFPFAKPE, 40%] ; Hošová, Dominika [Autor, UKFPFAKPE, 10%].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8, č. 2 (2018), 54-60 [tlačená forma] [online] </t>
  </si>
  <si>
    <t xml:space="preserve">Stress and burden in the context of their coping / Müller De Morais, Marianna [Autor, UKFPFAKPE, 50%] ; Škorvagová, Eva [Autor, ZUZFHVKPŠ, 50%]. – [angličtina]. – [OV 010]. – [článok]. – DOI 10.33543/1102. – WOS CC In: AD ALTA [textový dokument (print)] [elektronický dokument] : journal of interdisciplinary research = recenzovaný mezioborový vědecký časopis. – Hradec Králové (Česko) : Magnanimitas akademické sdružení. – ISSN 1804-7890. – ISSN (online) 2464-6733. – Roč. 11, č. 2 (2021), s. 199-209 [tlačená forma] [online] . – AIS: 0.028 AIS - Multidisciplinary sciences - Q4 </t>
  </si>
  <si>
    <t xml:space="preserve">Struggle for the human self and authenticity: Kierkegaard's critique of the public, established order, media, and false christianity / Pavlíková, Martina [Autor, UKFFFAKZU, 60%] ; Žalec, Bojan [Autor, 40%]. – [angličtina]. – [OV 020]. – [článok]. – DOI 10.34291/BV2019/04/Pavlikova. – WOS CC ; SCO In: Bogoslovni vestnik [textový dokument (print)] [elektronický dokument] : glasilo Teološke fakultete v Ljubljani. – Ljubljana (Slovinsko) : Univerza v Ljubljani. – ISSN 0006-5722. – ISSN (online) 1581-2987. – Roč. 79, č. 4 (2019), 1015-1026 [tlačená forma] [online] . – SNIP: 1,066 ; SJR: 0,314 ; CiteScore: 1,2 Scimago - Religious studies - Q1 </t>
  </si>
  <si>
    <t xml:space="preserve">Student Solutions of Non-traditional Geometry Tasks / Ďuriš, Viliam [Autor, UKFFPVKMA, 40%] ; Šumný, Timotej [Autor, UKFFPVKMA, 40%] ; Pavlovičová, Gabriela [Autor, UKFFPVKMA, 20%]. – text. – [angličtina]. – [OV 010, 240]. – [článok]. – DOI 10.18421/TEM82-44. – WOS CC ; SCO In: TEM Journal [textový dokument (print)] [elektronický dokument] : Technology, Education, Management, Informatics. – Novi Pazar (Srbsko) : Association for Information Communication Technology Education and Science. – ISSN 2217-8309. – ISSN (online) 2217-8333. – Roč. 8, č. 2 (2019), 642-647 [tlačená forma] [online] . – SJR: 0,167 ; CiteScore: 0,7 ; SNIP: 0,587 Scimago - Computer science (miscellaneous) - Q3, Education - Q4, Information systems - Q4, Information systems and management - Q4, Management of technology and innovation - Q4, Strategy and management - Q4 </t>
  </si>
  <si>
    <t xml:space="preserve">Students’ Ability to Solve Geometry Problems with Emphasis on Interdisciplinary Relations / Rumanová, Lucia [Autor, UKFFPVKMA, 35%] ; Vallo, Dušan [Autor, UKFFPVKMA, 30%] ; Laššová, Katarína [Autor, UKFFPVKMA, 35%]. – text. – [angličtina]. – [OV 010]. – [článok]. – DOI 10.18421/TEM94-57. – WOS CC ; SCO In: TEM Journal [textový dokument (print)] [elektronický dokument] : Technology, Education, Management, Informatics. – Novi Pazar (Srbsko) : Association for Information Communication Technology Education and Science. – ISSN 2217-8309. – ISSN (online) 2217-8333. – Roč. 9, č. 4 (2020), 1755-1759 [tlačená forma] [online] . – SJR: 0,199 ; CiteScore: 1,2 ; SNIP: 0,671 ; AIS: 0.083 AIS - Computer science, information systems - Q4 Scimago - Computer science (miscellaneous) - Q3, Education - Q4, Information systems - Q4, Information systems and management - Q3, Management of technology and innovation - Q4, Strategy and management - Q4 </t>
  </si>
  <si>
    <t xml:space="preserve">Students’ perceptions of an EFL vocabulary learning mobile application / Klímová, Blanka [Autor, 30%] ; Poláková, Petra [Autor, UKFPFAKLI, 70%]. – text. – [angličtina]. – [OV 010]. – [článok]. – DOI 10.3390/educsci10020037. – WOS CC ; SCO In: Education sciences [elektronický dokument] . – Bazilej (Švajčiarsko) : Multidisciplinary Digital Publishing Institute. – ISSN (online) 2227-7102. – Roč. 10, č. 2 (2020), s. 1-8 [online] . – SNIP: 1,204 ; SJR: 0,453 ; CiteScore: 2,10 ; AIS: 0.386 AIS - Education &amp; educational research - Q1 Scimago - Computer science (miscellaneous) - Q2, Computer science applications - Q2, Developmental and educational psychology - Q3, Education - Q2, Physical therapy, sports therapy and rehabilitation - Q2, Public administration - Q2 </t>
  </si>
  <si>
    <t xml:space="preserve">Sustainable life conditions from the view of logic, physics and astronomy / Ambrozy, Marián [Autor, 80%] ; Králik, Roman [Autor, UKFFFAKAE 06.2022, 15%] ; Tavilla, Igor [Autor, 3%] ; Roubalová, Marie [Autor, 2%]. – text. – [angličtina]. – [OV 020]. – [článok]. – WOS CC ; SCO In: European Journal of Science and Theology [textový dokument (print)] [elektronický dokument] . – Jasy (Rumunsko) : Academic organisation for environmental engineering and sustainable development. – ISSN 1841-0464. – ISSN (online) 1842-8517. – Roč. 15, č. 3 (2019), 145-155 [tlačená forma] [online] . – SNIP: 0,697 ; SJR: 0,35 ; CiteScore: 1,6 Scimago - Engineering (miscellaneous) - Q2, History and philosophy of science - Q2, Multidisciplinary - Q1, Religious studies - Q1 </t>
  </si>
  <si>
    <t xml:space="preserve">Tailoring Empirical Inquiry in Physics to Pupils' Needs according to their Knowledge about Density and Statistical Literacy / Valovičová, Ľubomíra [Autor, UKFFPVKFY, 50%] ; Medová, Janka [Autor, UKFFPVKMA, 50%]. – text. – [angličtina]. – [OV 240]. – [článok]. – DOI 10.18421/TEM84-47. – WOS CC ; SCO In: TEM Journal [textový dokument (print)] [elektronický dokument] : Technology, Education, Management, Informatics. – Novi Pazar (Srbsko) : Association for Information Communication Technology Education and Science. – ISSN 2217-8309. – ISSN (online) 2217-8333. – Roč. 8, č. 4 (2019), 1433-1439 [tlačená forma] [online] . – SJR: 0,167 ; CiteScore: 0,7 ; SNIP: 0,587 Scimago - Computer science (miscellaneous) - Q3, Education - Q4, Information systems - Q4, Information systems and management - Q4, Management of technology and innovation - Q4, Strategy and management - Q4 </t>
  </si>
  <si>
    <t xml:space="preserve">Taking Matters into our Own Hands: Humanizing Slovak Translation History : Taking Matters into our Own Hands: Humanizing Slovak Translation History = Jak wziąć sprawy w swoje ręce: humanizacja słowackiej historii tłumaczeń / Tyšš, Igor [Autor, UKFFFAKTR, 60%] ; Gromová, Edita [Autor, UKFFFAKTR, 40%]. – text. – [angličtina]. – [OV 020]. – [článok]. – DOI 10.14746/por.2020.1.9. – SCO In: Porównania [elektronický dokument] . – Poznaň (Poľsko) : Uniwersytet im. Adama Mickiewicza w Poznaniu. – ISSN (online) 1733-165X. – Roč. 26, č. 1 (2020), s. 157-176 [online] . – SJR: 0,1 ; SNIP: 0,139 Scimago - Cultural studies - Q4, Literature and literary theory - Q4 </t>
  </si>
  <si>
    <t xml:space="preserve">Teacher and a Future Teacher as a Researcher / Kurincová, Viera [Autor, UKFPFAKPE, 33%] ; Turzák, Tomáš [Autor, UKFPFAKPE, 34%] ; Turzáková, Jana [Autor, UKFFSVUAP, 33%].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9, č. 1 (2019), 305-309 [tlačená forma] [online] </t>
  </si>
  <si>
    <t xml:space="preserve">Teacher Competences Development - a Guarantee of Sustainable High Level of Education and Training / Gadušová, Zdenka [Autor, UKFFFAKAA, 25%] ; Jakubovská, Viera [Autor, UKFFFAKFI, 25%] ; Markechová, Dagmar [Autor, UKFFPVKMA, 25%] ; Tirpáková, Anna [Autor, UKFFPVKMA, 25%]. – text. – [angličtina]. – [OV 240]. – [článok]. – DOI 10.18421/TEM83-52. – WOS CC ; SCO In: TEM Journal [textový dokument (print)] [elektronický dokument] : Technology, Education, Management, Informatics. – Novi Pazar (Srbsko) : Association for Information Communication Technology Education and Science. – ISSN 2217-8309. – ISSN (online) 2217-8333. – Roč. 8, č. 3 (2019), 1063-1070 [tlačená forma] [online] . – SJR: 0,167 ; CiteScore: 0,7 ; SNIP: 0,587 Scimago - Computer science (miscellaneous) - Q3, Education - Q4, Information systems - Q4, Information systems and management - Q4, Management of technology and innovation - Q4, Strategy and management - Q4 </t>
  </si>
  <si>
    <t xml:space="preserve">Teachers' attitudes to incorporation digital means in teaching process in relation to the subjects they teach / Záhorec, Ján [Autor, UKOPDDPP, 40%] ; Poliaková, Adriana [Autor, UKOPDPED, 30%] ; Hašková, Alena [Autor, UKFPFAKTT, 30%]. – text. – [angličtina]. – [OV 010]. – [článok]. – DOI 10.3991/ijep.v9i4.11064. – SIGN-UKO PD DP, PE/19. – WOS CC ; SCO In: International Journal of Engineering Pedagogy [elektronický dokument] . – Viedeň (Rakúsko) : International Association of Online Engineering. – ISSN (online) 2192-4880. – Roč. 9, č. 4 (2019), 101-120 [online] . – SJR: 0,243 ; CiteScore: 0,9 ; SNIP: 0,49 Scimago - Education - Q3, Engineering (miscellaneous) - Q2 </t>
  </si>
  <si>
    <t xml:space="preserve">Teachers' competences evaluation: Case study / Gadušová, Zdenka [Autor, UKFFFAKAA, 30%] ; Hašková, Alena [Autor, UKFPFAKTT, 35%] ; Szarszoi, Dávid [Autor, 35%]. – [angličtina]. – [OV 010]. – [článok]. – DOI http://dx.doi.org/10.15293/2658-6762.2003.09. – SCO In: Science for Education Today [elektronický dokument] . – Novosibirsk (Ruská federácia) : Novosibirsk State Pedagogical University. – ISSN (online) 2658-6762. – Roč. 10, č. 3 (2020), s. 164-177 [online] </t>
  </si>
  <si>
    <t xml:space="preserve">Teachers motivation towards assessment of their professional competences / Stranovská, Eva [Autor, UKFFFAKGE, 35%] ; Lalinská, Mária [Autor, UKFFFAKRO, 35%] ; Boboňová, Ivana [Autor, UKFFPVKMA, 30%]. – text. – [angličtina]. – [OV 010]. – [článok]. – WOS CC ; SCO In: Problems of education in the 21st century [textový dokument (print)] [elektronický dokument] . – Šiauliai (Litva) : Scientia Socialis. – ISSN 1822-7864. – ISSN (online) 2538-7111. – Roč. 76, č. 4 (2018), s. 561-574 [tlačená forma] [online] . – SJR: 0,125 ; CiteScore: 0,3 ; SNIP: 0,263 Scimago - Education - Q4 </t>
  </si>
  <si>
    <t xml:space="preserve">Teacher's self-assessment as a part of quality management / Hašková, Alena [Autor, UKFPFAKTT, 33.334%] ; Lukáčová, Danka [Autor, UKFPFAKTT, 33.333%] ; Noga, Henryk [Autor, 33.333%]. – text. – [angličtina]. – [OV 010]. – [článok]. – DOI 10.15293/2658-6762.1902.11. – SCO In: Science for Education Today [elektronický dokument] . – Novosibirsk (Ruská federácia) : Novosibirsk State Pedagogical University. – ISSN (online) 2658-6762. – Roč. 9, č. 2 (2019), 156-169 [online] . – SJR: 0,271 ; CiteScore: 0,8 ; SNIP: 0,375 Scimago - Education - Q3 </t>
  </si>
  <si>
    <t xml:space="preserve">Teachers' self-efficacy as a determinant of lesson management quality / Lukáčová, Viera [Autor, 25%] ; Fenyvesiová, Lívia [Autor, UKFPFAKPE, 25%] ; Tirpáková, Anna [Autor, UKFFPVKMA, 25%] ; Malá, Eva [Autor, UKFPFAKLI, 25%]. – text. – [angličtina]. – [OV 010]. – [článok]. – DOI 10.18421/TEM73-25. – WOS CC ; SCO In: TEM Journal [textový dokument (print)] [elektronický dokument] : Technology, Education, Management, Informatics. – Novi Pazar (Srbsko) : Association for Information Communication Technology Education and Science. – ISSN 2217-8309. – ISSN (online) 2217-8333. – Roč. 7, č. 3 (2018), s. 662-669 [tlačená forma] [online] . – SJR: 0,148 ; CiteScore: 0,4 ; SNIP: 0,538 Scimago - Computer science (miscellaneous) - Q4, Education - Q4, Information systems - Q4, Information systems and management - Q4, Management of technology and innovation - Q4, Strategy and management - Q4 </t>
  </si>
  <si>
    <t xml:space="preserve">Teachers’ perception of the books of subjects of elementary realia with an emphasis on forest environment topics / Kollárová, Dana [Autor, UKFPFAKPE, 70%] ; Nagyová, Alexandra [Autor, UKFPFAKPE, 30%].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10, č. 2 (2020), s. 188-194 [tlačená forma] [online] . – AIS: 0.021 AIS - Multidisciplinary sciences - Q4 </t>
  </si>
  <si>
    <t xml:space="preserve">Teachers’ professional competence and their evaluation / Gadušová, Zdenka [Autor, UKFFFAKAA, 34%] ; Hašková, Alena [Autor, UKFPFAKTT, 33%] ; Predanocyová, Ľubica [Autor, UKFFFAKFI, 33%]. – text. – [angličtina]. – [OV 010]. – [článok]. – DOI 10.26907/esd14.3.02. – SCO In: Education and Self Development [textový dokument (print)] . – Kazaň (Ruská federácia) : Kazanskiy federalnyy universitet. – ISSN 1991-7740. – Roč. 14, č. 3 (2019), s. 17-24 [tlačená forma] . – SJR: 0,107 ; CiteScore: 0,1 ; SNIP: 0,031 Scimago - Development - Q4, Education - Q4, Political science and international relations - Q4 </t>
  </si>
  <si>
    <t xml:space="preserve">Teaching congruences in connection with diophantine equations / Ďuriš, Viliam [Autor, UKFFPVKMA, 25%] ; Gonda, Dalibor [Autor, ZUZRIAMOA, 25%] ; Tirpáková, Anna [Autor, UKFFPVKMA, 25%] ; Pavlovičová, Gabriela [Autor, UKFFPVKMA, 25%]. – text. – [angličtina]. – [OV 240]. – [článok]. – DOI 10.3390/educsci11090538. – WOS CC ; SCO In: Education sciences [elektronický dokument] . – Bazilej (Švajčiarsko) : Multidisciplinary Digital Publishing Institute. – ISSN (online) 2227-7102. – Roč. 11, č. 9 (2021), s. 1-10 [online] . – SNIP: 1,314 ; SJR: 0,518 ; CiteScore: 2,9 ; AIS: 0.434 AIS - Education &amp; educational research - Q1 Scimago - Computer science (miscellaneous) - Q2, Computer science applications - Q2, Developmental and educational psychology - Q3, Education - Q2, Physical therapy, sports therapy and rehabilitation - Q2, Public administration - Q2 </t>
  </si>
  <si>
    <t xml:space="preserve">Teaching geographical methods and forms in the United States,Iceland and Slovakia / Petrikovičová, Lucia [Autor, UKFFPVKGR, 50%] ; Dysková, Simona [Autor, 8%] ; Pavlíková, Martina [Autor, UKFFFAKZU, 40%] ; Giniyatullovna Vasbieva, Dinara [Autor, 1%] ; Anatolevna Kalugina, Olga [Autor, 1%]. – text. – [angličtina]. – [OV 092]. – [článok]. – WOS CC In: AD ALTA [textový dokument (print)] [elektronický dokument] : journal of interdisciplinary research = recenzovaný mezioborový vědecký časopis. – Hradec Králové (Česko) : Magnanimitas akademické sdružení. – ISSN 1804-7890. – ISSN (online) 2464-6733. – Roč. 11, č. 1 (2021), s. 398-401 [tlačená forma] [online] . – AIS: 0.028 AIS - Multidisciplinary sciences - Q4 </t>
  </si>
  <si>
    <t xml:space="preserve">Tegenaria hasperi Chyzer, 1897 and Zoropsis spinimana (Dufour,1820), newly recorded synanthropic spiders from Slovakia (Araneae,Agelenidae, Zoropsidae) / Purgat, Pavol [Autor, UKFFPVKEE, 30%] ; Ondrejková, Natália [Autor, UKFFPVKEE, 5%] ; Krumpálová, Zuzana [Autor, UKFFPVKEE, 30%] ; Gajdoš, Peter [Autor, 30%] ; Hurajtová, Natália [Autor, UKFFPVKEE, 5%]. – text. – [angličtina]. – [OV 100]. – [článok]. – DOI 10.15560/17.3.775. – SCO In: Check List [elektronický dokument] : the Journal of Species Lists and Distribution : the Journal of Biodiversity Data. – Sao Paulo (Brazília) : Centro de Referencia em Informacao Ambiental. – ISSN (online) 1809-127X. – Roč. 17, č. 3 (2021), s. 775-782 [online] . – CiteScore: 1 ; SJR: 0,259 ; SNIP: 0,444 Scimago - Animal science and zoology - Q3, Ecology - Q3, Ecology, evolution, behavior and systematics - Q3, Insect science - Q3, Plant science - Q3 </t>
  </si>
  <si>
    <t xml:space="preserve">Text Linguistics: Traditions and Perspectives / Gallo, Ján [Autor, UKFFFAKRU, 60%] ; Alefirenko, N. J. [Autor, 40%]. – text. – [ruština]. – [OV 020]. – [článok]. – WOS CC In: Filologičeskij klass [textový dokument (print)] [elektronický dokument] : regional'nyj žurnal učitelej- slovesnikov Urala. – Ekaterinburg (Ruská federácia) : Uraľskij gosudarstvennyj pedagogičeskij universitet. – ISSN 2071-2405. – ISSN (online) 2658-5235. – Roč. 25, č. 3 (2020), s. 23-38 [tlačená forma] [online] . – AIS: 0.012 AIS - Education &amp; educational research - Q4 </t>
  </si>
  <si>
    <t xml:space="preserve">The "we" vs. "they" distinction in Slovakia Hungarians' discourse / Vančo, Ildikó [Autor, UKFFSSUML, 100%]. – text. – [angličtina]. – [OV 020, 010]. – [článok]. – DOI 10.1556/044.2020.00007. – SCO In: Hungarian Studies [textový dokument (print)] [elektronický dokument] : A Journal of the International Association for Hungarian Studies. – Budapešť (Maďarsko) : Akadémiai Kiadó. – ISSN 0236-6568. – ISSN (online) 1588-2772. – Roč. 34, č. 1 (2020), 73-84 [tlačená forma] [online] . – SJR: 0,1 ; CiteScore: 0,1 ; SNIP: 0,49 Scimago - Arts and humanities (miscellaneous) - Q4, Social sciences (miscellaneous) - Q4 </t>
  </si>
  <si>
    <t xml:space="preserve">The Action of Benzene, Resveratrol and Their Combination on Ovarian Cell Hormone Release / Sirotkin, Alexander [Autor, UKFFPVKZA, 50%] ; Kadasi, Attila [Autor, 10%] ; Baláži, Andrej [Autor, 10%] ; Kotwica, Jan [Autor, 10%] ; Alwasel, Saleh Hamad Amad [Autor, 10%] ; Harath, Abdel Halim [Autor, 10%]. – text. – [angličtina]. – [OV 190]. – [článok]. – WOS CC ; SCO In: Folia biologica [textový dokument (print)] [elektronický dokument] : journal of cellular and molecular biology. – Praha (Česko) : Akademie věd České republiky. Ústav molekulární genetiky AV ČR, Praha (Česko) : Univerzita Karlova v Praze. 1. lékařská fakulta, [s.l.] : Biologický ústav ČSAV. – ISSN 0015-5500. – ISSN (online) 2533-7602. – Roč. 66, č. 2 (2020), s. 67-71 [tlačená forma] [online] . – SJR: 0,325 ; CiteScore: 1,5 ; SNIP: 0,261 ; IF: 0.906 ; AIS: 0.207 AIS - Biology - Q4, Oncology - Q4 JIF - Biology - Q4, Oncology - Q4 Scimago - Biochemistry - Q4, Cell biology - Q4, Developmental biology - Q4, Genetics - Q4, Immunology - Q4, Medicine (miscellaneous) - Q3, Molecular biology - Q4 </t>
  </si>
  <si>
    <t xml:space="preserve">The Beginnings of Radiophony in Slovakia and the School Radio / Čierna, Alena [Autor, UKFPFAKHU, 100%]. – text. – [angličtina]. – [OV 020]. – [článok]. – WOS CC In: AD ALTA [textový dokument (print)] [elektronický dokument] : journal of interdisciplinary research = recenzovaný mezioborový vědecký časopis. – Hradec Králové (Česko) : Magnanimitas akademické sdružení. – ISSN 1804-7890. – ISSN (online) 2464-6733. – Roč. 8, č. 2 (2018), 37-42 [tlačená forma] [online] </t>
  </si>
  <si>
    <t xml:space="preserve">The consumption of meat in castles in the high Middle Ages: A case study from the Peťuša castle / Šimunková, Katarína [Autor, UKFFFAKAR, 50%] ; Beljak Pažinová, Noémi [Autor, UKFFFAKAR, 50%]. – text. – [angličtina]. – [OV 030]. – [článok]. – DOI 10.5817/AH2018-2-3. – SCO In: Archaeologia historica [textový dokument (print)] [elektronický dokument] . – Brno (Česko) : Masarykova univerzita. Filozofická fakulta. – ISSN 0231-5823. – ISSN (online) 2336-4386. – Roč. 43, č. 2 (2018), s. 369-383 [tlačená forma] [online] . – SJR: 0,210 ; CiteScore: 0,4 ; SNIP: 0,602 Scimago - Archeology - Q2, Archeology (arts and humanities) - Q2, History - Q1 </t>
  </si>
  <si>
    <t xml:space="preserve">The content analysis of english textbooks for primary schools - teaching pronunciation / Kráľová, Zdena [Autor, UKFPFAKLI, 50%] ; Kučerka, Maroš [Autor, UKFPFAKLI, 50%]. – text. – [angličtina]. – [OV 010]. – [článok]. – DOI 10.17051/ilkonline.2019.561889. – SCO In: Elementary Education Online [elektronický dokument] . – Ankara (Turecko) : Sinan Olkun. – ISSN (online) 1305-3515. – Roč. 18, č. 2 (2019), 472-481 [online] . – SJR: 0,192 ; CiteScore: 0,5 ; SNIP: 0,426 Scimago - Education - Q3 </t>
  </si>
  <si>
    <t xml:space="preserve">The context of cooperation between school and family of pupils with adhd and add at common primary schools / Feranská, Margita [Autor, UKFPFAKPE, 100%].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8, č. 2 (2018), 61-64 [tlačená forma] [online] </t>
  </si>
  <si>
    <t xml:space="preserve">The current situation in 'second chance' education in Slovakia / Lukáčová, Silvia [Autor, PUPHUAN, 30%] ; Lukáč, Marek [Autor, PUPHUAN, 30%] ; Pirohová, Ivana [Autor, PUPHUAN, 20%] ; Lukáč, Eduard [Autor, PUPHUPE, 10%] ; Temiaková, Dominika [Autor, UKFPFAKPE, 10%]. – text, graf., tab. – [angličtina]. – [OV 010, 060]. – [článok]. – SIGN-PU FHPV-20 57/20. – WOS CC In: AD ALTA [textový dokument (print)] [elektronický dokument] : journal of interdisciplinary research = recenzovaný mezioborový vědecký časopis. – Hradec Králové (Česko) : Magnanimitas akademické sdružení. – ISSN 1804-7890. – ISSN (online) 2464-6733. – Roč. 10, č. 1 (2020), s. 165-171 [tlačená forma] [online] . – AIS: 0.021 AIS - Multidisciplinary sciences - Q4 </t>
  </si>
  <si>
    <t xml:space="preserve">The eeffect of perfection of motion paradigm on activation of selected muscles in an open and closed kinematic chain = Vplyv zdokonaľovania pohybového vzoru na aktiváciu vybraných svalov v otvorenom a uzavretom kinematickom reťazci / Chudý, Jakub [Autor, UKOTVKKA, 30%] ; Musilová, Eva [Autor, UKOTVKKA, 30%] ; Krčmár, Matúš [Autor, UKFPFAKTV, 5%] ; Kolonyi, Tomáš [Autor, UKOLFAU, 5%] ; Buzgó, Gabriel [Autor, UKOTVKKA, 30%]. – text, graf., obr. – [slovenčina]. – [OV 210, 180]. – [článok]. – [recenzované]. – SIGN-UKO TV Č 615/19. – SCO In: Rehabilitace a fyzikální lékařství [textový dokument (print)] [elektronický dokument] : volné pokračování Fysiatrického a revmatologického věstníku založeného v roce 1923. – ISSN 1211-2658. – ISSN (online) 1805-4552. – Roč. 26, č. 3 (2019), s. 139-144 [tlačená forma] [online] . – SNIP: 0,373 ; SJR: 0,202 ; CiteScore: 0,40 Scimago - Physical therapy, sports therapy and rehabilitation - Q3, Rehabilitation - Q3 </t>
  </si>
  <si>
    <t xml:space="preserve">The effect of corporate income tax of agricultural companies on national budget - the case of the Slovak Republic / Chebeň, Juraj [Autor, UKOMAKMN, 25%] ; Krajčírová, Renáta [Autor, SPUFEM18, 25%] ; Ferenczi Vaňová, Alexandra [Autor, 25%] ; Munk, Michal [Autor, UKFFPVKIN, 25%]. – text. – [angličtina]. – [OV 080, 160]. – [článok]. – DOI 10.24818/EA/2021/57/466. – SSCI ; WOS CC ; SCO In: Amfiteatru Economic [textový dokument (print)] [elektronický dokument] : an Economic and Business Research Periodical. – Bukurešť (Rumunsko) : EDITURA ASE. – ISSN 1582-9146. – ISSN (online) 2247-9104. – Roč. 23, č. 57 (2021), 466-482 [tlačená forma] [online] . – CiteScore: 3,1 ; IF: 2.304 ; SJR: 0,37 ; SNIP: 0,681 ; AIS: 0.233 AIS - Business - Q4, Economics - Q4, Management - Q4 JIF - Business - Q4, Economics - Q2, Management - Q4 Scimago - Economics, econometrics and finance (miscellaneous) - Q2 </t>
  </si>
  <si>
    <t xml:space="preserve">The effect of different online education modes on the English language learning of media studies students / Medová, Janka [Autor, UKFFPVKMA, 33%] ; Tirpáková, Anna [Autor, UKFFPVKMA, 34%] ; Kurucová, Zuzana [Autor, PEUFPUDSP, 33%]. – text. – [angličtina]. – [OV 010]. – [článok]. – DOI 10.1080/2331186X.2018.1523514. – PEVŠ 2018ADM0040. – WOS CC ; SCO In: Cogent education [textový dokument (print)] [elektronický dokument] . – Veľká Británia : Taylor &amp; Francis Group. Cogent OA. – ISSN 2331-186X. – Roč. 5, č. 1 (2018), s. [1-13] [online] . – SNIP: 0,646 ; SJR: 0,244 ; CiteScore: 0,8 Scimago - Education - Q3 </t>
  </si>
  <si>
    <t xml:space="preserve">The effect of experience on reducing the overconfidence effect in teachers / Krause, Robert [Autor, UKFPFAKAP, 100%]. – text. – [angličtina]. – [OV 010]. – [článok]. – DOI 10.33225/pec/21.79.220. – WOS CC In: Problems of education in the 21st century [textový dokument (print)] [elektronický dokument] . – Šiauliai (Litva) : Scientia Socialis. – ISSN 1822-7864. – ISSN (online) 2538-7111. – Roč. 79, č. 2 (2021), s. 220-228 [tlačená forma] [online] . – SNIP: 1,261 ; AIS: 0.114 AIS - Education &amp; educational research - Q3 </t>
  </si>
  <si>
    <t xml:space="preserve">The effect of parental education and parental reading behaviour on family cultural capital of lower and upper secondary school students / Šarvajcová, Marcela [Korešpondenčný autor, UKFFFAKSO, 50%] ; Rybanský, Ľubomír [Autor, UKFFPVKMA, 50%]. – text. – [angličtina]. – [OV 060]. – [článok]. – DOI 10.33225/pec/20.78.612. – WOS CC In: Problems of education in the 21st century [textový dokument (print)] [elektronický dokument] . – Šiauliai (Litva) : Scientia Socialis. – ISSN 1822-7864. – ISSN (online) 2538-7111. – Roč. 78, č. 4 (2020), 612-626 [tlačená forma] [online] . – AIS: 0.089 AIS - Education &amp; educational research - Q3 </t>
  </si>
  <si>
    <t xml:space="preserve">The effect of selenium application on plant health indicators of garden pea (Pisum sativum L.) varieties / Žitná, Marcela [Autor, UKFFPVKBG, 30%] ; Juríková, Tünde [Autor, UKFFSSUVP, 30%] ; Hegedűsová, Alžbeta [Autor, SPUFZK10, 20%] ; Golian, Marcel [Autor, SPUFZK10, 10%] ; Mlček, Jiří [Autor, 5%] ; Ryant, Pavel [Autor, 5%]. – text. – [angličtina]. – [OV 190, 130]. – [článok]. – [recenzované]. – SCO In: Acta Universitatis agriculturae et silviculturae Mendelianae Brunensis [textový dokument (print)] [elektronický dokument] . – Brno (Česko) : Mendelova univerzita v Brně. – ISSN 1211-8516. – ISSN (online) 2464-8310. – TUTPR signatúra E074241. – Roč. 66, č. 2 (2018), s. 399-405 [tlačená forma] [online] . – SJR: 0,196 ; CiteScore: 0,7 ; SNIP: 0,399 Scimago - Agricultural and biological sciences (miscellaneous) - Q3 </t>
  </si>
  <si>
    <t xml:space="preserve">The effects, features and challenges of digital competence and digital culture on society and education / Balogh, Zoltán [Autor, UKFFPVKIN, 25%] ; Molnár, György [Autor, 25%] ; Nagy, Katalin [Autor, 20%] ; Orosz, Beáta [Autor, 20%] ; Szűts, Zoltán [Autor, 10%]. – text. – [angličtina]. – [OV 010]. – [článok]. – WOS CC In: Civil Szemle [textový dokument (print)] . – Budapešť (Maďarsko) : Új Mandátum Könyvkiadó. – ISSN 1786-3341. – Roč. 17, č. 2 (2020), s. 69-87 [tlačená forma] . – IF: 0.188 ; AIS: 0.004 AIS - Public administration - Q4 JIF - Public administration - Q4 </t>
  </si>
  <si>
    <t xml:space="preserve">The growth of tourism and its impact on the protected areas of Iceland / Dysková, Simona [Autor, 10%] ; Petrikovičová, Lucia [Autor, UKFFPVKGR, 80%] ; Roubalová, Marie [Autor, 10%]. – text. – [angličtina]. – [OV 092]. – [článok]. – WOS CC In: AD ALTA [textový dokument (print)] [elektronický dokument] : journal of interdisciplinary research = recenzovaný mezioborový vědecký časopis. – Hradec Králové (Česko) : Magnanimitas akademické sdružení. – ISSN 1804-7890. – ISSN (online) 2464-6733. – Roč. 11, č. 1 (2021), s. 402-407 [tlačená forma] [online] . – AIS: 0.028 AIS - Multidisciplinary sciences - Q4 </t>
  </si>
  <si>
    <t xml:space="preserve">The history of the dead god - the genesis of ‘the death of god’ in philosophy and literature before Nietzsche / Horyna, Břetislav [Autor, UKFFFAKFI, 100%]. – text. – [angličtina]. – [OV 020]. – [článok]. – DOI 10.5817/pf20-2-2178. – SCO In: Pro-Fil [elektronický dokument] : internetový časopis pro filosofii = an Internet Journal of Philosophy. – Brno (Česko) : Masarykova univerzita. Filozofická fakulta. Katedra filozofie. – ISSN (online) 1212-9097. – Roč. 21, č. 2 (2020), s. 1-17 [online] . – SJR: 0,143 ; CiteScore: 0,1 ; SNIP: 0,436 Scimago - Philosophy - Q2 </t>
  </si>
  <si>
    <t xml:space="preserve">The Holocaust May Be Important, But It's No Longer Original: Representations of the Holocaust in Slovak Theatre Reviews from 2000 to 2017 / Mihalová, Lucia [Autor, UKFFFAULK, 50%] ; Urban, Marek [Autor, 50%]. – text. – [angličtina]. – [OV 030, 020]. – [článok]. – DOI 10.17646/KOME.75698.61. – WOS CC In: KOME – An International Journal of Pure Communication Inquiry [elektronický dokument] . – Budapešť (Maďarsko) : Hungarian Communication Studies Association. – ISSN 2063-7330. – Roč. 7, č. 1 (2019), 84-97 [online] . – SJR: 0,309 ; CiteScore: 1,1 ; SNIP: 0,41 Scimago - Communication - Q2, Linguistics and language - Q1 </t>
  </si>
  <si>
    <t xml:space="preserve">The Idea of Care for Reason in Chinese Philosophy and its Influence on German Enlightenment : the Reception of Confucianism in the Moral Philosophy of Christian Wolff / Horyna, Břetislav [Autor, UKFFFAKFI, 100%]. – text. – [angličtina]. – [OV 020]. – [článok]. – DOI 10.22381/kc9220211. – SCO In: Knowledge Cultures [textový dokument (print)] : a Multidisciplinary Journal. – ISSN 2327-5731. – ISSN (online) 2375-6527. – Roč. 9, č. 2 (2021), s. 7-43 [tlačená forma] . – CiteScore: 2 ; SJR: 0,193 ; SNIP: 0,592 Scimago - Cultural studies - Q2, Education - Q4, History - Q2, Law - Q3, Library and information sciences - Q3, Literature and literary theory - Q1, Philosophy - Q2, Sociology and political science - Q3 </t>
  </si>
  <si>
    <t xml:space="preserve">The Impact of Formative Assessment on Results of Secondary School Pupils in Mathematics: One Case of Schools in Slovakia / Rumanová, Lucia [Korešpondenčný autor, UKFFPVKMA, 33%] ; Vallo, Dušan [Autor, UKFFPVKMA, 33%] ; Záhorská, Júlia [Autor, UKFFPVKMA, 34%]. – text. – [angličtina]. – [OV 010]. – [článok]. – DOI 10.18421/TEM93-47. – WOS CC In: TEM Journal [textový dokument (print)] [elektronický dokument] : Technology, Education, Management, Informatics. – Novi Pazar (Srbsko) : Association for Information Communication Technology Education and Science. – ISSN 2217-8309. – ISSN (online) 2217-8333. – Roč. 9, č. 3 (2020), 1200-1207 [tlačená forma] [online] . – SJR: 0,199 ; CiteScore: 1,2 ; SNIP: 0,671 ; AIS: 0.083 AIS - Computer science, information systems - Q4 Scimago - Computer science (miscellaneous) - Q3, Education - Q4, Information systems - Q4, Information systems and management - Q3, Management of technology and innovation - Q4, Strategy and management - Q4 </t>
  </si>
  <si>
    <t xml:space="preserve">The impact of packaging on consumer behavior in the private label market – the case of Slovak consumers under 25 years of age / Kádeková, Zdenka [Autor, SPUFEM16, 25%] ; Košičiarová, Ingrida [Autor, SPUFEM16, 25%] ; Vavřečka, Vladimír [Autor, 25%] ; Džupina, Milan [Autor, UKFFFAKMR, 25%]. – text. – [angličtina]. – [OV 060]. – [článok]. – DOI 10.21511/im.16(3).2020.06. – SCO In: Innovative marketing [textový dokument (print)] [elektronický dokument] . – Sumy (Ukrajina) : Consulting publishing company  “Business Perspectives”. – ISSN 1814-2427. – ISSN (online) 1816-6326. – Roč. 16, č. 3 (2020), s. 62-73 [tlačená forma] [online] . – SJR: 0,239 ; CiteScore: 1,2 ; SNIP: 0,545 Scimago - Economics, econometrics and finance (miscellaneous) - Q3, Management of technology and innovation - Q3, Marketing - Q3 </t>
  </si>
  <si>
    <t xml:space="preserve">The impact of pedagogical and personal history of the teacher on its current teaching style / Máčajová, Monika [Autor, UKFPFAKPE, 34%] ; Zajacová, Zuzana [Autor, UKFPFAKPE, 33%] ; Melišeková Dojčanová, Adela [Autor, UKFPFAKPE, 33%].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9, č. 1 (2019), 167-172 [tlačená forma] [online] </t>
  </si>
  <si>
    <t xml:space="preserve">The importance of English in business education in the Czech Republic / Kráľová, Zdena [Autor, UKFPFAKLI, 95%] ; Doleželová, Eliška [Autor, 5%]. – text. – [angličtina]. – [OV 010]. – [článok]. – DOI 10.1080/08832323.2020.1762529. – WOS CC ; SCO In: Journal of education for business [textový dokument (print)] . – ISSN 0883-2323. – ISSN (online) 1940-3356. – Roč. 95, č. 5 (2020), s. 295-306 [tlačená forma] . – SJR: 0,508 ; CiteScore: 1,6 ; SNIP: 0,948 ; AIS: 0.258 AIS - Education &amp; educational research - Q2 Scimago - Business, management and accounting (miscellaneous) - Q2, Education - Q2 </t>
  </si>
  <si>
    <t xml:space="preserve">The importance of mathematics and physics for the study of safety and protection of health at work / Lukáčová, Danka [Autor, UKFPFAKTT, 34%] ; Bánesz, Gabriel [Autor, UKFPFAKTT, 33%] ; Tureková, Ivana [Autor, UKFPFAKTT, 33%].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9, č. 2 (2019), 177-179 [tlačená forma] [online] </t>
  </si>
  <si>
    <t xml:space="preserve">The in vitro effect of taurine on boar spermatozoa quality / Paál, Dušan [Autor, 24%] ; Strejček, František [Autor, UKFFPVKBG, 20%] ; Tvrdá, Eva [Autor, SPUFBP03, 20%] ; Formicki, Grzegorz [Autor, 14%] ; Klein, Sabine [Autor, 1%] ; Rath, Detlef [Autor, 1%] ; Massanyi, Peter [Autor, SPUFBP03, 20%]. – [angličtina]. – [OV 130, 190]. – [článok]. – [recenzované]. – DOI 10.11118/actaun201866010131. – SCO In: Acta Universitatis agriculturae et silviculturae Mendelianae Brunensis [textový dokument (print)] [elektronický dokument] . – Brno (Česko) : Mendelova univerzita v Brně. – ISSN 1211-8516. – ISSN (online) 2464-8310. – TUTPR signatúra E074241. – Roč. 66, č. 1 (2018), s. 131-137 [tlačená forma] [online] . – SJR: 0,196 ; CiteScore: 0,7 ; SNIP: 0,399 Scimago - Agricultural and biological sciences (miscellaneous) - Q3 </t>
  </si>
  <si>
    <t xml:space="preserve">The influence of different caffeine doses on visual and audial reaction time with different delay from its consumption = L’influence de la caféine à différentes doses sur les temps de réaction visuels et auditifs lors des différents délais de consommation / Balkó, Štefan [Korešpondenčný autor, 14%] ; Šimonek, Jaromír [Autor, UKFPFAKTV, 16%] ; Balkó, Ivana [Autor, 14%] ; Heller, Jan [Autor, 14%] ; Chytrý, Vlastimil [Autor, 14%] ; Balogová, Kristyna [Autor, 14%] ; Gromek, Pawel [Autor, 14%]. – text. – [angličtina]. – [OV 210]. – [článok]. – DOI 10.1016/j.scispo.2019.11.004. – WOS CC ; SCO In: Science and Sports [textový dokument (print)] . – Paris (Francúzsko) : Elsevier. Elsevier Masson. – ISSN 0765-1597. – Roč. 35, č. 6 (2020), s. 358-363 [tlačená forma] [online] . – SJR: 0,218 ; CiteScore: 0,9 ; SNIP: 0,311 ; IF: 0.789 ; AIS: 0.197 AIS - Sport sciences - Q4 JIF - Sport sciences - Q4 Scimago - Orthopedics and sports medicine - Q4, Sports science - Q4 </t>
  </si>
  <si>
    <t xml:space="preserve">The influence of environmental conditions on the accuracy of QEEG electroencephalography / Prauzner, Tomasz [Autor, 16%] ; Prauzner, Kacper [Autor, 17%] ; Ptak, Pawel [Autor, 17%] ; Noga, Henryk [Autor, 17%] ; Migo, Piotr [Autor, 16%] ; Depešová, Jana [Autor, UKFPFAKTT, 17%]. – text. – [angličtina]. – [OV 010]. – [článok]. – DOI 10.15199/48.2020.04.17. – WOS CC In: Przegląd Elektrotechniczny [textový dokument (print)] [elektronický dokument] . – Varšava (Poľsko) : Stowarzyszenie Elektrykow Polskich. – ISSN 0033-2097. – ISSN (online) 2449-9544. – Roč. 96, č. 4 (2020), 86-89 [tlačená forma] [online] . – SJR: 0,19 ; CiteScore: 1 ; SNIP: 0,432 ; AIS: 0.077 AIS - Engineering, electrical &amp; electronic - Q3 Scimago - Electrical and electronic engineering - Q3 </t>
  </si>
  <si>
    <t xml:space="preserve">The influence of relief morphometric characteristics upon the occurrence of the species Cordulegaster bidentata in the particular conditions of the Western Carpathians / Petrovičová, Kornélia [Autor, SPUFAP26, 60%] ; Langraf, Vladimír [Autor, UKFFPVKZA, 13%] ; David, Stanislav [Autor, UKFFPVKEE, 13%] ; Maták, Ladislav [Autor, 5%] ; Krumpálová, Zuzana [Autor, UKFFPVKEE, 5%] ; Schlarmannová, Janka [Autor, UKFFPVKZA, 4%]. – text. – [angličtina]. – [OV 100]. – [článok]. – DOI 10.15421/01211. – WOS CC ; SCO In: Biosystems Diversity [textový dokument (print)] [elektronický dokument] . – Dnipro (Ukrajina) : Oles Honchar Dnipro National University. – ISSN 2519-8513. – ISSN (online) 2520-2529. – Roč. 29, č. 2 (2021), s. 111-118 [tlačená forma] [online] . – CiteScore: 1,3 ; SJR: 0,227 ; SNIP: 0,629 Scimago - Ecology - Q3, Ecology, evolution, behavior and systematics - Q4 </t>
  </si>
  <si>
    <t xml:space="preserve">The Influence of Turmeric and Curcumin on Female Reproductive Processes / Sirotkin, Alexander [Autor, UKFFPVKZA, 100%]. – text. – [angličtina]. – [OV 130]. – [článok]. – DOI 10.1055/a-1542-8992. – WOS CC ; SCO In: Planta Medica [textový dokument (print)] [elektronický dokument] : Journal of Medicinal Plant and Natural Product Research. – Stuttgart (Nemecko) : Thieme publishing group. – ISSN 0032-0943. – ISSN (online) 1439-0221. – Roč. 87, č. 9 (2021), s. 1-12 [tlačená forma] . – CiteScore: 6,2 ; IF: 3.007 ; SJR: 0,572 ; SNIP: 1,158 ; AIS: 0.482 AIS - Chemistry, medicinal - Q3, Integrative &amp; complementary medicine - Q3, Pharmacology &amp; pharmacy - Q3, Plant sciences - Q2 JIF - Chemistry, medicinal - Q3, Integrative &amp; complementary medicine - Q2, Pharmacology &amp; pharmacy - Q3, Plant sciences - Q2 Scimago - Analytical chemistry - Q2, Complementary and alternative medicine - Q1, Drug discovery - Q2, Molecular medicine - Q3, Organic chemistry - Q2, Pharmaceutical science - Q2, Pharmacology - Q2 </t>
  </si>
  <si>
    <t xml:space="preserve">The issue of periodization in Wittgenstein’s philosophy of religion / Ambrozy, Marián [Autor, ISMNEKSV, 33.334%] ; Králik, Roman [Autor, UKFFFAKAE 06.2022, 33.333%] ; Poyner, Jordan [Autor, 33.333%]. – [angličtina]. – [OV 020]. – [článok]. – WOS CC ; SCO In: European Journal of Science and Theology [textový dokument (print)] [elektronický dokument] . – Jasy (Rumunsko) : Academic organisation for environmental engineering and sustainable development. – ISSN 1841-0464. – ISSN (online) 1842-8517. – Roč. 14, č. 1 (2018), s. 115-124 [tlačená forma] [online] . – SJR: 0,377 ; CiteScore: 1,6 ; SNIP: 0,676 Scimago - Engineering (miscellaneous) - Q1, History and philosophy of science - Q2, Multidisciplinary - Q1, Religious studies - Q1 </t>
  </si>
  <si>
    <t xml:space="preserve">The issue of the origin of Saint clement of Ohrid and Saint Naum of Ohrid in Slovak and Czech historiography / Ivanič, Peter [Autor, UKFFFAUKD, 100%]. – [angličtina]. – [OV 020]. – [článok]. – WOS CC ; SCO In: European Journal of Science and Theology [textový dokument (print)] [elektronický dokument] . – Jasy (Rumunsko) : Academic organisation for environmental engineering and sustainable development. – ISSN 1841-0464. – ISSN (online) 1842-8517. – Roč. 14, č. 1 (2018), s. 135-144 [tlačená forma] [online] . – SJR: 0,377 ; CiteScore: 1,6 ; SNIP: 0,676 Scimago - Engineering (miscellaneous) - Q1, History and philosophy of science - Q2, Multidisciplinary - Q1, Religious studies - Q1 </t>
  </si>
  <si>
    <t xml:space="preserve">The landfill from nickel production in Danubian Lowland and its environmental implications / Boltižiar, Martin [Autor, UKFFPVKGR, 40%] ; Michaeli, Eva [Autor, PUPHUGG, 40%] ; Solár, Vladimír [Autor, PUPHUGG, 20%]. – text. – [angličtina]. – [OV 100, 092]. – [článok]. – DOI 10.2478/geosc-2021-0014. – SIGN-PU FHPV-21 280/21. – WOS CC ; SCO In: GeoScape [elektronický dokument] . – Varšava (Poľsko) : SCIENDO. – ISSN (online) 1802-1115. – Roč. 15, č. 2 (2021), s. 173-182 [online] . – CiteScore: 1,4 ; SJR: 0,22 ; SNIP: 0,912 ; AIS: 0.196 AIS - Geography - Q2 Scimago - Ecology - Q3, Geography, planning and development - Q3, Nature and landscape conservation - Q3, Urban studies - Q3 </t>
  </si>
  <si>
    <t xml:space="preserve">The localization of video games into less widely spoken languages that share a common history: An example of Slovak and Czech legislative parallels / Koscelníková, Mária [Autor, UKFFFAKTR, 100%]. – text. – [angličtina]. – [OV 020]. – [článok]. – DOI 10.1075/jial.20013.kos. – SCO In: The Journal of Internationalization and Localization [textový dokument (print)] [elektronický dokument] . – Amsterdam (Holandsko) : John Benjamins Publishing Company. – ISSN 2032-6904. – ISSN (online) 2032-6912. – Roč. 8, č. 1 (2021), s. 1-25 [tlačená forma] [online] . – CiteScore: 0,4 ; SJR: 0,105 Scimago - Communication - Q4, Linguistics and language - Q4, Software - Q4 </t>
  </si>
  <si>
    <t xml:space="preserve">The main factors of Hungarian-Slovak bilingualism / Vančo, Ildikó [Autor, UKFFSSUML, 80%] ; Kondratieva, Natalia [Autor, 20%]. – [angličtina]. – [OV 020]. – [článok]. – DOI 10.35634/2224-9443-2021-15-2-222-227. – WOS CC In: Ezhegodnik Finno-Ugorskikh Issledovanii [textový dokument (print)] : Yearbook of Finno-Ugric Studies". – [s.l.] : Udmurt State University. – ISSN 2224-9443. – ISSN (online) 2311-0333. – Roč. 15, č. 2 (2021), 222-227 [tlačená forma] </t>
  </si>
  <si>
    <t xml:space="preserve">The major characteristics of the general development of the tourism industry in hungary between the two world wars - The challenges of reorganising and repositioning tourism / Csapó, János [Autor, UKFFSSKCR, 33.334%] ; Törzsök, Attila [Autor, 33.333%] ; Galambos, István [Autor, 33.333%]. – text. – [angličtina]. – [OV 080]. – [článok]. – [recenzované]. – DOI 10.1556/044.2019.33.2.11. – SCO In: Hungarian Studies [textový dokument (print)] [elektronický dokument] : A Journal of the International Association for Hungarian Studies. – Budapešť (Maďarsko) : Akadémiai Kiadó. – ISSN 0236-6568. – ISSN (online) 1588-2772. – Roč. 33, č. 2 (2019), 385-405 [tlačená forma] [online] . – SJR: 0,101 ; CiteScore: 0,1 ; SNIP: 0,134 Scimago - Arts and humanities (miscellaneous) - Q4, Social sciences (miscellaneous) - Q4 </t>
  </si>
  <si>
    <t xml:space="preserve">The methodology as oppressor and emancipator. Teaching to read and write, state language acquisition among minority Hungarians in Central Europe / Tolcsvai Nagy, Gábor [Autor, UKFFSSUML, 100%]. – text. – [angličtina]. – [OV 010]. – [článok]. – SCO In: Magyar nyelvőr [textový dokument (print)] [elektronický dokument] : a magyar Tudományos Akadémia Magyar Nyelvi Bizottságának folyóirata. – Budapešť (Maďarsko) : Magyar Tudományos Akadémia. – ISSN 0025-0236. – ISSN (online) 1585-4515. – Roč. 143, č. 2 (2019), 196-209 [tlačená forma] [online] . – SJR: 0,189 ; CiteScore: 0,2 ; SNIP: 0,523 Scimago - Language and linguistics - Q2, Linguistics and language - Q2 </t>
  </si>
  <si>
    <t xml:space="preserve">The oocyte's nucleolus precursor body: The globe for life / Benc, Michal [Autor, UKFFPVKZA, 70%] ; Pendovski, Lazo [Autor, 5%] ; Murín, Matej [Autor, UKFFPVKBG, 5%] ; Strejček, František [Autor, UKFFPVKBG, 5%] ; Morovič, Martin [Autor, UKFFPVKZA, 5%] ; Procházka, Radek [Autor, 5%] ; Laurinčík, Jozef [Autor, UKFFPVKZA, 5%]. – text. – [angličtina]. – [OV 130]. – [článok]. – DOI 10.2478/macvetrev-2018-0013. – SCO In: Macedonian Veterinary Review [textový dokument (print)] . – ISSN 1409-7621. – ISSN (online) 1857-7415. – Roč. 41, č. 2 (2018), 115-122 [tlačená forma] . – SJR: 0,193 ; CiteScore: 0,8 ; SNIP: 0,406 Scimago - Veterinary (miscellaneous) - Q3 </t>
  </si>
  <si>
    <t xml:space="preserve">The Opinions and Approaches of Slovak Youth on Migration and Human Rights (Minireview) / Pavelková, Jaroslava [Autor, 20%] ; Mojtová, Martina [Autor, UKFFSVKSP, 80%]. – text. – [angličtina]. – [OV 060]. – [článok]. – DOI 10.22359/cswhi_9_2_12. – WOS CC In: Clinical Social Work and Health Intervention [textový dokument (print)] [elektronický dokument] . – Viedeň (Rakúsko) : Gesellschaft für angewandte Präventionsmedizin. – ISSN 2222-386X. – ISSN (online) 2076-9741. – Roč. 9, č. 2 (2018), s. 81-86 [tlačená forma] [online] </t>
  </si>
  <si>
    <t xml:space="preserve">The Perception of Slovak Students on Distance Online Learning in the Time of Coronavirus - A Preliminary Study / Poláková, Petra [Autor, UKFPFAKLI, 80%] ; Klímová, Blanka [Korešpondenčný autor, 20%]. – text. – [angličtina]. – [OV 010]. – [článok]. – DOI 10.3390/educsci11020081. – WOS CC ; SCO In: Education sciences [elektronický dokument] . – Bazilej (Švajčiarsko) : Multidisciplinary Digital Publishing Institute. – ISSN (online) 2227-7102. – Roč. 11, č. 2 (2021), s. 1-7 [online] . – SNIP: 1,314 ; SJR: 0,518 ; CiteScore: 2,9 ; AIS: 0.434 AIS - Education &amp; educational research - Q1 Scimago - Computer science (miscellaneous) - Q2, Computer science applications - Q2, Developmental and educational psychology - Q3, Education - Q2, Physical therapy, sports therapy and rehabilitation - Q2, Public administration - Q2 </t>
  </si>
  <si>
    <t xml:space="preserve">The philosophical-medical context of the quality of seniors' life / Bačík, Peter [Autor, 50%] ; Lesková, Andrea [Autor, UKFFFAKAE 06.2022, 50%]. – text. – [angličtina]. – [OV 020]. – [článok]. – WOS CC ; SCO In: European Journal of Science and Theology [textový dokument (print)] [elektronický dokument] . – Jasy (Rumunsko) : Academic organisation for environmental engineering and sustainable development. – ISSN 1841-0464. – ISSN (online) 1842-8517. – Roč. 14, č. 3 (2018), s. 105-116 [tlačená forma] [online] . – SJR: 0,377 ; CiteScore: 1,6 ; SNIP: 0,676 Scimago - Engineering (miscellaneous) - Q1, History and philosophy of science - Q2, Multidisciplinary - Q1, Religious studies - Q1 </t>
  </si>
  <si>
    <t xml:space="preserve">The possibility of creating a low-cost laser engraver cnc machine prototype with platform arduino / Koprda, Štefan [Autor, UKFFPVKIN, 30%] ; Balogh, Zoltán [Autor, UKFFPVKIN, 9%] ; Magdin, Martin [Autor, UKFFPVKIN, 30%] ; Reichel, Jaroslav [Autor, UKFFPVKIN, 30%] ; Molnár, György [Autor, 1%]. – text. – [angličtina]. – [OV 160]. – [článok]. – DOI 10.12700/aph.17.9.2020.9.10. – WOS CC ; SCO In: Acta Polytechnica Hungarica [textový dokument (print)] [elektronický dokument] : An international peer-reviewed scientific journal of Óbuda University, Hungarian Academy of Engineering and IEEE Hungary Section : journal of applied sciences. – Budapešt (Maďarsko) : Óbudai Egyetem. – ISSN 1785-8860. – ISSN (online) 2064-2687. – Roč. 17, č. 9 (2020), 181-198 [tlačená forma] [online] . – IF: 1,806 ; SNIP: 0,820 ; SJR: 0,277 ; CiteScore: 4,4 ; AIS: 0.162 AIS - Engineering, multidisciplinary - Q4 JIF - Engineering, multidisciplinary - Q3 Scimago - Engineering (miscellaneous) - Q2, Multidisciplinary - Q2 </t>
  </si>
  <si>
    <t xml:space="preserve">The present and future of Hungarian regional dialects in Slovakia / Sándorová, Anna [Autor, UKFFSSUML, 100%]. – text. – [angličtina]. – [OV 020, 010]. – [článok]. – DOI 10.1556/044.2020.00008. – SCO In: Hungarian Studies [textový dokument (print)] [elektronický dokument] : A Journal of the International Association for Hungarian Studies. – Budapešť (Maďarsko) : Akadémiai Kiadó. – ISSN 0236-6568. – ISSN (online) 1588-2772. – Roč. 34, č. 1 (2020), 85-97 [tlačená forma] [online] . – SJR: 0,1 ; CiteScore: 0,1 ; SNIP: 0,49 Scimago - Arts and humanities (miscellaneous) - Q4, Social sciences (miscellaneous) - Q4 </t>
  </si>
  <si>
    <t xml:space="preserve">The problem of the ‘individual’ concept in the kierkegaard’s journals / Garcia, Chosé Martin [Autor, 50%] ; Rojas, Arturo Morales [Autor, 1%] ; Králik, Roman [Autor, UKFFFAKAE 06.2022, 49%]. – [angličtina]. – [OV 020]. – [článok]. – WOS CC ; SCO In: European Journal of Science and Theology [textový dokument (print)] [elektronický dokument] . – Jasy (Rumunsko) : Academic organisation for environmental engineering and sustainable development. – ISSN 1841-0464. – ISSN (online) 1842-8517. – Roč. 16, č. 2 (2020), 39-46 [tlačená forma] [online] . – SJR: 0,493 ; CiteScore: 1,5 ; SNIP: 0,826 ; AIS: 0.111 AIS - Religion - Q3 Scimago - Engineering (miscellaneous) - Q2, History and philosophy of science - Q1, Multidisciplinary - Q1, Religious studies - Q1 </t>
  </si>
  <si>
    <t xml:space="preserve">The Religious and Transcendental-Philosophical Concept of God in the Thought of Richard Schaeffler / Vašek, Martin [Autor, UKFFFAKFI, 100%]. – text. – [angličtina]. – [OV 020]. – [článok]. – DOI 10.5507/sth.2017.034. – WOS CC ; SCO In: Studia Theologica [textový dokument (print)] [elektronický dokument] . – Olomouc (Česko) : Univerzita Palackého v Olomouci. Cyrilometodějská teologická fakulta. – ISSN 1212-8570. – ISSN (online) 2570-9798. – TUTPR signatúra E007353. – Roč. 20, č. 1 (2018), s. 203-229 [tlačená forma] [online] . – SJR: 0,11 ; CiteScore: 0,2 ; SNIP: 0,061 Scimago - Religious studies - Q3 </t>
  </si>
  <si>
    <t xml:space="preserve">The rise of fascism and the reformation of hegel’s dialectic into italian neo-idealist philosophy / Tavilla, Igor [Autor, 20%] ; Králik, Roman [Autor, UKFFFAKAE 06.2022, 20%] ; Webb, Carson [Autor, 20%] ; Jiang, Xiamgdong [Autor, 20%] ; Manuel, Aguilar Juan [Autor, 20%]. – text. – [angličtina]. – [OV 020]. – [článok]. – DOI 10.18355/XL.2019.12.01.11. – SCO In: XLinguae [textový dokument (print)] [elektronický dokument] : European scientific language journal. – Nitra (Slovensko) : Vzdelávanie Don Bosca, Nitra (Slovensko) : Slovenská Vzdelávacia a Obstarávacia. – ISSN 1337-8384. – ISSN (online) 2453-711X. – Roč. 12, č. 1 (2019), 139-150 [tlačená forma] [online] . – SNIP: 0,879 ; SJR: 0,318 ; CiteScore: 2.2 Scimago - Language and linguistics - Q1, Linguistics and language - Q1, Philosophy - Q1 </t>
  </si>
  <si>
    <t xml:space="preserve">The role of Cyrillo-Methodian cult in the Slovak National Revival in the context of contacts with the Eastern Slavs / Hetényi, Martin [Autor, UKFFFAUKD, 50%] ; Ivanič, Peter [Autor, UKFFFAUKD, 50%]. – text. – [angličtina]. – [OV 030]. – [článok]. – DOI 10.13187/bg.2018.1.70. – WOS CC ; SCO In: Bylye gody [textový dokument (print)] [elektronický dokument] : Rossijskij istoričeskij žurnal . – Soči (Ruská federácia) : Sochi State University. State Educational Institution of Higher Professional Training. – ISSN 2073-9745. – ISSN (online) 2310-0028. – Roč. 47, č. 1 (2018), s. 70-78 [tlačená forma] [online] . – SJR: 0,299 ; CiteScore: 0,7 ; SNIP: 1,485 Scimago - History - Q1, Political science and international relations - Q2 </t>
  </si>
  <si>
    <t xml:space="preserve">The scenography of Shakespearománie I.–III. [The Shakespearomania trilogy] directed by Peter Scherhaufer at Goose on a string theatre in Brno / Inštitorisová, Dagmar [Autor, UKFFFAKMR, 100%]. – text. – [angličtina]. – [OV 020]. – [článok]. – DOI 10.5817/TY2018-2-8. – SCO In: Theatralia [textový dokument (print)] [elektronický dokument] : revue současného myšlení o divadelní kultuře. – Brno (Česko) : Masarykova univerzita. – ISSN 1803-845X. – ISSN (online) 2336-4548. – Roč. 21, č. 2 (2018), s. 112-126 [tlačená forma] [online] </t>
  </si>
  <si>
    <t xml:space="preserve">The state of early linear pottery culture research in Slovakia / Beljak Pažinová, Noémi [Autor, UKFFFAKAR, 80%] ; Daráková, Tatiana [Autor, 20%]. – text. – [angličtina]. – [OV 030]. – [článok]. – DOI 10.4312/dp.46.12. – SCO In: Documenta Praehistorica [textový dokument (print)] . – ISSN 1408-967X. – ISSN (online) 1854-2492. – Roč. 46 (2019), 184-202 [tlačená forma] . – SJR: 0,456 ; CiteScore: 1,4 ; SNIP: 0,525 Scimago - Anthropology - Q1, Archeology - Q1, Archeology (arts and humanities) - Q1 </t>
  </si>
  <si>
    <t xml:space="preserve">The students‘ written reflections at the pop art artists‘ artworks as a tool of development of critical thinking / Satková, Janka [Autor, UKFPFAKVV, 100%].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8, č. 2 (2018), 219-222 [tlačená forma] [online] </t>
  </si>
  <si>
    <t xml:space="preserve">The study of the Hungarian language use in Slovak secondary schools / Gál, Angelika [Korešpondenčný autor, UKFFSSUML, 100%]. – text. – [angličtina]. – [OV 020, 010]. – [článok]. – DOI 10.35634/2224-9443-2020-14-3-411-417. – WOS CC In: Ezhegodnik Finno-Ugorskikh Issledovanii [textový dokument (print)] : Yearbook of Finno-Ugric Studies". – [s.l.] : Udmurt State University. – ISSN 2224-9443. – ISSN (online) 2311-0333. – Roč. 14, č. 3 (2020), s. 411-417 [tlačená forma] . – AIS: 0.037 AIS - Humanities, multidisciplinary - Q4 </t>
  </si>
  <si>
    <t xml:space="preserve">The toxic influence of silver and titanium dioxide nanoparticles on cultured ovarian granulosa cells / Sirotkin, Alexander [Autor, UKFFPVKZA, 40%] ; Bauer, Miroslav [Autor, 20%] ; Kadasi, Attila [Autor, 5%] ; Makovický, Pavol [Autor, UJSPFKBIO, 30%] ; Scsuková, Soňa [Autor, 5%]. – text. – [angličtina]. – [OV 200]. – [článok]. – DOI 10.1016/j.repbio.2020.100467. – WOS CC ; SCO In: Reproductive Biology [textový dokument (print)] [elektronický dokument] . – Olsztyn (Poľsko) : Institute of Animal Reproduction and Food Research of the Polish Academy of Sciences. – ISSN 1642-431X. – ISSN (online) 2300-732X. – Roč. 21, č. 1 (2021), s. 1-6 [tlačená forma] [online] . – CiteScore: 3,4 ; IF: 2.089 ; SJR: 0,514 ; SNIP: 0,754 ; AIS: 0.457 AIS - Reproductive biology - Q4 JIF - Reproductive biology - Q4 Scimago - Animal science and zoology - Q2, Developmental biology - Q3, Endocrinology - Q3 </t>
  </si>
  <si>
    <t xml:space="preserve">The typological lesson of Hungarian bemegy ‘enter’ and Udmurt pš ˋrš ˋnš ˋ ‘enter/exit’ = A magyar bemegy és az udmurt pš ˋrš ˋnš ˋ ’bemegy/bejön’ igék  tipológiai tanulsága / Kozmács, István [Autor, UKFFSSUML, 100%]. – text. – [angličtina]. – [OV 020]. – [článok]. – SCO In: Magyar nyelvőr [textový dokument (print)] [elektronický dokument] : a magyar Tudományos Akadémia Magyar Nyelvi Bizottságának folyóirata. – Budapešť (Maďarsko) : Magyar Tudományos Akadémia. – ISSN 0025-0236. – ISSN (online) 1585-4515. – Roč. 143, č. 1 (2019), s. 117-123 [tlačená forma] [online] . – SJR: 0,189 ; CiteScore: 0,2 ; SNIP: 0,523 Scimago - Language and linguistics - Q2, Linguistics and language - Q2 </t>
  </si>
  <si>
    <t xml:space="preserve">The uniqueness of the Hungarian rural tourinsm supply / Dávid, Lóránt Dénes [Autor, UKFFSSKCR, 50%] ; Korodi, Marta [Autor, 50%]. – text. – [angličtina]. – [OV 080]. – [článok]. – DOI 10.29036/jots.v10i19.93. – WOS CC In: Journal of tourism and services [textový dokument (print)] [elektronický dokument] . – Praha (Česko) : Vysoká škola obchodní v Praze. – ISSN 1804-5650. – Roč. 10, č. 19 (2019), 24-39 [tlačená forma] [online] </t>
  </si>
  <si>
    <t xml:space="preserve">The use of a magnetic field to study the condition of protective coatings / Ptak, Pawel [Autor, 15%] ; Prauzner, Tomasz [Autor, 15%] ; Noga, Henryk [Autor, 15%] ; Migo, Piotr [Autor, 15%] ; Depešová, Jana [Autor, UKFPFAKTT, 40%]. – text. – [angličtina]. – [OV 010]. – [článok]. – DOI 10.15199/48.2020.02.27. – WOS CC ; SCO In: Przegląd Elektrotechniczny [textový dokument (print)] [elektronický dokument] . – Varšava (Poľsko) : Stowarzyszenie Elektrykow Polskich. – ISSN 0033-2097. – ISSN (online) 2449-9544. – Roč. 96, č. 2 (2020), 114-116 [tlačená forma] [online] . – SJR: 0,19 ; CiteScore: 1 ; SNIP: 0,432 ; AIS: 0.077 AIS - Engineering, electrical &amp; electronic - Q3 Scimago - Electrical and electronic engineering - Q3 </t>
  </si>
  <si>
    <t xml:space="preserve">Thermoanalytical investigation of selected fuel during isothermal heating / Vitázek, Ivan [Autor, SPUTFA02, 60%] ; Ondro, Tomáš [Autor, UKFFPVKFY, 25%] ; Sunitrová, Ivana [Autor, 5%] ; Majdan, Radoslav [Autor, 5%] ; Šotnar, Martin [Autor, 5%]. – text. – [angličtina]. – [OV 140]. – [článok]. – [recenzované]. – DOI 10.15159/AR.19.216. – WOS CC ; SCO In: Agronomy Research [textový dokument (print)] [elektronický dokument] . – Tartu (Estónsko) : Estonian University of Life Sciences. – ISSN 1406-894X. – ISSN (online) 2228-4907. – Roč. 17, č. 6 (2019), s. 2455-2459 [tlačená forma] [online] . – SJR: 0,24 ; CiteScore: 1,2 ; SNIP: 0,473 Scimago - Agronomy and crop science - Q3 </t>
  </si>
  <si>
    <t xml:space="preserve">Three diagnostic psychiatric subgroups in comparison to self-stigma, quality of life, disorder severity and coping management cross-sectional outpatient study / Holubová, Michaela [Autor, 12.5%] ; Praško Pavlov, Ján [Autor, 12.5%] ; Oiskova, Marie [Autor, 12.5%] ; Vanek, Jakub [Autor, 12.5%] ; Šlepecký, Miloš [Autor, UKFFSVKPV, 12.5%] ; Zaťková, Marta [Autor, UKFFSVKPV, 12.5%] ; Látalová, Klára [Autor, 12.5%] ; Kolek, Antonín [Autor, 12.5%]. – text. – [angličtina]. – [OV 060]. – [článok]. – WOS CC ; SCO In: Neuroendocrinology Letters [textový dokument (print)] [elektronický dokument] . – Štokholm (Švédsko) : Maghira and Maas Publications. – ISSN 0172-780X. – ISSN (online) 2354-4716. – Roč. 39, č. 4 (2018), 331-341 [tlačená forma] [online] . – IF: 0,698 ; SNIP: 0,405 ; SJR: 0,302 ; CiteScore: 1,5 JIF - Endocrinology &amp; metabolism - Q4, Neurosciences - Q4 Scimago - Endocrine and autonomic systems - Q4, Endocrinology - Q4, Endocrinology, diabetes and metabolism - Q3, Medicine (miscellaneous) - Q3, Neurology - Q4, Neurology (clinical) - Q3, Psychiatry and mental health - Q3 </t>
  </si>
  <si>
    <t xml:space="preserve">Towards Testing Post-Editing Performance: A Futureproof Diagnostic / Van Egdom, Gys-Walt [Autor, 25%] ; Vieira, Lucas Nunes [Autor, 25%] ; Absolon, Jakub [Autor, UKFFFAKTR, 50%]. – text. – [angličtina]. – [OV 020]. – [článok]. – DOI 10.5565/rev/tradumatica.211. – WOS CC In: Revista Tradumàtica. Tecnologies de la Traducció [textový dokument (print)] . – Barcelona (Španielsko) : Universitat Autònoma de Barcelona. Research Group Tradumàtica. – ISSN 1578-7559. – č. 16 (2018), 114-124 [tlačená forma] </t>
  </si>
  <si>
    <t xml:space="preserve">Transcultural phenomena in contemporary Slovakian Hungarian prose / Petres Csizmadia, Gabriela [Autor, UKFFSSUML, 100%]. – text. – [angličtina]. – [OV 020, 010]. – [článok]. – DOI 10.1556/044.2020.00004. – SCO In: Hungarian Studies [textový dokument (print)] [elektronický dokument] : A Journal of the International Association for Hungarian Studies. – Budapešť (Maďarsko) : Akadémiai Kiadó. – ISSN 0236-6568. – ISSN (online) 1588-2772. – Roč. 34, č. 1 (2020), 32-46 [tlačená forma] [online] . – SJR: 0,1 ; CiteScore: 0,1 ; SNIP: 0,49 Scimago - Arts and humanities (miscellaneous) - Q4, Social sciences (miscellaneous) - Q4 </t>
  </si>
  <si>
    <t xml:space="preserve">Trest ako činiteľ hrdinovej transformácie v arcinaratívoch = Kara Jako czynnik transformacji bohatera w archi-narracjach = Punishment as a factor of heroic transformation in archnarratives / Danišová, Nikola [Autor, UKFFFAULK, 100%]. – text. – [slovenčina]. – [OV 020]. – [článok]. – DOI 10.14746/P.2018.22.18457. – SCO In: Porównania [elektronický dokument] . – Poznaň (Poľsko) : Uniwersytet im. Adama Mickiewicza w Poznaniu. – ISSN (online) 1733-165X. – Roč. 22, č. 1 (2018), s. 303-314 [online] . – SJR: 0,1 Scimago - Cultural studies - Q4, Literature and literary theory - Q4 </t>
  </si>
  <si>
    <t xml:space="preserve">Two aspects of memory formation in Hispanic American literature / Brezováková, Monika [Autor, UKFFFAKRO, 40%] ; Kučerková, Magda [Autor, UKFFFAKRO, 40%] ; Rusnáková, Natália [Autor, UKFFFAKRO, 20%]. – text. – [angličtina]. – [OV 010]. – [článok]. – WOS CC In: AD ALTA [textový dokument (print)] [elektronický dokument] : journal of interdisciplinary research = recenzovaný mezioborový vědecký časopis. – Hradec Králové (Česko) : Magnanimitas akademické sdružení. – ISSN 1804-7890. – ISSN (online) 2464-6733. – Roč. 10, č. 2 (2020), s. 31-36 [tlačená forma] [online] . – AIS: 0.021 AIS - Multidisciplinary sciences - Q4 </t>
  </si>
  <si>
    <t xml:space="preserve">Understanding digital competences of teachers in Czech Republic / Serafín, Čestmír [Autor, 33%] ; Depešová, Jana [Autor, UKFPFAKTT, 34%] ; Bánesz, Gabriel [Autor, UKFPFAKTT, 33%]. – text. – [angličtina]. – [OV 010]. – [článok]. – WOS CC ; SCO In: European Journal of Science and Theology [textový dokument (print)] [elektronický dokument] . – Jasy (Rumunsko) : Academic organisation for environmental engineering and sustainable development. – ISSN 1841-0464. – ISSN (online) 1842-8517. – Roč. 15, č. 1 (2019), s. 125-132 [tlačená forma] [online] . – SNIP: 0,697 ; SJR: 0,35 ; CiteScore: 1,6 Scimago - Engineering (miscellaneous) - Q2, History and philosophy of science - Q2, Multidisciplinary - Q1, Religious studies - Q1 </t>
  </si>
  <si>
    <t xml:space="preserve">Use of artificial neural networks in the capital markets / Urbaníková, Marta [Korešpondenčný autor, UKFFPVUMI, 50%] ; Štubňová, Michaela [Korešpondenčný autor, UKFFPVUMI, 50%]. – text. – [angličtina]. – [OV 060]. – [článok]. – WOS CC In: AD ALTA [textový dokument (print)] [elektronický dokument] : journal of interdisciplinary research = recenzovaný mezioborový vědecký časopis. – Hradec Králové (Česko) : Magnanimitas akademické sdružení. – ISSN 1804-7890. – ISSN (online) 2464-6733. – Roč. 10, č. 1 (2020), 278-281 [tlačená forma] [online] . – AIS: 0.021 AIS - Multidisciplinary sciences - Q4 </t>
  </si>
  <si>
    <t xml:space="preserve">User Identification in the Process of Web Usage Data Preprocessing / Kapusta, Jozef [Autor, UKFFPVKIN, 25%] ; Munk, Michal [Autor, UKFFPVKIN, 25%] ; Halvoník, Dominik [Autor, UKFFPVKIN, 25%] ; Drlík, Martin [Autor, UKFFPVKIN, 25%]. – text. – [angličtina]. – [OV 160]. – [článok]. – DOI 10.3991/ijet.v14i09.9854. – WOS CC ; SCO In: International Journal of Emerging Technologies in Learning [textový dokument (print)] [elektronický dokument] . – Viedeň (Rakúsko) : International Association of Online Engineering. – ISSN 1863-0383. – ISSN (online) 1868-8799. – Roč. 14, č. 9 (2019), s. 21-33 [tlačená forma] [online] . – SJR: 0,326 ; CiteScore: 1,7 ; SNIP: 0,926 Scimago - E-learning - Q3, Education - Q3, Engineering (miscellaneous) - Q2 </t>
  </si>
  <si>
    <t xml:space="preserve">Using an adaptation programme to introduce children to the early years of schooling in Slovakia / Slezáková, Tatiana [Autor, UKFPFAKPE, 25%] ; Tirpáková, Anna [Autor, UKFFPVKMA, 25%] ; Borbélyová, Diana [Autor, UJSPFKPP, 25%] ; Kurucová, Zuzana [Autor, PEUFPUDSP, 25%]. – text. – [angličtina]. – [OV 240, 010]. – [článok]. – DOI 10.1080/03004279.2018.1531045. – PEVŠ 2019ADM0018. – WOS CC ; SCO In: Education 3-13 : International Journal of Primary, Elementary and Early Years Education. – Abingdon (Veľká Británia) : Taylor &amp; Francis Group. Routledge. – ISSN 0300-4279. – ISSN (online) 1475-7575. – Roč. 47, č. 6 (2019), s. 730-745 . – SJR: 0,355 ; CiteScore: 1,2 ; SNIP: 0,763 Scimago - Education - Q3, Life-span and life-course studies - Q3 </t>
  </si>
  <si>
    <t xml:space="preserve">Using interactive e-based flipped learning to enhance EFL literature students' critical reading / Khonamri, Fatemeh [Autor, 33%] ; Azizi, Mahmoud [Autor, 33%] ; Králik, Roman [Autor, UKFFFAKAE 06.2022, 34%]. – text. – [angličtina]. – [OV 020]. – [článok]. – DOI 10.15293/2658-6762.2001.02. – SCO In: Science for Education Today [elektronický dokument] . – Novosibirsk (Ruská federácia) : Novosibirsk State Pedagogical University. – ISSN (online) 2658-6762. – Roč. 10, č. 1 (2020), 25-42 [online] </t>
  </si>
  <si>
    <t xml:space="preserve">Validating the clinical learning environment and supervision and nurse teacher scale (CLES + T scale) in Slovakia / Gurková, Elena [Autor, PUPFZOS, 20%] ; Žiaková, Katarína [Autor, UKOLJ240, 20%] ; Vörösová, Gabriela [Autor, UKFFSVKOS, 20%] ; Botíková, Andrea [Autor, TUTZSKOŠ, 20%] ; Kadučáková, Helena [Autor, KURZDOS, 20%]. – text. – [angličtina]. – [OV 180]. – [článok]. – DOI 10.1016/j.kontakt.2017.09.003. – SIGN-UKO LJ89/18. – SIGN-PU FZ 27/18. – SCO In: Kontakt [textový dokument (print)] [elektronický dokument] : vědecký časopis Zdravotně sociální fakulty Jihočeské univerzity : časopis pro ošetřovatelství a sociální vědy ve zdraví a nemoci = Journal of nursing and social sciences related to health and illness. – České Budejovice (Česko) : Jihočeská univerzita v Českých Budějovicích. Zdravotně sociální fakulta. – ISSN 1212-4117. – ISSN (online) 1804-7122. – Roč. 20, č. 1 (2018), s. 3-10 [tlačená forma] [online] . – SNIP: 0,248 ; SJR: 0,157 ; CiteScore: 0,5 Scimago - Nursing (miscellaneous) - Q3, Philosophy - Q2, Public health, environmental and occupational health - Q4 </t>
  </si>
  <si>
    <t xml:space="preserve">Value orientation of convicted women in Slovakia in relation to their age and education / Temiaková, Dominika [Autor, UKFPFAKPE, 100%]. – text. – [angličtina]. – [OV 010]. – [článok]. – DOI 10.33543/1002. – WOS CC In: AD ALTA [textový dokument (print)] [elektronický dokument] : journal of interdisciplinary research = recenzovaný mezioborový vědecký časopis. – Hradec Králové (Česko) : Magnanimitas akademické sdružení. – ISSN 1804-7890. – ISSN (online) 2464-6733. – Roč. 10, č. 2 (2020), s. 321-325 [tlačená forma] [online] . – AIS: 0.021 AIS - Multidisciplinary sciences - Q4 </t>
  </si>
  <si>
    <t xml:space="preserve">Verbal Politeness as an Important Tool of Diplomacy / Yapparova, Venera Nagimovna [Autor, 33.334%] ; Ageeva, Juliya Viktorovna [Autor, 33.333%] ; Adamka, Pavol [Autor, UKFFFAKRU, 33.333%]. – text. – [angličtina]. – [OV 020]. – [článok]. – WOS CC In: Journal of Politics and Law. – Toronto (Kanada) : Canadian Center of Science and Education. – ISSN 1913-9047. – Roč. 12, č. 5 (2019), s. 57-61 [tlačená forma] </t>
  </si>
  <si>
    <t xml:space="preserve">Verification of the effectiveness of a new education and training programmefor mentally disabled adolescents / Seidler, Peter [Autor, UKFPFAKPE, 34%] ; Tirpáková, Anna [Autor, UKFFPVKMA, 33%] ; Pataiová, Agnesa [Autor, 33%]. – text. – [angličtina]. – [OV 010]. – [článok]. – DOI 10.15804/tner.2019.55.1.22. – SCO In: The New Educational Review [textový dokument (print)] [elektronický dokument] : International scientific journal founded by three universities from Czech Republic, Poland and Slovak Republic. – Toruň (Poľsko) : Wydawnictwo Adam Marszalek. – ISSN 1732-6729. – Roč. 55, č. 1 (2019), 265-276 [tlačená forma] [online] . – SNIP: 0,572 ; SJR: 0,25 ; CiteScore: 0,8 Scimago - Education - Q3 </t>
  </si>
  <si>
    <t xml:space="preserve">Verification of the effectiveness of municipal waste prevention (case study) / Pucherová, Zuzana [Autor, UKFFPVKEE, 80%] ; Bátory, Dominika [Autor, UKFFPVKEE, 20%]. – text. – [angličtina]. – [OV 100]. – [článok]. – SCO In: Waste forum [elektronický dokument] [textový dokument (print)] : recenzovaný časopis pro výsledky výzkumu a vývoje pro odpadové hospodářství. – Praha (Česko) : České ekologické manažerské centrum. – ISSN (online) 1804-0195. – č. 2 (2021), s. 108-125 [online] [tlačená forma] . – CiteScore: 0,5 ; SJR: 0,149 ; SNIP: 0,118 Scimago - Environmental chemistry - Q4, Environmental engineering - Q4, Waste management and disposal - Q4 </t>
  </si>
  <si>
    <t xml:space="preserve">Visual Understanding of Problem and Pictures' Occurrence in Educational Process / Rumanová, Lucia [Autor, UKFFPVKMA, 50%] ; Drábeková, Janka [Autor, SPUFEM07, 50%]. – text. – [angličtina]. – [OV 010]. – [článok]. – [recenzované]. – DOI 10.18421/TEM81-31. – WOS CC ; SCO In: TEM Journal [textový dokument (print)] [elektronický dokument] : Technology, Education, Management, Informatics. – Novi Pazar (Srbsko) : Association for Information Communication Technology Education and Science. – ISSN 2217-8309. – ISSN (online) 2217-8333. – Roč. 8, č. 1 (2019), 222-227 [tlačená forma] [online] . – SJR: 0,167 ; CiteScore: 0,7 ; SNIP: 0,587 Scimago - Computer science (miscellaneous) - Q3, Education - Q4, Information systems - Q4, Information systems and management - Q4, Management of technology and innovation - Q4, Strategy and management - Q4 </t>
  </si>
  <si>
    <t xml:space="preserve">Visual vs. Textual programming: a case study on mobile application programming by teenagers / Tóth, Tomáš [Autor, SPUFEM05, 50%] ; Lovászová, Gabriela [Autor, UKFFPVKIN, 50%]. – text. – [angličtina]. – [OV 160]. – [článok]. – WOS CC In: AD ALTA [textový dokument (print)] [elektronický dokument] : journal of interdisciplinary research = recenzovaný mezioborový vědecký časopis. – Hradec Králové (Česko) : Magnanimitas akademické sdružení. – ISSN 1804-7890. – ISSN (online) 2464-6733. – Roč. 11, č. 1 (2021), s. 337-347 [tlačená forma] [online] . – AIS: 0.028 AIS - Multidisciplinary sciences - Q4 </t>
  </si>
  <si>
    <t xml:space="preserve">Visualization of Selected Sangaku Problem as Didactical Phenomenon in GeoGebra / Vallo, Dušan [Autor, UKFFPVKMA, 100%]. – text. – [angličtina]. – [OV 010]. – [článok]. – DOI 10.18421/TEM102-08. – WOS CC ; SCO In: TEM Journal [textový dokument (print)] [elektronický dokument] : Technology, Education, Management, Informatics. – Novi Pazar (Srbsko) : Association for Information Communication Technology Education and Science. – ISSN 2217-8309. – ISSN (online) 2217-8333. – Roč. 10, č. 2 (2021), s. 540-545 [tlačená forma] [online] . – CiteScore: 1,6 ; SJR: 0,245 ; SNIP: 0,675 ; AIS: 0.085 AIS - Computer science, information systems - Q3 Scimago - Computer science (miscellaneous) - Q3, Education - Q3, Information systems - Q3, Information systems and management - Q3, Management of technology and innovation - Q3, Strategy and management - Q3 </t>
  </si>
  <si>
    <t xml:space="preserve">Walckenaeria stylifrons and Spiracme mongolica (Araneae, Linyphiidae, Thomisidae), two new species to Slovakia / Purgat, Pavol [Autor, UKFFPVKEE, 30%] ; Gajdoš, Peter [Autor, 10%] ; Purkart, Adrián [Autor, UKOPRBZO, 10%] ; Hurajtová, Natália [Autor, UKFFPVKEE, 10%] ; Volnár, Ľubomír [Autor, 10%] ; Krajčovičová, Katarína [Autor, UKOPRBZO, 30%]. – text, fotogr. – [angličtina]. – [OV 130]. – [článok]. – [recenzované]. – DOI 10.15560/17.6.1601. – SIGN-UKO PR 466/21. – SCO In: Check List [elektronický dokument] : the Journal of Species Lists and Distribution : the Journal of Biodiversity Data. – Sao Paulo (Brazília) : Centro de Referencia em Informacao Ambiental. – ISSN (online) 1809-127X. – Roč. 17, č. 6 (2021), s. 1601-1608 [online] . – CiteScore: 1 ; SJR: 0,259 ; SNIP: 0,444 Scimago - Animal science and zoology - Q3, Ecology - Q3, Ecology, evolution, behavior and systematics - Q3, Insect science - Q3, Plant science - Q3 </t>
  </si>
  <si>
    <t xml:space="preserve">Ways of Critical and Creative Thinking Development in Practical Training through Video-Study / Valentová, Monika [Autor, UKFPFAKTT, 50%] ; Brečka, Peter [Autor, UKFPFAKTT, 50%]. – text. – [angličtina]. – [OV 020, 010]. – [článok]. – DOI 10.18421/TEM91-45. – WOS CC In: TEM Journal [textový dokument (print)] [elektronický dokument] : Technology, Education, Management, Informatics. – Novi Pazar (Srbsko) : Association for Information Communication Technology Education and Science. – ISSN 2217-8309. – ISSN (online) 2217-8333. – Roč. 9, č. 1 (2020), 327-334 [tlačená forma] [online] . – SJR: 0,199 ; CiteScore: 1,2 ; SNIP: 0,671 ; AIS: 0.083 AIS - Computer science, information systems - Q4 Scimago - Computer science (miscellaneous) - Q3, Education - Q4, Information systems - Q4, Information systems and management - Q3, Management of technology and innovation - Q4, Strategy and management - Q4 </t>
  </si>
  <si>
    <t xml:space="preserve">Web 2.0 tools serving needs of generation Z / Gajdáčová Veselá, Katerina [Autor, UKFPFAKLI, 50%] ; Puschenreiterová, Jana [Autor, 50%]. – text. – [angličtina]. – [OV 010]. – [článok]. – DOI 10.33543/1002. – WOS CC In: AD ALTA [textový dokument (print)] [elektronický dokument] : journal of interdisciplinary research = recenzovaný mezioborový vědecký časopis. – Hradec Králové (Česko) : Magnanimitas akademické sdružení. – ISSN 1804-7890. – ISSN (online) 2464-6733. – Roč. 10, č. 2 (2020), s. 336-342 [tlačená forma] [online] . – AIS: 0.021 AIS - Multidisciplinary sciences - Q4 </t>
  </si>
  <si>
    <t xml:space="preserve">Website Structure Improvement Based on the Combination of Selected Web Structure and Web Usage Mining Methods / Kapusta, Jozef [Autor, UKFFPVKIN, 34%] ; Munk, Michal [Autor, UKFFPVKIN, 33%] ; Drlík, Martin [Autor, UKFFPVKIN, 33%]. – text. – [angličtina]. – [OV 160]. – [článok]. – DOI 10.1142/S0219622018500402. – WOS CC ; SCO In: International Journal of Information Technology and Decision Making. – Singapur : World Scientific Publishing. – ISSN 0219-6220. – ISSN (online) 1793-6845. – Roč. 17, č. 6 (2018), s. 1743-1776 . – SJR: 0,552 ; CiteScore: 3,5 ; SNIP: 1,061 ; IF: 2.862 JIF - Computer science, artificial intelligence - Q2, Computer science, information systems - Q2, Computer science, interdisciplinary applications - Q2, Operations research &amp; management science - Q2 Scimago - Computer science (miscellaneous) - Q1 </t>
  </si>
  <si>
    <t xml:space="preserve">What cultural aspects should be taught in FL lessons?  - A model for evaluating the cultural content in FL course-books / Sándorová, Zuzana [Autor, UKFPFAKLI, 100%]. – text. – [angličtina]. – [OV 010]. – [článok]. – DOI 10.4025/actascilangcult.v43i2.52066. – SCO In: Acta Scientiarum. Language and Culture. – Maringá (Brazília) : Universidade Estadual de Maringá. – ISSN 1983-4675. – ISSN (online) 1983-4683. – Roč. 43, č. 2 (2021), s. 1-15 [tlačená forma] [online] . – CiteScore: 0,2 ; SJR: 0,133 ; SNIP: 0,074 Scimago - Linguistics and language - Q3, Literature and literary theory - Q2 </t>
  </si>
  <si>
    <t xml:space="preserve">What is relationship between profits and dividends in agricultural legal entities? / Krajčírová, Renáta [Autor, SPUFEM18, 33.334%] ; Ferenczi Vaňová, Alexandra [Autor, SPUFEM18, 33.333%] ; Munk, Michal [Autor, UKFFPVKIN, 33.333%]. – text. – [angličtina]. – [OV 080, 190, 160]. – [článok]. – DOI 10.7160/aol.2019.110106. – SCO In: AGRIS on-line Papers in Economics and Informatics [elektronický dokument] . – Praha (Česko) : Česká zemědelská univerzita v Praze. Provozně ekonomická fakulta. – ISSN (online) 1804-1930. – Roč. 11, č. 1 (2019), 55-64 [online] . – SJR: 0,31 ; CiteScore: 1,4 ; SNIP: 0,704 Scimago - Agricultural and biological sciences (miscellaneous) - Q2, Economics, econometrics and finance (miscellaneous) - Q2, Geography, planning and development - Q3, Management, monitoring, policy and law - Q3 </t>
  </si>
  <si>
    <t xml:space="preserve">Why Do Parameter Values in the Zipf-Mandelbrot Distribution Sometimes Explode? / Mačutek, Ján [Autor, UKFFPVKMA, 100%]. – text. – [angličtina]. – [OV 240]. – [článok]. – DOI 10.1080/09296174.2021.1887613. – WOS CC ; SCO In: Journal of Quantitative Linguistics [textový dokument (print)] [elektronický dokument] : the Official Journal of the International Quantitative Linguistics Association. – Oxon (Veľká Británia) : Taylor &amp; Francis Group. Routledge. – ISSN 0929-6174. – ISSN (online) 1744-5035. – Roč. 28, č. 1 (2021), s. 1-15 [tlačená forma] [online] . – CiteScore: 1,9 ; IF: 0.761 ; SJR: 0,324 ; SNIP: 1,074 ; AIS: 0.427 AIS - Language &amp; linguistics - Q3, Linguistics - Q3 JIF - Linguistics - Q3 Scimago - Linguistics and language - Q2 </t>
  </si>
  <si>
    <t xml:space="preserve">Winning tourism digitalization opportunity in the Indonesia CBT business / Priatmoko, S. [Autor, 50%] ; Dávid, Lóránt Dénes [Autor, UKFFSSKCR, 50%]. – text. – [angličtina]. – [OV 080]. – [článok]. – DOI 10.30892/GTG.37309-711. – SCO In: GeoJournal of tourism and geosites [textový dokument (print)] [elektronický dokument] . – Oradea (Rumunsko) : Universitatea din Oradea. Editura Universitatii din Oradea. – ISSN 2065-0817. – ISSN (online) 2065-1198. – Roč. 37, č. 3 (2021), 800-806 [tlačená forma] [online] . – CiteScore: 3 ; SJR: 0,332 ; SNIP: 0,962 Scimago - Earth and planetary sciences (miscellaneous) - Q3, Geography, planning and development - Q2 </t>
  </si>
  <si>
    <t xml:space="preserve">Young's Modulus of Prefired Quartz Porcelain In a Temperature Range of 20-1200 °C [Youngov modul predpáleného kremičitého porcelánu v teplotnom rozsahu 20-1200 °C] / Trník, Anton [Autor, UKFFPVKFY, 20%] ; Ondruška, Ján [Autor, UKFFPVKFY, 20%] ; Šín, Peter [Autor, 010240 01.2021, 20%] ; Štubňa, Igor [Autor, 20%] ; Csáki, Štefan [Autor, UKFFPVKFY, 20%]. – [angličtina]. – [OV 091, 110]. – [článok]. – DOI 10.17222/mit.2018.252. – WOS CC ; SCO In: Materiali in tehnologije [textový dokument (print)] [elektronický dokument] . – Ljubljana (Slovinsko) : Univerza v Ljubljani. – ISSN 1580-2949. – ISSN (online) 1580-3414. – Roč. 53, č. 4 (2019), s. 535-541 [online] [tlačená forma] . – IF: 0,697 ; SJR: 0,26 ; CiteScore: 1,4 ; SNIP: 0,519 JIF - Materials science, multidisciplinary - Q4, Metallurgy &amp; metallurgical engineering - Q4 Scimago - Metals and alloys - Q3, Polymers and plastics - Q3 </t>
  </si>
  <si>
    <t>ADN - Vedecké práce v domácich časopisoch registrovaných v databázach Web of Science alebo SCOPUS</t>
  </si>
  <si>
    <t xml:space="preserve">"Chained by her destiny" - the grave of a female with a toddler at the la tene cemetery in Nitra-Mlynarce / Bujna, Jozef [Autor, UKFFFAKAR, 100%]. – [angličtina]. – [OV 030]. – [článok]. – WOS CC ; SCO In: Študijné zvesti Archeologického ústavu Slovenskej akadémie vied [textový dokument (print)] [elektronický dokument] . – Nitra (Slovensko) : Slovenská akadémia vied. – ISSN 0560-2793. – č. 65 (2019), s. 57-69 [tlačená forma] [online] . – SNIP: 1,468 ; SJR: 0,292 ; CiteScore: 0,4 Scimago - Archeology - Q2, Archeology (arts and humanities) - Q1 </t>
  </si>
  <si>
    <t xml:space="preserve">"Media Invasion" against Islam in the context of the Slovak Republic ["Mediálna invázia" proti Islamu v kontexte Slovenskej republiky] / Tkáčová, Hedviga [Autor, ZUZFHVKFR, 40%] ; Al-Absiová, Eva [Autor, UCMFIFKEMŠ, 20%] ; Al-Absi, Marwan [Autor, UCMFIFKEMŠ, 20%] ; Pavlíková, Martina [Autor, UKFFFAKZU, 20%]. – [angličtina]. – [OV 030]. – [článok]. – WOS CC In: Media Literacy and Academic Research [textový dokument (print)] [elektronický dokument] . – Trnava (Slovensko) : Univerzita sv. Cyrila a Metoda v Trnave. Fakulta masmediálnej komunikácie. – ISSN 2585-8726. – ISSN (online) 2585-9188. – Roč. 4, č. 1 (2021), s. 165-179 [tlačená forma] [online] . – AIS: 0.069 AIS - Communication - Q4 </t>
  </si>
  <si>
    <t xml:space="preserve">"What punishments of God are not gifts?" the meaning of suffering in Tolkien's life and work / Juričková, Martina [Autor, UKFFFAKAA, 100%]. – text. – [angličtina]. – [OV 020]. – [článok]. – DOI 10.1515/aa-2018-0011. – SCO In: Ars aeterna [textový dokument (print)] [elektronický dokument] : literary Studies and Humanity. – ISSN 1337-9291. – ISSN (online) 2450-8497. – Roč. 10, č. 2 (2018), 41-51 [tlačená forma] [online] . – SJR: 0,114 ; CiteScore: 0,2 ; SNIP: 0,778 Scimago - Cultural studies - Q3, Language and linguistics - Q3, Linguistics and language - Q3, Literature and literary theory - Q2 </t>
  </si>
  <si>
    <t xml:space="preserve">(Nielen) lingvistický pohľad na strojový preklad (na príklade prekladov textov technickej dokumentácie z angličtiny do slovenčiny) = (Not only) Linguistic View on Machine Translation (Following the Example of the Translations of Technical Documentation Texts from English to Slovak) / Petráš, Patrik [Autor, UKFFFASJL, 50%] ; Munková, Daša [Autor, UKFFFAKTR, 50%]. – text. – [slovenčina]. – [OV 010, 020]. – [článok]. – SCO In: Slovenská reč [textový dokument (print)] [elektronický dokument] : časopis pre výskum slovenského jazyka : orgán Jazykovedného ústavu Ľudovíta Štúra Slovenskej akadémie vied. – Martin (Slovensko) : Matica slovenská, Bratislava (Slovensko) : SAP - Slovak Academic Press. – ISSN 0037-6981. – ISSN (online) 1338-4279. – Roč. 84, č. 3 (2019), 258-287 [tlačená forma] [online] . – SNIP: 0,44 ; SJR: 0,1 ; CiteScore: 0,2 Scimago - Language and linguistics - Q4, Linguistics and language - Q4 </t>
  </si>
  <si>
    <t xml:space="preserve">A brief recollection of Kierkegaard’s testimony on reformation 500th anniversary = La testimonianza di Kierkegaard nel quinto centenario della Riforma / Tavilla, Igor [Autor, 33.334%] ; Králik, Roman [Autor, UKFFFAKAE 06.2022, 33.333%] ; Martín, José García [Autor, 33.333%]. – [angličtina]. – [OV 020]. – [článok]. – DOI 10.18355/XL.2018.11.01.30. – SCO In: XLinguae [textový dokument (print)] [elektronický dokument] : European scientific language journal. – Nitra (Slovensko) : Vzdelávanie Don Bosca, Nitra (Slovensko) : Slovenská Vzdelávacia a Obstarávacia. – ISSN 1337-8384. – ISSN (online) 2453-711X. – Roč. 11, č. 1 (2018), s. 354-362 [tlačená forma] [online] . – SNIP: 1,517 ; SJR: 0,676 ; CiteScore: 1,8 Scimago - Language and linguistics - Q1, Linguistics and language - Q1, Philosophy - Q1 </t>
  </si>
  <si>
    <t xml:space="preserve">A contribution to the methodology of analysis of burial rite / Styk, Matej [Autor, UKFFFAKAR, 100%]. – text. – [angličtina]. – [OV 030]. – [článok]. – DOI 10.17846/SHN.2019.23.S.169-185. – SCO In: Studia Historica Nitriensia [textový dokument (print)] [elektronický dokument] . – Nitra (Slovensko) : Univerzita Konštantína Filozofa v Nitre. – ISSN 1338-7219. – ISSN (online) 2585-8661. – suppl. Roč. 23 (2019), s. 169-185 [tlačená forma] [online] . – SNIP: 0,629 ; SJR: 0,187 ; CiteScore: 0,2 Scimago - Cultural studies - Q2, History - Q2, Museology - Q2 </t>
  </si>
  <si>
    <t xml:space="preserve">A Critical Inquiry into the Character Strengths of Alexandra Bergman in Willa Cather’s O Pioneers! / Hricková, Mária [Autor, UKFFFAKAA, 60%] ; Kolářová, Barbora [Autor, UKFFFAKRO, 40%]. – [angličtina]. – [OV 020]. – [ŠO 8110]. – [článok]. – DOI 10.2478/aa-2021-0014. – SCO In: Ars aeterna [textový dokument (print)] [elektronický dokument] : literary Studies and Humanity. – ISSN 1337-9291. – ISSN (online) 2450-8497. – Roč. 13, č. 3 (2021), s. 20-29 [tlačená forma] [online] . – CiteScore: 0,1 ; SJR: 0,108 ; SNIP: 0,103 Scimago - Cultural studies - Q3, Linguistics and language - Q4, Literature and literary theory - Q3 </t>
  </si>
  <si>
    <t xml:space="preserve">A letter to pope Innocent X of 1652 in the light of facts / Žeňuch, Vavrinec [Autor, UKFFFAKRU, 100%]. – text. – [angličtina]. – [OV 030]. – [článok]. – DOI 10.17846/CL.2019.12.1.50-58. – WOS CC ; SCO In: Konštantínove listy [textový dokument (print)] [elektronický dokument] . – Nitra (Slovensko) : Univerzita Konštantína Filozofa v Nitre. Filozofická fakulta. Ústav pre výskum kultúrneho dedičstva Konštantína a Metoda. – ISSN 1337-8740. – ISSN (online) 2453-7675. – Roč. 12, č. 1 (2019), 50-58 [tlačená forma] [online] . – SNIP: 0,608 ; SJR: 0,342 ; CiteScore: 1,1 Scimago - History - Q1, Philosophy - Q1, Religious studies - Q1 </t>
  </si>
  <si>
    <t xml:space="preserve">A positive dose-response of quercetin on compact bone microstructure of male rabbits / Babosová, Ramona [Autor, UKFFPVKZA, 16%] ; Omelka, Radoslav [Autor, UKFFPVKBG, 12%] ; Adamkovičová, Mária [Autor, UKFFPVKBG, 12%] ; Šranko, Patrik [Autor, UKFFPVKBG, 12%] ; Račanská, Michaela [Autor, 12%] ; Toman, Róbert [Autor, SPUFAP22, 12%] ; Capcarová, Marcela [Autor, SPUFBP03, 12%] ; Martiniaková, Monika [Autor, UKFFPVKZA, 12%]. – text. – [angličtina]. – [OV 130]. – [článok]. – DOI 10.15414/jmbfs.2018.7.5.469-472. – SCO In: The journal of microbiology, biotechnology and food sciences [elektronický dokument] . – Nitra (Slovensko) : Slovenská poľnohospodárska univerzita v Nitre. Fakulta biotechnológie a potravinárstva. – ISSN (online) 1338-5178. – Roč. 7, č. 5 (2018), s. 469-472 [online] . – SJR: 0,147 ; CiteScore: 0,2 ; SNIP: 0,083 Scimago - Biotechnology - Q4, Food science - Q4, Microbiology - Q4, Molecular biology - Q4 </t>
  </si>
  <si>
    <t xml:space="preserve">A reflection on the citizens' attitudes to the political situation (and their creative renditions) / Fichnová, Katarína [Autor, UKFFFAKMR, 34%] ; Wojciechowski, Łukasz Pawel [Autor, UCMFMKKMSK, 33%] ; Szabo, Peter [Autor, UKFFFAKMR, 33%]. – [angličtina]. – [OV 020]. – [článok]. – WOS CC ; SCO In: Communication Today [textový dokument (print)] [elektronický dokument] . – Trnava (Slovensko) : Univerzita sv. Cyrila a Metoda v Trnave. Fakulta masmediálnej komunikácie. – ISSN 1338-130X. – Roč. 10, č. 1 (2019), s. 76-92 [tlačená forma] [online] . – SJR: 0,19 ; CiteScore: 0,8 ; SNIP: 1,054 Scimago - Communication - Q3, Marketing - Q3 </t>
  </si>
  <si>
    <t xml:space="preserve">A source of values in the cultural life of the slavs / Zozuľak, Ján [Autor, UKFFFAKFI, 100%]. – text. – [angličtina]. – [OV 020]. – [článok]. – DOI 10.17846/CL.2019.12.1.13-21. – SCO In: Konštantínove listy [textový dokument (print)] [elektronický dokument] . – Nitra (Slovensko) : Univerzita Konštantína Filozofa v Nitre. Filozofická fakulta. Ústav pre výskum kultúrneho dedičstva Konštantína a Metoda. – ISSN 1337-8740. – ISSN (online) 2453-7675. – Roč. 12, č. 1 (2019), 13-21 [tlačená forma] [online] . – SNIP: 0,608 ; SJR: 0,342 ; CiteScore: 1,1 Scimago - History - Q1, Philosophy - Q1, Religious studies - Q1 </t>
  </si>
  <si>
    <t xml:space="preserve">A tool called communicative curve applied for evaluation of similarities and differences between foreign language textbooks / Bírová, Jana [Autor, UKOPDRJL, 70%] ; Kráľová, Zdena [Autor, UKFPFAKLI, 30%]. – text. – [angličtina]. – [OV 010]. – [článok]. – DOI 10.13187/ejced.2018.1.39. – WOS CC ; SCO In: European journal of contemporary education [elektronický dokument] . – Bratislava (Slovensko) : Academic Publishing House Researcher. – ISSN 2304-9650. – ISSN (online) 2305-6746. – Roč. 7, č. 1 (2018), s. 39-50 [online] . – SJR: 0,470 ; CiteScore: 1,2 ; SNIP: 2,163 Scimago - Education - Q2 </t>
  </si>
  <si>
    <t xml:space="preserve">Abraham and the tortoise: Eleatic variations on fear and trembling / Tavilla, Igor [Autor, 50%] ; Králik, Roman [Autor, UKFFFAKAE 06.2022, 49%] ; Roubalová, Marie [Autor, 1%]. – [angličtina]. – [OV 020]. – [článok]. – DOI 10.18355/XL.2019.12.04.19. – SCO In: XLinguae [textový dokument (print)] [elektronický dokument] : European scientific language journal. – Nitra (Slovensko) : Vzdelávanie Don Bosca, Nitra (Slovensko) : Slovenská Vzdelávacia a Obstarávacia. – ISSN 1337-8384. – ISSN (online) 2453-711X. – Roč. 12, č. 4 (2019), 219-228 [tlačená forma] [online] . – SNIP: 0,879 ; SJR: 0,318 ; CiteScore: 2.2 Scimago - Language and linguistics - Q1, Linguistics and language - Q1, Philosophy - Q1 </t>
  </si>
  <si>
    <t xml:space="preserve">Adresát a adresácia v slovenčine = The recipient and the act of addressing in Slovak / Sokolová, Jana [Autor, UKFFFAKRU, 50%] ; Sokol, Augustín [Autor, UKFFFAKAA, 50%]. – [slovenčina]. – [OV 020]. – [článok]. – SCO In: Slavica Slovaca [textový dokument (print)] [elektronický dokument] : orgán Slavistického ústavu Jána Stanislava SAV a Slovenského komitétu slavistov. – Bratislava (Slovensko) : Slovenská akadémia vied. Slavistický ústav Jána Stanislava. – ISSN 0037-6787. – ISSN (online) 1336-2364. – Roč. 55, č. 2 (2020), 257-268 [tlačená forma] [online] . – SJR: 0,104 ; CiteScore: 0,1 ; SNIP: 0,171 Scimago - Anthropology - Q4, Cultural studies - Q4, History - Q3, Language and linguistics - Q4, Linguistics and language - Q4 </t>
  </si>
  <si>
    <t xml:space="preserve">Achievements of technology teachers' professional development resulted from an international cooperation / Hašková, Alena [Autor, UKFPFAKTT, 50%] ; Hodál, Peter [Autor, UKFPFAKTT, 25%] ; Merode, Dirk van [Autor, 25%]. – text. – [angličtina]. – [OV 010]. – [článok]. – SCO In: Communications [textový dokument (print)] [elektronický dokument] : scientific letters of the University of Žilina. – Žilina (Slovensko) : Žilinská univerzita v Žiline. Vydavateľstvo EDIS. – ISSN 1335-4205. – ISSN (online) 2585-7878. – suppl. Roč. 20, č. 1A (2018), s. 89-95 [tlačená forma] [online] . – SJR: 0,488 ; CiteScore: 1,9 ; SNIP: 1,151 Scimago - Automotive engineering - Q2, Computer networks and communications - Q2, Economics and econometrics - Q2, Electrical and electronic engineering - Q2, Transportation - Q2 </t>
  </si>
  <si>
    <t xml:space="preserve">Ako a prečo pomenovať to, čo robíme? Problém domáceho prekladu termínu „digital humanities“ = How and Why to Denominate What We Do? An Issue of Slovak Translation of the Term „Digital Humanities“ / Gogora, Andrej [Autor, UKFFFACHV, 100%]. – text. – [slovenčina]. – [OV 020, 010]. – [článok]. – DOI 10.31577/slovlit.2020.67.6.6. – WOS CC ; SCO In: Slovenská literatúra [textový dokument (print)] [elektronický dokument] : revue pre literárnu vedu : časopis Ústavu slovenskej literatúry Slovenskej akadémie vied. – Bratislava (Slovensko) : Slovenská akadémia vied. Pracoviská SAV. Ústav slovenskej literatúry. – ISSN 0037-6973. – Roč. 67, č. 6 (2020), s. 598-613 [tlačená forma] [online] . – SJR: 0,1 ; CiteScore: 0,1 ; AIS: 0.130 AIS - Literature, slavic - Q2 Scimago - Literature and literary theory - Q4 </t>
  </si>
  <si>
    <t xml:space="preserve">An attempt to explain some debatable ways of depositions of spears, lances, or javelins in graves of the early medieval Carpathian Basin / Husár, Martin [Autor, UKFFFAUKD, 100%]. – text. – [angličtina]. – [OV 030]. – [článok]. – DOI 10.17846/CL.2018.11.1.51-66. – WOS CC ; SCO In: Konštantínove listy [textový dokument (print)] [elektronický dokument] . – Nitra (Slovensko) : Univerzita Konštantína Filozofa v Nitre. Filozofická fakulta. Ústav pre výskum kultúrneho dedičstva Konštantína a Metoda. – ISSN 1337-8740. – ISSN (online) 2453-7675. – Roč. 11, č. 1 (2018), s. 51-66 [tlačená forma] [online] . – SNIP: 0,941 ; SJR: 0,542 ; CiteScore: 1,1 Scimago - History - Q1, Philosophy - Q1, Religious studies - Q1 </t>
  </si>
  <si>
    <t xml:space="preserve">Analysis of Mortality from Cancer in the Regional Context of Slovakia / Vilinová, Katarína [Autor, UKFFPVKGR, 90%] ; Dubcová, Alena [Autor, UKFFPVKGR, 10%]. – text. – [angličtina]. – [OV 092]. – [článok]. – DOI 10.33542/GC2019-1-06. – WOS CC ; SCO In: Geographia Cassoviensis [textový dokument (print)] [elektronický dokument] . – Košice (Slovensko) : Univerzita Pavla Jozefa Šafárika v Košiciach. Prírodovedecká fakulta. Ústav geografie. – ISSN 1337-6748. – ISSN (online) 2454-0005. – Roč. 13, č. 1 (2019), 83-101 [tlačená forma] [online] . – SJR: 0,225 ; CiteScore: 0,7 ; SNIP: 0,259 Scimago - Earth and planetary sciences (miscellaneous) - Q3, Geography, planning and development - Q3 </t>
  </si>
  <si>
    <t xml:space="preserve">Analýza kognitívnych operácií pri porozumení textu u žiakov 4. ročníka základnej školy = Analysis of cognitive operation in understanding text of the fourth-grade pupils / Vančo, Ildikó [Autor, UKFFSSUML, 50%] ; Gergelyová, Viktória [Autor, UKFFSSUML, 50%]. – [slovenčina]. – [OV 020, 010]. – [článok]. – DOI 10.2478/jazcas-2021-0007. – SCO In: Jazykovedný časopis [elektronický dokument] [textový dokument (print)] : vedecký časopis pre otázky teórie jazyka = scientific journal for the theory of language. – Bratislava (Slovensko) : SAP - Slovak Academic Press, Varšava (Poľsko) : De Gruyter. – ISSN 0021-5597. – ISSN (online) 1338-4287. – Roč. 71, č. 3 (2020), 409-424 [online] [tlačená forma] . – SJR: 0,186 ; CiteScore: 0,4 ; SNIP: 0,876 Scimago - Language and linguistics - Q2, Linguistics and language - Q2 </t>
  </si>
  <si>
    <t xml:space="preserve">Animal in the life of the north-carpathian aeneolithic and early bronze age populations / Vladár, Jozef [Autor, 20%] ; Wiedermann, Egon [Autor, UKFFFAKMU, 80%]. – text. – [angličtina]. – [OV 030]. – [článok]. – WOS CC ; SCO In: Študijné zvesti Archeologického ústavu Slovenskej akadémie vied [textový dokument (print)] [elektronický dokument] . – Nitra (Slovensko) : Slovenská akadémia vied. – ISSN 0560-2793. – č. 64 (2018), 7-19 [tlačená forma] [online] . – SNIP: 1,394 ; SJR: 0,102 ; CiteScore: 0,1 Scimago - Archeology - Q4, Archeology (arts and humanities) - Q4 </t>
  </si>
  <si>
    <t xml:space="preserve">Animal symbolism in works of H. P. Lovecraft / Sokol, Augustín [Autor, UKFFFAKRO, 50%] ; Pevčíková, Jozefa [Autor, UKFFFAULK, 50%]. – text. – [angličtina]. – [OV 020]. – [ŠO 7320]. – [článok]. – DOI 10.2478/aa-2021-0016. – SCO In: Ars aeterna [textový dokument (print)] [elektronický dokument] : literary Studies and Humanity. – ISSN 1337-9291. – ISSN (online) 2450-8497. – Roč. 13, č. 3 (2021), 42-56 [tlačená forma] [online] . – CiteScore: 0,1 ; SJR: 0,108 ; SNIP: 0,103 Scimago - Cultural studies - Q3, Linguistics and language - Q4, Literature and literary theory - Q3 </t>
  </si>
  <si>
    <t xml:space="preserve">Animal transformation as a deserved punishment in archnarratives / Danišová, Nikola [Autor, UKFFFAULK, 100%]. – text. – [angličtina]. – [OV 020]. – [článok]. – DOI 10.1515/aa-2018-0009. – SCO In: Ars aeterna [textový dokument (print)] [elektronický dokument] : literary Studies and Humanity. – ISSN 1337-9291. – ISSN (online) 2450-8497. – Roč. 10, č. 2 (2018), s. 18-31 [tlačená forma] [online] . – SJR: 0,114 ; CiteScore: 0,2 ; SNIP: 0,778 Scimago - Cultural studies - Q3, Language and linguistics - Q3, Linguistics and language - Q3, Literature and literary theory - Q2 </t>
  </si>
  <si>
    <t xml:space="preserve">Antropologický rozbor žiarového pohrebiska z doby bronzovej v Žitavanoch-Kňažiciach, okres Zlaté Moravce / Vondráková, Mária [Autor, UKFFPVKZA, 100%]. – text. – [slovenčina]. – [OV 030]. – [článok]. – WOS CC In: Slovenská archeológia [textový dokument (print)] [elektronický dokument] : časopis Archeologického ústavu Slovenskej akadémie vied v Nitre = journal of the Archaeological Institute of the Slovak Academy of Sciences in Nitra = Zeitschrift des Archäologischen Institutes der Slowakischen Akademie der Wissenschaften in Nitra. – Nitra (Slovensko) : Slovenská akadémia vied. Pracoviská SAV. Archeologický ústav. – ISSN 1335-0102. – ISSN (online) 2585-9145. – Roč. 66, č. 2 (2018), s. 337-341 [tlačená forma] . – SJR: 0,125 ; CiteScore: 0,3 ; SNIP: 0,664 Scimago - Archeology - Q3, Archeology (arts and humanities) - Q3 </t>
  </si>
  <si>
    <t xml:space="preserve">Antroponymá v pragmaticko-komunikačných súvislostiach = Anthroponyms from the pragmatic and communication perspective / Sokolová, Jana [Autor, UKFFFAKRU, 100%]. – text. – [angličtina]. – [OV 010, 020]. – [článok]. – DOI 10.2478/jazcas-2021-0020. – SCO In: Jazykovedný časopis [elektronický dokument] [textový dokument (print)] : vedecký časopis pre otázky teórie jazyka = scientific journal for the theory of language. – Bratislava (Slovensko) : SAP - Slovak Academic Press, Varšava (Poľsko) : De Gruyter. – ISSN 0021-5597. – ISSN (online) 1338-4287. – Roč. 72, č. 1 (2021), s. 151-166 [online] [tlačená forma] . – CiteScore: 0,3 ; SJR: 0,191 ; SNIP: 0,923 Scimago - Linguistics and language - Q2 </t>
  </si>
  <si>
    <t xml:space="preserve">Aplikácia výsledkov funkčnej kognitívnej lingvopedagogiky v menšinových podmienkach = The application of functional cognitive linguistic pedagogy under the conditions of linguistic minorities / Tolcsvai Nagy, Gábor [Autor, UKFFSSUML, 100%]. – text. – [slovenčina]. – [OV 020, 010]. – [článok]. – DOI 10.2478/jazcas-2021-0005. – SCO In: Jazykovedný časopis [elektronický dokument] [textový dokument (print)] : vedecký časopis pre otázky teórie jazyka = scientific journal for the theory of language. – Bratislava (Slovensko) : SAP - Slovak Academic Press, Varšava (Poľsko) : De Gruyter. – ISSN 0021-5597. – ISSN (online) 1338-4287. – Roč. 71, č. 3 (2020), 373-392 [online] [tlačená forma] . – SJR: 0,186 ; CiteScore: 0,4 ; SNIP: 0,876 Scimago - Language and linguistics - Q2, Linguistics and language - Q2 </t>
  </si>
  <si>
    <t xml:space="preserve">Approaching the translation of idioms through the compensation strategy / Horváthová, Božena [Autor, UKFPFAKLI, 50%] ; Tabačková, Zuzana [Autor, UKFPFAKLI, 50%]. – [angličtina]. – [OV 020]. – [článok]. – DOI 10.18355/XL.2018.11.01XL.10. – SCO In: XLinguae [textový dokument (print)] [elektronický dokument] : European scientific language journal. – Nitra (Slovensko) : Vzdelávanie Don Bosca, Nitra (Slovensko) : Slovenská Vzdelávacia a Obstarávacia. – ISSN 1337-8384. – ISSN (online) 2453-711X. – Roč. 11, č. 2 (2018), s. 107-126 [tlačená forma] [online] . – SNIP: 1,517 ; SJR: 0,676 ; CiteScore: 1,8 Scimago - Language and linguistics - Q1, Linguistics and language - Q1, Philosophy - Q1 </t>
  </si>
  <si>
    <t xml:space="preserve">Attitudes towards different influencer categories - exploration of generation Z / Spálová, Lucia [Autor, UKFFFAKMR, 34%] ; Mikuláš, Peter [Autor, UKFFFAKMR, 33%] ; Púchovská, Oľga [Autor, UKFFFAKMR, 33%]. – text. – [angličtina]. – [OV 060]. – [článok]. – WOS CC ; SCO In: Communication Today [textový dokument (print)] [elektronický dokument] . – Trnava (Slovensko) : Univerzita sv. Cyrila a Metoda v Trnave. Fakulta masmediálnej komunikácie. – ISSN 1338-130X. – Roč. 12, č. 1 (2021), s. 44-61 [tlačená forma] [online] . – SJR: 0.288 ; CiteScore: 1.5 ; SNIP: 1.007 ; AIS: 0.288 AIS - Communication - Q2 Scimago - Communication - Q2, Marketing - Q3 </t>
  </si>
  <si>
    <t xml:space="preserve">Auden’s creative collision with Kierkegaard / Pavlíková, Martina [Autor, UKFFFAKZU, 80%] ; Máhrik, Tibor [Autor, 20%]. – text. – [angličtina]. – [OV 020]. – [článok]. – DOI 10.18355/XL.2020.13.03.12. – SCO In: XLinguae [textový dokument (print)] [elektronický dokument] : European scientific language journal. – Nitra (Slovensko) : Vzdelávanie Don Bosca, Nitra (Slovensko) : Slovenská Vzdelávacia a Obstarávacia. – ISSN 1337-8384. – ISSN (online) 2453-711X. – Roč. 13, č. 3 (2020), 145-156 [tlačená forma] [online] . – SJR: 0.385 ; CiteScore: 2,5 ; SNIP: 0,804 Scimago - Language and linguistics - Q1, Linguistics and language - Q1, Philosophy - Q1 </t>
  </si>
  <si>
    <t xml:space="preserve">Autobiografickosť výrazu. Michail Afanasievič Bulgakov: Divadelný román - Medzi životom, románom a divadlom = Autobiographical expression. Mikhail Afanasievich Bulgakov: Theatrical novel - Between life, novel, and theatre / Inštitorisová, Dagmar [Autor, UKFFFAKMR, 100%]. – text. – [slovenčina]. – [OV 020]. – [článok]. – DOI 10.31577/SD-2021-0004. – SCO In: Slovenské divadlo [textový dokument (print)] [elektronický dokument] : revue dramatických umení. – Bratislava (Slovensko) : Slovenská akadémia vied. Pracoviská SAV. Ústav divadelnej a filmovej vedy. – ISSN 0037-699X. – ISSN (online) 1336-8605. – Roč. 69, č. 1 (2021), s. 66-82 [tlačená forma] [online] . – CiteScore: 0,2 ; SJR: 0,158 ; SNIP: 0,208 Scimago - Communication - Q3, Cultural studies - Q2, History - Q2, Literature and literary theory - Q1, Music - Q2, Visual arts and performing arts - Q1 </t>
  </si>
  <si>
    <t xml:space="preserve">Balint groups in cognitive behavioral supervision / Praško Pavlov, Ján [Korešpondenčný autor, UKFFSVKPV, 40%] ; Ocisková, Marie [Autor, 3%] ; Vanek, Jakub [Autor, 3%] ; Dicevicius, Darius [Autor, 3%] ; Burkauskas, Julius [Autor, 3%] ; Krone, Ilona [Autor, 3%] ; Šlepecký, Miloš [Autor, UKFFSVKPV, 40%] ; Abeltina, Manila [Autor, 2%] ; Juskiene, Alicja [Autor, 2%] ; Bagdonaviciene, Lina [Autor, 1%]. – text. – [angličtina]. – [OV 060]. – [článok]. – WOS CC In: Activitas Nervosa Superior Rediviva [textový dokument (print)] [elektronický dokument] : international journal for integrated neuroscience. – Bratislava (Slovensko) : Vysoká škola zdravotníctva a sociálnej práce sv. Alžbety v Bratislave, Bratislava (Slovensko) : Slovenská akadémia vied. – ISSN 1337-933X. – ISSN (online) 1338-4015. – Roč. 62, č. 1 (2020), 29-40 [tlačená forma] [online] . – SJR: 0,128 ; CiteScore: 0,6 ; SNIP: 0,374 ; AIS: 0.083 AIS - Clinical neurology - Q4 Scimago - Neuroscience (miscellaneous) - Q4 </t>
  </si>
  <si>
    <t xml:space="preserve">Basic philosophical ideas associated with the Sabbath / Roubalová, Marie [Autor, 5%] ; Králik, Roman [Autor, 5%] ; Kondrla, Peter [Autor, UKFFFAKNS, 65%] ; Maturkanič, Patrik [Autor, 22%] ; Biryukova, Yulia [Autor, 2%] ; Issakhan, Mukhan [Autor, 1%]. – text. – [angličtina]. – [OV 020]. – [článok]. – DOI 10.18355/XL.2021.14.03.11. – SCO In: XLinguae [textový dokument (print)] [elektronický dokument] : European scientific language journal. – Nitra (Slovensko) : Vzdelávanie Don Bosca, Nitra (Slovensko) : Slovenská Vzdelávacia a Obstarávacia. – ISSN 1337-8384. – ISSN (online) 2453-711X. – Roč. 14, č. 3 (2021), s. 115-126 [tlačená forma] [online] . – CiteScore: 2,5 ; SJR: 0,306 ; SNIP: 0,717 Scimago - Linguistics and language - Q2, Philosophy - Q1 </t>
  </si>
  <si>
    <t xml:space="preserve">Black, White, Colourful, Gray: Visual Effects in the Children’s Book Mimi &amp; Liza / Petres Csizmadia, Gabriela [Autor, UKFFSSUML, 100%]. – text. – [angličtina]. – [OV 010]. – [ŠO 7605]. – [článok]. – DOI 10.2478/aa-2021-0015. – SCO In: Ars aeterna [textový dokument (print)] [elektronický dokument] : literary Studies and Humanity. – ISSN 1337-9291. – ISSN (online) 2450-8497. – Roč. 13, č. 3 (2021), s. 30-41 [tlačená forma] [online] . – CiteScore: 0,1 ; SJR: 0,108 ; SNIP: 0,103 Scimago - Cultural studies - Q3, Linguistics and language - Q4, Literature and literary theory - Q3 </t>
  </si>
  <si>
    <t xml:space="preserve">Budovanie komplexných a reprezentatívnych digitálnych literárnych zbierok v rámci Európskej zbierky literárnych textov (ELTeC) na Slovensku a Ukrajine = Building of complex and representative digital literary collections within the European literary text collection (ELTeC) in Slovakia and in Ukraine / Debnár, Marek [Autor, UKFFFACHV, 75%] ; Yesypenko, Dmytro [Autor, 25%]. – text. – [slovenčina]. – [OV 020]. – [článok]. – DOI 10.31577/slovlit.2020.67.6.8. – WOS CC ; SCO In: Slovenská literatúra [textový dokument (print)] [elektronický dokument] : revue pre literárnu vedu : časopis Ústavu slovenskej literatúry Slovenskej akadémie vied. – Bratislava (Slovensko) : Slovenská akadémia vied. Pracoviská SAV. Ústav slovenskej literatúry. – ISSN 0037-6973. – Roč. 67, č. 6 (2020), 630-638 [tlačená forma] [online] . – SJR: 0,1 ; CiteScore: 0,1 ; AIS: 0.130 AIS - Literature, slavic - Q2 Scimago - Literature and literary theory - Q4 </t>
  </si>
  <si>
    <t xml:space="preserve">C. S. Lewis and the challenge of ethics in digital society / Máhrik, Tibor [Autor, UKFFFAKAE 06.2022, 90%] ; Neal, Mark [Autor, 10%]. – [angličtina]. – [OV 020]. – [článok]. – SCO In: Communications [textový dokument (print)] [elektronický dokument] : scientific letters of the University of Žilina. – Žilina (Slovensko) : Žilinská univerzita v Žiline. Vydavateľstvo EDIS. – ISSN 1335-4205. – ISSN (online) 2585-7878. – suppl. Roč. 20, č. 1A (2018), s. 38-44 [tlačená forma] [online] . – SJR: 0,488 ; CiteScore: 1,9 ; SNIP: 1,151 Scimago - Automotive engineering - Q2, Computer networks and communications - Q2, Economics and econometrics - Q2, Electrical and electronic engineering - Q2, Transportation - Q2 </t>
  </si>
  <si>
    <t xml:space="preserve">Calculating minor constituents in synthetic corundum abrasives / Turnovec, Ivan [Autor, 50%] ; Illášová, Ľudmila [Autor, UKFFPVGMU, 50%]. – text. – [angličtina]. – [OV 110]. – [článok]. – SCO In: Mineralia Slovaca [textový dokument (print)] [elektronický dokument] : časopis pre regionálnu a enviromentálnu geológiu a aktivity Slovenskej geologickej spoločnosti a geologických asociácií. – Bratislava (Slovensko) : Štátny geologický ústav Dionýza Štúra. – ISSN 0369-2086. – ISSN (online) 1338-3523. – Roč. 52, č. 1 (2020), 57-62 [tlačená forma] [online] . – SJR: 0,191 ; SNIP: 0,259 ; CiteScore: 0,9 Scimago - Geochemistry and petrology - Q4, Geology - Q4, Geotechnical engineering and engineering geology - Q4 </t>
  </si>
  <si>
    <t xml:space="preserve">Caregiver Burden in Home Care in the Czech Republic and Slovakia = Záťaž opatrovateľa v domácom prostredí v Českej a Slovenskej republike / Slamková, Alica [Autor, UKFFSVKOS, 34%] ; Poledníková, Ľubica [Autor, UKFFSVKOS, 33%] ; Pavelová, Ľuboslava [Autor, UKFFSVKOS, 33%]. – text. – [slovenčina]. – [OV 180]. – [článok]. – SCO In: Zdravotnícke listy [textový dokument (print)] [elektronický dokument] : vedecký recenzovaný časopis. – Trenčín (Slovensko) : Trenčianska univerzita Alexandra Dubčeka v Trenčíne. Fakulta zdravotníctva. – ISSN 1339-3022. – ISSN (online) 2644-4909. – Roč. 8, č. 3 (2020), s. 63-68 [tlačená forma] [online] . – SNIP: 0,065 ; SJR: 0,192 ; CiteScore: 0,20 Scimago - Nursing (miscellaneous) - Q3, Occupational therapy - Q4, Physical therapy, sports therapy and rehabilitation - Q4, Public health, environmental and occupational health - Q4 </t>
  </si>
  <si>
    <t xml:space="preserve">Coat of arms on a stone segment from Oponice castle - The activity of the Horváth family in the aponi family residence / Repka, Dominik [Autor, UKFFFAKAR, 60%] ; Sater, Peter [Autor, 40%]. – text. – [slovenčina]. – [OV 030]. – [článok]. – SCO In: Studia Historica Nitriensia [textový dokument (print)] [elektronický dokument] . – Nitra (Slovensko) : Univerzita Konštantína Filozofa v Nitre. – ISSN 1338-7219. – ISSN (online) 2585-8661. – Roč. 23, č. 1 (2019), s. 158-170 [tlačená forma] [online] . – SNIP: 0,629 ; SJR: 0,187 ; CiteScore: 0,2 Scimago - Cultural studies - Q2, History - Q2, Museology - Q2 </t>
  </si>
  <si>
    <t xml:space="preserve">Collection of road toll in southwestern Slovakia in the Middle Ages on the basis of written sources / Ivanič, Peter [Autor, UKFFFAUKD, 100%]. – text. – [angličtina]. – [OV 030]. – [článok]. – DOI 10.17846/SHN.2019.23.2.426-455. – SCO In: Studia Historica Nitriensia [textový dokument (print)] [elektronický dokument] . – Nitra (Slovensko) : Univerzita Konštantína Filozofa v Nitre. – ISSN 1338-7219. – ISSN (online) 2585-8661. – Roč. 23, č. 2 (2019), 426-455 [tlačená forma] [online] . – SNIP: 0,629 ; SJR: 0,187 ; CiteScore: 0,2 Scimago - Cultural studies - Q2, History - Q2, Museology - Q2 </t>
  </si>
  <si>
    <t xml:space="preserve">Combats of World War II in South-Western Slovakia in the memoirs of participants, members of German Wehrmacht. Memoir literature as a source of military-historical research / Šteiner, Pavol [Autor, UKFFFAKMU, 100%]. – text. – [angličtina]. – [OV 030]. – [článok]. – DOI 10.17846/SHN.2019.23.1.171-192. – SCO In: Studia Historica Nitriensia [textový dokument (print)] [elektronický dokument] . – Nitra (Slovensko) : Univerzita Konštantína Filozofa v Nitre. – ISSN 1338-7219. – ISSN (online) 2585-8661. – Roč. 23, č. 1 (2019), 171-192 [tlačená forma] [online] . – SNIP: 0,629 ; SJR: 0,187 ; CiteScore: 0,2 Scimago - Cultural studies - Q2, History - Q2, Museology - Q2 </t>
  </si>
  <si>
    <t xml:space="preserve">Comparison of implementation of rural development programmes focussing on diversification in Slovakia in the years 2007-2013 and 2014-2020 / Némethová, Jana [Autor, UKFFPVKGR, 100%]. – text. – [angličtina]. – [OV 190]. – [článok]. – WOS CC ; SCO In: Folia Geographica [textový dokument (print)] [elektronický dokument] : international scientific journal. – Prešov (Slovensko) : Prešovská univerzita v Prešove. – ISSN 1336-6157. – ISSN (online) 2454-1001. – Roč. 62, č. 1 (2020), 35-51 [tlačená forma] [online] . – SJR: 0,193 ; CiteScore: 0,9 ; SNIP: 0,359 ; AIS: 0.047 AIS - Geography - Q4 Scimago - Geography, planning and development - Q3 </t>
  </si>
  <si>
    <t xml:space="preserve">Construction of plant transformation vector containing expression cassette of arabidopsis gene At1g54410 / Boszorádová, Eva [Autor, 20%] ; Zimová, Mária [Autor, UKFFPVKBG, 20%] ; Gregorová, Zuzana [Autor, UCMFPVKBTE, 10%] ; Bardáčová, Monika [Autor, UCMFPVKCHR, 10%] ; Moravčíková, Jana [Autor, UCMFPVKBTE, 20%] ; Matušíková, Ildikó [Autor, UCMFPVKCHR, 20%]. – text. – [angličtina]. – [OV 130]. – [článok]. – DOI 10.15414/jmbfs.2019.8.5.1209-1211. – WOS CC ; SCO In: The journal of microbiology, biotechnology and food sciences [elektronický dokument] . – Nitra (Slovensko) : Slovenská poľnohospodárska univerzita v Nitre. Fakulta biotechnológie a potravinárstva. – ISSN (online) 1338-5178. – Roč. 8, č. 5 (2019), s. 1209-1211 [online] . – SJR: 0,163 ; SNIP: 0,298 ; CiteScore: 0,5 Scimago - Biotechnology - Q4, Food science - Q4, Microbiology - Q4, Molecular biology - Q4 </t>
  </si>
  <si>
    <t xml:space="preserve">Contamination of soil and vegetation at a magneSite mining area in Jelšava-Lubeník (Slovakia) / Fazekaš, Juraj [Autor, PUPFMKEM, 45%] ; Fazekašová, Danica [Autor, PUPFMKEM, 40%] ; Hronec, Ondrej [Autor, PUPFMKEM, 5%] ; Benková, Eva [Autor, PUPFMIK, 5%] ; Boltižiar, Martin [Autor, UKFFPVKGR, 5%]. – [angličtina]. – [OV 080]. – [článok]. – DOI 10.2478/eko-2018-0010. – SIGN-PU FM 449/18. – SCO In: Ekológia [textový dokument (print)] [elektronický dokument] : Medzinárodný časopis pre ekologické problémy biosféry = International Journal for Ecological Problems of the Biosphere : The Journal of Institute of Landscape Ecology of Slovak Academy of Sciences. – Bratislava (Slovensko) : Slovenská akadémia vied. Pracoviská SAV. Ústav krajinnej ekológie. – ISSN 1335-342X. – ISSN (online) 1337-947X. – Roč. 37, č. 2 (2018), s. 101-111 [tlačená forma] [online] . – SNIP: 0,538 ; SJR: 0,283 ; CiteScore: 1,1 Scimago - Ecology - Q3 </t>
  </si>
  <si>
    <t xml:space="preserve">Creation And Development Of Accent Typeface Forms Of Writing And Their Use In Advertising / Koprda, Tomáš [Autor, UKFFFAKMR, 50%] ; Bulanda, Ivana [Autor, UKFFFAKMR, 50%]. – text. – [angličtina]. – [OV 060]. – [článok]. – WOS CC In: European Journal of Media, Art and Photography [textový dokument (print)] [elektronický dokument] . – Trnava (Slovensko) : Univerzita sv. Cyrila a Metoda v Trnave. Fakulta masmediálnej komunikácie. – ISSN 1339-4940. – Roč. 8, č. 1 (2020), 116-124 [tlačená forma] [online] . – AIS: 0.033 AIS - Art - Q3 </t>
  </si>
  <si>
    <t xml:space="preserve">Creation of rhymes as part of the development of phonemic awareness of preschool children / Máčajová, Monika [Autor, UKFPFAKPE, 45%] ; Grofčíková, Soňa [Autor, UKFPFAKPE, 45%] ; Zajacová, Zuzana [Autor, UKFPFAKPE, 10%]. – [angličtina]. – [OV 010]. – [článok]. – DOI 10.18355/XL.2019.12.03.06. – SCO In: XLinguae [textový dokument (print)] [elektronický dokument] : European scientific language journal. – Nitra (Slovensko) : Vzdelávanie Don Bosca, Nitra (Slovensko) : Slovenská Vzdelávacia a Obstarávacia. – ISSN 1337-8384. – ISSN (online) 2453-711X. – Roč. 12, č. 3 (2019), 66-79 [tlačená forma] [online] . – SNIP: 0,879 ; SJR: 0,318 ; CiteScore: 2.2 Scimago - Language and linguistics - Q1, Linguistics and language - Q1, Philosophy - Q1 </t>
  </si>
  <si>
    <t xml:space="preserve">Current challenges of digital technologies / Lesková, Andrea [Autor, UKFFFAKAE 06.2022, 40%] ; Jurjewicz, Hubert [Autor, 5%] ; Lenghart, Patrik [Autor, UKFFFAKZU, 40%] ; Bačík, Peter [Autor, 15%]. – text. – [angličtina]. – [OV 060]. – [článok]. – SCO In: Communications [textový dokument (print)] [elektronický dokument] : scientific letters of the University of Žilina. – Žilina (Slovensko) : Žilinská univerzita v Žiline. Vydavateľstvo EDIS. – ISSN 1335-4205. – ISSN (online) 2585-7878. – suppl. Roč. 20, č. 1A (2018), s. 16-21 [tlačená forma] [online] . – SJR: 0,488 ; CiteScore: 1,9 ; SNIP: 1,151 Scimago - Automotive engineering - Q2, Computer networks and communications - Q2, Economics and econometrics - Q2, Electrical and electronic engineering - Q2, Transportation - Q2 </t>
  </si>
  <si>
    <t xml:space="preserve">Current Issues of Slovak Textology: Textological Discourse in Slovakia / Navrátil, Martin [Autor, UKFFFASJL, 100%]. – text. – [angličtina]. – [OV 010]. – [článok]. – WOS CC ; SCO In: Slovenská literatúra [textový dokument (print)] [elektronický dokument] : revue pre literárnu vedu : časopis Ústavu slovenskej literatúry Slovenskej akadémie vied. – Bratislava (Slovensko) : Slovenská akadémia vied. Pracoviská SAV. Ústav slovenskej literatúry. – ISSN 0037-6973. – Roč. 65, č. 4 (2018), s. 294-301 [tlačená forma] [online] </t>
  </si>
  <si>
    <t xml:space="preserve">Cyril a Metod v kultúre dolnozemských Slovákov = Cyril and Methodius in the Culture of Lowland Slovaks / Čukan, Jaroslav [Autor, UKFFFAKMK, 50%] ; Michalík, Boris [Autor, UKFFFAKMK, 50%]. – text. – [slovenčina]. – [OV 030]. – [článok]. – DOI 10.17846/CL.2021.14.1.146-157. – WOS CC ; SCO In: Konštantínove listy [textový dokument (print)] [elektronický dokument] . – Nitra (Slovensko) : Univerzita Konštantína Filozofa v Nitre. Filozofická fakulta. Ústav pre výskum kultúrneho dedičstva Konštantína a Metoda. – ISSN 1337-8740. – ISSN (online) 2453-7675. – Roč. 14, č. 1 (2021), s. 146-157 [tlačená forma] [online] . – CiteScore: 0,5 ; SJR: 0,336 ; SNIP: 0,796 ; AIS: 0.417 AIS - Humanities, multidisciplinary - Q1 Scimago - History - Q1, Philosophy - Q1, Religious studies - Q1 </t>
  </si>
  <si>
    <t xml:space="preserve">Dávno and dlho in the semantic and communication perspective / Sokolová, Jana [Autor, UKFFFAKRU, 100%]. – text. – [angličtina]. – [OV 020]. – [článok]. – DOI 10.2478/jazcas-2019-0017. – SCO In: Jazykovedný časopis [elektronický dokument] [textový dokument (print)] : vedecký časopis pre otázky teórie jazyka = scientific journal for the theory of language. – Bratislava (Slovensko) : SAP - Slovak Academic Press, Varšava (Poľsko) : De Gruyter. – ISSN 0021-5597. – ISSN (online) 1338-4287. – Roč. 69, č. 3 (2018), 371-386 [online] [tlačená forma] . – SJR: 0,122 ; CiteScore: 0,2 ; SNIP: 0,875 Scimago - Language and linguistics - Q3, Linguistics and language - Q3 </t>
  </si>
  <si>
    <t xml:space="preserve">Decorated Medieval or Early Modern axes from the National Museum of Romanian History in Bucharest / Husár, Martin [Autor, UKFFFAUKD, 33.334%] ; Silviu Ion, Ota [Autor, 33.333%] ; Alexandru, Martin Tudor [Autor, 33.333%]. – text. – [angličtina]. – [OV 030]. – [článok]. – DOI 10.31577/szausav.2019.66.7. – WOS CC ; SCO In: Študijné zvesti Archeologického ústavu Slovenskej akadémie vied [textový dokument (print)] [elektronický dokument] . – Nitra (Slovensko) : Slovenská akadémia vied. – ISSN 0560-2793. – č. 66 (2019), 127-148 [tlačená forma] [online] . – SNIP: 1,468 ; SJR: 0,292 ; CiteScore: 0,4 Scimago - Archeology - Q2, Archeology (arts and humanities) - Q1 </t>
  </si>
  <si>
    <t xml:space="preserve">Despair or the loss of selfhood in Kierkegaard’s sickness unto death / Leiva Rubio, Gabriel [Autor, 43%] ; Lesková, Andrea [Autor, UKFFFAKAE 06.2022, 42%] ; Prokopyev, Alexey I. [Autor, 5%] ; Miroshkin, Dmitriy V. [Autor, 5%] ; Kamneva, Elena V. [Autor, 5%]. – text. – [angličtina]. – [OV 020]. – [článok]. – DOI 10.18355/XL.2020.13.03.07. – SCO In: XLinguae [textový dokument (print)] [elektronický dokument] : European scientific language journal. – Nitra (Slovensko) : Vzdelávanie Don Bosca, Nitra (Slovensko) : Slovenská Vzdelávacia a Obstarávacia. – ISSN 1337-8384. – ISSN (online) 2453-711X. – Roč. 13, č. 3 (2020), 63-77 [tlačená forma] [online] . – SJR: 0.385 ; CiteScore: 2,5 ; SNIP: 0,804 Scimago - Language and linguistics - Q1, Linguistics and language - Q1, Philosophy - Q1 </t>
  </si>
  <si>
    <t xml:space="preserve">Detailed luminescence spectra interpretation of selected oxides: spinel from Myanmar and chrysoberyl - var. alexandrite from Tanzania / Malíčková, Iveta [Autor, UKOPRGMP, 20%] ; Bačík, Peter [Autor, UKOPRGMP, 20%] ; Fridrichová, Jana [Autor, UKOPRGMP, 20%] ; Hanus, Radek [Autor, 10%] ; Štubňa, Ján [Autor, UKFFPVGMU, 10%] ; Milovská, Stanislava [Autor, 10%] ; Škoda, Radek [Autor, 10%]. – text, ilustr., tab. – [angličtina]. – [OV 092]. – [článok]. – [recenzované]. – SIGN-UKO PR 473/20. – SCO In: Acta Geologica Slovaca [textový dokument (print)] [elektronický dokument] . – Bratislava (Slovensko) : Univerzita Komenského v Bratislave. – ISSN 1338-0044. – ISSN (online) 1338-5674. – Roč. 12, č. 1 (2020), s. 69-74 [tlačená forma] [online] . – SNIP: 0,414 ; SJR: 0,306 ; CiteScore: 1,8 Scimago - Geochemistry and petrology - Q4, Geology - Q3, Geophysics - Q3, Geotechnical engineering and engineering geology - Q3, Paleontology - Q3, Stratigraphy - Q3 </t>
  </si>
  <si>
    <t xml:space="preserve">Determination of Selected Terpenic Substances in Grapes and Wine of the Cultivar Pálava / Cehula, Marcela [Autor, UKFFPVKBG, 29%] ; Kumsta, Michal [Autor, 7%] ; Sotolar, Radek [Autor, 7%] ; Sochorova, Lenka [Autor, 7%] ; Juríková, Tünde [Autor, UKFFSSUVP, 29%] ; Mlček, Jiří [Autor, 7%] ; Baroň, Mojmír [Autor, 7%] ; Sochor, Jiří [Autor, 7%]. – text. – [angličtina]. – [OV 010]. – [článok]. – DOI 10.5219/1396. – SCO In: Potravinarstvo Slovak Journal of Food Sciences [textový dokument (print)] [elektronický dokument] : vedecký časopis pre potravinárstvo. – Nitra (Slovensko) : HACCP Consulting. – ISSN 1338-0230. – ISSN (online) 1337-0960. – Roč. 14, č. 1 (2020), s. 1137-1142 [tlačená forma] [online] . – SJR: 0,259 ; CiteScore: 1,6 ; SNIP: 0,605 Scimago - Food science - Q3 </t>
  </si>
  <si>
    <t xml:space="preserve">Development of speaking at primary schools through CLIL / Kováčiková, Elena [Autor, UKFPFAKLI, 100%]. – text. – [angličtina]. – [OV 010]. – [článok]. – DOI 10.18355/XL.2019.12.02.02. – SCO In: XLinguae [textový dokument (print)] [elektronický dokument] : European scientific language journal. – Nitra (Slovensko) : Vzdelávanie Don Bosca, Nitra (Slovensko) : Slovenská Vzdelávacia a Obstarávacia. – ISSN 1337-8384. – ISSN (online) 2453-711X. – Roč. 12, č. 2 (2019), 17-26 [tlačená forma] [online] . – SNIP: 0,879 ; SJR: 0,318 ; CiteScore: 2.2 Scimago - Language and linguistics - Q1, Linguistics and language - Q1, Philosophy - Q1 </t>
  </si>
  <si>
    <t xml:space="preserve">Differentiation of flea communities of small mammals in selected habitats in the Eastern Tatra Mts / Baláž, Ivan [Autor, UKFFPVKEE, 40%] ; Tulis, Filip [Autor, UKFFPVKEE, 30%] ; Zigová, Martina [Autor, UKFFPVKEE, 30%]. – text. – [angličtina]. – [OV 100]. – [článok]. – DOI 10.2478/foecol-2019-0016. – WOS CC ; SCO In: Folia Oecologica [textový dokument (print)] [elektronický dokument] . – Zvolen (Slovensko) : Slovenská akadémia vied. Pracoviská SAV. Ústav ekológie lesa. – ISSN 1336-5266. – ISSN (online) 1338-7014. – Roč. 46, č. 2 (2019), 137-145 [tlačená forma] [online] . – SNIP: 0.594 ; SJR: 0.274 ; CiteScore: 1,0 Scimago - Agricultural and biological sciences (miscellaneous) - Q2, Ecology - Q3, Forestry - Q3 </t>
  </si>
  <si>
    <t xml:space="preserve">Dispersion of the epigeic fauna groups in the agricultural landscape / Langraf, Vladimír [Korešpondenčný autor, UKFFPVKEE, 55%] ; Petrovičová, Kornélia [Autor, SPUFAP26, 25%] ; Krumpálová, Zuzana [Autor, UKFFPVKEE, 5%] ; Svoradová, Andrea [Autor, 10%] ; Schlarmannová, Janka [Autor, UKFFPVKZA, 5%]. – text. – [angličtina]. – [OV 130]. – [článok]. – DOI 10.2478/foecol-2021-0015. – WOS CC ; SCO In: Folia Oecologica [textový dokument (print)] [elektronický dokument] . – Zvolen (Slovensko) : Slovenská akadémia vied. Pracoviská SAV. Ústav ekológie lesa. – ISSN 1336-5266. – ISSN (online) 1338-7014. – Roč. 48, č. 2 (2021), s. 147-155 [tlačená forma] [online] . – CiteScore: 2 ; SJR: 0,26 ; SNIP: 0,706 Scimago - Agricultural and biological sciences (miscellaneous) - Q3, Ecology - Q3, Forestry - Q3 </t>
  </si>
  <si>
    <t xml:space="preserve">Distribution of Small Mammals (Eulipotyphla, Rodentia) in the Gradient Direction Urban-Suburban-Rural of Central Slovakia / Langraf, Vladimír [Autor, UKFFPVKZA, 56%] ; Krumpálová, Zuzana [Autor, UKFFPVKEE, 10%] ; Petrovičová, Kornélia [Autor, SPUFAP26, 25%] ; Poláčiková, Zuzana [Autor, UKFFPVKZA, 3%] ; Ambros, Michal [Autor, 3%] ; Schlarmannová, Janka [Autor, UKFFPVKZA, 3%]. – text. – [angličtina]. – [OV 190, 130]. – [článok]. – DOI 10.2478/eko-2021-0017. – SCO In: Ekológia [textový dokument (print)] [elektronický dokument] : Medzinárodný časopis pre ekologické problémy biosféry = International Journal for Ecological Problems of the Biosphere : The Journal of Institute of Landscape Ecology of Slovak Academy of Sciences. – Bratislava (Slovensko) : Slovenská akadémia vied. Pracoviská SAV. Ústav krajinnej ekológie. – ISSN 1335-342X. – ISSN (online) 1337-947X. – Roč. 40, č. 2 (2021), s. 145-153 [tlačená forma] [online] . – CiteScore: 1,7 ; SJR: 0,289 ; SNIP: 0,814 Scimago - Ecology - Q3 </t>
  </si>
  <si>
    <t xml:space="preserve">Doctor Who meets Loving Vincent Van Gogh (A case study of the "tortured artist" stock character in popular culture) / Boszorád, Martin [Autor, UKFFFAULK, 100%]. – text. – [angličtina]. – [OV 020]. – [článok]. – DOI 10.2478/aa-2019-0010. – SCO In: Ars aeterna [textový dokument (print)] [elektronický dokument] : literary Studies and Humanity. – ISSN 1337-9291. – ISSN (online) 2450-8497. – Roč. 11, č. 2 (2019), 55-67 [tlačená forma] [online] . – SJR: 0,101 ; CiteScore: 0,2 ; SNIP: 0,818 Scimago - Cultural studies - Q4, Language and linguistics - Q4, Linguistics and language - Q4, Literature and literary theory - Q3 </t>
  </si>
  <si>
    <t xml:space="preserve">Documentation of Terrain Relics of Fortified Settlements in the Kostolianska kotlina Basin and its Wider Surroundings by Means of Modern Methods / Borzová, Zuzana [Autor, UKFFFAKAR, 70%] ; Borza, Martin [Autor, 30%]. – text. – [angličtina]. – [OV 030]. – [článok]. – WOS CC ; SCO In: Študijné zvesti Archeologického ústavu Slovenskej akadémie vied [textový dokument (print)] [elektronický dokument] . – Nitra (Slovensko) : Slovenská akadémia vied. – ISSN 0560-2793. – č. 65 (2019), 111-132 [tlačená forma] [online] . – SNIP: 1,468 ; SJR: 0,292 ; CiteScore: 0,4 Scimago - Archeology - Q2, Archeology (arts and humanities) - Q1 </t>
  </si>
  <si>
    <t xml:space="preserve">Ecological and distribution traits of the large white-faced darter Leucorrhinia pectoralis (Charpentier, 1825) in Slovakia / Šiblová, Zuzana [Autor, UKFFPVKEE, 40%] ; David, Stanislav [Autor, UKFFPVKEE, 40%] ; Moyzeova, Milena [Autor, 20%]. – [angličtina]. – [OV 100]. – [článok]. – DOI 10.2478/eko-2021-0027. – SCO In: Ekológia [textový dokument (print)] [elektronický dokument] : Medzinárodný časopis pre ekologické problémy biosféry = International Journal for Ecological Problems of the Biosphere : The Journal of Institute of Landscape Ecology of Slovak Academy of Sciences. – Bratislava (Slovensko) : Slovenská akadémia vied. Pracoviská SAV. Ústav krajinnej ekológie. – ISSN 1335-342X. – ISSN (online) 1337-947X. – Roč. 40, č. 3 (2021), 248-257 [tlačená forma] [online] . – CiteScore: 1,7 ; SJR: 0,289 ; SNIP: 0,814 Scimago - Ecology - Q3 </t>
  </si>
  <si>
    <t xml:space="preserve">Effect of di-(2-ethylhexyl) phthalate (dehp) exposure on microarchitecture of femoral bone in male laboratory mouse: preliminary results / Šulková, Eva [Autor, 13%] ; Babosová, Ramona [Autor, UKFFPVKZA, 14%] ; Kolena, Branislav [Autor, UKFFPVKZA, 13%] ; Poláčiková, Zuzana [Autor, UKFFPVKZA, 11%] ; Hlisníková, Henrieta [Autor, UKFFPVKZA, 11%] ; Šidlovská, Miroslava [Autor, UKFFPVKZA, 11%] ; Vondráková, Mária [Autor, UKFFPVKZA, 11%] ; Martiniaková, Monika [Autor, UKFFPVKZA, 5%] ; Petrovičová, Ida [Autor, UKFFPVKZA, 11%]. – text. – [angličtina]. – [OV 130]. – [článok]. – DOI 10.15414/jmbfs.4435. – WOS CC ; SCO In: The journal of microbiology, biotechnology and food sciences [elektronický dokument] . – Nitra (Slovensko) : Slovenská poľnohospodárska univerzita v Nitre. Fakulta biotechnológie a potravinárstva. – ISSN (online) 1338-5178. – Roč. 10, č. 6 (2021), s. 1-5 [online] . – CiteScore: 1,3 ; SJR: 0,225 ; SNIP: 0,493 ; AIS: 0.103 AIS - Food science &amp; technology - Q3 Scimago - Biotechnology - Q3, Food science - Q3, Microbiology - Q4, Molecular biology - Q4 </t>
  </si>
  <si>
    <t xml:space="preserve">Effect of Landscape Use on Water Quality of the Žitava River / Petlušová, Viera [Autor, UKFFPVKEE, 25%] ; Petluš, Peter [Autor, UKFFPVKEE, 25%] ; Zemko, Martin [Autor, UKFFPVKEE, 25%] ; Rybanský, Ľubomír [Autor, UKFFPVKMA, 25%]. – text. – [angličtina]. – [OV 100]. – [článok]. – DOI 10.2478/eko-2019-0002. – WOS CC ; SCO In: Ekológia [textový dokument (print)] [elektronický dokument] : Medzinárodný časopis pre ekologické problémy biosféry = International Journal for Ecological Problems of the Biosphere : The Journal of Institute of Landscape Ecology of Slovak Academy of Sciences. – Bratislava (Slovensko) : Slovenská akadémia vied. Pracoviská SAV. Ústav krajinnej ekológie. – ISSN 1335-342X. – ISSN (online) 1337-947X. – Roč. 38, č. 1 (2019), 11-24 [tlačená forma] [online] . – SNIP: 0,755 ; SJR: 0,279 ; CiteScore: 1,3 Scimago - Ecology - Q3 </t>
  </si>
  <si>
    <t xml:space="preserve">Egocentricals - Expressions with a semantic-pragmatic focus on the speaker / Sokolová, Jana [Autor, UKFFFAKRU, 100%]. – text. – [angličtina]. – [OV 010]. – [článok]. – SCO In: Slovenská reč [textový dokument (print)] [elektronický dokument] : časopis pre výskum slovenského jazyka : orgán Jazykovedného ústavu Ľudovíta Štúra Slovenskej akadémie vied. – Martin (Slovensko) : Matica slovenská, Bratislava (Slovensko) : SAP - Slovak Academic Press. – ISSN 0037-6981. – ISSN (online) 1338-4279. – Roč. 84, č. 1 (2019), 10-25 [tlačená forma] [online] . – SNIP: 0,44 ; SJR: 0,1 ; CiteScore: 0,2 Scimago - Language and linguistics - Q4, Linguistics and language - Q4 </t>
  </si>
  <si>
    <t xml:space="preserve">EPR study of effect of ascorbic acid on hair and feather samples in relation to eumelanins and pheomelanins / Lawson, Michael Kenneth [Korešpondenčný autor, 34%] ; Valko, Marián [Autor, 045210, 33%] ; Jomová, Klaudia [Autor, UKFFPVKCH, 33%]. – [angličtina]. – [OV 180]. – [ŠO 1420]. – [článok]. – DOI 10.2478/afpuc-2021-0001. – SCO In: European Pharmaceutical Journal [elektronický dokument] [textový dokument (print)] : Acta Facultatis Pharmaceuticae Universitatis Comenianae. – Varšava (Poľsko) : De Gruyter. De Gruyter Open. – ISSN 2453-6725. – Roč. 68, č. 1 (2021), s. 89-91 [online] [tlačená forma] . – SNIP: 0.128 ; SJR: 0.138 ; CiteScore: 0.6 Scimago - Pharmacology, toxicology and pharmaceutics (miscellaneous) - Q4 </t>
  </si>
  <si>
    <t xml:space="preserve">Etablovanie Zemského ústredia pečlivosti o mládež v Bratislave a jeho okresných pobočiek v medzivojnovom Československu = Establishment of the Regional Youth Care Centre in Bratislava and its district institutions in interwar Czechoslovakia / Rigová, Viktória [Autor, UKFFFAKHI, 100%]. – text. – [slovenčina]. – [OV 030]. – [článok]. – DOI 10.17846/SHN.2021.25.1.131-152. – SCO In: Studia Historica Nitriensia [textový dokument (print)] [elektronický dokument] . – Nitra (Slovensko) : Univerzita Konštantína Filozofa v Nitre. – ISSN 1338-7219. – ISSN (online) 2585-8661. – Roč. 25, č. 2 (2021), s. 131-152 [tlačená forma] [online] . – CiteScore: 0,4 ; SJR: 0,209 ; SNIP: 1,036 Scimago - Cultural studies - Q2, History - Q1, Museology - Q2 </t>
  </si>
  <si>
    <t xml:space="preserve">Ethic question of wartime burials archaeological research / Bordáč, Miloš [Autor, UKFFFAKAR, 100%]. – text. – [slovenčina]. – [OV 030]. – [článok]. – DOI 10.17846/SHN.2019.23.S.227-232. – SCO In: Studia Historica Nitriensia [textový dokument (print)] [elektronický dokument] . – Nitra (Slovensko) : Univerzita Konštantína Filozofa v Nitre. – ISSN 1338-7219. – ISSN (online) 2585-8661. – suppl. Roč. 23 (2019), s. 227-232 [tlačená forma] [online] . – SNIP: 0,629 ; SJR: 0,187 ; CiteScore: 0,2 Scimago - Cultural studies - Q2, History - Q2, Museology - Q2 </t>
  </si>
  <si>
    <t xml:space="preserve">Ethics, motivation and education from the perspective of Søren Kierkegaard’s philosophy / Garcia, Chosé Martin [Autor, 34%] ; Ortiz Cobo, Monica [Autor, 33%] ; Kondrla, Peter [Autor, UKFFFAKNS, 33%]. – [angličtina]. – [OV 020]. – [článok]. – DOI 10.18355/XL.2019.12.04.16. – SCO In: XLinguae [textový dokument (print)] [elektronický dokument] : European scientific language journal. – Nitra (Slovensko) : Vzdelávanie Don Bosca, Nitra (Slovensko) : Slovenská Vzdelávacia a Obstarávacia. – ISSN 1337-8384. – ISSN (online) 2453-711X. – Roč. 12, č. 4 (2019), 183-191 [tlačená forma] [online] . – SNIP: 0,879 ; SJR: 0,318 ; CiteScore: 2.2 Scimago - Language and linguistics - Q1, Linguistics and language - Q1, Philosophy - Q1 </t>
  </si>
  <si>
    <t xml:space="preserve">Evaluation of genetic diversity of edible honeysuckle monitored by rapd in relation to bioactive substances / Cehula, Marcela [Autor, UKFFPVKBG, 20%] ; Juríková, Tünde [Autor, UKFFSSUVP, 20%] ; Žiarovská, Jana [Autor, SPUFAP04, 20%] ; Mlček, Jiří [Autor, 20%] ; Kyseľ, Matúš [Autor, SPUFAP04, 20%]. – text. – [angličtina]. – [OV 190, 010, 092]. – [článok]. – DOI 10.5219/1139. – SCO In: Potravinarstvo Slovak Journal of Food Sciences [textový dokument (print)] [elektronický dokument] : vedecký časopis pre potravinárstvo. – Nitra (Slovensko) : HACCP Consulting. – ISSN 1338-0230. – ISSN (online) 1337-0960. – Roč. 13, č. 1 (2019), s. 490-496 [tlačená forma] [online] . – SJR: 0,27 ; CiteScore: 1,4 ; SNIP: 0,539 Scimago - Food science - Q3 </t>
  </si>
  <si>
    <t xml:space="preserve">Excerpt from the Polish Provincial Statutes of 1420 in the Mikulov Dietrichstein Library Manuscript = Výtah z polských provinciálních statut z roku 1420 v rukopise Mikulovské dietrichštejnské knihovny / Krafl, Pavel Otmar [Autor, UKFFFAKHI, 100%]. – text. – [angličtina]. – [OV 030]. – [článok]. – DOI 10.17846/SHN.2020.24.1.125-131. – SCO In: Studia Historica Nitriensia [textový dokument (print)] [elektronický dokument] . – Nitra (Slovensko) : Univerzita Konštantína Filozofa v Nitre. – ISSN 1338-7219. – ISSN (online) 2585-8661. – Roč. 24, č. 1 (2020), s. 125-131 [tlačená forma] [online] . – CiteScore: 0.4 ; SJR: 0.193 ; SNIP: 0.591 Scimago - Cultural studies - Q2, History - Q1, Museology - Q2 </t>
  </si>
  <si>
    <t xml:space="preserve">Explanatory notes and Comments in selected volumes of Library of Slovak Literature edition / Rácová, Veronika [Autor, UKFFFASJL, 100%]. – text. – [slovenčina]. – [OV 020]. – [článok]. – WOS CC ; SCO In: Slovenská literatúra [textový dokument (print)] [elektronický dokument] : revue pre literárnu vedu : časopis Ústavu slovenskej literatúry Slovenskej akadémie vied. – Bratislava (Slovensko) : Slovenská akadémia vied. Pracoviská SAV. Ústav slovenskej literatúry. – ISSN 0037-6973. – Roč. 65, č. 4 (2018), s. 302-313 [tlačená forma] [online] </t>
  </si>
  <si>
    <t xml:space="preserve">Expressional Bipolarity of Theatre (Selected Case Studies in Contemporary Theatre) / Ballay, Miroslav [Autor, UKFFFAKKU, 100%]. – text. – [angličtina]. – [OV 020]. – [článok]. – SCO In: Slovenské divadlo [textový dokument (print)] [elektronický dokument] : revue dramatických umení. – Bratislava (Slovensko) : Slovenská akadémia vied. Pracoviská SAV. Ústav divadelnej a filmovej vedy. – ISSN 0037-699X. – ISSN (online) 1336-8605. – Roč. 66, č. 3 (2018), s. 231-241 [tlačená forma] [online] </t>
  </si>
  <si>
    <t xml:space="preserve">Extensive Reading and the Writing Ability of EFL Learners: the Effect of Group Work / Azizi, Mahmoud [Autor, 10%] ; Tkáčová, Hedviga [Autor, ZUZFHVKFR, 30%] ; Pavlíková, Martina [Autor, UKFFFAKZU, 30%] ; Jenisová, Zita [Autor, UKFFPVKCH, 30%]. – text. – [angličtina]. – [OV 010, 020]. – [článok]. – DOI 10.13187/ejced.2020.4.726. – WOS CC ; SCO In: European journal of contemporary education [elektronický dokument] . – Bratislava (Slovensko) : Academic Publishing House Researcher. – ISSN 2304-9650. – ISSN (online) 2305-6746. – Roč. 9, č. 4 (2020), 726-739 [online] . – SJR: 0,517 ; CiteScore: 3 ; SNIP: 1,197 ; AIS: 0.597 AIS - Education &amp; educational research - Q1 Scimago - Education - Q2 </t>
  </si>
  <si>
    <t xml:space="preserve">Faces from the Past. Some Thoughts about Anthropomorphic and Zoomorphic Figurines and Images in the Neolithic Period = Tváre minulosti. Niekoľko úvah o antropomorfnej a zoomorfnej plastike a vyobrazeniach v neolite / Beljak Pažinová, Noémi [Autor, UKFFFAKAR, 100%]. – text. – [angličtina]. – [OV 030]. – [článok]. – DOI 10.17846/SHN.2018.22.1.3-26. – SCO In: Studia Historica Nitriensia [textový dokument (print)] [elektronický dokument] . – Nitra (Slovensko) : Univerzita Konštantína Filozofa v Nitre. – ISSN 1338-7219. – ISSN (online) 2585-8661. – Roč. 22, č. 1 (2018), s. 3-26 [tlačená forma] [online] . – SJR: 0,164 ; CiteScore: 0,1 ; SNIP: 0,17 Scimago - Cultural studies - Q2, History - Q2, Museology - Q2 </t>
  </si>
  <si>
    <t xml:space="preserve">Fairy-tale motifs in a translation of the film adaptation of the literary work Modrý lampáš (Das Blaue Licht) / Zahorák, Andrej [Autor, UKFFFAKTR, 100%]. – [angličtina]. – [OV 020]. – [článok]. – DOI 10.2478/aa-2020-0010. – SCO In: Ars aeterna [textový dokument (print)] [elektronický dokument] : literary Studies and Humanity. – ISSN 1337-9291. – ISSN (online) 2450-8497. – Roč. 12, č. 2 (2020), 45-58 [tlačená forma] [online] . – SJR: 0,101 ; CiteScore: 0,2 ; SNIP: 0,306 Scimago - Cultural studies - Q4, Language and linguistics - Q4, Linguistics and language - Q4, Literature and literary theory - Q4 </t>
  </si>
  <si>
    <t xml:space="preserve">Flea communities on small mammals in lowland environment / Zigová, Martina [Autor, UKFFPVKEE, 20%] ; Baláž, Ivan [Autor, UKFFPVKEE, 80%]. – text. – [angličtina]. – [OV 100]. – [článok]. – SCO In: Ekológia [textový dokument (print)] [elektronický dokument] : Medzinárodný časopis pre ekologické problémy biosféry = International Journal for Ecological Problems of the Biosphere : The Journal of Institute of Landscape Ecology of Slovak Academy of Sciences. – Bratislava (Slovensko) : Slovenská akadémia vied. Pracoviská SAV. Ústav krajinnej ekológie. – ISSN 1335-342X. – ISSN (online) 1337-947X. – Roč. 39, č. 3 (2020), s. 260-269 [tlačená forma] [online] . – SNIP: 0,847 ; SJR: 0,345 ; CiteScore: 1,5 Scimago - Ecology - Q3 </t>
  </si>
  <si>
    <t xml:space="preserve">Forensic gemmological study of green-coloured beryl of variable origin / Fridrichová, Jana [Autor, UKOPRGMP, 17%] ; Bačík, Peter [Autor, UKOPRGMP, 17%] ; Illášová, Ľudmila [Autor, UKFFPVGMU, 17%] ; Štubňa, Ján [Autor, UKFFPVGMU, 17%] ; Škoda, Radek [Autor, 16%] ; Milovská, Stanislava [Autor, 16%]. – text, fotogr., tab., obr. – [angličtina]. – [OV 092]. – [článok]. – SIGN-UKO PR 1042/18. – SCO In: Acta Geologica Slovaca [textový dokument (print)] [elektronický dokument] . – Bratislava (Slovensko) : Univerzita Komenského v Bratislave. – ISSN 1338-0044. – ISSN (online) 1338-5674. – Roč. 10, č. 2 (2018), s. 89-104 [tlačená forma] [online] . – SJR: 0.335 ; CiteScore: 1,5 ; SNIP: 0,883 Scimago - Geochemistry and petrology - Q3, Geology - Q3, Geophysics - Q3, Geotechnical engineering and engineering geology - Q3, Paleontology - Q3, Stratigraphy - Q3 </t>
  </si>
  <si>
    <t xml:space="preserve">Formuly odpustenia, prepáčenia a ospravedlnenia v pragmatických súvislostiach = The forgiveness, pardon and apology formulas in pragmatic contexts / Sokolová, Jana [Autor, UKFFFAKRU, 100%]. – text. – [slovenčina]. – [OV 010, 020]. – [článok]. – DOI 10.2478/jazcas-2020-0009. – SCO In: Jazykovedný časopis [elektronický dokument] [textový dokument (print)] : vedecký časopis pre otázky teórie jazyka = scientific journal for the theory of language. – Bratislava (Slovensko) : SAP - Slovak Academic Press, Varšava (Poľsko) : De Gruyter. – ISSN 0021-5597. – ISSN (online) 1338-4287. – Roč. 71, č. 1 (2020), 5-23 [online] [tlačená forma] . – SJR: 0,186 ; CiteScore: 0,4 ; SNIP: 0,876 Scimago - Language and linguistics - Q2, Linguistics and language - Q2 </t>
  </si>
  <si>
    <t xml:space="preserve">From the everyday life of the hungarian minority in Slovakia in the years 1938 – 1945 (Propaganda and its forms) / Hetényi, Martin [Autor, UKFFFAUKD, 100%]. – text. – [angličtina]. – [OV 030]. – [článok]. – SCO In: Kultúrne dejiny [textový dokument (print)] . – Ružomberok (Slovensko) : Katolícka univerzita v Ružomberku. VERBUM - vydavateľstvo KU. – ISSN 1338-2209. – suppl. Stav a perspektívy výskumu kultúrnych dejín v strednej Európe Roč. 9 (2018), s. 76-122 [tlačená forma] . – SJR: 0,191 ; CiteScore: 0,2 ; SNIP: 0,626 Scimago - Anthropology - Q3, Cultural studies - Q2, History - Q2, Philosophy - Q2, Religious studies - Q1 </t>
  </si>
  <si>
    <t xml:space="preserve">Gender identities in e-shop perfume descriptions / Nemčoková, Katarína [Autor, 40%] ; Kráľová, Zdena [Autor, UKFPFAKLI, 40%] ; Holíková, Aneta [Autor, 5%] ; Sampley, Daniel P. [Autor, 15%]. – text. – [angličtina]. – [OV 010]. – [článok]. – DOI 10.2478/topling-2021-0005. – WOS CC ; SCO In: Topics in Linguistics [textový dokument (print)] [elektronický dokument] . – Varšava (Poľsko) : De Gruyter. De Gruyter Open, Nitra (Slovensko) : Univerzita Konštantína Filozofa v Nitre. Filozofická fakulta. – ISSN 1337-7590. – ISSN (online) 2199-6504. – ISSN (zrušené) 3836-2007. – Roč. 22, č. 1 (2021), s. 63-67 [tlačená forma] [online] . – CiteScore: 0,7 ; SJR: 0,152 ; SNIP: 0,42 ; AIS: 0.185 AIS - Language &amp; linguistics - Q2 Scimago - Linguistics and language - Q3 </t>
  </si>
  <si>
    <t xml:space="preserve">Genotype-specific requirements for in vitro culture initiation and multiplication of Magnolia taxa / Konôpková, Jana [Autor, 34%] ; Košutová, Dominika [Korešpondenčný autor, UKFFPVKBG, 33%] ; Ferus, Peter [Autor, 33%]. – text. – [angličtina]. – [OV 130, 190]. – [článok]. – DOI 10.2478/foecol-2020-0005. – WOS CC ; SCO In: Folia Oecologica [textový dokument (print)] [elektronický dokument] . – Zvolen (Slovensko) : Slovenská akadémia vied. Pracoviská SAV. Ústav ekológie lesa. – ISSN 1336-5266. – ISSN (online) 1338-7014. – Roč. 47, č. 1 (2020), 34-44 [tlačená forma] [online] . – SJR: 0,255 ; CiteScore: 1,5 ; SNIP: 0,64 Scimago - Agricultural and biological sciences (miscellaneous) - Q3, Ecology - Q3, Forestry - Q3 </t>
  </si>
  <si>
    <t xml:space="preserve">Germanic burial ground in Hronovce / Beljak, Ján [Autor, 50%] ; Beljak Pažinová, Noémi [Autor, UKFFFAKAR, 40%] ; Kučeráková, Kristína [Autor, 10%]. – text. – [angličtina]. – [OV 030]. – [článok]. – DOI 10.17846/SHN.2019.23.S.261-312. – SCO In: Studia Historica Nitriensia [textový dokument (print)] [elektronický dokument] . – Nitra (Slovensko) : Univerzita Konštantína Filozofa v Nitre. – ISSN 1338-7219. – ISSN (online) 2585-8661. – suppl. Roč. 23 (2019), s. 261-312 [tlačená forma] [online] . – SNIP: 0,629 ; SJR: 0,187 ; CiteScore: 0,2 Scimago - Cultural studies - Q2, History - Q2, Museology - Q2 </t>
  </si>
  <si>
    <t xml:space="preserve">Great Moravia in Slovak and Czech Textbooks for Secondary Schools / Pintérová, Beáta [Autor, UKFFFAKHI, 50%] ; Kičková, Adriana [Autor, UKFFFAKHI, 50%]. – text. – [angličtina]. – [OV 010, 030]. – [článok]. – DOI 10.17846/CL.2020.13.2.187-196. – WOS CC ; SCO In: Konštantínove listy [textový dokument (print)] [elektronický dokument] . – Nitra (Slovensko) : Univerzita Konštantína Filozofa v Nitre. Filozofická fakulta. Ústav pre výskum kultúrneho dedičstva Konštantína a Metoda. – ISSN 1337-8740. – ISSN (online) 2453-7675. – Roč. 13, č. 2 (2020), s. 187-196 [tlačená forma] [online] . – SJR: 0,248 ; CiteScore: 0,7 ; SNIP: 1,213 ; AIS: 0.286 AIS - Humanities, multidisciplinary - Q1 Scimago - History - Q1, Philosophy - Q2, Religious studies - Q1 </t>
  </si>
  <si>
    <t xml:space="preserve">Guided discovery in cognitive behavioral supervision / Praško Pavlov, Ján [Korešpondenčný autor, UKFFSVKPV, 40%] ; Krone, Ilona [Autor, 4%] ; Burkauskas, Julius [Autor, 2%] ; Ocisková, Marie [Autor, 2%] ; Vanek, Jakub [Autor, 2%] ; Abeltina, Marija [Autor, 2%] ; Dicevicius, Darius [Autor, 2%] ; Juskiene, Alicja [Autor, 2%] ; Šlepecký, Miloš [Autor, UKFFSVKPV, 40%] ; Bagdonaviciene, Lina [Autor, 4%]. – text. – [angličtina]. – [OV 060]. – [článok]. – WOS CC In: Activitas Nervosa Superior Rediviva [textový dokument (print)] [elektronický dokument] : international journal for integrated neuroscience. – Bratislava (Slovensko) : Vysoká škola zdravotníctva a sociálnej práce sv. Alžbety v Bratislave, Bratislava (Slovensko) : Slovenská akadémia vied. – ISSN 1337-933X. – ISSN (online) 1338-4015. – Roč. 62, č. 1 (2020), 17-28 [tlačená forma] [online] . – SJR: 0,128 ; CiteScore: 0,6 ; SNIP: 0,374 ; AIS: 0.083 AIS - Clinical neurology - Q4 Scimago - Neuroscience (miscellaneous) - Q4 </t>
  </si>
  <si>
    <t xml:space="preserve">Healthy eating index and different fruit dietary habits in Slovak adult female / Fatrcová Šramková, Katarína [Autor, SPUFAP16, 33.334%] ; Schwarzová, Marianna [Autor, SPUFAP16, 33.333%] ; Juríková, Tünde [Autor, UKFFSSUVP, 33.333%]. – text. – [angličtina]. – [OV 190, 010]. – [článok]. – DOI 10.5219/1010. – SCO In: Potravinarstvo Slovak Journal of Food Sciences [textový dokument (print)] [elektronický dokument] : vedecký časopis pre potravinárstvo. – Nitra (Slovensko) : HACCP Consulting. – ISSN 1338-0230. – ISSN (online) 1337-0960. – Roč. 13, č. 1 (2019), s. 83-93 [tlačená forma] [online] . – SJR: 0,27 ; CiteScore: 1,4 ; SNIP: 0,539 Scimago - Food science - Q3 </t>
  </si>
  <si>
    <t xml:space="preserve">Heraldika stredovekých spišských prepoštov, predovšetkým vo svetle sfragistických pamiatok (14. – 16. storočie) = Heraldry of the Medieval Spiš Provosts, Primarily in the Light of Sphragistic Material (14th – 16th Century) / Glejtek, Miroslav [Autor, UKFFFAKHI, 100%]. – text. – [slovenčina]. – [OV 030]. – [článok]. – DOI 10.17846/CL.2021.14.1.65-87. – WOS CC ; SCO In: Konštantínove listy [textový dokument (print)] [elektronický dokument] . – Nitra (Slovensko) : Univerzita Konštantína Filozofa v Nitre. Filozofická fakulta. Ústav pre výskum kultúrneho dedičstva Konštantína a Metoda. – ISSN 1337-8740. – ISSN (online) 2453-7675. – Roč. 14, č. 1 (2021), s. 65-87 [tlačená forma] [online] . – CiteScore: 0,5 ; SJR: 0,336 ; SNIP: 0,796 ; AIS: 0.417 AIS - Humanities, multidisciplinary - Q1 Scimago - History - Q1, Philosophy - Q1, Religious studies - Q1 </t>
  </si>
  <si>
    <t xml:space="preserve">Heraldry in the Setting of Medieval Hungarian Archbishops and Bishops = Heraldika v prostredí stredovekých uhorských arcibiskupov a biskupov / Glejtek, Miroslav [Autor, UKFFFAKHI, 100%]. – text. – [slovenčina, angličtina]. – [OV 030]. – [článok]. – DOI 10.17846/SHN.2020.24.1.18-35. – SCO In: Studia Historica Nitriensia [textový dokument (print)] [elektronický dokument] . – Nitra (Slovensko) : Univerzita Konštantína Filozofa v Nitre. – ISSN 1338-7219. – ISSN (online) 2585-8661. – Roč. 24, č. 1 (2020), s. 18-35 [tlačená forma] [online] . – CiteScore: 0.4 ; SJR: 0.193 ; SNIP: 0.591 Scimago - Cultural studies - Q2, History - Q1, Museology - Q2 </t>
  </si>
  <si>
    <t xml:space="preserve">Historical Bratislava in literary fiction and film adaptation / Hlavinová Tekeliová, Dominika [Autor, UKFFSSUSJ, 100%]. – text. – [angličtina]. – [OV 010]. – [článok]. – DOI 10.2478/jolace-2020-0009. – WOS CC In: Journal of Language and Cultural Education [textový dokument (print)] [elektronický dokument] . – Trnava (Slovensko) : Trnavská univerzita v Trnave. Pedagogická fakulta. – ISSN 1339-4045. – ISSN (online) 1339-4584. – Roč. 8, č. 1 (2020), 149-157 [tlačená forma] [online] . – AIS: 0.070 AIS - Education &amp; educational research - Q4 </t>
  </si>
  <si>
    <t xml:space="preserve">Historical-philosophical aspects of professional communication in education management = Historicko-filozofické aspekty profesionálnej komunikácie v manažmente vzdelávania / Pisoňová, Mária [Autor, UKFPFAKPE, 35%] ; Brečka, Peter [Autor, UKFPFAKTT, 25%] ; Papcunová, Viera [Autor, UKFFPVUMI, 30%] ; Jaslovská, Barbora [Autor, UKOPDPED, 10%]. – text. – [slovenčina]. – [OV 010]. – [článok]. – DOI 10.18355/XL.2020.13.03.14. – SIGN-UKO PD PE/20. – SCO In: XLinguae [textový dokument (print)] [elektronický dokument] : European scientific language journal. – Nitra (Slovensko) : Vzdelávanie Don Bosca, Nitra (Slovensko) : Slovenská Vzdelávacia a Obstarávacia. – ISSN 1337-8384. – ISSN (online) 2453-711X. – Roč. 13, č. 3 (2020), 171-184 [tlačená forma] [online] . – SJR: 0.385 ; CiteScore: 2,5 ; SNIP: 0,804 Scimago - Language and linguistics - Q1, Linguistics and language - Q1, Philosophy - Q1 </t>
  </si>
  <si>
    <t xml:space="preserve">History of Ausgburg confession's evangelical staff in Chyžné (1920 - 1924) / Jakubej, Ján [Autor, UKFFFAKHI, 100%]. – text. – [angličtina]. – [OV 030]. – [článok]. – SCO In: Historia Ecclesiastica [textový dokument (print)] : časopis pre dejiny cirkví a náboženstiev v Strednej Európe. – Prešov (Slovensko) : Prešovská univerzita v Prešove. – ISSN 1338-4341. – Roč. 10, č. 2 (2019), s. 271-291 [tlačená forma] . – SJR: 0,419 ; CiteScore: 0,2 ; SNIP: 0,118 Scimago - History - Q1, Religious studies - Q1 </t>
  </si>
  <si>
    <t xml:space="preserve">Hlinená forma na odlievanie falošných mincí z Pustého hradu vo Zvolene = Counterfeiting coin mold from the deserted castle (Pustý hrad) in Zvolen / Hunka, Ján [Autor, 34%] ; Beljak Pažinová, Noémi [Autor, UKFFFAKAR, 33%] ; Beljak, Ján [Autor, 33%]. – text. – [slovenčina]. – [OV 030]. – [článok]. – DOI 10.17846/SHN.2021.25.1.153-165. – SCO In: Studia Historica Nitriensia [textový dokument (print)] [elektronický dokument] . – Nitra (Slovensko) : Univerzita Konštantína Filozofa v Nitre. – ISSN 1338-7219. – ISSN (online) 2585-8661. – Roč. 25, č. 1 (2021), 153-165 [tlačená forma] [online] . – CiteScore: 0,4 ; SJR: 0,209 ; SNIP: 1,036 Scimago - Cultural studies - Q2, History - Q1, Museology - Q2 </t>
  </si>
  <si>
    <t xml:space="preserve">Holistic and Sustainable Quality of Life Conceptualization and Application / Petrovič, František [Autor, UKFFPVKEE, 80%] ; Murgaš, František [Autor, 20%]. – text. – [angličtina]. – [OV 100]. – [článok]. – WOS CC ; SCO In: Folia Geographica [textový dokument (print)] [elektronický dokument] : international scientific journal. – Prešov (Slovensko) : Prešovská univerzita v Prešove. – ISSN 1336-6157. – ISSN (online) 2454-1001. – Roč. 62, č. 1 (2020), 77-94 [tlačená forma] [online] . – SJR: 0,193 ; CiteScore: 0,9 ; SNIP: 0,359 ; AIS: 0.047 AIS - Geography - Q4 Scimago - Geography, planning and development - Q3 </t>
  </si>
  <si>
    <t xml:space="preserve">Homília mons. Viliama Judáka prednesená na púti pri príležitosti slávnosti sv. Cyrila a Metoda dňa 5. júla 2020 v Nitre a jej prínos k rozvoju cyrilo-metodskej tradície = Homily of Monsignor Viliam Judák for Sts. Cyril and Methodius Pilgrimage Spoken on 5 July 2020 in Nitra and Its Contribution to the Development of Cyrillo-Methodian Tradition / Hlad, Ľubomír [Autor, UKFFFAKNS, 100%]. – text. – [slovenčina]. – [OV 010]. – [článok]. – DOI 10.17846/CL.2021.14.2.176-190. – WOS CC ; SCO In: Konštantínove listy [textový dokument (print)] [elektronický dokument] . – Nitra (Slovensko) : Univerzita Konštantína Filozofa v Nitre. Filozofická fakulta. Ústav pre výskum kultúrneho dedičstva Konštantína a Metoda. – ISSN 1337-8740. – ISSN (online) 2453-7675. – Roč. 14, č. 2 (2021), s. 176-190 [tlačená forma] [online] . – CiteScore: 0,5 ; SJR: 0,336 ; SNIP: 0,796 ; AIS: 0.417 AIS - Humanities, multidisciplinary - Q1 Scimago - History - Q1, Philosophy - Q1, Religious studies - Q1 </t>
  </si>
  <si>
    <t xml:space="preserve">Hrad a mesto Nitra v Belových Vedomostiach = Castle and town Nitra in Bel's Notiti / Rácová, Katarína [Autor, UKFFFAKHI, 100%]. – text. – [slovenčina]. – [OV 030]. – [článok]. – DOI 10.17846/SHN.2020.24.2.446-455. – SCO In: Studia Historica Nitriensia [textový dokument (print)] [elektronický dokument] . – Nitra (Slovensko) : Univerzita Konštantína Filozofa v Nitre. – ISSN 1338-7219. – ISSN (online) 2585-8661. – Roč. 24, č. 2 (2020), 446-455 [tlačená forma] [online] . – CiteScore: 0.4 ; SJR: 0.193 ; SNIP: 0.591 Scimago - Cultural studies - Q2, History - Q1, Museology - Q2 </t>
  </si>
  <si>
    <t xml:space="preserve">Hugo Rahner (1900 - 1968) - prítomnosť jeho kerygmatického odkazu v Magistériu a teológii zameranej na novoevanjelizačnú prax. Kerygmaticko-ludická teologická reflexia / Hlad, Ľubomír [Autor, UKFFFAKNS, 100%]. – text. – [slovenčina]. – [OV 020]. – [článok]. – SCO In: Verba theologica [textový dokument (print)] [elektronický dokument] : teologický časopis. – Košice (Slovensko) : Kňazský seminár sv. Karola Boromejského, [Ružomberok] (Slovensko) : Katolícka univerzita v Ružomberku. VERBUM - vydavateľstvo KU. – ISSN 1336-1635. – Roč. 20, č. 1 (2021), s. 6-28 [tlačená forma] [online] </t>
  </si>
  <si>
    <t xml:space="preserve">Human as the protector of creation / Hrabakova, Eva Vymetalova [Autor, 50%] ; Kondrla, Peter [Autor, UKFFFAKNS, 47%] ; Vlasova, Vera K. [Autor, 1%] ; Dmitrichenkova, Svetlana V. [Autor, 1%] ; Pashanova, Olga V. [Autor, 1%]. – text. – [angličtina]. – [OV 020]. – [článok]. – DOI 10.18355/XL.2020.13.03.02. – SCO In: XLinguae [textový dokument (print)] [elektronický dokument] : European scientific language journal. – Nitra (Slovensko) : Vzdelávanie Don Bosca, Nitra (Slovensko) : Slovenská Vzdelávacia a Obstarávacia. – ISSN 1337-8384. – ISSN (online) 2453-711X. – Roč. 13, č. 3 (2020), 13-21 [tlačená forma] [online] . – SJR: 0.385 ; CiteScore: 2,5 ; SNIP: 0,804 Scimago - Language and linguistics - Q1, Linguistics and language - Q1, Philosophy - Q1 </t>
  </si>
  <si>
    <t xml:space="preserve">Changes in alpine vegetation over 50 years in the Western Tatras (Slovakia) / Palaj, Andrej [Autor, UKFFPVKEE, 50%] ; Kollár, Jozef [Autor, 50%]. – text. – [angličtina]. – [OV 100]. – [článok]. – DOI 10.2478/eko-2018-0012. – SCO In: Ekológia [textový dokument (print)] [elektronický dokument] : Medzinárodný časopis pre ekologické problémy biosféry = International Journal for Ecological Problems of the Biosphere : The Journal of Institute of Landscape Ecology of Slovak Academy of Sciences. – Bratislava (Slovensko) : Slovenská akadémia vied. Pracoviská SAV. Ústav krajinnej ekológie. – ISSN 1335-342X. – ISSN (online) 1337-947X. – Roč. 37, č. 2 (2018), s. 122-133 [tlačená forma] [online] . – SNIP: 0,538 ; SJR: 0,283 ; CiteScore: 1,1 Scimago - Ecology - Q3 </t>
  </si>
  <si>
    <t xml:space="preserve">Changes in Habitat Conditions of Invaded Forest Communities in Podunajská Nízina and the Impact of Non-Native Species on Biodiversity (SW Slovakia) / Lukovičová, Monika [Autor, UKFFPVKEE, 33.333%] ; Balanac, Zuzana [Autor, 33.334%] ; David, Stanislav [Autor, UKFFPVKEE, 33.333%]. – text. – [angličtina]. – [OV 100]. – [článok]. – DOI 10.2478/eko-2021-0038. – SCO In: Ekológia [textový dokument (print)] [elektronický dokument] : Medzinárodný časopis pre ekologické problémy biosféry = International Journal for Ecological Problems of the Biosphere : The Journal of Institute of Landscape Ecology of Slovak Academy of Sciences. – Bratislava (Slovensko) : Slovenská akadémia vied. Pracoviská SAV. Ústav krajinnej ekológie. – ISSN 1335-342X. – ISSN (online) 1337-947X. – Roč. 40, č. 4 (2021), 364-378 [tlačená forma] [online] . – CiteScore: 1,7 ; SJR: 0,289 ; SNIP: 0,814 Scimago - Ecology - Q3 </t>
  </si>
  <si>
    <t xml:space="preserve">Changes in Snowbed Vegetation in the Western Carpathians under Changing Climatic Conditions and Land Use in the Last Decades / Palaj, Andrej [Autor, UKFFPVKEE, 50%] ; Kollár, Jozef [Autor, 50%]. – text. – [angličtina]. – [OV 100]. – [článok]. – DOI 10.2478/eko-2019-0024. – SCO In: Ekológia [textový dokument (print)] [elektronický dokument] : Medzinárodný časopis pre ekologické problémy biosféry = International Journal for Ecological Problems of the Biosphere : The Journal of Institute of Landscape Ecology of Slovak Academy of Sciences. – Bratislava (Slovensko) : Slovenská akadémia vied. Pracoviská SAV. Ústav krajinnej ekológie. – ISSN 1335-342X. – ISSN (online) 1337-947X. – Roč. 38, č. 4 (2019), 318-335 [tlačená forma] [online] . – SNIP: 0,755 ; SJR: 0,279 ; CiteScore: 1,3 Scimago - Ecology - Q3 </t>
  </si>
  <si>
    <t xml:space="preserve">Chosen aspects of a spatially functional accessibility by public transport: the case of Trnava self-governing region (Slovakia) / Trembošová, Miroslava [Autor, UKFFPVKGR, 40%] ; Dubcová, Alena [Autor, UKFFPVKGR, 10%] ; Nagyová, Ľudmila [Autor, SPUFEM16, 25%] ; Cagáňová, Dagmar [Autor, M4000, 25%]. – [angličtina]. – [OV 140]. – [článok]. – DOI 10.22306/al.v7i2.171. – SCO In: Acta logistica [elektronický dokument] . – Košice (Slovensko) : 4S go. – ISSN (online) 1339-5629. – Roč. 7, č. 2 (2020), s. 121-130 [online] . – SJR: 0,205 ; CiteScore: 0,9 ; SNIP: 0,3 Scimago - Business and international management - Q3, Civil and structural engineering - Q4, Industrial and manufacturing engineering - Q3, Transportation - Q4 </t>
  </si>
  <si>
    <t xml:space="preserve">Iconization of the deathly affliction in Andersen's fairytales / Čechová, Mariana [Autor, UKFFFAULK, 100%]. – text. – [angličtina]. – [OV 020]. – [článok]. – DOI 10.1515/aa-2018-0006. – SCO In: Ars aeterna [textový dokument (print)] [elektronický dokument] : literary Studies and Humanity. – ISSN 1337-9291. – ISSN (online) 2450-8497. – Roč. 10, č. 1 (2018), s. 60-71 [tlačená forma] [online] . – SJR: 0,114 ; CiteScore: 0,2 ; SNIP: 0,778 Scimago - Cultural studies - Q3, Language and linguistics - Q3, Linguistics and language - Q3, Literature and literary theory - Q2 </t>
  </si>
  <si>
    <t xml:space="preserve">Imagery rescripting for the changes of adverse memories and preparation for future / Praško Pavlov, Ján [Autor, UKFFSVKPV, 50%] ; Ocisková, Marie [Autor, 5%] ; Hodný, František [Autor, 5%] ; Dicevicius, Darius [Autor, 5%] ; Krone, Ilona [Autor, 5%] ; Juskiene, Alicja [Autor, 5%] ; Bite, Ieva [Autor, 5%] ; Kotian, Michal [Autor, 5%] ; Albertina, Marija [Autor, 5%] ; Šlepecký, Miloš [Autor, UKFFSVKPV, 10%]. – text. – [angličtina]. – [OV 060]. – [článok]. – WOS CC In: Activitas Nervosa Superior Rediviva [textový dokument (print)] [elektronický dokument] : international journal for integrated neuroscience. – Bratislava (Slovensko) : Vysoká škola zdravotníctva a sociálnej práce sv. Alžbety v Bratislave, Bratislava (Slovensko) : Slovenská akadémia vied. – ISSN 1337-933X. – ISSN (online) 1338-4015. – Roč. 62, č. 2 (2020), 71-79 [tlačená forma] [online] . – SJR: 0,128 ; CiteScore: 0,6 ; SNIP: 0,374 ; AIS: 0.083 AIS - Clinical neurology - Q4 Scimago - Neuroscience (miscellaneous) - Q4 </t>
  </si>
  <si>
    <t xml:space="preserve">Impact of cadmium toxicity on leaf area and stomatal characteristics in faba bean / Piršelová, Beáta [Autor, UKFFPVKBG, 40%] ; Kubová, Veronika [Autor, UKFFPVKBG, 15%] ; Boleček, Peter [Autor, UKFFPVKBG, 5%] ; Hegedűsová, Alžbeta [Autor, SPUFZK10, 40%]. – text. – [angličtina]. – [OV 190, 130]. – [článok]. – [recenzované]. – DOI 10.15414/jmbfs.3718. – WOS CC ; SCO In: The journal of microbiology, biotechnology and food sciences [elektronický dokument] . – Nitra (Slovensko) : Slovenská poľnohospodárska univerzita v Nitre. Fakulta biotechnológie a potravinárstva. – ISSN (online) 1338-5178. – Roč. 11, č. 2 (2021), art. no. e3718, s. [1-4] [online] . – CiteScore: 1,3 ; SJR: 0,225 ; SNIP: 0,493 ; AIS: 0.103 AIS - Food science &amp; technology - Q3 Scimago - Biotechnology - Q3, Food science - Q3, Microbiology - Q4, Molecular biology - Q4 </t>
  </si>
  <si>
    <t xml:space="preserve">Impact of management measures on the European ground squirrel population development / Petluš, Peter [Autor, UKFFPVKEE, 20%] ; Petlušová, Viera [Autor, UKFFPVKEE, 20%] ; Baláž, Ivan [Autor, UKFFPVKEE, 20%] ; Ševčík, Michal [Autor, UKFFPVKEE, 20%] ; Lešová, Andrea [Autor, KAZMZ, 10%] ; Hapl, Ervín [Autor, 10%]. – text. – [angličtina]. – [OV 100]. – [článok]. – DOI 10.2478/foecol-2021-0017. – WOS CC ; SCO In: Folia Oecologica [textový dokument (print)] [elektronický dokument] . – Zvolen (Slovensko) : Slovenská akadémia vied. Pracoviská SAV. Ústav ekológie lesa. – ISSN 1336-5266. – ISSN (online) 1338-7014. – Roč. 48, č. 2 (2021), s. 169-179 [tlačená forma] [online] . – CiteScore: 2 ; SJR: 0,26 ; SNIP: 0,706 Scimago - Agricultural and biological sciences (miscellaneous) - Q3, Ecology - Q3, Forestry - Q3 </t>
  </si>
  <si>
    <t xml:space="preserve">Importance of wetland refugia in agricultural landscape provided based on the community characteristics of small terrestrial mammals / Kalivodová, Michaela [Autor, UKFFPVKEE, 60%] ; Kanka, Róbert [Autor, 10%] ; Miklós, Peter [Autor, UKOPRBZO, 10%] ; Hulejová Sládkovičová, Veronika [Autor, UKOPRBZO, 10%] ; Žiak, Dávid [Autor, UKOPRBZO, 10%]. – text, obr. – [angličtina]. – [OV 130]. – [článok]. – SIGN-UKO PR 1003/18. – SCO In: Ekológia [textový dokument (print)] [elektronický dokument] : Medzinárodný časopis pre ekologické problémy biosféry = International Journal for Ecological Problems of the Biosphere : The Journal of Institute of Landscape Ecology of Slovak Academy of Sciences. – Bratislava (Slovensko) : Slovenská akadémia vied. Pracoviská SAV. Ústav krajinnej ekológie. – ISSN 1335-342X. – ISSN (online) 1337-947X. – Roč. 37, č. 4 (2018), s. 358-368 [tlačená forma] [online] . – SNIP: 0,538 ; SJR: 0,283 ; CiteScore: 1,1 Scimago - Ecology - Q3 </t>
  </si>
  <si>
    <t xml:space="preserve">Incidence of Anxiety in Patients with Bronchial Asthma = Výskyt úzkosti u pacientov s bronchiálnou astmou / Líšková, Miroslava [Autor, UKFFSVKOS, 45%] ; Solgajová, Andrea [Autor, UKFFSVKOS, 45%] ; Šutová, Monika [Autor, 10%]. – text. – [slovenčina]. – [OV 180]. – [článok]. – SCO In: Zdravotnícke listy [textový dokument (print)] [elektronický dokument] : vedecký recenzovaný časopis. – Trenčín (Slovensko) : Trenčianska univerzita Alexandra Dubčeka v Trenčíne. Fakulta zdravotníctva. – ISSN 1339-3022. – ISSN (online) 2644-4909. – Roč. 8, č. 3 (2020), s. 74-81 [tlačená forma] [online] . – SNIP: 0,065 ; SJR: 0,192 ; CiteScore: 0,20 Scimago - Nursing (miscellaneous) - Q3, Occupational therapy - Q4, Physical therapy, sports therapy and rehabilitation - Q4, Public health, environmental and occupational health - Q4 </t>
  </si>
  <si>
    <t xml:space="preserve">Individualization and the ideal of self-realization in conditions of reflexive modernity / Turčan, Ciprian [Autor, UKFFFAKAE 06.2022, 100%]. – text. – [angličtina]. – [OV 020]. – [článok]. – SCO In: Communications [textový dokument (print)] [elektronický dokument] : scientific letters of the University of Žilina. – Žilina (Slovensko) : Žilinská univerzita v Žiline. Vydavateľstvo EDIS. – ISSN 1335-4205. – ISSN (online) 2585-7878. – suppl. Roč. 20, č. 1A (2018), s. 3-7 [tlačená forma] [online] . – SJR: 0,488 ; CiteScore: 1,9 ; SNIP: 1,151 Scimago - Automotive engineering - Q2, Computer networks and communications - Q2, Economics and econometrics - Q2, Electrical and electronic engineering - Q2, Transportation - Q2 </t>
  </si>
  <si>
    <t xml:space="preserve">Indoktrinácia pofebruárovej spoločnosti. Kult osobnosti ako nástroj sovietizácie československého občana = Indoctrination of Post-February Society. The Cult of Personality as a Tool of Sovietization of a Czechoslovak Citizen   / Hasarová, Zuzana [Autor, UKFFFAKHI, 100%]. – text. – [slovenčina]. – [OV 030]. – [článok]. – SCO In: Kultúrne dejiny [textový dokument (print)] . – Ružomberok (Slovensko) : Katolícka univerzita v Ružomberku. VERBUM - vydavateľstvo KU. – ISSN 1338-2209. – suppl. Roč. 11 (2020), s. 329-354 [tlačená forma] . – SJR: 0,101 ; CiteScore: 0,1 Scimago - Anthropology - Q4, Cultural studies - Q4, History - Q4, Philosophy - Q4, Religious studies - Q4 </t>
  </si>
  <si>
    <t xml:space="preserve">Influence of plants on soil mites (Acari, Oribatida) in gardens / Krumpálová, Zuzana [Autor, UKFFPVKEE, 60%] ; Štipčáková, Lucia [Autor, 20%] ; Petrovičová, Kornélia [Autor, SPUFAP26, 5%] ; Ľuptáčik, Peter [Autor, UPS14100, 15%]. – [angličtina]. – [OV 190, 100]. – [článok]. – [recenzované]. – DOI 10.15414/afz.2020.23.02.94-101. – sign UPJS SSEP 021506. – SCO In: Acta Fytotechnica et Zootechnica [textový dokument (print)] [elektronický dokument] : vedecký časopis pre fytotechniku a zootechniku = Scientific Journal for phytotechnics and zootechnics. – Nitra (Slovensko) : Slovenská poľnohospodárska univerzita v Nitre. – ISSN 1335-258X. – ISSN (online) 1336-9245. – Roč. 23, č. 2 (2020), s. 94-101 [tlačená forma] [online] . – SJR: 0,115 ; CiteScore: 0,1 ; SNIP: 0,023 Scimago - Agronomy and crop science - Q4, Animal science and zoology - Q4, Food science - Q4 </t>
  </si>
  <si>
    <t xml:space="preserve">Integrated Approach to the Management of the Landscape for the Implementation of the Danube Strategy / Izakovičová, Zita [Autor, 25%] ; Miklós, László [Autor, 25%] ; Miklósová, Viktória [Autor, 25%] ; Raniak, Andrej [Autor, UKFFPVKEE, 25%]. – text. – [angličtina]. – [OV 100]. – [článok]. – DOI 10.2478/eko-2020-0029. – SCO In: Ekológia [textový dokument (print)] [elektronický dokument] : Medzinárodný časopis pre ekologické problémy biosféry = International Journal for Ecological Problems of the Biosphere : The Journal of Institute of Landscape Ecology of Slovak Academy of Sciences. – Bratislava (Slovensko) : Slovenská akadémia vied. Pracoviská SAV. Ústav krajinnej ekológie. – ISSN 1335-342X. – ISSN (online) 1337-947X. – Roč. 39, č. 4 (2020), 357-379 [tlačená forma] [online] . – SNIP: 0,847 ; SJR: 0,345 ; CiteScore: 1,5 Scimago - Ecology - Q3 </t>
  </si>
  <si>
    <t xml:space="preserve">Interaction of philosophy and natural sciences in byzantine empire / Zozuľak, Ján [Autor, UKFFFAKFI, 100%]. – text. – [angličtina]. – [OV 020]. – [článok]. – SCO In: Communications [textový dokument (print)] [elektronický dokument] : scientific letters of the University of Žilina. – Žilina (Slovensko) : Žilinská univerzita v Žiline. Vydavateľstvo EDIS. – ISSN 1335-4205. – ISSN (online) 2585-7878. – suppl. Roč. 20, č. 1A (2018), s. 8-15 [tlačená forma] [online] . – SJR: 0,488 ; CiteScore: 1,9 ; SNIP: 1,151 Scimago - Automotive engineering - Q2, Computer networks and communications - Q2, Economics and econometrics - Q2, Electrical and electronic engineering - Q2, Transportation - Q2 </t>
  </si>
  <si>
    <t xml:space="preserve">Intercultural codes in the European civilization prehistory / Wiedermann, Egon [Autor, UKFFFAKMU, 100%]. – text. – [angličtina]. – [OV 030]. – [článok]. – DOI 10.17846/SHN.2019.23.S.207-213. – SCO In: Studia Historica Nitriensia [textový dokument (print)] [elektronický dokument] . – Nitra (Slovensko) : Univerzita Konštantína Filozofa v Nitre. – ISSN 1338-7219. – ISSN (online) 2585-8661. – suppl. Roč. 23 (2019), s. 207-213 [tlačená forma] [online] . – SNIP: 0,629 ; SJR: 0,187 ; CiteScore: 0,2 Scimago - Cultural studies - Q2, History - Q2, Museology - Q2 </t>
  </si>
  <si>
    <t xml:space="preserve">Interpersonal relations in ethics of science and technologies / Kondrla, Peter [Autor, UKFFFAKNS, 60%] ; Ďurková, Eva [Autor, UKFFFAKAE 06.2022, 40%]. – [angličtina]. – [OV 020]. – [článok]. – SCO In: Communications [textový dokument (print)] [elektronický dokument] : scientific letters of the University of Žilina. – Žilina (Slovensko) : Žilinská univerzita v Žiline. Vydavateľstvo EDIS. – ISSN 1335-4205. – ISSN (online) 2585-7878. – suppl. Roč. 20, č. 1A (2018), s. 45-50 [tlačená forma] [online] . – SJR: 0,488 ; CiteScore: 1,9 ; SNIP: 1,151 Scimago - Automotive engineering - Q2, Computer networks and communications - Q2, Economics and econometrics - Q2, Electrical and electronic engineering - Q2, Transportation - Q2 </t>
  </si>
  <si>
    <t xml:space="preserve">Interpretation of values in the epitaphs on the tombstones of old jewish cemetery in Bratislava / Jurová, Jarmila [Autor, UKFFFAKAE 06.2022, 50%] ; Debnár, Marek [Autor, UKFFFAKAE 06.2022, 50%]. – text. – [angličtina]. – [OV 020]. – [článok]. – SCO In: Communications [textový dokument (print)] [elektronický dokument] : scientific letters of the University of Žilina. – Žilina (Slovensko) : Žilinská univerzita v Žiline. Vydavateľstvo EDIS. – ISSN 1335-4205. – ISSN (online) 2585-7878. – suppl. Roč. 20, č. 1A (2018), s. 71-79 [tlačená forma] [online] . – SJR: 0,488 ; CiteScore: 1,9 ; SNIP: 1,151 Scimago - Automotive engineering - Q2, Computer networks and communications - Q2, Economics and econometrics - Q2, Electrical and electronic engineering - Q2, Transportation - Q2 </t>
  </si>
  <si>
    <t xml:space="preserve">Interpretative Probe into Contemporary Slovak Independent Theatre. Theatre Pôtoň: Pastoral Symphony / Ballay, Miroslav [Autor, UKFFFAKKU, 100%]. – text. – [angličtina]. – [OV 020]. – [článok]. – SCO In: Slovenské divadlo [textový dokument (print)] [elektronický dokument] : revue dramatických umení. – Bratislava (Slovensko) : Slovenská akadémia vied. Pracoviská SAV. Ústav divadelnej a filmovej vedy. – ISSN 0037-699X. – ISSN (online) 1336-8605. – Roč. 67, č. 3 (2019), s. 258-271 [tlačená forma] [online] </t>
  </si>
  <si>
    <t xml:space="preserve">Is edible insect as a novel food digestible? / Adámek, Martin [Autor, 12.5%] ; Mlček, Jiří [Autor, 12.5%] ; Adámková, Anna [Autor, 12.5%] ; Borkovcová, Marie [Autor, 12.5%] ; Bednářová, Martina [Autor, 12.5%] ; Musilová, Zuzana [Autor, 12.5%] ; Faměra, Oldřich [Autor, 12.5%] ; Juríková, Tünde [Autor, UKFFSSUVP, 12.5%]. – text. – [angličtina]. – [OV 010]. – [článok]. – DOI 10.5219/1088. – SCO In: Potravinarstvo Slovak Journal of Food Sciences [textový dokument (print)] [elektronický dokument] : vedecký časopis pre potravinárstvo. – Nitra (Slovensko) : HACCP Consulting. – ISSN 1338-0230. – ISSN (online) 1337-0960. – Roč. 13, č. 1 (2019), s. 470-476 [tlačená forma] [online] . – SJR: 0,27 ; CiteScore: 1,4 ; SNIP: 0,539 Scimago - Food science - Q3 </t>
  </si>
  <si>
    <t xml:space="preserve">Iterated partial summations applied to finite-support discrete distributions / Koščová, Michaela [Autor, UKOMFKAMS, 34%] ; Harman, Radoslav [Autor, UKOMFKAMS, 33%] ; Mačutek, Ján [Autor, UKFFPVKMA, 33%]. – text, graf. – [angličtina]. – [OV 240]. – [článok]. – DOI 10.1515/ms-2017-0366. – SIGN-UKO MF20-0046. – SCIE ; WOS CC ; SCO In: Mathematica Slovaca [textový dokument (print)] [elektronický dokument] . – Bratislava (Slovensko) : Slovenská akadémia vied. Pracoviská SAV. Matematický ústav, Berlín (Nemecko) : De Gruyter. – ISSN 0139-9918. – ISSN (online) 1337-2211. – Roč. 70, č. 2 (2020), s. 489-496 [tlačená forma] [online] . – SJR: 0,445 ; CiteScore: 1,2 ; SNIP: 0,838 ; IF: 0.770 ; AIS: 0.242 AIS - Mathematics - Q4 JIF - Mathematics - Q3 Scimago - Mathematics (miscellaneous) - Q2 </t>
  </si>
  <si>
    <t xml:space="preserve">Ján Kollár in Contact with Serbs and an Outline of the Influence of His Thoughts on Slavic Reciprocity / Sokol, Peter [Autor, UKFFFAKRU, 100%]. – text. – [angličtina]. – [OV 020]. – [článok]. – SCO In: Slavica Slovaca [textový dokument (print)] [elektronický dokument] : orgán Slavistického ústavu Jána Stanislava SAV a Slovenského komitétu slavistov. – Bratislava (Slovensko) : Slovenská akadémia vied. Slavistický ústav Jána Stanislava. – ISSN 0037-6787. – ISSN (online) 1336-2364. – Roč. 54, č. 2 (2019), 166-171 [tlačená forma] [online] . – SNIP: 0,376 ; SJR: 0,117 ; CiteScore: 0,2 Scimago - Anthropology - Q4, Cultural studies - Q3, History - Q3, Language and linguistics - Q3, Linguistics and language - Q3 </t>
  </si>
  <si>
    <t xml:space="preserve">Jazyky a aktéri v jazykovej krajine obcí na slovensko-maďarskom etnicky zmiešanom území na Slovensku = Languages and actors in the linguistic landscape in the Slovak-Hungarian ethnically mixed area in Slovakia / Szabómihály, Gizella [Autor, UKFFSSUML, 100%]. – text. – [slovenčina]. – [OV 020, 010]. – [článok]. – DOI 10.2478/jazcas-2021-0001. – SCO In: Jazykovedný časopis [elektronický dokument] [textový dokument (print)] : vedecký časopis pre otázky teórie jazyka = scientific journal for the theory of language. – Bratislava (Slovensko) : SAP - Slovak Academic Press, Varšava (Poľsko) : De Gruyter. – ISSN 0021-5597. – ISSN (online) 1338-4287. – Roč. 71, č. 3 (2020), 297-320 [online] [tlačená forma] . – SJR: 0,186 ; CiteScore: 0,4 ; SNIP: 0,876 Scimago - Language and linguistics - Q2, Linguistics and language - Q2 </t>
  </si>
  <si>
    <t xml:space="preserve">Johannes the seducer’s diary or the seduced Kierkegaard’s diary / Martín, José García [Autor, 50%] ; Pavlíková, Martina [Autor, UKFFFAKZU, 49%] ; Tavilla, Igor [Autor, 1%]. – [angličtina]. – [OV 020]. – [článok]. – DOI 10.18355/XL.2018.11.02.25. – SCO In: XLinguae [textový dokument (print)] [elektronický dokument] : European scientific language journal. – Nitra (Slovensko) : Vzdelávanie Don Bosca, Nitra (Slovensko) : Slovenská Vzdelávacia a Obstarávacia. – ISSN 1337-8384. – ISSN (online) 2453-711X. – Roč. 11, č. 2 (2018), s. 320-328 [tlačená forma] [online] . – SNIP: 1,517 ; SJR: 0,676 ; CiteScore: 1,8 Scimago - Language and linguistics - Q1, Linguistics and language - Q1, Philosophy - Q1 </t>
  </si>
  <si>
    <t xml:space="preserve">K zhode adjektívneho prívlastku svätý s viacnásobným členom vyjadreným menami svätých (na príklade spojení svätý Cyril a Metod – svätí Cyril a Metod) = On the Agreement Between Adjective “svätý” (Saint) and Multiple Word Structures Containing the Names of Saints [Using the Examples “svätý Cyril a Metod” (Saint Cyril and Methodius) and “svätí Cyril a Metod” (Saints Cyril and Methodius) / Petráš, Patrik [Autor, UKFFFASJL, 100%]. – text. – [slovenčina]. – [OV 020]. – [článok]. – DOI 10.17846/CL.2021.14.1.194-208. – WOS CC ; SCO In: Konštantínove listy [textový dokument (print)] [elektronický dokument] . – Nitra (Slovensko) : Univerzita Konštantína Filozofa v Nitre. Filozofická fakulta. Ústav pre výskum kultúrneho dedičstva Konštantína a Metoda. – ISSN 1337-8740. – ISSN (online) 2453-7675. – Roč. 14, č. 1 (2021), s. 194-208 [tlačená forma] [online] . – CiteScore: 0,5 ; SJR: 0,336 ; SNIP: 0,796 ; AIS: 0.417 AIS - Humanities, multidisciplinary - Q1 Scimago - History - Q1, Philosophy - Q1, Religious studies - Q1 </t>
  </si>
  <si>
    <t xml:space="preserve">Kachlice s motívom svätej Margaréty z Oponického hradu = Stove Tiles Depicting Saint Margaret from Oponice Castle / Jančiová, Barbora [Autor, UKFFFAKAR, 100%]. – text. – [slovenčina]. – [OV 030]. – [článok]. – DOI 10.31577/szausav.2020.67.7. – WOS CC ; SCO In: Študijné zvesti Archeologického ústavu Slovenskej akadémie vied [textový dokument (print)] [elektronický dokument] . – Nitra (Slovensko) : Slovenská akadémia vied. – ISSN 0560-2793. – Roč. 67 (2020), 141-158 [tlačená forma] [online] . – SJR: 0,139 ; CiteScore: 0,4 ; SNIP: 0,482 ; AIS: 0.082 AIS - Archaeology - Q4 Scimago - Archeology - Q3, Archeology (arts and humanities) - Q3 </t>
  </si>
  <si>
    <t xml:space="preserve">Kamenný žarnov z Oponického hradu a úvahy o funkcii mlecích zariadení na stredovekých a novovekých hradoch = The quern stone from the Oponice castle and discussion on the function of grinding tools at medieval and post-medieval castles / Repka, Dominik [Autor, UKFFFAKAR, 45%] ; Borzová, Zuzana [Autor, UKFFFAKAR, 45%] ; Blahová, Stanislava [Autor, 10%]. – text. – [slovenčina]. – [OV 030]. – [článok]. – DOI 10.31577/SZAUSAV.2021.68.6. – WOS CC ; SCO In: Študijné zvesti Archeologického ústavu Slovenskej akadémie vied [textový dokument (print)] [elektronický dokument] . – Nitra (Slovensko) : Slovenská akadémia vied. – ISSN 0560-2793. – Roč. 68, č. 1 (2021), s. 135-152 [tlačená forma] [online] . – SNIP: 0.794 ; SJR: 0.205 ; CiteScore: 0.5 ; AIS: 0.065 AIS - Archaeology - Q4 Scimago - Archeology - Q2, Archeology (arts and humanities) - Q2 </t>
  </si>
  <si>
    <t xml:space="preserve">Kierkegaard on the reconciliation of conscience / Binetti, Maria Jose [Autor, 50%] ; Pavlíková, Martina [Autor, UKFFFAKZU, 50%]. – text. – [angličtina]. – [OV 020]. – [článok]. – DOI 10.18355/XL.2019.12.03.14. – SCO In: XLinguae [textový dokument (print)] [elektronický dokument] : European scientific language journal. – Nitra (Slovensko) : Vzdelávanie Don Bosca, Nitra (Slovensko) : Slovenská Vzdelávacia a Obstarávacia. – ISSN 1337-8384. – ISSN (online) 2453-711X. – Roč. 12, č. 3 (2019), 192-200 [tlačená forma] [online] . – SNIP: 0,879 ; SJR: 0,318 ; CiteScore: 2.2 Scimago - Language and linguistics - Q1, Linguistics and language - Q1, Philosophy - Q1 </t>
  </si>
  <si>
    <t xml:space="preserve">Kierkegaard’s understanding of man and society = Kierkegaardovo vnímanie človeka a spoločnosti / Pavlíková, Martina [Autor, UKFFFAKZU, 100%]. – [angličtina]. – [OV 020]. – [článok]. – DOI 10.18355/XL.2018.11.01.27. – SCO In: XLinguae [textový dokument (print)] [elektronický dokument] : European scientific language journal. – Nitra (Slovensko) : Vzdelávanie Don Bosca, Nitra (Slovensko) : Slovenská Vzdelávacia a Obstarávacia. – ISSN 1337-8384. – ISSN (online) 2453-711X. – Roč. 11, č. 1 (2018), s. 323-331 [tlačená forma] [online] . – SNIP: 1,517 ; SJR: 0,676 ; CiteScore: 1,8 Scimago - Language and linguistics - Q1, Linguistics and language - Q1, Philosophy - Q1 </t>
  </si>
  <si>
    <t xml:space="preserve">Kierkegaardov koncept opakovania v inscenácii Banalita lásky : Kierkegaard's concept of repetition in the banality of love / Gabašová, Katarína [Autor, UKFFFAKKU, 100%]. – text. – [slovenčina]. – [OV 020]. – [článok]. – DOI 10.31577/SD-2020-0010. – SCO In: Slovenské divadlo [textový dokument (print)] [elektronický dokument] : revue dramatických umení. – Bratislava (Slovensko) : Slovenská akadémia vied. Pracoviská SAV. Ústav divadelnej a filmovej vedy. – ISSN 0037-699X. – ISSN (online) 1336-8605. – Roč. 68, č. 2 (2020), 163-175 [tlačená forma] [online] . – SJR: 0,173 ; CiteScore: 0,1 ; SNIP: 0,573 Scimago - Communication - Q3, Cultural studies - Q2, History - Q2, Literature and literary theory - Q1, Music - Q2, Visual arts and performing arts - Q1 </t>
  </si>
  <si>
    <t xml:space="preserve">Kierkegaard's controversy with the Corsair / Pavlíková, Martina [Autor, UKFFFAKZU, 100%]. – text. – [angličtina]. – [OV 020]. – [článok]. – DOI 10.18355/XL.2021.14.03.20. – SCO In: XLinguae [textový dokument (print)] [elektronický dokument] : European scientific language journal. – Nitra (Slovensko) : Vzdelávanie Don Bosca, Nitra (Slovensko) : Slovenská Vzdelávacia a Obstarávacia. – ISSN 1337-8384. – ISSN (online) 2453-711X. – Roč. 14, č. 3 (2021), s. 222-229 [tlačená forma] [online] . – CiteScore: 2,5 ; SJR: 0,306 ; SNIP: 0,717 Scimago - Linguistics and language - Q2, Philosophy - Q1 </t>
  </si>
  <si>
    <t xml:space="preserve">Konštrukcie kolektívnej identity hovoriaceho = Structures of collective identity of the speaker. Slovak Language / Sokolová, Jana [Autor, UKFFFAKRU, 100%]. – text. – [slovenčina]. – [OV 010, 020]. – [článok]. – SCO In: Slovenská reč [textový dokument (print)] [elektronický dokument] : časopis pre výskum slovenského jazyka : orgán Jazykovedného ústavu Ľudovíta Štúra Slovenskej akadémie vied. – Martin (Slovensko) : Matica slovenská, Bratislava (Slovensko) : SAP - Slovak Academic Press. – ISSN 0037-6981. – ISSN (online) 1338-4279. – Roč. 84, č. 3 (2019), 239-257 [tlačená forma] [online] . – SNIP: 0,44 ; SJR: 0,1 ; CiteScore: 0,2 Scimago - Language and linguistics - Q4, Linguistics and language - Q4 </t>
  </si>
  <si>
    <t xml:space="preserve">Kvantitatívna komparatistika v literárnovednom výskume = Quantitative comparatistics in literary studies / Debnár, Marek [Autor, UKFFFACHV, 100%]. – text. – [slovenčina]. – [OV 020]. – [článok]. – DOI 10.31577/slovlit.2020.68.4.6. – WOS CC ; SCO In: Slovenská literatúra [textový dokument (print)] [elektronický dokument] : revue pre literárnu vedu : časopis Ústavu slovenskej literatúry Slovenskej akadémie vied. – Bratislava (Slovensko) : Slovenská akadémia vied. Pracoviská SAV. Ústav slovenskej literatúry. – ISSN 0037-6973. – Roč. 68, č. 4 (2021), 451-456 [tlačená forma] [online] . – CiteScore: 0,1 ; SJR: 0,14 ; SNIP: 0,201 Scimago - Literature and literary theory - Q2 </t>
  </si>
  <si>
    <t xml:space="preserve">Ladice, poloha vlčia lúka a ladické - Výsledky archeologického výskumu polykultúrnej lokality = Ladice, site Vlčia lúka and Ladické - Results of archaeological research of the polycultural site / Borzová, Zuzana [Autor, UKFFFAKAR, 34%] ; Repka, Dominik [Autor, UKFFFAKAR, 33%] ; Bisták, Peter [Autor, 33%]. – text. – [angličtina]. – [OV 030]. – [článok]. – DOI 10.17846/SHN.2019.23.S.313-338. – SCO In: Studia Historica Nitriensia [textový dokument (print)] [elektronický dokument] . – Nitra (Slovensko) : Univerzita Konštantína Filozofa v Nitre. – ISSN 1338-7219. – ISSN (online) 2585-8661. – suppl. Roč. 23 (2019), s. 313-338 [tlačená forma] [online] . – SNIP: 0,629 ; SJR: 0,187 ; CiteScore: 0,2 Scimago - Cultural studies - Q2, History - Q2, Museology - Q2 </t>
  </si>
  <si>
    <t xml:space="preserve">Land snails in the Slovak open air garden centres / Krumpálová, Zuzana [Autor, UKFFPVKEE, 50%] ; Holienková, Barbora [Autor, UKFFPVKEE, 50%]. – text. – [angličtina]. – [OV 100]. – [článok]. – DOI 10.2478/eko-2018-0028. – SCO In: Ekológia [textový dokument (print)] [elektronický dokument] : Medzinárodný časopis pre ekologické problémy biosféry = International Journal for Ecological Problems of the Biosphere : The Journal of Institute of Landscape Ecology of Slovak Academy of Sciences. – Bratislava (Slovensko) : Slovenská akadémia vied. Pracoviská SAV. Ústav krajinnej ekológie. – ISSN 1335-342X. – ISSN (online) 1337-947X. – Roč. 37, č. 4 (2018), s. 369-379 [tlačená forma] [online] . – SNIP: 0,538 ; SJR: 0,283 ; CiteScore: 1,1 Scimago - Ecology - Q3 </t>
  </si>
  <si>
    <t xml:space="preserve">Land Use Change and Its Impact on Surface Runoff from Small Basins: A Case of Radiša Basin / Vojtek, Matej [Autor, UKFFPVKGR, 50%] ; Vojteková, Jana [Autor, UKFFPVKGR, 50%]. – text. – [angličtina]. – [OV 092]. – [článok]. – WOS CC ; SCO In: Folia Geographica [textový dokument (print)] [elektronický dokument] : international scientific journal. – Prešov (Slovensko) : Prešovská univerzita v Prešove. – ISSN 1336-6157. – ISSN (online) 2454-1001. – Roč. 61, č. 2 (2019), 104-125 [tlačená forma] [online] . – SJR: 0,198 ; SNIP: 0,159 ; CiteScore: 0,4 Scimago - Geography, planning and development - Q3 </t>
  </si>
  <si>
    <t xml:space="preserve">Laser effect in the optical luminescence of oxides containing Cr / Malíčková, Iveta [Autor, UKOPRGMP, 20%] ; Fridrichová, Jana [Autor, UKOPRGMP, 20%] ; Bačík, Peter [Autor, UKOPRGMP, 20%] ; Milovská, Stanislava [Autor, 10%] ; Škoda, Radek [Autor, 10%] ; Illášová, Ľudmila [Autor, UKFFPVGMU, 10%] ; Štubňa, Ján [Autor, UKFFPVGMU, 10%]. – text, obr. – [angličtina]. – [OV 092]. – [článok]. – SIGN-UKO PR 326/18. – SCO In: Acta Geologica Slovaca [textový dokument (print)] [elektronický dokument] . – Bratislava (Slovensko) : Univerzita Komenského v Bratislave. – ISSN 1338-0044. – ISSN (online) 1338-5674. – Roč. 10, č. 1 (2018), s. 27-34 [tlačená forma] [online] . – SJR: 0.335 ; CiteScore: 1,5 ; SNIP: 0,883 Scimago - Geochemistry and petrology - Q3, Geology - Q3, Geophysics - Q3, Geotechnical engineering and engineering geology - Q3, Paleontology - Q3, Stratigraphy - Q3 </t>
  </si>
  <si>
    <t xml:space="preserve">Learning to teach and learn(not only foreign languages) during the coronavirus pandemics / Hašková, Alena [Autor, UKFPFAKTT, 34%] ; Havettová, Romana [Autor, 33%] ; Vogelová, Zuzana [Autor, 33%]. – text. – [angličtina]. – [OV 010]. – [článok]. – DOI 10.18355/XL.2021.14.01.01. – SCO In: XLinguae [textový dokument (print)] [elektronický dokument] : European scientific language journal. – Nitra (Slovensko) : Vzdelávanie Don Bosca, Nitra (Slovensko) : Slovenská Vzdelávacia a Obstarávacia. – ISSN 1337-8384. – ISSN (online) 2453-711X. – Roč. 14, č. 1 (2021), s. 3-16 [tlačená forma] [online] . – CiteScore: 2,5 ; SJR: 0,306 ; SNIP: 0,717 Scimago - Linguistics and language - Q2, Philosophy - Q1 </t>
  </si>
  <si>
    <t xml:space="preserve">Letterpress join-stock company in Turčiansky Sv. Martin in years 1870 - 1900 / Trnkóci, Lukáš [Autor, UKFFFAKHI, 100%]. – text. – [angličtina]. – [OV 030]. – [článok]. – DOI 10.17846/SHN.2019.23.1.193-210. – SCO In: Studia Historica Nitriensia [textový dokument (print)] [elektronický dokument] . – Nitra (Slovensko) : Univerzita Konštantína Filozofa v Nitre. – ISSN 1338-7219. – ISSN (online) 2585-8661. – suppl. Roč. 23 (2019), s. 193-210 [tlačená forma] [online] . – SNIP: 0,629 ; SJR: 0,187 ; CiteScore: 0,2 Scimago - Cultural studies - Q2, History - Q2, Museology - Q2 </t>
  </si>
  <si>
    <t xml:space="preserve">Level of auditory analysis, synthesis and active vocabulary and their intergender context / Duchovičová, Jana [Autor, UKFPFAKPE, 50%] ; Kozárová, Nina [Autor, UKFPFAKPE, 20%] ; Kurajda, Lukáš [Autor, UCMFIFKEMŠ, 10%] ; Bajrami, Bade [Autor, 10%] ; Baghana, Jerome [Autor, 10%]. – text. – [angličtina]. – [OV 010]. – [článok]. – DOI 10.18355/XL.2019.12.04.20. – SCO In: XLinguae [textový dokument (print)] [elektronický dokument] : European scientific language journal. – Nitra (Slovensko) : Vzdelávanie Don Bosca, Nitra (Slovensko) : Slovenská Vzdelávacia a Obstarávacia. – ISSN 1337-8384. – ISSN (online) 2453-711X. – Roč. 12, č. 4 (2019), 229-238 [tlačená forma] [online] . – SNIP: 0,879 ; SJR: 0,318 ; CiteScore: 2.2 Scimago - Language and linguistics - Q1, Linguistics and language - Q1, Philosophy - Q1 </t>
  </si>
  <si>
    <t xml:space="preserve">Linear pottery culture settlement from Zvolen / Beljak Pažinová, Noémi [Autor, UKFFFAKAR, 80%] ; Javorek, Daniel [Autor, 20%]. – text. – [angličtina]. – [OV 030]. – [článok]. – WOS CC ; SCO In: Slovenská archeológia [textový dokument (print)] [elektronický dokument] : časopis Archeologického ústavu Slovenskej akadémie vied v Nitre = journal of the Archaeological Institute of the Slovak Academy of Sciences in Nitra = Zeitschrift des Archäologischen Institutes der Slowakischen Akademie der Wissenschaften in Nitra. – Nitra (Slovensko) : Slovenská akadémia vied. Pracoviská SAV. Archeologický ústav. – ISSN 1335-0102. – ISSN (online) 2585-9145. – Roč. 66, č. 2 (2018), 216-217 [tlačená forma] . – SJR: 0,125 ; CiteScore: 0,3 ; SNIP: 0,664 Scimago - Archeology - Q3, Archeology (arts and humanities) - Q3 </t>
  </si>
  <si>
    <t xml:space="preserve">Linguistic triggers as tools of managing consumer behavior / Melnichuk, Marina V. [Autor, 30%] ; Belogash, Marina A. [Autor, 30%] ; Pisoňová, Mária [Autor, UKFPFAKPE, 40%]. – text. – [angličtina]. – [OV 010]. – [článok]. – DOI 10.18355/XL.2020.13.04.17. – SCO In: XLinguae [textový dokument (print)] [elektronický dokument] : European scientific language journal. – Nitra (Slovensko) : Vzdelávanie Don Bosca, Nitra (Slovensko) : Slovenská Vzdelávacia a Obstarávacia. – ISSN 1337-8384. – ISSN (online) 2453-711X. – Roč. 13, č. 4 (2020), 235-246 [tlačená forma] [online] . – SJR: 0.385 ; CiteScore: 2,5 ; SNIP: 0,804 Scimago - Language and linguistics - Q1, Linguistics and language - Q1, Philosophy - Q1 </t>
  </si>
  <si>
    <t xml:space="preserve">Literární věda a kulturní dědictví v pragmatických  souvislostech. K odkazu Petra Liby = Literary criticism and cultural heritage in pragmatic contexts on the legacy of Peter Liba / Zelenková, Anna [Autor, 50%] ; Mikulášek, Alexej [Autor, UKFFSSUSJ, 50%]. – text. – [čeština]. – [OV 020]. – [článok]. – DOI 10.17846/CL.2021.14.1.167-176. – WOS CC ; SCO In: Konštantínove listy [textový dokument (print)] [elektronický dokument] . – Nitra (Slovensko) : Univerzita Konštantína Filozofa v Nitre. Filozofická fakulta. Ústav pre výskum kultúrneho dedičstva Konštantína a Metoda. – ISSN 1337-8740. – ISSN (online) 2453-7675. – Roč. 14, č. 1 (2021), s. 167-176 [tlačená forma] [online] . – CiteScore: 0,5 ; SJR: 0,336 ; SNIP: 0,796 ; AIS: 0.417 AIS - Humanities, multidisciplinary - Q1 Scimago - History - Q1, Philosophy - Q1, Religious studies - Q1 </t>
  </si>
  <si>
    <t xml:space="preserve">Maďarské nárečia na Slovensku: Súčasnosť a budúcnosť = Hungarian dialects in Slovakia: Present and future / Sándorová, Anna [Autor, UKFFSSUML, 50%] ; Vančo, Ildikó [Autor, UKFFSSUML, 50%]. – text. – [slovenčina]. – [OV 020]. – [článok]. – DOI 10.2478/jazcas-2021-0002. – SCO In: Jazykovedný časopis [elektronický dokument] [textový dokument (print)] : vedecký časopis pre otázky teórie jazyka = scientific journal for the theory of language. – Bratislava (Slovensko) : SAP - Slovak Academic Press, Varšava (Poľsko) : De Gruyter. – ISSN 0021-5597. – ISSN (online) 1338-4287. – Roč. 71, č. 3 (2020), 321-336 [online] [tlačená forma] . – SJR: 0,186 ; CiteScore: 0,4 ; SNIP: 0,876 Scimago - Language and linguistics - Q2, Linguistics and language - Q2 </t>
  </si>
  <si>
    <t xml:space="preserve">Man, engineering and ethics / Diatka, Cyril [Autor, UKFFFAKAE 06.2022, 100%]. – text. – [angličtina]. – [OV 020]. – [článok]. – SCO In: Communications [textový dokument (print)] [elektronický dokument] : scientific letters of the University of Žilina. – Žilina (Slovensko) : Žilinská univerzita v Žiline. Vydavateľstvo EDIS. – ISSN 1335-4205. – ISSN (online) 2585-7878. – suppl. Roč. 20, č. 1A (2018), s. 51-56 [tlačená forma] [online] . – SJR: 0,488 ; CiteScore: 1,9 ; SNIP: 1,151 Scimago - Automotive engineering - Q2, Computer networks and communications - Q2, Economics and econometrics - Q2, Electrical and electronic engineering - Q2, Transportation - Q2 </t>
  </si>
  <si>
    <t xml:space="preserve">Management of the patent forament ovale in cryptogenic ischemic stroke - statement of the Slovak society of cardiology and Slovak neurological society = Manažment foramen ovale patents pri kryptogénnych ischemických mozgových príhodách - stanovisko Slovenskej kardiologickej spoločnosti a Slovenskej neurologickej spoločnosti / Dúbrava, Juraj [Korešpondenčný autor, 12.5%] ; Šimková, Iveta [Autor, SZULFKLKCH, 12.5%] ; Brozman, Miroslav [Autor, UKFFSVKUM, 12.5%] ; Gdovinová, Zuzana [Autor, UPS51340, 12.5%] ; Kaldarárová, Monika [Autor, 12.5%] ; Krivošík, Marek [Autor, UKOLF2NK, 12.5%] ; Studenčan, Martin [Autor, PUPFZOS, 12.5%] ; Turčáni, Peter [Autor, UKOLF1NK, 12.5%]. – [angličtina]. – [OV 180]. – [článok]. – SIGN-UKO LF 2NK/19. – SZU KIS 2019081205374372. – sign UPJS MSEP 032059. – SIGN-SZU ADF. – SCO In: Cardiology letters [textový dokument (print)] [elektronický dokument] . – Bratislava (Slovensko) : Slovenská kardiologická spoločnosť. – ISSN 1338-3655. – ISSN (online) 1338-3760. – Roč. 28, č. 2-3 (2019), s. 72-86 [tlačená forma] [online] . – SNIP: 0,052 ; SJR: 0,113 ; CiteScore: 0,2 Scimago - Cardiology and cardiovascular medicine - Q4 </t>
  </si>
  <si>
    <t xml:space="preserve">Mariánska hora v Levoči so zameraním na jej medzinárodný význam = Marian Hill in Levoča Focusing on Its International Significance / Štefaňak, Ondrej [Autor, UKFFFAKSO, 100%]. – [slovenčina]. – [OV 030]. – [článok]. – DOI 10.17846/CL.2021.14.1.158-166. – WOS CC ; SCO In: Konštantínove listy [textový dokument (print)] [elektronický dokument] . – Nitra (Slovensko) : Univerzita Konštantína Filozofa v Nitre. Filozofická fakulta. Ústav pre výskum kultúrneho dedičstva Konštantína a Metoda. – ISSN 1337-8740. – ISSN (online) 2453-7675. – Roč. 14, č. 1 (2021), s. 158-166 [tlačená forma] [online] . – CiteScore: 0,5 ; SJR: 0,336 ; SNIP: 0,796 ; AIS: 0.417 AIS - Humanities, multidisciplinary - Q1 Scimago - History - Q1, Philosophy - Q1, Religious studies - Q1 </t>
  </si>
  <si>
    <t xml:space="preserve">Martin Hattala a jeho vklad do diskusie o historickom pomere medzi hlaholikou a cyrilikou = Martin Hattala and His Contribution to the Discussion on the Historical Relationship Between Glagolitic and Cyrillic / Kralčák, Ľubomír [Autor, UKFFFASJL, 100%]. – text. – [angličtina]. – [OV 020]. – [článok]. – DOI 10.17846/CL.2021.14.2.139-147. – WOS CC ; SCO In: Konštantínove listy [textový dokument (print)] [elektronický dokument] . – Nitra (Slovensko) : Univerzita Konštantína Filozofa v Nitre. Filozofická fakulta. Ústav pre výskum kultúrneho dedičstva Konštantína a Metoda. – ISSN 1337-8740. – ISSN (online) 2453-7675. – Roč. 14, č. 2 (2021), 139-147 [tlačená forma] [online] . – CiteScore: 0,5 ; SJR: 0,336 ; SNIP: 0,796 ; AIS: 0.417 AIS - Humanities, multidisciplinary - Q1 Scimago - History - Q1, Philosophy - Q1, Religious studies - Q1 </t>
  </si>
  <si>
    <t xml:space="preserve">Material provision of the uniats presbyters, on the example of village Starina (stará Lubovňa district) / Žeňuch, Vavrinec [Autor, UKFFFAKRU, 100%]. – text. – [angličtina]. – [OV 020]. – [článok]. – SCO In: Historia Ecclesiastica [textový dokument (print)] : časopis pre dejiny cirkví a náboženstiev v Strednej Európe. – Prešov (Slovensko) : Prešovská univerzita v Prešove. – ISSN 1338-4341. – Roč. 9, č. 2 (2018), s. 143-151 [tlačená forma] . – SJR: 0,101 Scimago - History - Q4, Religious studies - Q4 </t>
  </si>
  <si>
    <t xml:space="preserve">Meaning, necessity, and value of obedience according to the sidra "Lech-lech" in rabbinical tradition / Roubalová, Marie [Autor, 5%] ; Žalec, Bojan [Autor, 5%] ; Králik, Roman [Autor, UKFFFAKAE 06.2022, 90%]. – text. – [angličtina]. – [OV 020]. – [článok]. – DOI 10.18355/XL.2018.11.02.05. – SCO In: XLinguae [textový dokument (print)] [elektronický dokument] : European scientific language journal. – Nitra (Slovensko) : Vzdelávanie Don Bosca, Nitra (Slovensko) : Slovenská Vzdelávacia a Obstarávacia. – ISSN 1337-8384. – ISSN (online) 2453-711X. – Roč. 11, č. 2 (2018), s. 51-59 [tlačená forma] [online] . – SNIP: 1,517 ; SJR: 0,676 ; CiteScore: 1,8 Scimago - Language and linguistics - Q1, Linguistics and language - Q1, Philosophy - Q1 </t>
  </si>
  <si>
    <t xml:space="preserve">Media Manipulation and Propaganda in the Post-Truth Era / Moravčíková, Erika [Autor, UKFFFAKKU, 100%]. – text. – [angličtina]. – [OV 020]. – [článok]. – WOS CC In: Media Literacy and Academic Research [textový dokument (print)] [elektronický dokument] . – Trnava (Slovensko) : Univerzita sv. Cyrila a Metoda v Trnave. Fakulta masmediálnej komunikácie. – ISSN 2585-8726. – ISSN (online) 2585-9188. – Roč. 3, č. 2 (2020), s. 23-37 [tlačená forma] [online] . – AIS: 0.062 AIS - Communication - Q4 </t>
  </si>
  <si>
    <t xml:space="preserve">Medieval recessed cupola ovens from the Nitra region / Repka, Dominik [Autor, UKFFFAKAR, 50%] ; Beljak Pažinová, Noémi [Autor, UKFFFAKAR, 50%]. – text. – [angličtina]. – [OV 030]. – [článok]. – DOI 10.17846/CL.2018.11.1.16-39. – WOS CC ; SCO In: Konštantínove listy [textový dokument (print)] [elektronický dokument] . – Nitra (Slovensko) : Univerzita Konštantína Filozofa v Nitre. Filozofická fakulta. Ústav pre výskum kultúrneho dedičstva Konštantína a Metoda. – ISSN 1337-8740. – ISSN (online) 2453-7675. – Roč. 11, č. 1 (2018), s. 16-39 [tlačená forma] [online] . – SNIP: 0,941 ; SJR: 0,542 ; CiteScore: 1,1 Scimago - History - Q1, Philosophy - Q1, Religious studies - Q1 </t>
  </si>
  <si>
    <t xml:space="preserve">Mental mapping strategy in educative process and the quality of pupil’s learning performance / Duchovičová, Jana [Autor, UKFPFAKPE, 50%] ; Koleňáková, Rebeka Štefánia [Autor, UKFPFAKPE, 50%]. – [angličtina]. – [OV 010]. – [článok]. – DOI 10.18355/XL.2018.11.02.43. – SCO In: XLinguae [textový dokument (print)] [elektronický dokument] : European scientific language journal. – Nitra (Slovensko) : Vzdelávanie Don Bosca, Nitra (Slovensko) : Slovenská Vzdelávacia a Obstarávacia. – ISSN 1337-8384. – ISSN (online) 2453-711X. – Roč. 11, č. 2 (2018), s. 528-540 [tlačená forma] [online] . – SNIP: 1,517 ; SJR: 0,676 ; CiteScore: 1,8 Scimago - Language and linguistics - Q1, Linguistics and language - Q1, Philosophy - Q1 </t>
  </si>
  <si>
    <t xml:space="preserve">Methodology of Working with a Textbook Versus Field Activities of Teaching Geography during the Corona Crisis / Petrikovičová, Lucia [Autor, UKFFPVKGR, 60%] ; Ďurinková, Adriána [Autor, 5%] ; Králik, Roman [Autor, 30%] ; Kurilenko, Victoria [Autor, 5%]. – text. – [angličtina]. – [OV 092]. – [článok]. – DOI 10.13187/ejced.2021.2.428. – WOS CC In: European journal of contemporary education [elektronický dokument] . – Bratislava (Slovensko) : Academic Publishing House Researcher. – ISSN 2304-9650. – ISSN (online) 2305-6746. – Roč. 10, č. 2 (2021), 428-437 [online] . – CiteScore: 3,4 ; SJR: 0,619 ; SNIP: 1,042 ; AIS: 0.452 AIS - Education &amp; educational research - Q1 Scimago - Education - Q2 </t>
  </si>
  <si>
    <t xml:space="preserve">Metodika asociatyvnoho eksperymentu = Methodics of the associative experiment / Zsarnóczaiová, Žaneta [Autor, UKFFFAKRU, 100%]. – text. – [slovenčina]. – [OV 020]. – [článok]. – SCO In: Slavica Slovaca [textový dokument (print)] [elektronický dokument] : orgán Slavistického ústavu Jána Stanislava SAV a Slovenského komitétu slavistov. – Bratislava (Slovensko) : Slovenská akadémia vied. Slavistický ústav Jána Stanislava. – ISSN 0037-6787. – ISSN (online) 1336-2364. – Roč. 55, č. 1 (2020), 69-81 [tlačená forma] [online] . – SJR: 0,104 ; CiteScore: 0,1 ; SNIP: 0,171 Scimago - Anthropology - Q4, Cultural studies - Q4, History - Q3, Language and linguistics - Q4, Linguistics and language - Q4 </t>
  </si>
  <si>
    <t xml:space="preserve">Miesta zasvätené smrti. K lokalizácii a potenciálu výskumu zaniknutých šibeníc v novovekej kultúrnej krajine na Slovensku na príklade lokalít z regiónu Gemer-Malohont =    Places consecrated to the death. On the localization and research potential of extinct gallows in the modern age cultural landscape in Slovakia on the example of the sites from the Gemer-Malohont region / Bešina, Daniel [Autor, UKFFFAKAR, 90%] ; Botoš, Alexander [Autor, 10%]. – text. – [slovenčina]. – [OV 030]. – [článok]. – DOI 0.31577/szausav.2021.68.8. – WOS CC ; SCO In: Študijné zvesti Archeologického ústavu Slovenskej akadémie vied [textový dokument (print)] [elektronický dokument] . – Nitra (Slovensko) : Slovenská akadémia vied. – ISSN 0560-2793. – Roč. 68, č. 1 (2021), s. 163-188 [tlačená forma] [online] . – SNIP: 0.794 ; SJR: 0.205 ; CiteScore: 0.5 ; AIS: 0.065 AIS - Archaeology - Q4 Scimago - Archeology - Q2, Archeology (arts and humanities) - Q2 </t>
  </si>
  <si>
    <t xml:space="preserve">Mobilita vybraných jednotlivcov pochovaných na keltskom pohrebisku v Dubníku, okr. Nové Zámky: Pilotná štúdia = The mobility of selected individuals buried at the Celtic cemetery in Dubnik, district of Nove Zamky. A pilot study / Bujna, Jozef [Autor, UKFFFAKAR, 25%] ; Drtikolová, Sylva [Autor, 25%] ; Hajnalová, Mária [Autor, UKFFFAKAR, 25%] ; Král, Jan [Autor, 25%]. – text. – [slovenčina]. – [OV 030]. – [článok]. – DOI 10.31577/szausav.2020.67.11. – WOS CC ; SCO In: Študijné zvesti Archeologického ústavu Slovenskej akadémie vied [textový dokument (print)] [elektronický dokument] . – Nitra (Slovensko) : Slovenská akadémia vied. – ISSN 0560-2793. – Roč. 67, č. 2 (2020), s. 227-244 [tlačená forma] [online] . – SJR: 0,139 ; CiteScore: 0,4 ; SNIP: 0,482 ; AIS: 0.082 AIS - Archaeology - Q4 Scimago - Archeology - Q3, Archeology (arts and humanities) - Q3 </t>
  </si>
  <si>
    <t xml:space="preserve">Mobility and Migration at the Intersection of European Cultures = Mobility a migrácie na križovatke európskych kultúr / Vladár, Jozef [Autor, 20%] ; Wiedermann, Egon [Autor, UKFFFAKMU, 80%]. – text. – [slovenčina, angličtina]. – [OV 030]. – [článok]. – DOI 10.31577/slovarch.2020.suppl.1.50. – WOS CC ; SCO In: Slovenská archeológia [textový dokument (print)] [elektronický dokument] : časopis Archeologického ústavu Slovenskej akadémie vied v Nitre = journal of the Archaeological Institute of the Slovak Academy of Sciences in Nitra = Zeitschrift des Archäologischen Institutes der Slowakischen Akademie der Wissenschaften in Nitra. – Nitra (Slovensko) : Slovenská akadémia vied. Pracoviská SAV. Archeologický ústav. – ISSN 1335-0102. – ISSN (online) 2585-9145. – suppl. Roč. 68, č. Suppl. 1 (2020), s. 583-592 [tlačená forma] . – SJR: 0,306 ; CiteScore: 0,4 ; SNIP: 2,662 ; AIS: 0.222 AIS - Archaeology - Q2 Scimago - Archeology - Q2, Archeology (arts and humanities) - Q2 </t>
  </si>
  <si>
    <t xml:space="preserve">Morality and values in Pavel Vilikovský's the Autobiography of Evil / Ondrušeková, Judita [Autor, UKFFFAKAA, 100%]. – text. – [angličtina]. – [OV 020]. – [článok]. – DOI 10.1515/aa-2018-0012. – SCO In: Ars aeterna [textový dokument (print)] [elektronický dokument] : literary Studies and Humanity. – ISSN 1337-9291. – ISSN (online) 2450-8497. – Roč. 10, č. 2 (2018), 53-60 [tlačená forma] [online] . – SJR: 0,114 ; CiteScore: 0,2 ; SNIP: 0,778 Scimago - Cultural studies - Q3, Language and linguistics - Q3, Linguistics and language - Q3, Literature and literary theory - Q2 </t>
  </si>
  <si>
    <t xml:space="preserve">Morals and culture at the time of Decameron / Maxinčák, Rastislav [Autor, UKFFFAKRO, 100%]. – text. – [angličtina]. – [OV 020]. – [článok]. – DOI 10.2478/ebce-2019-0015. – SCO In: Ethics &amp; Bioethics [textový dokument (print)] [elektronický dokument] : (in Central Europe). – Varšava (Poľsko) : De Gruyter. – ISSN 1338-5615. – ISSN (online) 2453-7829. – Roč. 9, č. 3-4 (2019), s. 119-130 [tlačená forma] [online] . – SNIP: 0,669 ; SJR: 0,140 ; CiteScore: 0,7 Scimago - Education - Q4, Health policy - Q4, Philosophy - Q2 </t>
  </si>
  <si>
    <t xml:space="preserve">Morphological and antiradical characteristics of rugosa rose (Rosa rugosa Thunb.) fruits canned in different kind of honeys and in beverages prepared from honey / Fatrcová Šramková, Katarína [Autor, SPUFAP16, 14.29%] ; Brindza, Jan [Autor, SPUFAP04, 14.285%] ; Ivanišová, Eva [Autor, SPUFBP07, 14.285%] ; Juríková, Tünde [Autor, UKFFSSUVP, 14.285%] ; Schwarzová, Marianna [Autor, SPUFAP16, 14.285%] ; Horčinová Sedláčková, Vladimíra [Autor, SPUFAP04, 14.285%] ; Grygorieva, Olga V. [Autor, 14.285%]. – text. – [angličtina]. – [OV 190, 130, 010]. – [článok]. – DOI 10.5219/1065. – SCO In: Potravinarstvo Slovak Journal of Food Sciences [textový dokument (print)] [elektronický dokument] : vedecký časopis pre potravinárstvo. – Nitra (Slovensko) : HACCP Consulting. – ISSN 1338-0230. – ISSN (online) 1337-0960. – Roč. 13, č. 1 (2019), s. 497-506 [tlačená forma] [online] . – SJR: 0,27 ; CiteScore: 1,4 ; SNIP: 0,539 Scimago - Food science - Q3 </t>
  </si>
  <si>
    <t xml:space="preserve">Morphology of the Motif of Figural Transformation in the Subject of Stories about a Sister Seeking Her Brothers Turned into Animals / Danišová, Nikola [Autor, UKFFFAULK, 100%]. – [angličtina]. – [OV 020]. – [článok]. – DOI 10.17846/SHN.2020.24.1.125-131. – SCO In: Slovenská literatúra [textový dokument (print)] [elektronický dokument] : revue pre literárnu vedu : časopis Ústavu slovenskej literatúry Slovenskej akadémie vied. – Bratislava (Slovensko) : Slovenská akadémia vied. Pracoviská SAV. Ústav slovenskej literatúry. – ISSN 0037-6973. – Roč. 67, č. 2 (2020), s. 157-169 [tlačená forma] [online] . – SJR: 0,1 ; CiteScore: 0,1 ; AIS: 0.130 AIS - Literature, slavic - Q2 Scimago - Literature and literary theory - Q4 </t>
  </si>
  <si>
    <t xml:space="preserve">Morphometric variation of Abax parallelepipedus (Piller &amp; Mitterpacher, 1783), (Coleoptera: Carabidae) in rural – urban areas / Langraf, Vladimír [Autor, 45%] ; Petrovičová, Kornélia [Autor, SPUFAP26, 20%] ; Babosová, Ramona [Autor, UKFFPVKZA, 20%] ; Krumpálová, Zuzana [Autor, UKFFPVKEE, 8%] ; Schlarmannová, Janka [Autor, UKFFPVKZA, 7%]. – text. – [angličtina]. – [OV 130]. – [článok]. – DOI 10.15414/afz.2021.24.01.87-93. – SCO In: Acta Fytotechnica et Zootechnica [textový dokument (print)] [elektronický dokument] : vedecký časopis pre fytotechniku a zootechniku = Scientific Journal for phytotechnics and zootechnics. – Nitra (Slovensko) : Slovenská poľnohospodárska univerzita v Nitre. – ISSN 1335-258X. – ISSN (online) 1336-9245. – Roč. 24, č. 1 (2021), s. 87-93 [tlačená forma] [online] . – CiteScore: 0,3 ; SJR: 0,156 ; SNIP: 0,257 Scimago - Agronomy and crop science - Q4, Animal science and zoology - Q4, Food science - Q4 </t>
  </si>
  <si>
    <t xml:space="preserve">Mosaic landscape structures in relation to the land use of Nitra district / Bugár, Gabriel [Autor, UKFFPVKEE, 45%] ; Pucherová, Zuzana [Autor, UKFFPVKEE, 45%] ; Veselovská, Katarína [Autor, 10%]. – text. – [angličtina]. – [OV 100]. – [článok]. – DOI 10.2478/eko-2020-0022. – SCO In: Ekológia [textový dokument (print)] [elektronický dokument] : Medzinárodný časopis pre ekologické problémy biosféry = International Journal for Ecological Problems of the Biosphere : The Journal of Institute of Landscape Ecology of Slovak Academy of Sciences. – Bratislava (Slovensko) : Slovenská akadémia vied. Pracoviská SAV. Ústav krajinnej ekológie. – ISSN 1335-342X. – ISSN (online) 1337-947X. – Roč. 39, č. 3 (2020), s. 277-288 [tlačená forma] [online] . – SNIP: 0,847 ; SJR: 0,345 ; CiteScore: 1,5 Scimago - Ecology - Q3 </t>
  </si>
  <si>
    <t xml:space="preserve">Motifs and methods of museum audience research with focus on Slovak museums / Eliašová, Silvia [Autor, UKFFFAKMU, 100%]. – text. – [angličtina]. – [OV 020]. – [článok]. – WOS CC ; SCO In: Muzeológia a kultúrne dedičstvo [textový dokument (print)] [elektronický dokument] : vedecký recenzovaný časopis. – Bratislava (Slovensko) : Univerzita Komenského v Bratislave. Filozofická fakulta UK. – ISSN 1339-2204. – ISSN (online) 2453-9759. – Roč. 7, č. 1 (2019), 27-39 [tlačená forma] [online] . – SNIP: 1,069 ; SJR: 0,226 ; CiteScore: 0,9 Scimago - Conservation - Q2, Museology - Q1 </t>
  </si>
  <si>
    <t xml:space="preserve">Multiculturalism or feminism? Arguments about the use of the integral veil / Binetti, Maria Jose [Autor, 33%] ; Pavlíková, Martina [Autor, UKFFFAKZU, 34%] ; Slobodová Nováková, Katarína [Autor, UCMFIFKEMŠ, 33%]. – text. – [angličtina]. – [OV 020]. – [článok]. – DOI 10.18355/XL.2019.12.01.05. – SCO In: XLinguae [textový dokument (print)] [elektronický dokument] : European scientific language journal. – Nitra (Slovensko) : Vzdelávanie Don Bosca, Nitra (Slovensko) : Slovenská Vzdelávacia a Obstarávacia. – ISSN 1337-8384. – ISSN (online) 2453-711X. – Roč. 12, č. 1 (2019), 70-79 [tlačená forma] [online] . – SNIP: 0,879 ; SJR: 0,318 ; CiteScore: 2.2 Scimago - Language and linguistics - Q1, Linguistics and language - Q1, Philosophy - Q1 </t>
  </si>
  <si>
    <t xml:space="preserve">Nález bronzovej dýky z Cífera-Pácu, okres Trnava = The Find of a Bronze Dagger from Cífer-Pác, Trnava District / Mitáš, Vladimír [Autor, 34%] ; Rajtár, Ján [Autor, 33%] ; Tirpák, Ján [Autor, UKFFPVGMU, 33%]. – text. – [slovenčina]. – [OV 030]. – [článok]. – DOI 10.31577/slovarch.2020.suppl.1.48. – WOS CC ; SCO In: Slovenská archeológia [textový dokument (print)] [elektronický dokument] : časopis Archeologického ústavu Slovenskej akadémie vied v Nitre = journal of the Archaeological Institute of the Slovak Academy of Sciences in Nitra = Zeitschrift des Archäologischen Institutes der Slowakischen Akademie der Wissenschaften in Nitra. – Nitra (Slovensko) : Slovenská akadémia vied. Pracoviská SAV. Archeologický ústav. – ISSN 1335-0102. – ISSN (online) 2585-9145. – suppl. Roč. 68, č. Suppl. 1 (2020), s. 409-417 [tlačená forma] . – SJR: 0,306 ; CiteScore: 0,4 ; SNIP: 2,662 ; AIS: 0.222 AIS - Archaeology - Q2 Scimago - Archeology - Q2, Archeology (arts and humanities) - Q2 </t>
  </si>
  <si>
    <t xml:space="preserve">Nález včasnonovovekých kachlíc na území Šintavy = The finding of stove tiles from the early modern  period in Šintava / Jančiová, Barbora [Autor, UKFFFAKAR, 100%]. – text. – [slovenčina]. – [OV 030]. – [článok]. – DOI 10.17846/SHN.2020.24.2.427-445. – SCO In: Studia Historica Nitriensia [textový dokument (print)] [elektronický dokument] . – Nitra (Slovensko) : Univerzita Konštantína Filozofa v Nitre. – ISSN 1338-7219. – ISSN (online) 2585-8661. – Roč. 25, č. 2 (2021), s. 427-445 [tlačená forma] [online] . – CiteScore: 0,4 ; SJR: 0,209 ; SNIP: 1,036 Scimago - Cultural studies - Q2, History - Q1, Museology - Q2 </t>
  </si>
  <si>
    <t xml:space="preserve">Nasal colonization with staphylococci before the surgical interventions, the resistance to oxacillin and production PVL toxin / Líšková, Anna [Autor, VSSVArektorat, 25%] ; Štrelingerová, Jana [Autor, UKFFPVKBG, 25%] ; Szakácsová, Ivana [Autor, 25%] ; Mrázová, Mariana [Autor, VSSVArektorat, 25%]. – text. – [angličtina]. – [OV 180]. – [článok]. – SCO In: Lekársky obzor [textový dokument (print)] [elektronický dokument] : odborný časopis Slovenskej zdravotníckej univerzity v Bratislave. – Bratislava (Slovensko) : Herba, Bratislava (Slovensko) : Slovenská zdravotnícka univerzita v Bratislave. – ISSN 0457-4214. – ISSN (zrušené) 0322-9203. – Roč. 69, č. 11 (2020), s. 409-411 [tlačená forma] [online] . – SJR: 0,155 ; CiteScore: 0,2 ; SNIP: 0,27 Scimago - Medicine (miscellaneous) - Q4 </t>
  </si>
  <si>
    <t xml:space="preserve">Násilí na ženě a jeho následky podle Tanachu a rabínské literatury. Historické a sociologické perspektivy / Roubalová, Marie [Autor, 10%] ; Králik, Roman [Autor, 10%] ; Tvrdoň, Miroslav [Autor, UKFFSVKSP, 20%] ; Tkáčová, Hedviga [Autor, KURFIZU, 20%] ; Maturkanič, Patrik [Autor, 20%] ; Hlad, Ľubomír [Autor, UKFFFAKNS, 20%]. – text. – [slovenčina]. – [OV 020]. – [článok]. – SCO In: Verba theologica [textový dokument (print)] [elektronický dokument] : teologický časopis. – Košice (Slovensko) : Kňazský seminár sv. Karola Boromejského, [Ružomberok] (Slovensko) : Katolícka univerzita v Ružomberku. VERBUM - vydavateľstvo KU. – ISSN 1336-1635. – Roč. 20, č. 2 (2021), s. 82-105 [tlačená forma] [online] </t>
  </si>
  <si>
    <t xml:space="preserve">National Communities as the Space of Value Preservation and Transformation from the Perspective of Particularism and Universalism (the Issue of National and European Identity) = Národné komunity ako priestor uchovávania a transformácie hodnôt z hľadiska partikularizmu a univerzalizmu (otázka národnej a európskej identity) / Maximová, Jarmila [Autor, UKFFFAKAE 06.2022, 100%]. – text. – [angličtina]. – [OV 020]. – [článok]. – DOI 10.17846/CL.2020.13.1.197-207. – WOS CC In: Konštantínove listy [textový dokument (print)] [elektronický dokument] . – Nitra (Slovensko) : Univerzita Konštantína Filozofa v Nitre. Filozofická fakulta. Ústav pre výskum kultúrneho dedičstva Konštantína a Metoda. – ISSN 1337-8740. – ISSN (online) 2453-7675. – Roč. 13, č. 1 (2020), 197-207 [tlačená forma] [online] . – SJR: 0,248 ; CiteScore: 0,7 ; SNIP: 1,213 ; AIS: 0.286 AIS - Humanities, multidisciplinary - Q1 Scimago - History - Q1, Philosophy - Q2, Religious studies - Q1 </t>
  </si>
  <si>
    <t xml:space="preserve">Negativita spoločenskej reality u Sarah Kane - Moc a násilie ako faktory deštruktívnosti v dráme Spustošení = The Negativity of Sarah Kane'S Social Reality - Power and Violence As Factors of Destructiveness in Her Play Blasted / Brezňan, Peter [Autor, UKFFFAULK, 100%]. – text. – [slovenčina]. – [OV 020]. – [článok]. – SCO In: Slovenské divadlo [textový dokument (print)] [elektronický dokument] : revue dramatických umení. – Bratislava (Slovensko) : Slovenská akadémia vied. Pracoviská SAV. Ústav divadelnej a filmovej vedy. – ISSN 0037-699X. – ISSN (online) 1336-8605. – Roč. 68, č. 1 (2020), s. 76-90 [tlačená forma] [online] . – SJR: 0,173 ; CiteScore: 0,1 ; SNIP: 0,573 Scimago - Communication - Q3, Cultural studies - Q2, History - Q2, Literature and literary theory - Q1, Music - Q2, Visual arts and performing arts - Q1 </t>
  </si>
  <si>
    <t xml:space="preserve">Negatívna axiologická disponibilita jazykových prostriedkov: Predpoklady a konzekvencie = Axiological non-availability of language means: Prerequisites and consequences / Sokolová, Jana [Autor, UKFFFAKRU, 100%]. – text. – [slovenčina]. – [OV 020]. – [článok]. – SCO In: Slovenská reč [textový dokument (print)] [elektronický dokument] : časopis pre výskum slovenského jazyka : orgán Jazykovedného ústavu Ľudovíta Štúra Slovenskej akadémie vied. – Martin (Slovensko) : Matica slovenská, Bratislava (Slovensko) : SAP - Slovak Academic Press. – ISSN 0037-6981. – ISSN (online) 1338-4279. – Roč. 85, č. 3 (2020), 265-281 [tlačená forma] [online] . – SJR: 0,197 ; CiteScore: 0,3 ; SNIP: 0,764 Scimago - Language and linguistics - Q2, Linguistics and language - Q2 </t>
  </si>
  <si>
    <t xml:space="preserve">New data on constructions and technologies of Hallstatt period jewellery production from Smolenice-Molpir = Nové poznatky ku konštrukciám a technológiám výroby šperku z doby halštatskej zo Smoleníc-Molpíra1 / Felcan, Michal [Autor, 50%] ; Stegmann-Rajtár, Michal [Autor, 30%] ; Tirpák, Ján [Autor, UKFFPVGMU, 20%]. – text. – [slovenčina, angličtina]. – [OV 092, 030]. – [článok]. – WOS CC ; SCO In: Študijné zvesti Archeologického ústavu Slovenskej akadémie vied [textový dokument (print)] [elektronický dokument] . – Nitra (Slovensko) : Slovenská akadémia vied. – ISSN 0560-2793. – suppl. Fragmenty času : Venované Elene Miroššayovej k 70. narodeninám, č. suppl. 1 (2019), s. 139-155 [tlačená forma] [online] . – SNIP: 1,468 ; SJR: 0,292 ; CiteScore: 0,4 Scimago - Archeology - Q2, Archeology (arts and humanities) - Q1 </t>
  </si>
  <si>
    <t xml:space="preserve">New findings of the Luzianky Group in Luzianky / Beljak Pažinová, Noémi [Korešpondenčný autor, UKFFFAKAR, 80%] ; Repka, Dominik [Autor, UKFFFAKAR, 10%] ; Šimunková, Katarína [Autor, UKFFFAKAR, 10%]. – text. – [angličtina]. – [OV 030]. – [článok]. – DOI 10.31577/szausav.2020.67.1. – WOS CC ; SCO In: Študijné zvesti Archeologického ústavu Slovenskej akadémie vied [textový dokument (print)] [elektronický dokument] . – Nitra (Slovensko) : Slovenská akadémia vied. – ISSN 0560-2793. – Roč. 67 (2020), 1-37 [tlačená forma] [online] . – SJR: 0,139 ; CiteScore: 0,4 ; SNIP: 0,482 ; AIS: 0.082 AIS - Archaeology - Q4 Scimago - Archeology - Q3, Archeology (arts and humanities) - Q3 </t>
  </si>
  <si>
    <t xml:space="preserve">Nicholas Kabasilas and the Crisis of Byzantine Society in the 14th Century / Zozuľak, Ján [Autor, UKFFFAKFI, 100%]. – [angličtina]. – [OV 030]. – [článok]. – DOI 10.17846/CL.2020.13.2.89-98. – WOS CC ; SCO In: Konštantínove listy [textový dokument (print)] [elektronický dokument] . – Nitra (Slovensko) : Univerzita Konštantína Filozofa v Nitre. Filozofická fakulta. Ústav pre výskum kultúrneho dedičstva Konštantína a Metoda. – ISSN 1337-8740. – ISSN (online) 2453-7675. – Roč. 13, č. 2 (2020), 89-98 [tlačená forma] [online] . – SJR: 0,248 ; CiteScore: 0,7 ; SNIP: 1,213 ; AIS: 0.286 AIS - Humanities, multidisciplinary - Q1 Scimago - History - Q1, Philosophy - Q2, Religious studies - Q1 </t>
  </si>
  <si>
    <t xml:space="preserve">Nitriansky cech murárov a jeho artikuly z roku 1724. Prameň k dejinám remesiel a cechov v meste Nitra v prvej štvrtine 18. storočia = The Bricklayers Guild of Nitra and its Articles from the year 1724. The Source to the History of Crafts and Guilds in the Town of Nitra during the First Quarter of the 18th Century / Tandlich, Tomáš [Autor, UKFFFAKHI, 100%]. – text. – [slovenčina]. – [OV 030]. – [článok]. – DOI 10.17846/SHN.2021.25.1.166-190. – SCO In: Studia Historica Nitriensia [textový dokument (print)] [elektronický dokument] . – Nitra (Slovensko) : Univerzita Konštantína Filozofa v Nitre. – ISSN 1338-7219. – ISSN (online) 2585-8661. – Roč. 25, č. 1 (2021), 166-190 [tlačená forma] [online] . – CiteScore: 0,4 ; SJR: 0,209 ; SNIP: 1,036 Scimago - Cultural studies - Q2, History - Q1, Museology - Q2 </t>
  </si>
  <si>
    <t xml:space="preserve">Nomenclature of medicinal plants in the aspect of comparative and cognitive ethnolinguistics (Based on the material of slovak, czech, russian and belarusian languages) = Názvoslovie liečivých rastlín z kognitívno-etnolingvistického aspektu (Na materiáli slovenského, českého, ruského a bieloruského jazyka) / Bačová, Mária [Autor, UKFFFAKRU, 100%]. – text. – [slovenčina]. – [OV 020]. – [článok]. – SCO In: Slavica Slovaca [textový dokument (print)] [elektronický dokument] : orgán Slavistického ústavu Jána Stanislava SAV a Slovenského komitétu slavistov. – Bratislava (Slovensko) : Slovenská akadémia vied. Slavistický ústav Jána Stanislava. – ISSN 0037-6787. – ISSN (online) 1336-2364. – Roč. 56, č. 2 (2021), s. 261-278 [tlačená forma] [online] . – CiteScore: 0,1 ; SJR: 0,118 Scimago - Anthropology - Q4, Cultural studies - Q3, History - Q3, Linguistics and language - Q3 </t>
  </si>
  <si>
    <t xml:space="preserve">Non - Linear Structured Teaching Material as an Attribute Developing Meaningfulness in Student's Mental Representation / Kozárová, Nina [Autor, UKFPFAKPE, 50%] ; Duchovičová, Jana [Autor, UKFPFAKPE, 50%]. – text. – [angličtina]. – [OV 010]. – [článok]. – DOI 10.13187/ejced.2020.4.807. – WOS CC ; SCO In: European journal of contemporary education [elektronický dokument] . – Bratislava (Slovensko) : Academic Publishing House Researcher. – ISSN 2304-9650. – ISSN (online) 2305-6746. – Roč. 9, č. 4 (2020), s. 807-818 [online] . – SJR: 0,517 ; CiteScore: 3 ; SNIP: 1,197 ; AIS: 0.597 AIS - Education &amp; educational research - Q1 Scimago - Education - Q2 </t>
  </si>
  <si>
    <t xml:space="preserve">Od literatúry k digitálnym hrám, od čítania príbehov k ich hraniu = From literature to digital games, from reading stories to playing them / Boszorád, Martin [Autor, UKFFFAULK, 50%] ; Malíček, Juraj [Autor, UKFFFAULK, 50%]. – text. – [slovenčina]. – [OV 010, 020]. – [článok]. – DOI 10.31577/slovlit.2020.67.6.5. – WOS CC ; SCO In: Slovenská literatúra [textový dokument (print)] [elektronický dokument] : revue pre literárnu vedu : časopis Ústavu slovenskej literatúry Slovenskej akadémie vied. – Bratislava (Slovensko) : Slovenská akadémia vied. Pracoviská SAV. Ústav slovenskej literatúry. – ISSN 0037-6973. – Roč. 67, č. 6 (2020), 584-597 [tlačená forma] [online] . – SJR: 0,1 ; CiteScore: 0,1 ; AIS: 0.130 AIS - Literature, slavic - Q2 Scimago - Literature and literary theory - Q4 </t>
  </si>
  <si>
    <t xml:space="preserve">Official and non-official proper names in a bilingual onymic landscape = Úradné a neúradné vlastné mená v bilingválnej onymickej krajine / Bauko, Ján [Autor, UKFFSSUML, 100%]. – text. – [angličtina]. – [OV 010]. – [článok]. – DOI 10.2478/jazcas-2021-0018. – SCO In: Jazykovedný časopis [elektronický dokument] [textový dokument (print)] : vedecký časopis pre otázky teórie jazyka = scientific journal for the theory of language. – Bratislava (Slovensko) : SAP - Slovak Academic Press, Varšava (Poľsko) : De Gruyter. – ISSN 0021-5597. – ISSN (online) 1338-4287. – Roč. 72, č. 1 (2021), s. 124-141 [online] [tlačená forma] . – CiteScore: 0,3 ; SJR: 0,191 ; SNIP: 0,923 Scimago - Linguistics and language - Q2 </t>
  </si>
  <si>
    <t xml:space="preserve">On Comitative Constructions in Slovak / Sokolová, Jana [Autor, UKFFFAKRU, 100%]. – text. – [angličtina]. – [OV 020]. – [článok]. – WOS CC In: SKASE Journal of Theoretical Linguistics [elektronický dokument] : Electronic on-line journal. – Prešov (Slovensko) : SKASE. – ISSN (online) 1336-782X. – Roč. 16, č. 3 (2019), 90-107 [online] . – SJR: 0,124 ; CiteScore: 0,1 ; SNIP: 0,359 Scimago - Language and linguistics - Q3, Linguistics and language - Q3 </t>
  </si>
  <si>
    <t xml:space="preserve">On the limit behaviour of finite-support bivariate discrete probability distributions under iterated partial summations / Rosová, Lívia [Autor, UKOMFKAMS, 50%] ; Mačutek, Ján [Autor, UKFFPVKMA, 50%]. – text. – [angličtina]. – [OV 010, 240]. – [článok]. – SIGN-UKO MF20-0233. – ESCI ; WOS CC ; SCO In: Acta Mathematica Universitatis Comenianae [textový dokument (print)] [elektronický dokument] . – Bratislava (Slovensko) : Univerzita Komenského v Bratislave. Fakulta matematiky, fyziky a informatiky UK. – ISSN 0862-9544. – ISSN (online) 1336-0310. – ISSN (zrušené) 0231-6986. – Roč. 89, č. 2 (2020), s. 351-359 [tlačená forma] [online] . – CiteScore: 1.0 ; SJR: 0.336 ; SNIP: 0.558 ; AIS: 0.271 AIS - Mathematics - Q2 Scimago - Mathematics (miscellaneous) - Q3 </t>
  </si>
  <si>
    <t xml:space="preserve">On the Origin of Rastislav of Moravia From a Linguistic Point of View / Diweg-Pukanec, Martin [Autor, UKFFFAKSJ, 100%]. – [angličtina]. – [OV 020]. – [článok]. – DOI 10.17846/CL.2020.13.1.44-50. – WOS CC In: Konštantínove listy [textový dokument (print)] [elektronický dokument] . – Nitra (Slovensko) : Univerzita Konštantína Filozofa v Nitre. Filozofická fakulta. Ústav pre výskum kultúrneho dedičstva Konštantína a Metoda. – ISSN 1337-8740. – ISSN (online) 2453-7675. – Roč. 13, č. 1 (2020), 44-50 [tlačená forma] [online] . – SJR: 0,248 ; CiteScore: 0,7 ; SNIP: 1,213 ; AIS: 0.286 AIS - Humanities, multidisciplinary - Q1 Scimago - History - Q1, Philosophy - Q2, Religious studies - Q1 </t>
  </si>
  <si>
    <t xml:space="preserve">On the origin of the Kiev Leaflets from the onomastic point of view / Diweg-Pukanec, Martin [Autor, UKFFFASJL, 100%]. – [angličtina]. – [OV 020]. – [článok]. – DOI 10.17846/CL.2018.11.2.78-86. – WOS CC ; SCO In: Konštantínove listy [textový dokument (print)] [elektronický dokument] . – Nitra (Slovensko) : Univerzita Konštantína Filozofa v Nitre. Filozofická fakulta. Ústav pre výskum kultúrneho dedičstva Konštantína a Metoda. – ISSN 1337-8740. – ISSN (online) 2453-7675. – Roč. 11, č. 2 (2018), s. 78-86 [tlačená forma] [online] . – SNIP: 0,941 ; SJR: 0,542 ; CiteScore: 1,1 Scimago - History - Q1, Philosophy - Q1, Religious studies - Q1 </t>
  </si>
  <si>
    <t xml:space="preserve">On the salience of becoming a creative foreign language teacher / Polok, Krzysztof [Autor, 20%] ; Malá, Eva [Autor, 20%] ; Müglová, Daniela [Autor, UKFFFAKTR, 60%]. – text. – [angličtina]. – [OV 010]. – [článok]. – DOI 10.18355/XL.2020.13.04.11. – SCO In: XLinguae [textový dokument (print)] [elektronický dokument] : European scientific language journal. – Nitra (Slovensko) : Vzdelávanie Don Bosca, Nitra (Slovensko) : Slovenská Vzdelávacia a Obstarávacia. – ISSN 1337-8384. – ISSN (online) 2453-711X. – Roč. 13, č. 4 (2020), 152-162 [tlačená forma] [online] . – SJR: 0.385 ; CiteScore: 2,5 ; SNIP: 0,804 Scimago - Language and linguistics - Q1, Linguistics and language - Q1, Philosophy - Q1 </t>
  </si>
  <si>
    <t xml:space="preserve">Optimization of facs sorting for the improvement od livestock semen quality / Vašíček, Jaromír [Autor, SPUFBP01, 16%] ; Svoradová, Andrea [Autor, UKFFPVKZA, 14%] ; Baláži, Andrej [Autor, 14%] ; Jurčík, Rastislav [Autor, 14%] ; Macháč, Marián [Autor, 14%] ; Ostró, Alexander [Autor, 14%] ; Chrenek, Peter [Autor, SPUFBP01, 14%]. – text. – [angličtina]. – [OV 190]. – [článok]. – [recenzované]. – DOI 10.15414/jmbfs.2021.10.4.697-705. – WOS CC ; SCO In: The journal of microbiology, biotechnology and food sciences [elektronický dokument] . – Nitra (Slovensko) : Slovenská poľnohospodárska univerzita v Nitre. Fakulta biotechnológie a potravinárstva. – ISSN (online) 1338-5178. – Roč. 10, č. 4 (2021), s. 697-705 [online] . – CiteScore: 1,3 ; SJR: 0,225 ; SNIP: 0,493 ; AIS: 0.103 AIS - Food science &amp; technology - Q3 Scimago - Biotechnology - Q3, Food science - Q3, Microbiology - Q4, Molecular biology - Q4 </t>
  </si>
  <si>
    <t xml:space="preserve">Origin and Function of Verbal Aspect in Czech, Slovak and Romance Languages = Pôvod a funkcia slovesného vidu v češtine, slovenčine a románskych jazykoch / Štúr, Martin [Autor, UKFFFAKRO, 50%] ; Kopecký, Peter [Autor, UKFFFAKTR, 50%]. – text. – [angličtina]. – [OV 020]. – [článok]. – DOI 10.18355/XL.2018.11.02.39. – SCO In: XLinguae [textový dokument (print)] [elektronický dokument] : European scientific language journal. – Nitra (Slovensko) : Vzdelávanie Don Bosca, Nitra (Slovensko) : Slovenská Vzdelávacia a Obstarávacia. – ISSN 1337-8384. – ISSN (online) 2453-711X. – Roč. 11, č. 2 (2018), s. 483-498 [tlačená forma] [online] . – SNIP: 1,517 ; SJR: 0,676 ; CiteScore: 1,8 Scimago - Language and linguistics - Q1, Linguistics and language - Q1, Philosophy - Q1 </t>
  </si>
  <si>
    <t xml:space="preserve">Outsiders in current Slovak literature for children and youth / Gallik, Ján [Autor, UKFFSSUSJ, 33%] ; Hlavatá, Renáta [Autor, UKFFFASJL, 34%] ; Hrašková, Mariana [Autor, UKFFFASJL, 33%]. – text. – [angličtina]. – [OV 020]. – [ŠO 7320]. – [článok]. – DOI 10.2478/aa-2021-0013. – SCO In: Ars aeterna [textový dokument (print)] [elektronický dokument] : literary Studies and Humanity. – ISSN 1337-9291. – ISSN (online) 2450-8497. – Roč. 13, č. 3 (2021), s. 1-19 [tlačená forma] [online] . – CiteScore: 0,1 ; SJR: 0,108 ; SNIP: 0,103 Scimago - Cultural studies - Q3, Linguistics and language - Q4, Literature and literary theory - Q3 </t>
  </si>
  <si>
    <t xml:space="preserve">Paradigma maďarských slovies zakončených na morfému -Ika jej súčasný stav v systéme slovies a v komunikačnej praxi = The paradigm of Hungarian -ik verbs and their current position in the verb system and the language use  / Kozmács, István [Autor, UKFFSSUML, 100%]. – text. – [angličtina]. – [OV 020, 010]. – [článok]. – DOI 10.2478/jazcas-2021-0006. – SCO In: Jazykovedný časopis [elektronický dokument] [textový dokument (print)] : vedecký časopis pre otázky teórie jazyka = scientific journal for the theory of language. – Bratislava (Slovensko) : SAP - Slovak Academic Press, Varšava (Poľsko) : De Gruyter. – ISSN 0021-5597. – ISSN (online) 1338-4287. – Roč. 71, č. 3 (2020), 393-408 [online] [tlačená forma] . – SJR: 0,186 ; CiteScore: 0,4 ; SNIP: 0,876 Scimago - Language and linguistics - Q2, Linguistics and language - Q2 </t>
  </si>
  <si>
    <t xml:space="preserve">Personality factors and foreign language pronunciation anxiety : the effect of psycho-social training / Kráľová, Zdena [Autor, UKFPFAKLI, 33.334%] ; Tirpáková, Anna [Autor, UKFFPVKMA, 33.333%] ; Škorvagová, Eva [Autor, ZUZFHVKPŠ, 33.333%]. – [angličtina]. – [OV 010]. – [článok]. – DOI 10.13187/ejced.2018.4.728. – WOS CC ; SCO In: European journal of contemporary education [elektronický dokument] . – Bratislava (Slovensko) : Academic Publishing House Researcher. – ISSN 2304-9650. – ISSN (online) 2305-6746. – Roč. 7, č. 4 (2018), s. 728-740 [online] . – SJR: 0,470 ; CiteScore: 1,2 ; SNIP: 2,163 Scimago - Education - Q2 </t>
  </si>
  <si>
    <t xml:space="preserve">Perzekúcia židovského obyvateľstva a holokaust v povojnovej slovenskej kinematografii = The Persecution of the Jewish Population and the Holocaust in Post-War Slovak Cinema / Timko, Štefan [Autor, UKFFSSUSJ, 100%]. – [slovenčina]. – [OV 020]. – [článok]. – DOI 10.31577/sd-2021-0009. – SCO In: Slovenské divadlo [textový dokument (print)] [elektronický dokument] : revue dramatických umení. – Bratislava (Slovensko) : Slovenská akadémia vied. Pracoviská SAV. Ústav divadelnej a filmovej vedy. – ISSN 0037-699X. – ISSN (online) 1336-8605. – Roč. 69, č. 2 (2021), s. 128-143 [tlačená forma] [online] . – CiteScore: 0,2 ; SJR: 0,158 ; SNIP: 0,208 Scimago - Communication - Q3, Cultural studies - Q2, History - Q2, Literature and literary theory - Q1, Music - Q2, Visual arts and performing arts - Q1 </t>
  </si>
  <si>
    <t xml:space="preserve">Philosophical and research aspects of diversity / Duchovičová, Jana [Autor, UKFPFAKPE, 100%]. – [angličtina]. – [OV 010]. – [článok]. – DOI 10.18355/XL.2018.11.01XL.05. – SCO In: XLinguae [textový dokument (print)] [elektronický dokument] : European scientific language journal. – Nitra (Slovensko) : Vzdelávanie Don Bosca, Nitra (Slovensko) : Slovenská Vzdelávacia a Obstarávacia. – ISSN 1337-8384. – ISSN (online) 2453-711X. – Roč. 11, č. 2 (2018), s. 43-57 [tlačená forma] [online] . – SNIP: 1,517 ; SJR: 0,676 ; CiteScore: 1,8 Scimago - Language and linguistics - Q1, Linguistics and language - Q1, Philosophy - Q1 </t>
  </si>
  <si>
    <t xml:space="preserve">Philosophical, anthropological and axiological aspects of Constantine's definition of philosophy / Zozuľak, Ján [Autor, UKFFFAKFI, 100%]. – text. – [angličtina]. – [OV 020]. – [článok]. – DOI 10.2478/ebce-2021-0002. – WOS CC ; SCO In: Ethics &amp; Bioethics [textový dokument (print)] [elektronický dokument] : (in Central Europe). – Varšava (Poľsko) : De Gruyter. – ISSN 1338-5615. – ISSN (online) 2453-7829. – Roč. 11, č. 1-2 (2021), s. 14-22 [tlačená forma] [online] . – CiteScore: 0,8 ; SJR: 0,138 ; SNIP: 0,64 Scimago - Education - Q4, Health policy - Q4, Philosophy - Q3 </t>
  </si>
  <si>
    <t xml:space="preserve">Philosophy and digital humanities in Slovakia - Problem of digital textual resources / Gogora, Andrej [Autor, UKFFFAKAE 06.2022, 100%]. – text. – [angličtina]. – [OV 020]. – [článok]. – SCO In: Communications [textový dokument (print)] [elektronický dokument] : scientific letters of the University of Žilina. – Žilina (Slovensko) : Žilinská univerzita v Žiline. Vydavateľstvo EDIS. – ISSN 1335-4205. – ISSN (online) 2585-7878. – suppl. Roč. 20, č. 1A (2018), s. 22-26 [tlačená forma] [online] . – SJR: 0,488 ; CiteScore: 1,9 ; SNIP: 1,151 Scimago - Automotive engineering - Q2, Computer networks and communications - Q2, Economics and econometrics - Q2, Electrical and electronic engineering - Q2, Transportation - Q2 </t>
  </si>
  <si>
    <t xml:space="preserve">Phonematic Awareness and Chosen Cognitive Functions of a Child / Duchovičová, Jana [Autor, UKFPFAKPE, 40%] ; Kováčiková, Elena [Autor, UKFPFAKLI, 30%] ; Khuziakhmetov, Anwar N. [Autor, 15%] ; Valeev, Agzam A. [Autor, 15%]. – text. – [angličtina]. – [OV 010]. – [článok]. – DOI 10.13187/ejced.2019.4.751. – WOS CC ; SCO In: European journal of contemporary education [elektronický dokument] . – Bratislava (Slovensko) : Academic Publishing House Researcher. – ISSN 2304-9650. – ISSN (online) 2305-6746. – Roč. 8, č. 4 (2019), 751-760 [online] . – SJR: 0,378 ; SNIP: 0,958 ; CiteScore: 1,9 Scimago - Education - Q2 </t>
  </si>
  <si>
    <t xml:space="preserve">Plant isoflavones can affect accumulation and impact of silver and titania nanoparticles on ovarian cells / Sirotkin, Alexander [Korešpondenčný autor, UKFFPVKZA, 40%] ; Alexa, Richard [Autor, 20%] ; Štochmaľová, Aneta [Autor, 20%] ; Scsuková, Soňa [Autor, 20%]. – text. – [angličtina]. – [OV 130]. – [ŠO 1536]. – [článok]. – [recenzované]. – DOI 10.2478/enr-2021-007. – SCO In: Endocrine Regulations [textový dokument (print)] [elektronický dokument] . – Bratislava (Slovensko) : AEPress. – ISSN 1210-0668. – ISSN (online) 1336-0329. – Roč. 55, č. 1 (2021), s. 52-60 [tlačená forma] [online] . – CiteScore: 2,6 ; SJR: 0,38 ; SNIP: 0,678 Scimago - Endocrinology - Q4, Endocrinology, diabetes and metabolism - Q3 </t>
  </si>
  <si>
    <t xml:space="preserve">Počítačom podporovaný výskum maďarských nárečí na Slovensku = Computer supported research of Hungarian dialects in Slovakia / Presinszky, Károly [Autor, UKFFSSUML, 100%]. – text. – [slovenčina]. – [OV 020, 010]. – [článok]. – DOI 10.2478/jazcas-2021-0003. – SCO In: Jazykovedný časopis [elektronický dokument] [textový dokument (print)] : vedecký časopis pre otázky teórie jazyka = scientific journal for the theory of language. – Bratislava (Slovensko) : SAP - Slovak Academic Press, Varšava (Poľsko) : De Gruyter. – ISSN 0021-5597. – ISSN (online) 1338-4287. – Roč. 71, č. 3 (2020), 337-350 [online] [tlačená forma] . – SJR: 0,186 ; CiteScore: 0,4 ; SNIP: 0,876 Scimago - Language and linguistics - Q2, Linguistics and language - Q2 </t>
  </si>
  <si>
    <t xml:space="preserve">Porovnanie strojového, posteditovaného a ľudského prekladu technickej dokumentácie zo slovenčiny do nemčiny = Comparison of Machine Translation, Post-Editing and Human Translation of Technical Documentation from Slovak to German / Hudecová, Elena [Autor, 020920, 25%] ; Stahl, Jaroslav [Autor, UKOFIGN, 25%] ; Benková, Lucia [Autor, UKFFPVKIN, 25%] ; Munková, Daša [Autor, UKFFFAKTR, 25%]. – text, tab. – [slovenčina]. – [OV 020, 160]. – [článok]. – SCO In: Slovenská reč [textový dokument (print)] [elektronický dokument] : časopis pre výskum slovenského jazyka : orgán Jazykovedného ústavu Ľudovíta Štúra Slovenskej akadémie vied. – Martin (Slovensko) : Matica slovenská, Bratislava (Slovensko) : SAP - Slovak Academic Press. – ISSN 0037-6981. – ISSN (online) 1338-4279. – Roč. 86, č. 2 (2021), s. 192-207 [tlačená forma] [online] . – CiteScore: 0,4 ; SJR: 0,123 ; SNIP: 0,87 Scimago - Linguistics and language - Q3 </t>
  </si>
  <si>
    <t xml:space="preserve">Postavenie biskupa na prelome antiky a stredoveku = The position of bishop at the turn of antiquity and the middle ages  / Jirkal, Emanuel [Autor, UKFFFAKHI, 100%]. – text. – [slovenčina]. – [OV 030]. – [článok]. – DOI 10.17846/SHN.2020.24.1.3-17. – SCO In: Studia Historica Nitriensia [textový dokument (print)] [elektronický dokument] . – Nitra (Slovensko) : Univerzita Konštantína Filozofa v Nitre. – ISSN 1338-7219. – ISSN (online) 2585-8661. – Roč. 24, č. 1 (2020), s. 3-17 [tlačená forma] [online] . – CiteScore: 0.4 ; SJR: 0.193 ; SNIP: 0.591 Scimago - Cultural studies - Q2, History - Q1, Museology - Q2 </t>
  </si>
  <si>
    <t xml:space="preserve">Práva a povinnosti uhorských biskupov pri správe diecéz v 11. až 14. storočí z pohľadu kánonického práva = The rights and duties of bishops from the Kingdom of Hungary in the administration of dioceses in the 11th - 14th centuries as related to the Canon Law / Glejtek, Miroslav [Autor, UKFFFAKHI, 100%]. – text. – [angličtina]. – [OV 030]. – [článok]. – DOI 10.17846/CL.2018.11.1.79-104. – WOS CC ; SCO In: Konštantínove listy [textový dokument (print)] [elektronický dokument] . – Nitra (Slovensko) : Univerzita Konštantína Filozofa v Nitre. Filozofická fakulta. Ústav pre výskum kultúrneho dedičstva Konštantína a Metoda. – ISSN 1337-8740. – ISSN (online) 2453-7675. – Roč. 11, č. 1 (2018), s. 79-104 [tlačená forma] [online] . – SNIP: 0,941 ; SJR: 0,542 ; CiteScore: 1,1 Scimago - History - Q1, Philosophy - Q1, Religious studies - Q1 </t>
  </si>
  <si>
    <t xml:space="preserve">Presentation of monuments in Nitra and its surroundings as one of the methods for creating a positive attitude towards our cultural heritage / Borzová, Zuzana [Autor, UKFFFAKAR, 100%]. – text. – [angličtina]. – [OV 030]. – [článok]. – WOS CC ; SCO In: Muzeológia a kultúrne dedičstvo [textový dokument (print)] [elektronický dokument] : vedecký recenzovaný časopis. – Bratislava (Slovensko) : Univerzita Komenského v Bratislave. Filozofická fakulta UK. – ISSN 1339-2204. – ISSN (online) 2453-9759. – Roč. 6, č. 2 (2018), s. 141-148 [tlačená forma] [online] . – SJR: 0,347 ; CiteScore: 0,9 ; SNIP: 1,127 Scimago - Conservation - Q1, Museology - Q1 </t>
  </si>
  <si>
    <t xml:space="preserve">Presentation of the material and spiritual culture of the Celts - student project at the department of museology, FA CPU in Nitra / Gogová, Stanislava [Autor, UKFFFAKMU, 50%] ; Šteiner, Pavol [Autor, UKFFFAKMU, 50%]. – text. – [angličtina]. – [OV 030]. – [článok]. – WOS CC ; SCO In: Muzeológia a kultúrne dedičstvo [textový dokument (print)] [elektronický dokument] : vedecký recenzovaný časopis. – Bratislava (Slovensko) : Univerzita Komenského v Bratislave. Filozofická fakulta UK. – ISSN 1339-2204. – ISSN (online) 2453-9759. – Roč. 6, č. 2 (2018), s. 149-162 [tlačená forma] [online] . – SJR: 0,347 ; CiteScore: 0,9 ; SNIP: 1,127 Scimago - Conservation - Q1, Museology - Q1 </t>
  </si>
  <si>
    <t xml:space="preserve">Príspevok k poznaniu dobovej módy 15. a 16. storočia na príklade nálezov kachlíc z oponického hradu = A contribution to the knowledge of period fashion of the 15th and 16th centuries on the example of stove-tile finds from the Oponice castle / Jančiová, Barbora [Autor, UKFFFAKAR, 100%]. – text. – [angličtina]. – [OV 030]. – [článok]. – DOI 10.17846/SHN.2019.23.S.125-142. – SCO In: Studia Historica Nitriensia [textový dokument (print)] [elektronický dokument] . – Nitra (Slovensko) : Univerzita Konštantína Filozofa v Nitre. – ISSN 1338-7219. – ISSN (online) 2585-8661. – suppl. Roč. 23 (2019), s. 125-142 [tlačená forma] [online] . – SNIP: 0,629 ; SJR: 0,187 ; CiteScore: 0,2 Scimago - Cultural studies - Q2, History - Q2, Museology - Q2 </t>
  </si>
  <si>
    <t xml:space="preserve">Probes Into the Value Platform of Byzantine Philosophy and Its Message to Contemporary European Value Orientation. A Sketch of the Issue / Pružinec, Tomáš [Autor, UKFFFAKFI, 100%]. – text. – [angličtina]. – [OV 030]. – [článok]. – DOI 10.17846/CL.2019.12.2.135-147. – WOS CC ; SCO In: Konštantínove listy [textový dokument (print)] [elektronický dokument] . – Nitra (Slovensko) : Univerzita Konštantína Filozofa v Nitre. Filozofická fakulta. Ústav pre výskum kultúrneho dedičstva Konštantína a Metoda. – ISSN 1337-8740. – ISSN (online) 2453-7675. – Roč. 12, č. 2 (2019), 135-147 [tlačená forma] [online] . – SNIP: 0,608 ; SJR: 0,342 ; CiteScore: 1,1 Scimago - History - Q1, Philosophy - Q1, Religious studies - Q1 </t>
  </si>
  <si>
    <t xml:space="preserve">Professional Reflection of the Textological and Editorial Stages of Pre-Production in Book Publishing (on the Beginnings of Theoretical Textology in Slovakia) / Rácová, Veronika [Autor, UKFFFASJL, 100%]. – text. – [angličtina]. – [OV 020]. – [článok]. – WOS CC ; SCO In: Slovenská literatúra [textový dokument (print)] [elektronický dokument] : revue pre literárnu vedu : časopis Ústavu slovenskej literatúry Slovenskej akadémie vied. – Bratislava (Slovensko) : Slovenská akadémia vied. Pracoviská SAV. Ústav slovenskej literatúry. – ISSN 0037-6973. – Roč. 67, č. 1 (2020), 1-10 [tlačená forma] [online] . – SJR: 0,1 ; CiteScore: 0,1 ; AIS: 0.130 AIS - Literature, slavic - Q2 Scimago - Literature and literary theory - Q4 </t>
  </si>
  <si>
    <t xml:space="preserve">Proof the Skewes' number is not an integer using lattice points and tangent line / Ďuriš, Viliam [Autor, UKFFPVKMA, 34%] ; Šumný, Timotej [Autor, 33%] ; Lengyelfalusy, Tomáš [Autor, 33%]. – text. – [angličtina]. – [OV 240]. – [článok]. – DOI 10.2478/jamsi-2021-0006. – WOS CC In: Journal of Applied Mathematics, Statistics and Informatics [textový dokument (print)] [elektronický dokument] . – Trnava (Slovensko) : Univerzita sv. Cyrila a Metoda v Trnave. Fakulta prírodných vied, Varšava (Poľsko) : De Gruyter. De Gruyter Open. – ISSN 1336-9180. – ISSN (online) 1339-0015. – Roč. 17, č. 2 (2021), s. 5-18 [tlačená forma] [online] . – AIS: 0.142 AIS - Mathematics, applied - Q3 </t>
  </si>
  <si>
    <t xml:space="preserve">Prosodic entrainment in individuals with autism spectrum disorder / Kruyt, Joanna [Autor, 50%] ; Beňuš, Štefan [Autor, UKFFFAKAA, 50%]. – [angličtina]. – [OV 020]. – [článok]. – DOI 10.2478/topling-2021-0010. – WOS CC ; SCO In: Topics in Linguistics [textový dokument (print)] [elektronický dokument] . – Varšava (Poľsko) : De Gruyter. De Gruyter Open, Nitra (Slovensko) : Univerzita Konštantína Filozofa v Nitre. Filozofická fakulta. – ISSN 1337-7590. – ISSN (online) 2199-6504. – ISSN (zrušené) 3836-2007. – Roč. 22, č. 2 (2021), 47-61 [tlačená forma] [online] . – CiteScore: 0,7 ; SJR: 0,152 ; SNIP: 0,42 ; AIS: 0.185 AIS - Language &amp; linguistics - Q2 Scimago - Linguistics and language - Q3 </t>
  </si>
  <si>
    <t xml:space="preserve">Protection Against Falsification of Charters Issued by Places of Authentication in the Hungarian Medieval Legislation = Ochrana proti falšovaniu listín vydávaných hodnovernými miestami v stredovekom uhorskom zákonodarstve / Glejtek, Miroslav [Autor, UKFFFAKHI, 100%]. – text. – [angličtina]. – [OV 030]. – [článok]. – DOI 10.17846/SHN.2018.22.1.58-78. – SCO In: Studia Historica Nitriensia [textový dokument (print)] [elektronický dokument] . – Nitra (Slovensko) : Univerzita Konštantína Filozofa v Nitre. – ISSN 1338-7219. – ISSN (online) 2585-8661. – Roč. 22, č. 1 (2018), s. 57-78 [tlačená forma] [online] . – SJR: 0,164 ; CiteScore: 0,1 ; SNIP: 0,17 Scimago - Cultural studies - Q2, History - Q2, Museology - Q2 </t>
  </si>
  <si>
    <t xml:space="preserve">Protohistoric and medieval settlement in Klčov (Levoča District) / Repka, Dominik [Autor, UKFFFAKAR, 60%] ; Šebesta, Bohuslav [Autor, 40%]. – text. – [angličtina]. – [OV 030]. – [článok]. – DOI 10.17846/SHN.2019.23.S.501-517. – SCO In: Studia Historica Nitriensia [textový dokument (print)] [elektronický dokument] . – Nitra (Slovensko) : Univerzita Konštantína Filozofa v Nitre. – ISSN 1338-7219. – ISSN (online) 2585-8661. – suppl. Roč. 23 (2019), s. 501-518 [tlačená forma] [online] . – SNIP: 0,629 ; SJR: 0,187 ; CiteScore: 0,2 Scimago - Cultural studies - Q2, History - Q2, Museology - Q2 </t>
  </si>
  <si>
    <t xml:space="preserve">Quality of life and quality of environment in Czechia in the period of the COVID-19 pandemic / Murgaš, František [Autor, 50%] ; Petrovič, František [Autor, UKFFPVKEE, 50%]. – text. – [angličtina]. – [OV 100]. – [článok]. – DOI 10.31577/geogrcas.2020.72.3.13. – WOS CC ; SCO In: Geografický časopis [textový dokument (print)] [elektronický dokument] . – Bratislava (Slovensko) : Slovenská akadémia vied. Pracoviská SAV. Geografický ústav. – ISSN 0016-7193. – ISSN (online) 2453-8787. – Roč. 72, č. 3 (2020), s. 261-274 [tlačená forma] [online] . – SNIP: 0,869 ; SJR: 0,263 ; CiteScore: 1,2 Scimago - Earth-surface processes - Q3, Geography, planning and development - Q3, Geology - Q3 </t>
  </si>
  <si>
    <t xml:space="preserve">Rational and irrational behavior of Slovak consumers in the private label market / Košičiarová, Ingrida [Autor, SPUFEM16, 15%] ; Kádeková, Zdenka [Autor, SPUFEM16, 15%] ; Kubicová, Ľubica [Autor, SPUFEM16, 14%] ; Predanocyová, Kristína [Autor, SPUFEM16, 14%] ; Rybanská, Jana [Autor, SPUFEM11, 14%] ; Džupina, Milan [Autor, UKFFFAKMR, 14%] ; Bulanda, Ivana [Autor, 14%]. – [angličtina]. – [OV 080]. – [článok]. – DOI 10.5219/1272. – SCO In: Potravinarstvo Slovak Journal of Food Sciences [textový dokument (print)] [elektronický dokument] : vedecký časopis pre potravinárstvo. – Nitra (Slovensko) : HACCP Consulting. – ISSN 1338-0230. – ISSN (online) 1337-0960. – Roč. 14, č. 1 (2020), s. 402-411 [tlačená forma] [online] . – SJR: 0,259 ; CiteScore: 1,6 ; SNIP: 0,605 Scimago - Food science - Q3 </t>
  </si>
  <si>
    <t xml:space="preserve">Recreation in the City-A Part of Cultural Ecosystem Services / Rózová, Zdenka [Autor, UKFFPVKEE, 34%] ; Turanovičová, Martina [Autor, UKFFPVKGR, 33%] ; Stašová, Simona [Autor, UKFFPVKEE, 33%]. – text. – [angličtina]. – [OV 100]. – [článok]. – DOI 10.2478/eko-2020-0014. – SCO In: Ekológia [textový dokument (print)] [elektronický dokument] : Medzinárodný časopis pre ekologické problémy biosféry = International Journal for Ecological Problems of the Biosphere : The Journal of Institute of Landscape Ecology of Slovak Academy of Sciences. – Bratislava (Slovensko) : Slovenská akadémia vied. Pracoviská SAV. Ústav krajinnej ekológie. – ISSN 1335-342X. – ISSN (online) 1337-947X. – Roč. 39, č. 2 (2020), 190-200 [tlačená forma] [online] . – SNIP: 0,847 ; SJR: 0,345 ; CiteScore: 1,5 Scimago - Ecology - Q3 </t>
  </si>
  <si>
    <t xml:space="preserve">Reflection of a man in a Slavic philosophical environment / Pružinec, Tomáš [Autor, UKFFFAKFI, 100%]. – text. – [angličtina]. – [OV 020]. – [článok]. – WOS CC In: Konštantínove listy [textový dokument (print)] [elektronický dokument] . – Nitra (Slovensko) : Univerzita Konštantína Filozofa v Nitre. Filozofická fakulta. Ústav pre výskum kultúrneho dedičstva Konštantína a Metoda. – ISSN 1337-8740. – ISSN (online) 2453-7675. – Roč. 11, č. 1 (2018), 159-161 [tlačená forma] [online] . – SNIP: 0,941 ; SJR: 0,542 ; CiteScore: 1,1 Scimago - History - Q1, Philosophy - Q1, Religious studies - Q1 </t>
  </si>
  <si>
    <t xml:space="preserve">Reflections on happiness and a happy life / Jakubovská, Viera [Autor, UKFFFAKFI, 50%] ; Waldnerová, Jana [Autor, UKFFFAKAA, 50%]. – text. – [angličtina]. – [OV 020]. – [článok]. – DOI 10.2478/aa-2020-0009. – SCO In: Ars aeterna [textový dokument (print)] [elektronický dokument] : literary Studies and Humanity. – ISSN 1337-9291. – ISSN (online) 2450-8497. – Roč. 12, č. 2 (2020), s. 34-44 [tlačená forma] [online] . – SJR: 0,101 ; CiteScore: 0,2 ; SNIP: 0,306 Scimago - Cultural studies - Q4, Language and linguistics - Q4, Linguistics and language - Q4, Literature and literary theory - Q4 </t>
  </si>
  <si>
    <t xml:space="preserve">Refugees’ l2 learning: New perspectives on language motivation research / Cobo, Monica Ortiz [Autor, 34%] ; Králik, Roman [Autor, UKFFFAKAE 06.2022, 33%] ; Bianco, Rosella [Autor, 33%]. – [angličtina]. – [OV 020]. – [článok]. – DOI 10.18355/XL.2020.13.04.05. – SCO In: XLinguae [textový dokument (print)] [elektronický dokument] : European scientific language journal. – Nitra (Slovensko) : Vzdelávanie Don Bosca, Nitra (Slovensko) : Slovenská Vzdelávacia a Obstarávacia. – ISSN 1337-8384. – ISSN (online) 2453-711X. – Roč. 13, č. 4 (2020), 64-80 [tlačená forma] [online] . – SJR: 0.385 ; CiteScore: 2,5 ; SNIP: 0,804 Scimago - Language and linguistics - Q1, Linguistics and language - Q1, Philosophy - Q1 </t>
  </si>
  <si>
    <t xml:space="preserve">Religious education in Czechoslovakia after 1918 / Kičková, Adriana [Autor, UKFFFAKHI, 100%]. – [angličtina]. – [OV 030]. – [článok]. – DOI 10.17846/CL.2018.11.2.190-198. – WOS CC ; SCO In: Konštantínove listy [textový dokument (print)] [elektronický dokument] . – Nitra (Slovensko) : Univerzita Konštantína Filozofa v Nitre. Filozofická fakulta. Ústav pre výskum kultúrneho dedičstva Konštantína a Metoda. – ISSN 1337-8740. – ISSN (online) 2453-7675. – Roč. 11, č. 2 (2018), s. 190-198 [tlačená forma] [online] . – SNIP: 0,941 ; SJR: 0,542 ; CiteScore: 1,1 Scimago - History - Q1, Philosophy - Q1, Religious studies - Q1 </t>
  </si>
  <si>
    <t xml:space="preserve">Religious Songs of the Baroque Period as a Living Message of the Cyrillo-Methodian Heritage / Lauková, Silvia [Autor, UKFFFASJL, 50%] ; Kaizerová, Petra [Autor, UKFFFASJL, 50%]. – [angličtina]. – [OV 020, 030]. – [článok]. – DOI 10.17846/CL.2020.13.2.137-152. – WOS CC ; SCO In: Konštantínove listy [textový dokument (print)] [elektronický dokument] . – Nitra (Slovensko) : Univerzita Konštantína Filozofa v Nitre. Filozofická fakulta. Ústav pre výskum kultúrneho dedičstva Konštantína a Metoda. – ISSN 1337-8740. – ISSN (online) 2453-7675. – Roč. 13, č. 2 (2020), 137-152 [tlačená forma] [online] . – SJR: 0,248 ; CiteScore: 0,7 ; SNIP: 1,213 ; AIS: 0.286 AIS - Humanities, multidisciplinary - Q1 Scimago - History - Q1, Philosophy - Q2, Religious studies - Q1 </t>
  </si>
  <si>
    <t xml:space="preserve">Rényi entropy and rényi divergence In the intuitionistic fuzzy case / Riečan, Beloslav [Autor, 50%] ; Markechová, Dagmar [Autor, UKFFPVKMA, 50%]. – [angličtina]. – [OV 240]. – [článok]. – SCO In: Tatra Mountains Mathematical Publications [textový dokument (print)] [elektronický dokument] . – Bratislava (Slovensko) : Slovenská akadémia vied. Pracoviská SAV. Matematický ústav. – ISSN 1210-3195. – ISSN (online) 1338-9750. – č. 72 (2018), s. 77-105 [tlačená forma] [online] . – SNIP: 0,716 ; SJR: 0,226 ; CiteScore: 0,8 Scimago - Mathematics (miscellaneous) - Q3 </t>
  </si>
  <si>
    <t xml:space="preserve">Report and admonition for those who have healed with the addition of some prayers for the sick and healed. In Prespork: Printed at Francis augustine patzka, 1792, 29P. = Správa a napomenutie pre tých, ktorí sa uzdravili s prídavkom niektorých modlitieb pre chorých a uzdravených. V Prešporku: vytlačené u Františka Augustína Patzka, 1792, 29s / Jakubej, Ján [Autor, UKFFFAKHI, 100%]. – text. – [angličtina]. – [OV 020]. – [článok]. – SCO In: Historia Ecclesiastica [textový dokument (print)] : časopis pre dejiny cirkví a náboženstiev v Strednej Európe. – Prešov (Slovensko) : Prešovská univerzita v Prešove. – ISSN 1338-4341. – Roč. 9, č. 1 (2018), s. 249-262 [tlačená forma] . – SJR: 0,101 Scimago - History - Q4, Religious studies - Q4 </t>
  </si>
  <si>
    <t xml:space="preserve">Research Report of Project VEGA 1/0192/18 Formation of Attitudes of Generation Y in the V4 Geographic Area to the Issue of Migrants Through Digital Communication on Social Networks / Spálová, Lucia [Autor, UKFFFAKMR, 50%] ; Púchovská, Oľga [Autor, UKFFFAKMR, 50%]. – text. – [angličtina]. – [OV 060]. – [článok]. – WOS CC In: Media Literacy and Academic Research [textový dokument (print)] [elektronický dokument] . – Trnava (Slovensko) : Univerzita sv. Cyrila a Metoda v Trnave. Fakulta masmediálnej komunikácie. – ISSN 2585-8726. – ISSN (online) 2585-9188. – Roč. 2, č. 1 (2019), s. 114-119 [tlačená forma] [online] </t>
  </si>
  <si>
    <t xml:space="preserve">Roma Persecution in the Slovak state 1939 - 1945: Labour Camp Issues in Regional, County and Police office Funds in Nitra / Kralovič, Tomáš [Autor, UKFFFAKHI, 100%]. – text. – [angličtina]. – [OV 030]. – [článok]. – DOI 10.17846/SHN.2019.23.2.456-474. – SCO In: Studia Historica Nitriensia [textový dokument (print)] [elektronický dokument] . – Nitra (Slovensko) : Univerzita Konštantína Filozofa v Nitre. – ISSN 1338-7219. – ISSN (online) 2585-8661. – Roč. 23, č. 2 (2019), 456-474 [tlačená forma] [online] . – SNIP: 0,629 ; SJR: 0,187 ; CiteScore: 0,2 Scimago - Cultural studies - Q2, History - Q2, Museology - Q2 </t>
  </si>
  <si>
    <t xml:space="preserve">Roma perspectives on their language problems in the context of language ideologies / Samko, Milan [Autor, UKFFSVURS, 100%]. – text. – [angličtina]. – [OV 060]. – [článok]. – DOI 10.18355/XL.2020.13.04.13. – SCO In: XLinguae [textový dokument (print)] [elektronický dokument] : European scientific language journal. – Nitra (Slovensko) : Vzdelávanie Don Bosca, Nitra (Slovensko) : Slovenská Vzdelávacia a Obstarávacia. – ISSN 1337-8384. – ISSN (online) 2453-711X. – Roč. 13, č. 4 (2020), 179-189 [tlačená forma] [online] . – SJR: 0.385 ; CiteScore: 2,5 ; SNIP: 0,804 Scimago - Language and linguistics - Q1, Linguistics and language - Q1, Philosophy - Q1 </t>
  </si>
  <si>
    <t xml:space="preserve">Ruské denníky ako intersemiotický preklad = Russian diaries as intersemiotic translation / Inštitorisová, Dagmar [Autor, UKFFFAKMR, 100%]. – text. – [slovenčina]. – [OV 020]. – [článok]. – DOI 10.31577/sd-2020-0012. – SCO In: Slovenské divadlo [textový dokument (print)] [elektronický dokument] : revue dramatických umení. – Bratislava (Slovensko) : Slovenská akadémia vied. Pracoviská SAV. Ústav divadelnej a filmovej vedy. – ISSN 0037-699X. – ISSN (online) 1336-8605. – Roč. 68, č. 2 (2020), s. 89-101 [tlačená forma] [online] . – SJR: 0,173 ; CiteScore: 0,1 ; SNIP: 0,573 Scimago - Communication - Q3, Cultural studies - Q2, History - Q2, Literature and literary theory - Q1, Music - Q2, Visual arts and performing arts - Q1 </t>
  </si>
  <si>
    <t xml:space="preserve">Sebahodnotenie úrovne kompetencií študentami ošetrovateľstva na slovenských univerzitách = Self-assessment of clinical competence of nursing students' at Slovak universities    / Nemcová, Jana [Autor, UKOLJ240, 40%] ; Hlinková, Edita [Autor, UKOLJ240, 15%] ; Ovšonková, Anna [Autor, UKOLJ240, 5%] ; Grendár, Marián [Autor, UKOLJ110, 5%] ; Derňarová, Ľubica [Autor, PUPFZOS, 5%] ; Botíková, Andrea [Autor, TUTZSKOŠ, 5%] ; Poliaková, Nikoleta [Autor, TNFZKO, 5%] ; Kadučáková, Helena [Autor, KURZDOS, 5%] ; Slamková, Alica [Autor, UKFFSVKOS, 5%] ; Jankechová, Monika [Autor, VSSVArektorat, 5%] ; Kajander-Unkuri, Satu [Autor, 5%]. – text, tab. – [slovenčina]. – [OV 180]. – [článok]. – SIGN-UKO LJ283/21. – TUT ID E086280. – SIGN-PU FZ-21 97/21. – TUAD PC018119. – SCO In: Zdravotnícke listy [textový dokument (print)] [elektronický dokument] : vedecký recenzovaný časopis. – Trenčín (Slovensko) : Trenčianska univerzita Alexandra Dubčeka v Trenčíne. Fakulta zdravotníctva. – ISSN 1339-3022. – ISSN (online) 2644-4909. – Roč. 9, č. 2 (2021), s. 19-26 [tlačená forma] [online] . – SNIP: 0,046 ; SJR: 0,157 ; CiteScore: 0,30 Scimago - Nursing (miscellaneous) - Q4, Occupational therapy - Q4, Physical therapy, sports therapy and rehabilitation - Q4, Public health, environmental and occupational health - Q4 </t>
  </si>
  <si>
    <t xml:space="preserve">Selected environmental contexts of changes in the historical landscape with scattered settlement (the example of the village of Hrušov, Vel'ký Krtíš district) / Hanušin, Ján [Autor, 50%] ; Lacika, Ján [Autor, UKFFPVKGR, 50%]. – text. – [angličtina]. – [OV 092]. – [článok]. – SCO In: Geografický časopis [textový dokument (print)] [elektronický dokument] . – Bratislava (Slovensko) : Slovenská akadémia vied. Pracoviská SAV. Geografický ústav. – ISSN 0016-7193. – ISSN (online) 2453-8787. – Roč. 70, č. 1 (2018), s. 57-77 [tlačená forma] [online] . – SJR: 0.216 ; CiteScore: 0,9 ; SNIP: 0,36 Scimago - Earth-surface processes - Q3, Geography, planning and development - Q3, Geology - Q3 </t>
  </si>
  <si>
    <t xml:space="preserve">Self-Assessment and EFL Literature Students' Oral Reproduction of Short Stories / Khonamri, Fatemeh [Autor, 32%] ; Králik, Roman [Autor, 32%] ; Vítečková, Miluše [Autor, 4%] ; Petrikovičová, Lucia [Autor, UKFFPVKGR, 32%]. – text. – [angličtina]. – [OV 092, 020]. – [článok]. – DOI 10.13187/ejced.2021.1.77. – WOS CC ; SCO In: European journal of contemporary education [elektronický dokument] . – Bratislava (Slovensko) : Academic Publishing House Researcher. – ISSN 2304-9650. – ISSN (online) 2305-6746. – Roč. 10, č. 1 (2021), s. 77-88 [online] . – CiteScore: 3,4 ; SJR: 0,619 ; SNIP: 1,042 ; AIS: 0.452 AIS - Education &amp; educational research - Q1 Scimago - Education - Q2 </t>
  </si>
  <si>
    <t xml:space="preserve">Self-reflection of digital literacy of primary and secondary school teachers : case study of Slovakia / Záhorec, Ján [Autor, UKOPDDPP, 34%] ; Hašková, Alena [Autor, UKFPFAKTT, 33%] ; Munk, Michal [Autor, UKFFPVKIN, 33%]. – text, tab., obr. – [angličtina]. – [OV 010]. – [článok]. – DOI 10.13187/ejced.2021.2.496. – SIGN-UKO PD DP/21. – ESCI ; WOS CC ; SCO In: European journal of contemporary education [elektronický dokument] . – Bratislava (Slovensko) : Academic Publishing House Researcher. – ISSN 2304-9650. – ISSN (online) 2305-6746. – Roč. 10, č. 2 (2021), s. 496-508 [online] . – CiteScore: 3,4 ; SJR: 0,619 ; SNIP: 1,042 ; AIS: 0.452 AIS - Education &amp; educational research - Q1 Scimago - Education - Q2 </t>
  </si>
  <si>
    <t xml:space="preserve">Semantics and pragmatics of the constructions of self-presentation / Sokolová, Jana [Autor, UKFFFAKRU, 100%]. – text. – [angličtina]. – [OV 020]. – [článok]. – SCO In: Slovenská reč [textový dokument (print)] [elektronický dokument] : časopis pre výskum slovenského jazyka : orgán Jazykovedného ústavu Ľudovíta Štúra Slovenskej akadémie vied. – Martin (Slovensko) : Matica slovenská, Bratislava (Slovensko) : SAP - Slovak Academic Press. – ISSN 0037-6981. – ISSN (online) 1338-4279. – Roč. 83, č. 3 (2018), 261-276 [tlačená forma] [online] . – SNIP: 1,304 ; SJR: 0,1 ; CiteScore: 0,3 Scimago - Language and linguistics - Q4, Linguistics and language - Q4 </t>
  </si>
  <si>
    <t xml:space="preserve">Semantics and pragmatics of the lexeme posledný [the last] in discursive contexts / Sokolová, Jana [Autor, UKFFFAKRU, 100%]. – text. – [angličtina]. – [OV 020]. – [článok]. – DOI 10.2478/jazcas-2019-0039. – SCO In: Jazykovedný časopis [elektronický dokument] [textový dokument (print)] : vedecký časopis pre otázky teórie jazyka = scientific journal for the theory of language. – Bratislava (Slovensko) : SAP - Slovak Academic Press, Varšava (Poľsko) : De Gruyter. – ISSN 0021-5597. – ISSN (online) 1338-4287. – Roč. 70, č. 1 (2019), 33-53 [online] [tlačená forma] . – SNIP: 0,633 ; SJR: 0,197 ; CiteScore: 0,2 Scimago - Language and linguistics - Q2, Linguistics and language - Q2 </t>
  </si>
  <si>
    <t xml:space="preserve">Sentence-structure errors of machine translation into Slovak / Welnitzová, Katarína [Autor, UKFFFAKTR, 50%] ; Munková, Daša [Autor, UKFFFAKTR, 50%]. – text. – [angličtina]. – [OV 020]. – [článok]. – DOI 10.2478/topling-2021-0006. – WOS CC ; SCO In: Topics in Linguistics [textový dokument (print)] [elektronický dokument] . – Varšava (Poľsko) : De Gruyter. De Gruyter Open, Nitra (Slovensko) : Univerzita Konštantína Filozofa v Nitre. Filozofická fakulta. – ISSN 1337-7590. – ISSN (online) 2199-6504. – ISSN (zrušené) 3836-2007. – Roč. 22, č. 1 (2021), s. 78-92 [tlačená forma] [online] . – CiteScore: 0,7 ; SJR: 0,152 ; SNIP: 0,42 ; AIS: 0.185 AIS - Language &amp; linguistics - Q2 Scimago - Linguistics and language - Q3 </t>
  </si>
  <si>
    <t xml:space="preserve">Sheep wool can be scoured sufficiently without any chemicals / Braniša, Jana [Autor, UKFFPVKCH, 45%] ; Cvik, Marcel [Autor, 10%] ; Porubská, Mária [Autor, UKFFPVKCH, 45%]. – text. – [angličtina]. – [OV 120]. – [článok]. – SCO In: Vlákna a textil [textový dokument (print)] [elektronický dokument] . – Svit : Výskumný ústav chemických vlákien, Žilina : VÚTCH - Chemitex, Bratislava : Spoločnosť priemyselnej chémie, Púchov (Slovensko) : Výskumný ústav gumárenský, Bratislava : Slovenská spoločnosť priemyselnej chémie, Žilina (Slovensko) : Výskumný ústav textilnej chémie, Svit (Slovensko) : Trenčianska univerzita Alexandra Dubčeka v Trenčíne, Bratislava (Slovensko) : Slovenská technická univerzita v Bratislave. – ISSN 1335-0617. – ISSN (online) 2585-8890. – Roč. 26, č. 2 (2019), s. 3-8 [tlačená forma] [online] . – SJR: 0,22 ; CiteScore: 0,4 ; SNIP: 0,264 Scimago - Business and international management - Q3, Chemical engineering (miscellaneous) - Q3, Materials science (miscellaneous) - Q3, Polymers and plastics - Q3 </t>
  </si>
  <si>
    <t xml:space="preserve">Shrinkage of the tarns in the High Tatras (Slovakia, Poland) / Kapusta, Juraj [Autor, UKFFPVKEE, 35%] ; Petrovič, František [Autor, UKFFPVKEE, 30%] ; Hreško, Juraj [Autor, UKFFPVKEE, 30%] ; Raczkowsska, Zofia [Autor, 5%]. – text. – [angličtina]. – [OV 100]. – [článok]. – DOI 10.33542/GC2021-1-01. – WOS CC ; SCO In: Geographia Cassoviensis [textový dokument (print)] [elektronický dokument] . – Košice (Slovensko) : Univerzita Pavla Jozefa Šafárika v Košiciach. Prírodovedecká fakulta. Ústav geografie. – ISSN 1337-6748. – ISSN (online) 2454-0005. – Roč. 15, č. 1 (2021), s. 5-26 [tlačená forma] [online] . – CiteScore: 1 ; SJR: 0,175 ; SNIP: 0,204 ; AIS: 0.079 AIS - Geography - Q3 Scimago - Earth and planetary sciences (miscellaneous) - Q4, Geography, planning and development - Q4 </t>
  </si>
  <si>
    <t xml:space="preserve">Sídliskové nálezy zo staršej doby bronzovej na ulici Za Ferenitkou v Nitre = Settlement Finds from the Early Bronze Age in Za Ferenitkou Street in Nitra / Bobek, Pavol [Autor, 45%] ; Kissová, Miroslava [Autor, 45%] ; Šimunková, Katarína [Autor, UKFFFAKAR, 10%]. – text. – [slovenčina]. – [OV 030]. – [článok]. – DOI 10.31577/slovarch.2020.suppl.1.3. – WOS CC ; SCO In: Slovenská archeológia [textový dokument (print)] [elektronický dokument] : časopis Archeologického ústavu Slovenskej akadémie vied v Nitre = journal of the Archaeological Institute of the Slovak Academy of Sciences in Nitra = Zeitschrift des Archäologischen Institutes der Slowakischen Akademie der Wissenschaften in Nitra. – Nitra (Slovensko) : Slovenská akadémia vied. Pracoviská SAV. Archeologický ústav. – ISSN 1335-0102. – ISSN (online) 2585-9145. – suppl. Roč. 68, č. Suppl. 1 (2020), s. 67-78 [tlačená forma] . – SJR: 0,306 ; CiteScore: 0,4 ; SNIP: 2,662 ; AIS: 0.222 AIS - Archaeology - Q2 Scimago - Archeology - Q2, Archeology (arts and humanities) - Q2 </t>
  </si>
  <si>
    <t xml:space="preserve">Sklené koráliky doby bronzovej a halštatskej na Slovensku a stanovenie ich fyzikálnych charakteristík = Glass beads of the bronze age and hallstatt period in Slovakia and determination of their physical characteristics / Benediková, Lucia [Autor, 11%] ; Miroššayová, Elena [Autor, 9%] ; Stegmann-Rajtár, Susanne [Autor, 20%] ; Illášová, Ľudmila [Autor, UKFFPVGMU, 15%] ; Štubňa, Ján [Autor, UKFFPVKGR, 45%]. – [slovenčina]. – [OV 030]. – [článok]. – DOI 10.17846/SHN.2021.25.1.3-46. – SCO In: Studia Historica Nitriensia [textový dokument (print)] [elektronický dokument] . – Nitra (Slovensko) : Univerzita Konštantína Filozofa v Nitre. – ISSN 1338-7219. – ISSN (online) 2585-8661. – Roč. 25, č. 1 (2021), 3-46 [tlačená forma] [online] . – CiteScore: 0,4 ; SJR: 0,209 ; SNIP: 1,036 Scimago - Cultural studies - Q2, History - Q1, Museology - Q2 </t>
  </si>
  <si>
    <t xml:space="preserve">Slovak averroes poetic composition from 1701 = Un componimento averroista in slovacco del 1701 / Koprda, Pavol [Autor, UKFFFAKRO, 100%]. – text. – [angličtina]. – [OV 020]. – [článok]. – DOI 10.18355/XL.2018.11.01XL.19. – SCO In: XLinguae [textový dokument (print)] [elektronický dokument] : European scientific language journal. – Nitra (Slovensko) : Vzdelávanie Don Bosca, Nitra (Slovensko) : Slovenská Vzdelávacia a Obstarávacia. – ISSN 1337-8384. – ISSN (online) 2453-711X. – Roč. 11, č. 2 (2018), s. 217-229 [tlačená forma] [online] . – SNIP: 1,517 ; SJR: 0,676 ; CiteScore: 1,8 Scimago - Language and linguistics - Q1, Linguistics and language - Q1, Philosophy - Q1 </t>
  </si>
  <si>
    <t xml:space="preserve">Slovak 'no' and its pragmatic meanings and functions in relation to prosody / Mareková, Lucia [Autor, UKFFFAKAA, 50%] ; Beňuš, Štefan [Autor, UKFFFAKAA, 50%]. – text. – [angličtina]. – [OV 020]. – [článok]. – DOI 10.2478/topling-2020-0001. – WOS CC ; SCO In: Topics in Linguistics [textový dokument (print)] [elektronický dokument] . – Varšava (Poľsko) : De Gruyter. De Gruyter Open, Nitra (Slovensko) : Univerzita Konštantína Filozofa v Nitre. Filozofická fakulta. – ISSN 1337-7590. – ISSN (online) 2199-6504. – ISSN (zrušené) 3836-2007. – Roč. 21, č. 1 (2020), 1-14 [tlačená forma] [online] . – SJR: 0,134 ; CiteScore: 0,4 ; SNIP: 0,159 ; AIS: 0.362 AIS - Language &amp; linguistics - Q1 Scimago - Language and linguistics - Q3, Linguistics and language - Q3 </t>
  </si>
  <si>
    <t xml:space="preserve">Social communication of seniors / Határ, Ctibor [Autor, UKFPFAKPE, 100%]. – text. – [angličtina]. – [OV 010]. – [článok]. – DOI 10.18355/XL.2019.12.03.01. – SCO In: XLinguae [textový dokument (print)] [elektronický dokument] : European scientific language journal. – Nitra (Slovensko) : Vzdelávanie Don Bosca, Nitra (Slovensko) : Slovenská Vzdelávacia a Obstarávacia. – ISSN 1337-8384. – ISSN (online) 2453-711X. – Roč. 12, č. 3 (2019), 3-11 [tlačená forma] [online] . – SNIP: 0,879 ; SJR: 0,318 ; CiteScore: 2.2 Scimago - Language and linguistics - Q1, Linguistics and language - Q1, Philosophy - Q1 </t>
  </si>
  <si>
    <t xml:space="preserve">Social trinitarianism in light of Luther's theological emphases in his doctrine of the trinity = Sociálny trinitarianizmus vo svetle lutherových dôrazov v učení o trojici] / Valčo, Michal [Autor, PUPGRHV, 20%] ; Šturák, Peter [Autor, PUPGRHV, 20%] ; Valčová, Katarína [Autor, UKOEBPT, 20%] ; Zozuľak, Ján [Autor, UKFFFAKFI, 20%] ; Dura, Ioan [Autor, 20%]. – text. – [slovenčina]. – [OV 020]. – [článok]. – SIGN-PU GTF-19 162/19. – SCO In: Historia Ecclesiastica [textový dokument (print)] : časopis pre dejiny cirkví a náboženstiev v Strednej Európe. – Prešov (Slovensko) : Prešovská univerzita v Prešove. – ISSN 1338-4341. – Roč. 10, č. 1 (2019), s. 176-192 [tlačená forma] . – SJR: 0,419 ; CiteScore: 0,2 ; SNIP: 0,118 Scimago - History - Q1, Religious studies - Q1 </t>
  </si>
  <si>
    <t xml:space="preserve">Social work with families of children placed in institutional care (short communication) / Minarovičová, Katarína [Autor, UKFFSVKSP, 100%]. – text. – [angličtina]. – [OV 060]. – [článok]. – WOS CC In: Acta Missiologica [textový dokument (print)] [elektronický dokument] : akademický časopis Inštitútu misijnej práce a Tropického zdravotníctva Jána Pavla II., VŠ ZSP Svätej Alžbety. – Bratislava (Slovensko) : Vysoká škola zdravotníctva a sociálnej práce sv. Alžbety v Bratislave. – ISSN 1337-7515. – ISSN (online) 2453-7160. – ISSN (chybné) 1333-0023. – Roč. 15, č. 1 (2021), s. 179-183 [tlačená forma] [online] . – AIS: 0.039 AIS - Religion - Q4 </t>
  </si>
  <si>
    <t xml:space="preserve">Socialist Realism in the Context of Existentialism: D. Tatarka and his Novel The Birthday Cake / Antošová, Marcela [Autor, UKFFFAKZU, 100%]. – text. – [angličtina]. – [OV 030, 040]. – [článok]. – WOS CC In: European Journal of Media, Art and Photography [textový dokument (print)] [elektronický dokument] . – Trnava (Slovensko) : Univerzita sv. Cyrila a Metoda v Trnave. Fakulta masmediálnej komunikácie. – ISSN 1339-4940. – Roč. 9, č. 1 (2021), 122-126 [tlačená forma] [online] . – AIS: 0.089 AIS - Art - Q3 </t>
  </si>
  <si>
    <t xml:space="preserve">Socialist-Realistic Consistency (Companionable Summers) / Antošová, Marcela [Autor, UKFFFAKZU, 100%]. – text. – [angličtina]. – [OV 020]. – [článok]. – WOS CC In: European Journal of Media, Art and Photography [textový dokument (print)] [elektronický dokument] . – Trnava (Slovensko) : Univerzita sv. Cyrila a Metoda v Trnave. Fakulta masmediálnej komunikácie. – ISSN 1339-4940. – Roč. 6, č. 1 (2018), s. 100-111 [tlačená forma] [online] </t>
  </si>
  <si>
    <t xml:space="preserve">Socio-Cultural Aspects of Present-Day Internal Suburban Migration in Slovakia - in the Example of the Village Soblahov in the Trencin District / Bošelová, Miriama [Autor, UKFFFAKEF, 100%]. – [angličtina]. – [OV 030]. – [článok]. – DOI 10.2478/se-2019-0016. – WOS CC ; SCO In: Slovenský národopis [textový dokument (print)] [elektronický dokument] : časopis Ústavu etnológie Slovenskej akadémie vied = journal of the Institute of Ethnology of the Slovak Academy of Sciences = Zeitschrift des Ethnologischen Institutes der Slowakischen Akademie der Wissenschaften = revue de l'Institut d'ethnologie de l'Académie slovaque des sciences. – Bratislava (Slovensko) : Slovenská akadémia vied. Pracoviská SAV. Ústav etnológie. – ISSN 1335-1303. – ISSN (online) 1339-9357. – Roč. 67, č. 3 (2019), 275-292 [tlačená forma] [online] </t>
  </si>
  <si>
    <t xml:space="preserve">Stance complement clauses controlled by verbs in academic research papers / Kozáčiková, Zuzana [Autor, UKFFFAKAA, 100%]. – text. – [angličtina]. – [OV 020]. – [článok]. – DOI 10.2478/topling-2021-0002. – WOS CC ; SCO In: Topics in Linguistics [textový dokument (print)] [elektronický dokument] . – Varšava (Poľsko) : De Gruyter. De Gruyter Open, Nitra (Slovensko) : Univerzita Konštantína Filozofa v Nitre. Filozofická fakulta. – ISSN 1337-7590. – ISSN (online) 2199-6504. – ISSN (zrušené) 3836-2007. – Roč. 22, č. 1 (2021), s. 16-26 [tlačená forma] [online] . – CiteScore: 0,7 ; SJR: 0,152 ; SNIP: 0,42 ; AIS: 0.185 AIS - Language &amp; linguistics - Q2 Scimago - Linguistics and language - Q3 </t>
  </si>
  <si>
    <t xml:space="preserve">Sts. Cyril and Methodius and Their Reflection in the Landscape of Slovakia / Nemčíková, Magdaléna [Autor, UKFFPVKGR, 30%] ; Krogmann, Alfred [Autor, UKFFPVKGR, 30%] ; Oremusová, Daša [Autor, UKFFPVKGR, 30%] ; Ambrosio, Vitor [Autor, 5%] ; Mróz, Franciszek [Autor, 5%]. – text. – [angličtina]. – [OV 020, 092]. – [článok]. – DOI 10.17846/CL.2020.13.1.224-236. – WOS CC ; SCO In: Konštantínove listy [textový dokument (print)] [elektronický dokument] . – Nitra (Slovensko) : Univerzita Konštantína Filozofa v Nitre. Filozofická fakulta. Ústav pre výskum kultúrneho dedičstva Konštantína a Metoda. – ISSN 1337-8740. – ISSN (online) 2453-7675. – Roč. 13, č. 1 (2020), 224-236 [tlačená forma] [online] . – SJR: 0,248 ; CiteScore: 0,7 ; SNIP: 1,213 ; AIS: 0.286 AIS - Humanities, multidisciplinary - Q1 Scimago - History - Q1, Philosophy - Q2, Religious studies - Q1 </t>
  </si>
  <si>
    <t xml:space="preserve">Súdny proces so starostom Nitry Františkom Mojtom v roku 1946 v materiáloch Národného súdu [Trial with Nitra mayor František Mojto in 1946 in the materials of the National court] / Hetényi, Martin [Autor, UKFFFAUKD, 100%]. – text. – [slovenčina]. – [OV 020]. – [článok]. – DOI 10.17846/SHN.2021.25.1.191-214. – SCO In: Studia Historica Nitriensia [textový dokument (print)] [elektronický dokument] . – Nitra (Slovensko) : Univerzita Konštantína Filozofa v Nitre. – ISSN 1338-7219. – ISSN (online) 2585-8661. – Roč. 25, č. 1 (2021), 191-214 [tlačená forma] [online] . – CiteScore: 0,4 ; SJR: 0,209 ; SNIP: 1,036 Scimago - Cultural studies - Q2, History - Q1, Museology - Q2 </t>
  </si>
  <si>
    <t xml:space="preserve">Školská taška a hypokinéza ako rizikové faktory vzniku posturálnych porúch = School bag and hypokinesis as risk factors for postural impairment genesis / Orbanová, Eva [Autor, TUTFFETI, 40%] ; Viczayová, Ildikó [Autor, UKFFSSUVP, 5%] ; Matejovičová, Barbora [Autor, UKFFPVKZA, 10%] ; Baráth, Ladislav [Autor, UKFFSSUVP, 30%] ; Juríková, Tünde [Autor, UKFFSSUVP, 10%] ; Gelžinská, Ľ. [Autor, 5%]. – [slovenčina]. – [OV 020, 010]. – [článok]. – TUT ID E087635. – SCO In: Rehabilitácia [elektronický dokument] [textový dokument (print)] : vedecko-odborný, recenzovaný časopis pre otázky liečebnej, pracovnej, psychosociálnej a výchovnej rehabilitácie. – Bratislava (Slovensko) : Obzor, Bratislava (Slovensko) : Vydavateľstvo Liečreh Gúth. – ISSN 0375-0922. – Roč. 58, č. 3 (2021), s. 219-227 [online] [tlačená forma] . – SNIP: 0,318 ; SJR: 0,402 ; CiteScore: 1 Scimago - Physical therapy, sports therapy and rehabilitation - Q2, Rehabilitation - Q2 </t>
  </si>
  <si>
    <t xml:space="preserve">Taanit bechorim (Fast of the first-born) in rabbinic judaism = "Taanit bechorim" (pust prvorozenych) v rabinskem judaismu / Králik, Roman [Autor, UKFFFAKAE 06.2022, 33%] ; Roubalová, Marie [Autor, 33%] ; Lenovský, Ladislav [Autor, UCMFIFKEMŠ, 32%] ; Tuska, Tunde [Autor, 1%] ; Kralj Vuksić, Sandra [Autor, 1%]. – text. – [čeština]. – [OV 030]. – [článok]. – DOI 10.18355/XL.2018.11.02.02. – SCO In: XLinguae [textový dokument (print)] [elektronický dokument] : European scientific language journal. – Nitra (Slovensko) : Vzdelávanie Don Bosca, Nitra (Slovensko) : Slovenská Vzdelávacia a Obstarávacia. – ISSN 1337-8384. – ISSN (online) 2453-711X. – Roč. 11, č. 2 (2018), s. 17-23 [tlačená forma] [online] . – SNIP: 1,517 ; SJR: 0,676 ; CiteScore: 1,8 Scimago - Language and linguistics - Q1, Linguistics and language - Q1, Philosophy - Q1 </t>
  </si>
  <si>
    <t xml:space="preserve">Teachers' professional digital literacy skills and their upgrade / Záhorec, Ján [Autor, UKOPDDPP, 40%] ; Hašková, Alena [Autor, UKFPFAKTT, 40%] ; Munk, Michal [Autor, UKFFPVKIN, 20%]. – text. – [angličtina]. – [OV 010]. – [článok]. – DOI 10.13187/ejced.2019.2.378. – SIGN-UKO PD DP/19. – ESCI ; WOS CC ; SCO In: European journal of contemporary education [elektronický dokument] . – Bratislava (Slovensko) : Academic Publishing House Researcher. – ISSN 2304-9650. – ISSN (online) 2305-6746. – Roč. 8, č. 2 (2019), 378-393 [online] . – SJR: 0,378 ; SNIP: 0,958 ; CiteScore: 1,9 Scimago - Education - Q2 </t>
  </si>
  <si>
    <t xml:space="preserve">Teaching foreign languages in Slovakia (1918 – 2018) / Kráľová, Zdena [Autor, UKFPFAKLI, 50%] ; Malá, Eva [Autor, UKFPFAKLI, 50%]. – [angličtina]. – [OV 020]. – [článok]. – DOI 10.18355/XL.2018.11.04.02. – SCO In: XLinguae [textový dokument (print)] [elektronický dokument] : European scientific language journal. – Nitra (Slovensko) : Vzdelávanie Don Bosca, Nitra (Slovensko) : Slovenská Vzdelávacia a Obstarávacia. – ISSN 1337-8384. – ISSN (online) 2453-711X. – Roč. 11, č. 4 (2018), s. 11-21 [tlačená forma] [online] . – SNIP: 1,517 ; SJR: 0,676 ; CiteScore: 1,8 Scimago - Language and linguistics - Q1, Linguistics and language - Q1, Philosophy - Q1 </t>
  </si>
  <si>
    <t xml:space="preserve">The “relational self”: philosophical-religious reflections in anthropology and personalism / Valčo, Michal [Autor, UKFFFAKAE 06.2022, 50%] ; Šturák, Peter [Autor, PUPGRHV, 50%]. – text. – [angličtina]. – [OV 020, 030]. – [článok]. – DOI 10.18355/XL.2018.11.01XL.24. – SIGN-PU GTF 1/18. – SCO In: XLinguae [textový dokument (print)] [elektronický dokument] : European scientific language journal. – Nitra (Slovensko) : Vzdelávanie Don Bosca, Nitra (Slovensko) : Slovenská Vzdelávacia a Obstarávacia. – ISSN 1337-8384. – ISSN (online) 2453-711X. – suppl. Roč. 11, č. 1XL (2018), s. 289-299 [tlačená forma] [online] . – SNIP: 1,517 ; SJR: 0,676 ; CiteScore: 1,8 Scimago - Language and linguistics - Q1, Linguistics and language - Q1, Philosophy - Q1 </t>
  </si>
  <si>
    <t xml:space="preserve">The abolition of ethnic, racial, or cultural distinctions in the apostle Paul. Indicative patristic approach / Lamprou, Soultana [Autor, 50%] ; Zozuľaková, Viera [Autor, UKFFFAKSO, 50%]. – [angličtina]. – [OV 020]. – [článok]. – DOI 10.17846/CL.2019.12.2.33-42. – WOS CC ; SCO In: Konštantínove listy [textový dokument (print)] [elektronický dokument] . – Nitra (Slovensko) : Univerzita Konštantína Filozofa v Nitre. Filozofická fakulta. Ústav pre výskum kultúrneho dedičstva Konštantína a Metoda. – ISSN 1337-8740. – ISSN (online) 2453-7675. – Roč. 12, č. 2 (2019), 33-42 [tlačená forma] [online] . – SNIP: 0,608 ; SJR: 0,342 ; CiteScore: 1,1 Scimago - History - Q1, Philosophy - Q1, Religious studies - Q1 </t>
  </si>
  <si>
    <t xml:space="preserve">The apostolic mission of Saints Cyril and Methodius in the context of the word phenomenon development in Ukrainian culture / Kovalchuk, Natalia [Autor, 20%] ; Jakubovská, Viera [Autor, UKFFFAKFI, 80%]. – text. – [angličtina]. – [OV 020]. – [článok]. – DOI 10.17846/CL.2018.11.2.87-97. – WOS CC ; SCO In: Konštantínove listy [textový dokument (print)] [elektronický dokument] . – Nitra (Slovensko) : Univerzita Konštantína Filozofa v Nitre. Filozofická fakulta. Ústav pre výskum kultúrneho dedičstva Konštantína a Metoda. – ISSN 1337-8740. – ISSN (online) 2453-7675. – Roč. 11, č. 2 (2018), s. 87-97 [tlačená forma] [online] . – SNIP: 0,941 ; SJR: 0,542 ; CiteScore: 1,1 Scimago - History - Q1, Philosophy - Q1, Religious studies - Q1 </t>
  </si>
  <si>
    <t xml:space="preserve">The Application of Digital Technologies in the Research of Traditional Instrumental Music in Slovakia / Ambrózová, Jana [Autor, UKFFFAKEF, 100%]. – text. – [angličtina]. – [OV 030]. – [článok]. – DOI 10.26363/SN.2018.1.02. – WOS CC In: Slovenský národopis [textový dokument (print)] [elektronický dokument] : časopis Ústavu etnológie Slovenskej akadémie vied = journal of the Institute of Ethnology of the Slovak Academy of Sciences = Zeitschrift des Ethnologischen Institutes der Slowakischen Akademie der Wissenschaften = revue de l'Institut d'ethnologie de l'Académie slovaque des sciences. – Bratislava (Slovensko) : Slovenská akadémia vied. Pracoviská SAV. Ústav etnológie. – ISSN 1335-1303. – ISSN (online) 1339-9357. – Roč. 66, č. 1 (2018), s. 29-55 [tlačená forma] [online] </t>
  </si>
  <si>
    <t xml:space="preserve">The Bioindication Evaluation of Ground Beetles (Coleoptera: Carabidae) in Three Forest Biotopes in the Southern Part of Central Slovakia / Petrovič, František [Autor, UKFFPVKEE, 3%] ; Langraf, Vladimír [Autor, UKFFPVKEE, 40%] ; Petrovičová, Kornélia [Autor, SPUFAP26, 40%] ; David, Stanislav [Autor, UKFFPVKEE, 11%] ; Nozdrovická, Jana [Autor, UKFFPVKEE, 3%] ; Schlarmannová, Janka [Autor, UKFFPVKZA, 3%]. – text. – [angličtina]. – [OV 100, 190]. – [článok]. – DOI 10.2478/eko-2019-0003. – WOS CC ; SCO In: Ekológia [textový dokument (print)] [elektronický dokument] : Medzinárodný časopis pre ekologické problémy biosféry = International Journal for Ecological Problems of the Biosphere : The Journal of Institute of Landscape Ecology of Slovak Academy of Sciences. – Bratislava (Slovensko) : Slovenská akadémia vied. Pracoviská SAV. Ústav krajinnej ekológie. – ISSN 1335-342X. – ISSN (online) 1337-947X. – Roč. 38, č. 1 (2019), 25-36 [tlačená forma] [online] . – SNIP: 0,755 ; SJR: 0,279 ; CiteScore: 1,3 Scimago - Ecology - Q3 </t>
  </si>
  <si>
    <t xml:space="preserve">The concept of happiness in Night Zoo / Gergelyová, Viktória [Autor, UKFFSSUML, 100%]. – text. – [angličtina]. – [OV 020]. – [článok]. – DOI 10.2478/aa-2019-0006. – SCO In: Ars aeterna [textový dokument (print)] [elektronický dokument] : literary Studies and Humanity. – ISSN 1337-9291. – ISSN (online) 2450-8497. – Roč. 11, č. 1 (2019), 67-74 [tlačená forma] [online] . – SJR: 0,101 ; CiteScore: 0,2 ; SNIP: 0,818 Scimago - Cultural studies - Q4, Language and linguistics - Q4, Linguistics and language - Q4, Literature and literary theory - Q3 </t>
  </si>
  <si>
    <t xml:space="preserve">The cyrillo-methodian cult and religiosity in Slovakia from the 19th to the 21st century / Hetényi, Martin [Autor, UKFFFAUKD, 100%]. – text. – [angličtina]. – [OV 030]. – [článok]. – DOI 10.17846/CL.2019.12.1.141-158. – WOS CC ; SCO In: Konštantínove listy [textový dokument (print)] [elektronický dokument] . – Nitra (Slovensko) : Univerzita Konštantína Filozofa v Nitre. Filozofická fakulta. Ústav pre výskum kultúrneho dedičstva Konštantína a Metoda. – ISSN 1337-8740. – ISSN (online) 2453-7675. – Roč. 12, č. 1 (2019), 141-158 [tlačená forma] [online] . – SNIP: 0,608 ; SJR: 0,342 ; CiteScore: 1,1 Scimago - History - Q1, Philosophy - Q1, Religious studies - Q1 </t>
  </si>
  <si>
    <t xml:space="preserve">The Differential Effects of Dynamic Assessment Versus Coded Focused Feedback on the Process Writing of EFL Learners / Azizi, Mahmood [Autor, 15%] ; Pavlíková, Martina [Autor, UKFFFAKZU, 40%] ; Slobodová Nováková, Katarína [Autor, UCMFIFKEMŠ, 40%] ; Baghana, Jerome [Autor, 5%]. – [angličtina]. – [OV 010]. – [článok]. – DOI 10.13187/ejced.2021.2.273. – WOS CC ; SCO In: European journal of contemporary education [elektronický dokument] . – Bratislava (Slovensko) : Academic Publishing House Researcher. – ISSN 2304-9650. – ISSN (online) 2305-6746. – Roč. 10, č. 2 (2021), s. 273-284 [online] . – CiteScore: 3,4 ; SJR: 0,619 ; SNIP: 1,042 ; AIS: 0.452 AIS - Education &amp; educational research - Q1 Scimago - Education - Q2 </t>
  </si>
  <si>
    <t xml:space="preserve">The Effect of Awareness Raising and Explicit Collocation Instruction on Writing Fluency of EFL Learners / Khonamri, Fatemeh [Autor, 33%] ; Ahmadi, Faegheh [Autor, 1%] ; Pavlíková, Martina [Autor, UKFFFAKZU, 33%] ; Petrikovičová, Lucia [Autor, UKFFPVKGR, 33%]. – text. – [angličtina]. – [OV 010]. – [článok]. – DOI 10.13187/ejced.2020.4.786. – WOS CC ; SCO In: European journal of contemporary education [elektronický dokument] . – Bratislava (Slovensko) : Academic Publishing House Researcher. – ISSN 2304-9650. – ISSN (online) 2305-6746. – Roč. 9, č. 4 (2020), 786-806 [online] . – SJR: 0,517 ; CiteScore: 3 ; SNIP: 1,197 ; AIS: 0.597 AIS - Education &amp; educational research - Q1 Scimago - Education - Q2 </t>
  </si>
  <si>
    <t xml:space="preserve">The effects of guessing confidence on anticipatory behaviour in context understanding / Kleman, Peter [Autor, UKFFFAKAA, 100%]. – text. – [angličtina]. – [OV 010, 020]. – [článok]. – DOI 10.2478/jolace-2020-0023. – WOS CC In: Journal of Language and Cultural Education [textový dokument (print)] [elektronický dokument] . – Trnava (Slovensko) : Trnavská univerzita v Trnave. Pedagogická fakulta. – ISSN 1339-4045. – ISSN (online) 1339-4584. – Roč. 8, č. 3 (2020), s. 97-113 [tlačená forma] [online] . – AIS: 0.070 AIS - Education &amp; educational research - Q4 </t>
  </si>
  <si>
    <t xml:space="preserve">The Encyclical Grande Munus and a Response to It From the Slovak Catholics / Ivanič, Peter [Autor, UKFFFAUKD, 100%]. – text. – [angličtina]. – [OV 030, 020]. – [článok]. – DOI 10.17846/CL.2019.12.2.98-106. – WOS CC ; SCO In: Konštantínove listy [textový dokument (print)] [elektronický dokument] . – Nitra (Slovensko) : Univerzita Konštantína Filozofa v Nitre. Filozofická fakulta. Ústav pre výskum kultúrneho dedičstva Konštantína a Metoda. – ISSN 1337-8740. – ISSN (online) 2453-7675. – Roč. 12, č. 2 (2019), 98-106 [tlačená forma] [online] . – SNIP: 0,608 ; SJR: 0,342 ; CiteScore: 1,1 Scimago - History - Q1, Philosophy - Q1, Religious studies - Q1 </t>
  </si>
  <si>
    <t xml:space="preserve">The end of the kingdom of Judah and its echoes in the Jewish calendar = Konec Judskeho kralovstvi a jeho ozveny v zidovskem kalendari / Roubalová, Marie [Autor, 5%] ; Kalugina, Olga A. [Autor, 1%] ; Králik, Roman [Autor, ZUZFHVKFR, 50%] ; Kondrla, Peter [Autor, UKFFFAKNS, 44%]. – text. – [angličtina]. – [OV 060, 020]. – [článok]. – DOI 10.18355/XL.2020.13.03.16. – SCO In: XLinguae [textový dokument (print)] [elektronický dokument] : European scientific language journal. – Nitra (Slovensko) : Vzdelávanie Don Bosca, Nitra (Slovensko) : Slovenská Vzdelávacia a Obstarávacia. – ISSN 1337-8384. – ISSN (online) 2453-711X. – Roč. 13, č. 3 (2020), 194-205 [tlačená forma] [online] . – SJR: 0.385 ; CiteScore: 2,5 ; SNIP: 0,804 Scimago - Language and linguistics - Q1, Linguistics and language - Q1, Philosophy - Q1 </t>
  </si>
  <si>
    <t xml:space="preserve">The epos Cirillo-Metodiada in peripeteias of literary historical reception / Taneski, Martina [Autor, UKFFFASJL, 100%]. – text. – [angličtina]. – [OV 020]. – [článok]. – DOI 10.17846/CL.2018.11.2.143-150. – WOS CC ; SCO In: Konštantínove listy [textový dokument (print)] [elektronický dokument] . – Nitra (Slovensko) : Univerzita Konštantína Filozofa v Nitre. Filozofická fakulta. Ústav pre výskum kultúrneho dedičstva Konštantína a Metoda. – ISSN 1337-8740. – ISSN (online) 2453-7675. – Roč. 11, č. 2 (2018), s. 143-150 [tlačená forma] [online] . – SNIP: 0,941 ; SJR: 0,542 ; CiteScore: 1,1 Scimago - History - Q1, Philosophy - Q1, Religious studies - Q1 </t>
  </si>
  <si>
    <t xml:space="preserve">The ethical aspects of techno-science, dromology, and hyperreality / Šebíková, Lívia [Autor, UKFFFAKAE 06.2022, 100%]. – text. – [angličtina]. – [OV 020]. – [článok]. – SCO In: Communications [textový dokument (print)] [elektronický dokument] : scientific letters of the University of Žilina. – Žilina (Slovensko) : Žilinská univerzita v Žiline. Vydavateľstvo EDIS. – ISSN 1335-4205. – ISSN (online) 2585-7878. – suppl. Roč. 20, č. 1A (2018), s. 32-37 [tlačená forma] [online] . – SJR: 0,488 ; CiteScore: 1,9 ; SNIP: 1,151 Scimago - Automotive engineering - Q2, Computer networks and communications - Q2, Economics and econometrics - Q2, Electrical and electronic engineering - Q2, Transportation - Q2 </t>
  </si>
  <si>
    <t xml:space="preserve">The ethical context of social philosophy in contemporary India / Hajko, Dalimír [Autor, ZUZFHVKFR, 50%] ; Török, Ľuboš [Autor, UKFFFAKTR, 50%]. – text. – [angličtina]. – [OV 020]. – [článok]. – DOI 10.2478/ebce-2018-0009. – SCO In: Ethics &amp; Bioethics [textový dokument (print)] [elektronický dokument] : (in Central Europe). – Varšava (Poľsko) : De Gruyter. – ISSN 1338-5615. – ISSN (online) 2453-7829. – Roč. 8, č. 1-2 (2018), s. 121-138 [tlačená forma] [online] . – SJR: 0,161 ; CiteScore: 0,5 Scimago - Education - Q4, Health policy - Q4, Philosophy - Q2 </t>
  </si>
  <si>
    <t xml:space="preserve">The figure of the martyr in Ngũgĩ wa Thiong’o’s short fiction / Klimková, Simona [Autor, UKFFFAKAA, 100%]. – text. – [angličtina]. – [OV 020]. – [článok]. – DOI 10.2478/aa-2021-0017. – SCO In: Ars aeterna [textový dokument (print)] [elektronický dokument] : literary Studies and Humanity. – ISSN 1337-9291. – ISSN (online) 2450-8497. – Roč. 13, č. 3 (2021), s. 57-65 [tlačená forma] [online] . – CiteScore: 0,1 ; SJR: 0,108 ; SNIP: 0,103 Scimago - Cultural studies - Q3, Linguistics and language - Q4, Literature and literary theory - Q3 </t>
  </si>
  <si>
    <t xml:space="preserve">The french language environment in slovakia and the professional development tools for a french language teacher = Prostredie francúzskeho jazyka na Slovensku a nástroje profesijného rozvoja pre učiteľa francúzskeho jazyka / Pupíková, Eva [Autor, UKFPFAKPE, 60%] ; Bírová, Jana [Autor, UCMFIFKPED, 40%]. – text. – [angličtina]. – [OV 010]. – [článok]. – DOI 10.18355/XL.2020.13.01.01. – SCO In: XLinguae [textový dokument (print)] [elektronický dokument] : European scientific language journal. – Nitra (Slovensko) : Vzdelávanie Don Bosca, Nitra (Slovensko) : Slovenská Vzdelávacia a Obstarávacia. – ISSN 1337-8384. – ISSN (online) 2453-711X. – Roč. 13, č. 1 (2020), s. 6-23 [tlačená forma] [online] . – SJR: 0.385 ; CiteScore: 2,5 ; SNIP: 0,804 Scimago - Language and linguistics - Q1, Linguistics and language - Q1, Philosophy - Q1 </t>
  </si>
  <si>
    <t xml:space="preserve">The golden rule of morality - An ethical paradox / Máhrik, Tibor [Autor, UKFFFAKAE 06.2022, 100%]. – text. – [angličtina]. – [OV 020]. – [článok]. – DOI 10.2478/ebce-2018-0004. – SCO In: Ethics &amp; Bioethics [textový dokument (print)] [elektronický dokument] : (in Central Europe). – Varšava (Poľsko) : De Gruyter. – ISSN 1338-5615. – ISSN (online) 2453-7829. – Roč. 8, č. 1-2 (2018), s. 5-13 [tlačená forma] [online] . – SJR: 0,161 ; CiteScore: 0,5 Scimago - Education - Q4, Health policy - Q4, Philosophy - Q2 </t>
  </si>
  <si>
    <t xml:space="preserve">The impact of collaborative instruction of language learning strategies on language learning beliefs and learner autonomy / Khonamri, Fatemeh [Autor, 48%] ; Pavlíková, Martina [Autor, UKFFFAKZU, 48%] ; Ansari, Fatemeh [Autor, 1%] ; Sokolova, Natalia L. [Autor, 1%] ; Korzhuev, Andrey V. [Autor, 1%] ; Rudakova, Elena V. [Autor, 1%]. – [angličtina]. – [OV 010]. – [článok]. – SCO In: XLinguae [textový dokument (print)] [elektronický dokument] : European scientific language journal. – Nitra (Slovensko) : Vzdelávanie Don Bosca, Nitra (Slovensko) : Slovenská Vzdelávacia a Obstarávacia. – ISSN 1337-8384. – ISSN (online) 2453-711X. – Roč. 13, č. 4 (2020), s. 216-234 [tlačená forma] [online] . – SJR: 0.385 ; CiteScore: 2,5 ; SNIP: 0,804 Scimago - Language and linguistics - Q1, Linguistics and language - Q1, Philosophy - Q1 </t>
  </si>
  <si>
    <t xml:space="preserve">The Impact of the British Mutation on the Epidemiological Situation of Coronavirus Infection in Nitra = Vplyv britskej mutácie na epidemiologickú situáciu koronavírusovej infekcie v Nitre / Líšková, Anna [Autor, VSSVArektorat, 33%] ; Szakácsová, Ivana [Autor, VSSVArektorat, 33%] ; Lengyelová, Libuša [Autor, UKFFPVKBG, 34%]. – text. – [angličtina]. – [OV 180, 130]. – [ŠO 5214]. – [článok]. – SCO In: Lekársky obzor [textový dokument (print)] [elektronický dokument] : odborný časopis Slovenskej zdravotníckej univerzity v Bratislave. – Bratislava (Slovensko) : Herba, Bratislava (Slovensko) : Slovenská zdravotnícka univerzita v Bratislave. – ISSN 0457-4214. – ISSN (zrušené) 0322-9203. – Roč. 70, č. 12 (2021), 450-453 [tlačená forma] [online] . – SNIP: 0.204 ; SJR: 0.186 ; CiteScore: 0.5 Scimago - Medicine (miscellaneous) - Q4 </t>
  </si>
  <si>
    <t xml:space="preserve">The Importance of Intercultural Communicative Competences for Tourism Labour Market: Students' Views and their Self-Assessment / Sándorová, Zuzana [Autor, UKFFSSKCR, 100%]. – text. – [angličtina]. – [OV 080]. – [článok]. – DOI 10.2478/jolace-2019-0007. – WOS CC In: Journal of Language and Cultural Education [textový dokument (print)] [elektronický dokument] . – Trnava (Slovensko) : Trnavská univerzita v Trnave. Pedagogická fakulta. – ISSN 1339-4045. – ISSN (online) 1339-4584. – Roč. 7, č. 1 (2019), 103-117 [tlačená forma] [online] </t>
  </si>
  <si>
    <t xml:space="preserve">The involvement of neuro-linguistics and mind mapping in the development of a holistic perception of language education / Petrová, Gabriela [Autor, UKFPFAKPE, 50%] ; Kozárová, Nina [Autor, UKFPFAKPE, 50%]. – text. – [angličtina]. – [OV 010]. – [článok]. – DOI 10.2478/jolace-2018-0019. – WOS CC In: Journal of Language and Cultural Education [textový dokument (print)] [elektronický dokument] . – Slovensko : SlovakEdu, Warsaw (Poľsko) : De Gruyter. De Gruyter Open. – ISSN 1339-4045. – ISSN (online) 1339-4584. – Roč. 6, č. 2 (2018), 116-125 [tlačená forma] [online] </t>
  </si>
  <si>
    <t xml:space="preserve">The most important aspects of early foreign-language education in primary schools / Khuziakhmetov, Anwar N. [Autor, 10%] ; Valeev, Agzam A. [Autor, 10%] ; Kráľová, Zdena [Autor, UKFPFAKLI, 40%] ; Duchovičová, Jana [Autor, UKFPFAKPE, 40%]. – text. – [angličtina]. – [OV 010]. – [článok]. – DOI 10.18355/XL.2018.11.02.30. – SCO In: XLinguae [textový dokument (print)] [elektronický dokument] : European scientific language journal. – Nitra (Slovensko) : Vzdelávanie Don Bosca, Nitra (Slovensko) : Slovenská Vzdelávacia a Obstarávacia. – ISSN 1337-8384. – ISSN (online) 2453-711X. – Roč. 11, č. 2 (2018), s. 370-382 [tlačená forma] [online] . – SNIP: 1,517 ; SJR: 0,676 ; CiteScore: 1,8 Scimago - Language and linguistics - Q1, Linguistics and language - Q1, Philosophy - Q1 </t>
  </si>
  <si>
    <t xml:space="preserve">The motifs of happiness, distress, anger and misery in the tales of Magda Szécsi / Tóthová, Gizela [Autor, UKFFSSUML, 100%]. – [angličtina]. – [OV 020]. – [článok]. – DOI 10.2478/aa-2019-0001. – SCO In: Ars aeterna [textový dokument (print)] [elektronický dokument] : literary Studies and Humanity. – ISSN 1337-9291. – ISSN (online) 2450-8497. – Roč. 11, č. 1 (2019), 1-15 [tlačená forma] [online] . – SJR: 0,101 ; CiteScore: 0,2 ; SNIP: 0,818 Scimago - Cultural studies - Q4, Language and linguistics - Q4, Linguistics and language - Q4, Literature and literary theory - Q3 </t>
  </si>
  <si>
    <t xml:space="preserve">The new cremation cemetery in Levoča - Novoveská cesta. A contribution to the settlement of Spiš region in the Roman period / Tamaškovič, Jakub [Autor, UKFFFAKAR, 40%] ; Ontko, Michal [Autor, 20%] ; Diačiková, Denisa [Autor, 20%] ; Žák Matyasowszky, František [Autor, 20%]. – text. – [angličtina]. – [OV 030]. – [článok]. – DOI 10.17846/SHN.2019.23.S.543-562. – SCO In: Studia Historica Nitriensia [textový dokument (print)] [elektronický dokument] . – Nitra (Slovensko) : Univerzita Konštantína Filozofa v Nitre. – ISSN 1338-7219. – ISSN (online) 2585-8661. – suppl. Roč. 23 (2019), s. 543-562 [tlačená forma] [online] . – SNIP: 0,629 ; SJR: 0,187 ; CiteScore: 0,2 Scimago - Cultural studies - Q2, History - Q2, Museology - Q2 </t>
  </si>
  <si>
    <t xml:space="preserve">The Participation of Italian Historians From the End of the 19th Century in Spreading the Cyrillo-Methodian Cult (Pietro Balan, Pietro Pressutti, Gaetano Alimonda, Domenico Bartolini) / Lukáčová, Martina [Autor, UKFFFAJZC, 100%]. – text. – [angličtina]. – [OV 020]. – [článok]. – DOI 10.17846/CL.2020.13.1.177-186. – WOS CC ; SCO In: Konštantínove listy [textový dokument (print)] [elektronický dokument] . – Nitra (Slovensko) : Univerzita Konštantína Filozofa v Nitre. Filozofická fakulta. Ústav pre výskum kultúrneho dedičstva Konštantína a Metoda. – ISSN 1337-8740. – ISSN (online) 2453-7675. – Roč. 13, č. 1 (2020), 177-186 [tlačená forma] [online] . – SJR: 0,248 ; CiteScore: 0,7 ; SNIP: 1,213 ; AIS: 0.286 AIS - Humanities, multidisciplinary - Q1 Scimago - History - Q1, Philosophy - Q2, Religious studies - Q1 </t>
  </si>
  <si>
    <t xml:space="preserve">The philosophy of human rights and the ‘political man’: Engaging the intellectual legacy of Ho chi minh in a technological era / Hoa, Do Thi Kim [Autor, 20%] ; Valčo, Michal [Autor, UKFFFAKAE 06.2022, 80%]. – text. – [angličtina]. – [OV 020]. – [článok]. – DOI 10.18355/XL.2018.11.02.49. – SCO In: XLinguae [textový dokument (print)] [elektronický dokument] : European scientific language journal. – Nitra (Slovensko) : Vzdelávanie Don Bosca, Nitra (Slovensko) : Slovenská Vzdelávacia a Obstarávacia. – ISSN 1337-8384. – ISSN (online) 2453-711X. – Roč. 11, č. 2 (2018), s. 608-624 [tlačená forma] [online] . – SNIP: 1,517 ; SJR: 0,676 ; CiteScore: 1,8 Scimago - Language and linguistics - Q1, Linguistics and language - Q1, Philosophy - Q1 </t>
  </si>
  <si>
    <t xml:space="preserve">The Portrayal of the Bishop's Position in the Work Historia persecutionis Africanae provinciae temporum Geiserici et Hunerici regum Vandalorum by Victor of Vita / Jirkal, Emanuel [Autor, UKFFFAKHI, 100%]. – text. – [angličtina]. – [OV 030]. – [článok]. – DOI 10.17846/CL.2020.13.1.3-15. – WOS CC ; SCO In: Konštantínove listy [textový dokument (print)] [elektronický dokument] . – Nitra (Slovensko) : Univerzita Konštantína Filozofa v Nitre. Filozofická fakulta. Ústav pre výskum kultúrneho dedičstva Konštantína a Metoda. – ISSN 1337-8740. – ISSN (online) 2453-7675. – Roč. 13, č. 1 (2020), 3-15 [tlačená forma] [online] . – SJR: 0,248 ; CiteScore: 0,7 ; SNIP: 1,213 ; AIS: 0.286 AIS - Humanities, multidisciplinary - Q1 Scimago - History - Q1, Philosophy - Q2, Religious studies - Q1 </t>
  </si>
  <si>
    <t xml:space="preserve">The possibilities of spatial analysis of grave pottery on the example of La Tene cemetery in Male Kosihy / Styk, Matej [Autor, UKFFFAKAR, 100%]. – text. – [angličtina]. – [OV 030]. – [článok]. – DOI 10.31577/szausav.2019.66.4. – WOS CC ; SCO In: Študijné zvesti Archeologického ústavu Slovenskej akadémie vied [textový dokument (print)] [elektronický dokument] . – Nitra (Slovensko) : Slovenská akadémia vied. – ISSN 0560-2793. – č. 66 (2019), s. 49-76 [tlačená forma] [online] . – SNIP: 1,468 ; SJR: 0,292 ; CiteScore: 0,4 Scimago - Archeology - Q2, Archeology (arts and humanities) - Q1 </t>
  </si>
  <si>
    <t xml:space="preserve">The power of modern technologies in the fiction of Don DeLillo / Pavlíková, Martina [Autor, UKFFFAKZU, 100%]. – text. – [angličtina]. – [OV 020]. – [článok]. – SCO In: Communications [textový dokument (print)] [elektronický dokument] : scientific letters of the University of Žilina. – Žilina (Slovensko) : Žilinská univerzita v Žiline. Vydavateľstvo EDIS. – ISSN 1335-4205. – ISSN (online) 2585-7878. – suppl. Roč. 20, č. 1A (2018), s. 57-60 [tlačená forma] [online] . – SJR: 0,488 ; CiteScore: 1,9 ; SNIP: 1,151 Scimago - Automotive engineering - Q2, Computer networks and communications - Q2, Economics and econometrics - Q2, Electrical and electronic engineering - Q2, Transportation - Q2 </t>
  </si>
  <si>
    <t xml:space="preserve">The Settlement from the Late Bronze Age in Detva, Lucna stvrt (Meadow District) Site / Beljak Pažinová, Noémi [Autor, UKFFFAKAR, 90%] ; Chmelo, Ladislav [Autor, UKFFFAKAR, 10%]. – text. – [angličtina]. – [OV 030]. – [článok]. – WOS CC ; SCO In: Študijné zvesti Archeologického ústavu Slovenskej akadémie vied [textový dokument (print)] [elektronický dokument] . – Nitra (Slovensko) : Slovenská akadémia vied. – ISSN 0560-2793. – č. 65 (2019), 39-56 [tlačená forma] [online] . – SNIP: 1,468 ; SJR: 0,292 ; CiteScore: 0,4 Scimago - Archeology - Q2, Archeology (arts and humanities) - Q1 </t>
  </si>
  <si>
    <t xml:space="preserve">The sexual difference around hetero-sexism and queerness; philosophical-sociological perspectives / Binetti, Maria Jose [Autor, 20%] ; Tvrdoň, Miroslav [Autor, UKFFSVKSP, 20%] ; Klasnja, Kristina [Autor, 20%] ; Baklashova, Tatiana A. [Autor, 20%] ; Krásna, Slávka [Autor, KŠPEPS, 20%]. – text. – [angličtina]. – [OV 020]. – [článok]. – DOI 10.18355/XL.2021.14.03.16. – SCO In: XLinguae [textový dokument (print)] [elektronický dokument] : European scientific language journal. – Nitra (Slovensko) : Vzdelávanie Don Bosca, Nitra (Slovensko) : Slovenská Vzdelávacia a Obstarávacia. – ISSN 1337-8384. – ISSN (online) 2453-711X. – Roč. 14, č. 3 (2021), s. 177-187 [tlačená forma] [online] . – CiteScore: 2,5 ; SJR: 0,306 ; SNIP: 0,717 Scimago - Linguistics and language - Q2, Philosophy - Q1 </t>
  </si>
  <si>
    <t xml:space="preserve">The silent world of Reinaldo Arenas's novels / Waldnerová, Jana [Autor, UKFFFAKAA, 100%]. – text. – [angličtina]. – [OV 020]. – [článok]. – DOI 10.1515/aa-2018-0010. – SCO In: Ars aeterna [textový dokument (print)] [elektronický dokument] : literary Studies and Humanity. – ISSN 1337-9291. – ISSN (online) 2450-8497. – Roč. 10, č. 2 (2018), 32-40 [tlačená forma] [online] . – SJR: 0,114 ; CiteScore: 0,2 ; SNIP: 0,778 Scimago - Cultural studies - Q3, Language and linguistics - Q3, Linguistics and language - Q3, Literature and literary theory - Q2 </t>
  </si>
  <si>
    <t xml:space="preserve">The skill of natural interpreting in a trilingual child / Hornáčková Klapicová, Edita [Autor, UKFFFAKTR, 100%]. – text. – [angličtina]. – [OV 020]. – [článok]. – DOI 10.2478/topling-2021-0004. – WOS CC ; SCO In: Topics in Linguistics [textový dokument (print)] [elektronický dokument] . – Varšava (Poľsko) : De Gruyter. De Gruyter Open, Nitra (Slovensko) : Univerzita Konštantína Filozofa v Nitre. Filozofická fakulta. – ISSN 1337-7590. – ISSN (online) 2199-6504. – ISSN (zrušené) 3836-2007. – Roč. 22, č. 1 (2021), s. 37-61 [tlačená forma] [online] . – CiteScore: 0,7 ; SJR: 0,152 ; SNIP: 0,42 ; AIS: 0.185 AIS - Language &amp; linguistics - Q2 Scimago - Linguistics and language - Q3 </t>
  </si>
  <si>
    <t xml:space="preserve">The specifics of retail network's spatial structure in the city of Zilina / Trembošová, Miroslava [Autor, UKFFPVKGR, 75%] ; Dubcová, Alena [Autor, UKFFPVKGR, 5%] ; Štubňová, Michaela [Autor, UKFFPVUMI, 20%]. – text. – [angličtina]. – [OV 092]. – [článok]. – DOI 10.33542/GC2019-2-07. – WOS CC ; SCO In: Geographia Cassoviensis [textový dokument (print)] [elektronický dokument] . – Košice (Slovensko) : Univerzita Pavla Jozefa Šafárika v Košiciach. Prírodovedecká fakulta. Ústav geografie. – ISSN 1337-6748. – ISSN (online) 2454-0005. – Roč. 13, č. 2 (2019), 228-245 [tlačená forma] [online] . – SJR: 0,225 ; CiteScore: 0,7 ; SNIP: 0,259 Scimago - Earth and planetary sciences (miscellaneous) - Q3, Geography, planning and development - Q3 </t>
  </si>
  <si>
    <t xml:space="preserve">The study of selected components of grape and fruit wines / Cehula, Marcela [Autor, UKFFPVKBG, 35%] ; Baroň, Mojmír [Autor, 5%] ; Juríková, Tünde [Autor, UKFFSSUVP, 30%] ; Alumbro, Marián [Autor, 5%] ; Perrocha, Methusela [Autor, 5%] ; Ondrášek, Ivo [Autor, 5%] ; Mlček, Jiří [Autor, 5%] ; Adámková, Anna [Autor, 5%] ; Sochor, Jiří [Autor, 5%]. – text. – [angličtina]. – [OV 190]. – [článok]. – DOI 10.5219/1390. – SCO In: Potravinarstvo Slovak Journal of Food Sciences [textový dokument (print)] [elektronický dokument] : vedecký časopis pre potravinárstvo. – Nitra (Slovensko) : HACCP Consulting. – ISSN 1338-0230. – ISSN (online) 1337-0960. – Roč. 14, č. 1 (2020), s. 759-766 [tlačená forma] [online] . – SJR: 0,259 ; CiteScore: 1,6 ; SNIP: 0,605 Scimago - Food science - Q3 </t>
  </si>
  <si>
    <t xml:space="preserve">The typology of backstory inter-character conflicts as a core action in the plot / Čechová, Mariana [Autor, UKFFFAULK, 100%]. – text. – [angličtina]. – [OV 020]. – [článok]. – DOI 10.2478/aa-2019-0012. – SCO In: Ars aeterna [textový dokument (print)] [elektronický dokument] : literary Studies and Humanity. – ISSN 1337-9291. – ISSN (online) 2450-8497. – Roč. 11, č. 2 (2019), 81-90 [tlačená forma] [online] . – SJR: 0,101 ; CiteScore: 0,2 ; SNIP: 0,818 Scimago - Cultural studies - Q4, Language and linguistics - Q4, Linguistics and language - Q4, Literature and literary theory - Q3 </t>
  </si>
  <si>
    <t xml:space="preserve">The verbalization of grief in David Grossman's Falling out of Time / Hricková, Mária [Autor, UKFFFAKAA, 50%] ; Klimková, Simona [Autor, UKFFFAKAA, 50%]. – text. – [angličtina]. – [OV 020]. – [článok]. – DOI 10.2478/aa-2019-0009. – SCO In: Ars aeterna [textový dokument (print)] [elektronický dokument] : literary Studies and Humanity. – ISSN 1337-9291. – ISSN (online) 2450-8497. – Roč. 11, č. 2 (2019), 41-54 [tlačená forma] [online] . – SJR: 0,101 ; CiteScore: 0,2 ; SNIP: 0,818 Scimago - Cultural studies - Q4, Language and linguistics - Q4, Linguistics and language - Q4, Literature and literary theory - Q3 </t>
  </si>
  <si>
    <t xml:space="preserve">The ways of bringing first fruits of the land (“bikurim”) into Jerusalem temple : A historical-theological analysis = Způsob přinášení prvotin půdy („bikurim“) do jeruzalémského Chrámu: historicko-teologická analýza / Králik, Roman [Autor, UKFFFAKAE 06.2022, 25%] ; Roubalová, Marie [Autor, 25%] ; Slivka, Daniel [Autor, PUPGRHV, 25%] ; Žalec, Bojan [Autor, 25%]. – text. – [angličtina, čeština]. – [OV 030]. – [článok]. – SIGN-PU GTF-19 163/19. – SCO In: Historia Ecclesiastica [textový dokument (print)] : časopis pre dejiny cirkví a náboženstiev v Strednej Európe. – Prešov (Slovensko) : Prešovská univerzita v Prešove. – ISSN 1338-4341. – Roč. 10, č. 1 (2019), s. 3-15 [tlačená forma] . – SJR: 0,419 ; CiteScore: 0,2 ; SNIP: 0,118 Scimago - History - Q1, Religious studies - Q1 </t>
  </si>
  <si>
    <t xml:space="preserve">Theatricality of Film Language in Baz Luhrmann’s Films / Malíčková, Michaela [Autor, UKFFFAULK, 70%] ; Malíček, Juraj [Autor, UKFFFAULK, 30%] ; Smiešková, Alena [Prekladateľ, UKOFIAA, 100%]. – text. – [angličtina]. – [OV 020]. – [článok]. – SCO In: Slovenské divadlo [textový dokument (print)] [elektronický dokument] : revue dramatických umení. – Bratislava (Slovensko) : Slovenská akadémia vied. Pracoviská SAV. Ústav divadelnej a filmovej vedy. – ISSN 0037-699X. – ISSN (online) 1336-8605. – Roč. 68, č. 3 (2020), s. 209-228 [tlačená forma] [online] . – SJR: 0,173 ; CiteScore: 0,1 ; SNIP: 0,573 Scimago - Communication - Q3, Cultural studies - Q2, History - Q2, Literature and literary theory - Q1, Music - Q2, Visual arts and performing arts - Q1 </t>
  </si>
  <si>
    <t xml:space="preserve">Therapeutic and supervision relationship in cognitive behavioral supervision / Praško Pavlov, Ján [Autor, UKFFSVKPV, 12.5%] ; Dicevicius, Darius [Autor, 12.5%] ; Ocisková, Marie [Autor, 12.5%] ; Vanek, Jakub [Autor, 12.5%] ; Šlepecký, Miloš [Autor, UKFFSVKPV, 12.5%] ; Krone, Ilona [Autor, 12.5%] ; Abeltina, Mal [Autor, 12.5%] ; Bagdonaviciene, Lina [Autor, 12.5%]. – text. – [angličtina]. – [OV 180]. – [článok]. – WOS CC In: Activitas Nervosa Superior Rediviva [textový dokument (print)] [elektronický dokument] : international journal for integrated neuroscience. – Bratislava (Slovensko) : Vysoká škola zdravotníctva a sociálnej práce sv. Alžbety v Bratislave, Bratislava (Slovensko) : Slovenská akadémia vied. – ISSN 1337-933X. – ISSN (online) 1338-4015. – Roč. 63, č. 1 (2021), 22-35 [tlačená forma] [online] . – SNIP: 0.080 ; SJR: 0.112 ; AIS: 0.061 AIS - Clinical neurology - Q4 Scimago - Neuroscience (miscellaneous) - Q4 </t>
  </si>
  <si>
    <t xml:space="preserve">Truth as the key metaethical category in Kierkegaard / Máhrik, Tibor [Autor, UKFFFAKAE 06.2022, 100%]. – text. – [angličtina]. – [OV 020]. – [článok]. – DOI 10.18355/XL.2018.11.01.04. – SCO In: XLinguae [textový dokument (print)] [elektronický dokument] : European scientific language journal. – Nitra (Slovensko) : Vzdelávanie Don Bosca, Nitra (Slovensko) : Slovenská Vzdelávacia a Obstarávacia. – ISSN 1337-8384. – ISSN (online) 2453-711X. – Roč. 11, č. 1 (2018), s. 40-48 [tlačená forma] [online] . – SNIP: 1,517 ; SJR: 0,676 ; CiteScore: 1,8 Scimago - Language and linguistics - Q1, Linguistics and language - Q1, Philosophy - Q1 </t>
  </si>
  <si>
    <t xml:space="preserve">Two perspectives on the issue of prudence (prudentia): Thomas Aquinas and William of Ockham / Nemec, Rastislav [Autor, TUTTFKKF, 50%] ; Blaščíková, Andrea [Autor, UKFFFAKNS, 50%]. – [angličtina]. – [OV 020]. – [článok]. – [recenzované]. – DOI 10.17846/CL.2021.14.2.51-60. – TUTTFKKF signatúra E087810. – WOS CC ; SCO In: Konštantínove listy [textový dokument (print)] [elektronický dokument] . – Nitra (Slovensko) : Univerzita Konštantína Filozofa v Nitre. Filozofická fakulta. Ústav pre výskum kultúrneho dedičstva Konštantína a Metoda. – ISSN 1337-8740. – ISSN (online) 2453-7675. – Roč. 14, č. 2 (2021), s. 51-60 [tlačená forma] [online] . – CiteScore: 0,5 ; SJR: 0,336 ; SNIP: 0,796 ; AIS: 0.417 AIS - Humanities, multidisciplinary - Q1 Scimago - History - Q1, Philosophy - Q1, Religious studies - Q1 </t>
  </si>
  <si>
    <t xml:space="preserve">Using the methodological procedures for water erosion risk areas identification for sustainable land use / Petlušová, Viera [Autor, UKFFPVKEE, 30%] ; Petluš, Peter [Autor, UKFFPVKEE, 30%] ; Tobiašová, Erika [Autor, SPUFAP07, 20%] ; Hreško, Juraj [Autor, UKFFPVKEE, 20%]. – [angličtina]. – [OV 190]. – [článok]. – [recenzované]. – DOI 10.2478/eko-2020-0011. – SCO In: Ekológia [textový dokument (print)] [elektronický dokument] : Medzinárodný časopis pre ekologické problémy biosféry = International Journal for Ecological Problems of the Biosphere : The Journal of Institute of Landscape Ecology of Slovak Academy of Sciences. – Bratislava (Slovensko) : Slovenská akadémia vied. Pracoviská SAV. Ústav krajinnej ekológie. – ISSN 1335-342X. – ISSN (online) 1337-947X. – Roč. 39, č. 2 (2020), s. 145-158 [tlačená forma] [online] . – SNIP: 0,847 ; SJR: 0,345 ; CiteScore: 1,5 Scimago - Ecology - Q3 </t>
  </si>
  <si>
    <t xml:space="preserve">Veľkomoravská a cyrilo-metodská tradícia v tvorbe „štúrovcov“ = The Tradition of Great Moravia and Cyril and Methodius in the Works of the „Followers of Ľ. Štúr” / Vargová, Zuzana [Autor, UKFFSSUSJ, 100%]. – text. – [slovenčina]. – [OV 020]. – [článok]. – DOI 10.17846/CL.2021.14.1.123-130. – WOS CC ; SCO In: Konštantínove listy [textový dokument (print)] [elektronický dokument] . – Nitra (Slovensko) : Univerzita Konštantína Filozofa v Nitre. Filozofická fakulta. Ústav pre výskum kultúrneho dedičstva Konštantína a Metoda. – ISSN 1337-8740. – ISSN (online) 2453-7675. – Roč. 14, č. 1 (2021), s. 123-130 [tlačená forma] [online] . – CiteScore: 0,5 ; SJR: 0,336 ; SNIP: 0,796 ; AIS: 0.417 AIS - Humanities, multidisciplinary - Q1 Scimago - History - Q1, Philosophy - Q1, Religious studies - Q1 </t>
  </si>
  <si>
    <t xml:space="preserve">Vlastné mená a menšinové jazykové zákony na Slovensku = Proper names and minority language laws in Slovakia   / Bauko, Ján [Autor, UKFFSSUML, 100%]. – text. – [slovenčina]. – [OV 020, 010]. – [článok]. – DOI 10.2478/jazcas-2021-0008. – SCO In: Jazykovedný časopis [elektronický dokument] [textový dokument (print)] : vedecký časopis pre otázky teórie jazyka = scientific journal for the theory of language. – Bratislava (Slovensko) : SAP - Slovak Academic Press, Varšava (Poľsko) : De Gruyter. – ISSN 0021-5597. – ISSN (online) 1338-4287. – Roč. 71, č. 3 (2020), 425-438 [online] [tlačená forma] . – SJR: 0,186 ; CiteScore: 0,4 ; SNIP: 0,876 Scimago - Language and linguistics - Q2, Linguistics and language - Q2 </t>
  </si>
  <si>
    <t xml:space="preserve">Vplyv a práca s predlohami pri preklade Žalmu 91 v slovenskom jazykovom okruhu = Influence and work with templates in the translation of Psalm 91 in the Slovak language area  / Durkaj, Lukáš [Autor, UKFFFAULK, 50%] ; Lapko, Róbert [Autor, 50%]. – text. – [slovenčina]. – [OV 020]. – [článok]. – SCO In: Slavica Slovaca [textový dokument (print)] [elektronický dokument] : orgán Slavistického ústavu Jána Stanislava SAV a Slovenského komitétu slavistov. – Bratislava (Slovensko) : Slovenská akadémia vied. Slavistický ústav Jána Stanislava. – ISSN 0037-6787. – ISSN (online) 1336-2364. – Roč. 56, č. 1 (2021), s. 105-114 [tlačená forma] [online] . – CiteScore: 0,1 ; SJR: 0,118 Scimago - Anthropology - Q4, Cultural studies - Q3, History - Q3, Linguistics and language - Q3 </t>
  </si>
  <si>
    <t xml:space="preserve">Vplyv sociálno-demografických faktorov na výskyt kontaktových javov v reči Slovákov žijúcich v Španielsku = The impact of socio-demographic factors on the occurrence of inter-lingual phenomena in the speech of Slovaks living in Spain / Barancová, Monika [Autor, 80%] ; Bírová, Jana [Autor, UCMFIFKPED, 10%] ; Kráľová, Zdena [Autor, UKFPFAKLI, 10%]. – [slovenčina]. – [OV 020]. – [článok]. – DOI 10.2478/jazcas-2019-0003. – SCO In: Jazykovedný časopis [elektronický dokument] [textový dokument (print)] : vedecký časopis pre otázky teórie jazyka = scientific journal for the theory of language. – Bratislava (Slovensko) : SAP - Slovak Academic Press, Varšava (Poľsko) : De Gruyter. – ISSN 0021-5597. – ISSN (online) 1338-4287. – Roč. 69, č. 2 (2018), s. 175-186 [online] [tlačená forma] . – SJR: 0,122 ; CiteScore: 0,2 ; SNIP: 0,875 Scimago - Language and linguistics - Q3, Linguistics and language - Q3 </t>
  </si>
  <si>
    <t xml:space="preserve">Výskum bojísk druhej svetovej vojny na juhozápadnom Slovensku. Východiská a perspektívy = Research of the Second World War battlefields in Southwestern Slovakia. Resources and perspectives / Šteiner, Pavol [Autor, UKFFFAKMU, 100%]. – text. – [slovenčina]. – [OV 030]. – [článok]. – DOI 10.31577/slovarch.2020.suppl.1.48. – WOS CC ; SCO In: Slovenská archeológia [textový dokument (print)] [elektronický dokument] : časopis Archeologického ústavu Slovenskej akadémie vied v Nitre = journal of the Archaeological Institute of the Slovak Academy of Sciences in Nitra = Zeitschrift des Archäologischen Institutes der Slowakischen Akademie der Wissenschaften in Nitra. – Nitra (Slovensko) : Slovenská akadémia vied. Pracoviská SAV. Archeologický ústav. – ISSN 1335-0102. – ISSN (online) 2585-9145. – suppl. Roč. 68, č. Suppl. 1 (2020), s. 567-573 [tlačená forma] . – SJR: 0,306 ; CiteScore: 0,4 ; SNIP: 2,662 ; AIS: 0.222 AIS - Archaeology - Q2 Scimago - Archeology - Q2, Archeology (arts and humanities) - Q2 </t>
  </si>
  <si>
    <t xml:space="preserve">Význam přinášení prvotin půdy do jeruzalémského chrámu: historicko-teologická perspektiva = The significance of bringing first fruits of the land into Jerusalem temple: a historical-theological perspective / Roubalová, Marie [Autor, 33%] ; Králik, Roman [Autor, UKFFFAKAE 06.2022, 33%] ; Slivka, Daniel [Autor, PUPGRHV, 33%] ; Tavilla, Igor [Autor, 1%]. – text. – [angličtina]. – [OV 020]. – [článok]. – SIGN-PU GTF 209/18. – SCO In: Historia Ecclesiastica [textový dokument (print)] : časopis pre dejiny cirkví a náboženstiev v Strednej Európe. – Prešov (Slovensko) : Prešovská univerzita v Prešove. – ISSN 1338-4341. – Roč. 9, č. 1 (2018), s. 3-13 [tlačená forma] . – SJR: 0,101 Scimago - History - Q4, Religious studies - Q4 </t>
  </si>
  <si>
    <t xml:space="preserve">Water surface overgrowing of the Tatra’s Lakes / Kapusta, Juraj [Autor, UKFFPVKEE, 20%] ; Hreško, Juraj [Autor, UKFFPVKEE, 20%] ; Petrovič, František [Autor, UKFFPVKEE, 20%] ; Tomko Králo, Dávid [Autor, UKFFPVKEE, 20%] ; Gallik, Jozef [Autor, 20%]. – [angličtina]. – [OV 100]. – [článok]. – DOI 10.2478/eko-2018-0002. – SCO In: Ekológia [textový dokument (print)] [elektronický dokument] : Medzinárodný časopis pre ekologické problémy biosféry = International Journal for Ecological Problems of the Biosphere : The Journal of Institute of Landscape Ecology of Slovak Academy of Sciences. – Bratislava (Slovensko) : Slovenská akadémia vied. Pracoviská SAV. Ústav krajinnej ekológie. – ISSN 1335-342X. – ISSN (online) 1337-947X. – Roč. 37, č. 1 (2018), s. 11-23 [tlačená forma] [online] . – SNIP: 0,538 ; SJR: 0,283 ; CiteScore: 1,1 Scimago - Ecology - Q3 </t>
  </si>
  <si>
    <t xml:space="preserve">Were males buried with weapons better nourished than the other part of the population in the La Tene Period? Pilot study of diet of selected individuals buried at Celtic cemetery in Dubník, district of Nové Zámky, southwestern Slovakia / Bujna, Jozef [Autor, UKFFFAKAR, 40%] ; Drtikolová, Sylva [Autor, 20%] ; Hajnalová, Mária [Autor, UKFFFAKAR, 40%]. – text. – [angličtina]. – [OV 030]. – [článok]. – DOI 10.31577/szausav.2019.66.2. – WOS CC ; SCO In: Študijné zvesti Archeologického ústavu Slovenskej akadémie vied [textový dokument (print)] [elektronický dokument] . – Nitra (Slovensko) : Slovenská akadémia vied. – ISSN 0560-2793. – Roč. 66 (2019), 19-31 [tlačená forma] [online] . – SNIP: 1,468 ; SJR: 0,292 ; CiteScore: 0,4 Scimago - Archeology - Q2, Archeology (arts and humanities) - Q1 </t>
  </si>
  <si>
    <t xml:space="preserve">West-East: The semiotics of axiological convergences and divergences / Plesník, Ľubomír [Autor, UKFFFAULK, 100%]. – text. – [angličtina]. – [OV 020]. – [článok]. – DOI 10.2478/aa-2020-0004. – SCO In: Ars aeterna [textový dokument (print)] [elektronický dokument] : literary Studies and Humanity. – ISSN 1337-9291. – ISSN (online) 2450-8497. – Roč. 12, č. 1 (2020), 40-62 [tlačená forma] [online] . – SJR: 0,101 ; CiteScore: 0,2 ; SNIP: 0,306 Scimago - Cultural studies - Q4, Language and linguistics - Q4, Linguistics and language - Q4, Literature and literary theory - Q4 </t>
  </si>
  <si>
    <t xml:space="preserve">What Does it Mean “Being Chilled”? : Mental Well-Being as Viewed by Slovak Adolescent Boys / Balážová, Miroslava [Autor, UKFFSVKPV, 50%] ; Uhrecký, Branislav [Autor, 50%]. – text. – [angličtina]. – [OV 060]. – [článok]. – DOI 10.1515/humaff-2018-0023. – WOS CC ; SCO In: Human Affairs [textový dokument (print)] [elektronický dokument] : a postdisciplinary journal for humanities &amp; social sciences. – Bratislava (Slovensko) : De Gruyter. – ISSN 1210-3055. – ISSN (online) 1337-401X. – Roč. 28, č. 3 (2018), s. 285-296 [tlačená forma] [online] . – SJR: 0,288 ; CiteScore: 0,4 ; SNIP: 0,222 Scimago - Law - Q2, Philosophy - Q2, Sociology and political science - Q2 </t>
  </si>
  <si>
    <t xml:space="preserve">What's (old)new below Rohačka? Fragments of knowledge of prehistoric and early historic settlement area in Liptovský Mikuláš and Demänovská Dolina = Čo (staro)nového pod Rohačkou? Úlomky poznania pravekého a včasnodejinného sídliskového areálu v Liptovskom Mikuláši a Demänovskej Doline / Benediková, Lucia [Autor, 35%] ; Furman, Martin [Autor, 20%] ; Bielichová, Zora [Autor, 15%] ; Mihályiová, Jana [Autor, 15%] ; Tirpák, Ján [Autor, UKFFPVGMU, 15%]. – text. – [slovenčina, angličtina]. – [OV 092, 030]. – [článok]. – WOS CC ; SCO In: Študijné zvesti Archeologického ústavu Slovenskej akadémie vied [textový dokument (print)] [elektronický dokument] . – Nitra (Slovensko) : Slovenská akadémia vied. – ISSN 0560-2793. – suppl. Fragmenty času : Venované Elene Miroššayovej k 70. narodeninám, č. suppl. 1 (2019), s. 51-88 [tlačená forma] [online] . – SNIP: 1,468 ; SJR: 0,292 ; CiteScore: 0,4 Scimago - Archeology - Q2, Archeology (arts and humanities) - Q1 </t>
  </si>
  <si>
    <t xml:space="preserve">What's New in Polish Media Studies? / Mikuláš, Peter [Autor, UKFFFAKMR, 100%]. – text. – [angličtina]. – [OV 060]. – [článok]. – WOS CC In: Communication Today [textový dokument (print)] [elektronický dokument] . – Trnava (Slovensko) : Univerzita sv. Cyrila a Metoda v Trnave. Fakulta masmediálnej komunikácie. – ISSN 1338-130X. – Roč. 10, č. 1 (2019), 156-158 [tlačená forma] [online] . – SJR: 0,19 ; CiteScore: 0,8 ; SNIP: 1,054 Scimago - Communication - Q3, Marketing - Q3 </t>
  </si>
  <si>
    <t xml:space="preserve">Women's costume in Koszider period as Middle Danube phenomenon / Godiš, Jakub [Autor, UKFFFAKAR, 100%]. – text. – [angličtina]. – [OV 030]. – [článok]. – DOI 10.17846/SHN.2019.23.S.49-70. – SCO In: Studia Historica Nitriensia [textový dokument (print)] [elektronický dokument] . – Nitra (Slovensko) : Univerzita Konštantína Filozofa v Nitre. – ISSN 1338-7219. – ISSN (online) 2585-8661. – suppl. Roč. 23 (2019), s. 49-70 [tlačená forma] [online] . – SNIP: 0,629 ; SJR: 0,187 ; CiteScore: 0,2 Scimago - Cultural studies - Q2, History - Q2, Museology - Q2 </t>
  </si>
  <si>
    <t xml:space="preserve">Zdobená kostená rukoväť z Pustého hradu vo Zvolene = Decorated bone handle from Pustý hrad (Deserted Castle) in Zvolen / Čierny, Miloš [Autor, UKOFIPV, 45%] ; Beljak Pažinová, Noémi [Autor, UKFFFAKAR, 45%] ; Beljak, Ján [Autor, 10%]. – text. – [slovenčina]. – [OV 030]. – [článok]. – DOI 10.31577/szausav.2020.67.17. – ESCI ; WOS CC ; SCO In: Študijné zvesti Archeologického ústavu Slovenskej akadémie vied [textový dokument (print)] [elektronický dokument] . – Nitra (Slovensko) : Slovenská akadémia vied. – ISSN 0560-2793. – Roč. 67, č. 2 (2020), s. 371-381 [tlačená forma] [online] . – SJR: 0,139 ; CiteScore: 0,4 ; SNIP: 0,482 ; AIS: 0.082 AIS - Archaeology - Q4 Scimago - Archeology - Q3, Archeology (arts and humanities) - Q3 </t>
  </si>
  <si>
    <t xml:space="preserve">Zo salaša do prezidentského paláca. Príspevok k 15. výročiu vyhlásenia fujary za Majstrovské dielo ústneho a nehmotného kultúrneho dedičstva ľudstva UNESCO = From a Shepherd's Hut to the Presidential Palace. Contribution to the 15th Anniversary of the proclamation of the Fujara as UNESCO Masterpiece of the Oral and Intangible Heritage of Humanity / Garaj, Bernard [Autor, UKFFFAKEF, 100%]. – text. – [slovenčina]. – [OV 030]. – [článok]. – DOI 10.2478/SE-2021-0002. – WOS CC ; SCO In: Slovenský národopis [textový dokument (print)] [elektronický dokument] : časopis Ústavu etnológie Slovenskej akadémie vied = journal of the Institute of Ethnology of the Slovak Academy of Sciences = Zeitschrift des Ethnologischen Institutes der Slowakischen Akademie der Wissenschaften = revue de l'Institut d'ethnologie de l'Académie slovaque des sciences. – Bratislava (Slovensko) : Slovenská akadémia vied. Pracoviská SAV. Ústav etnológie. – ISSN 1335-1303. – ISSN (online) 1339-9357. – Roč. 69, č. 1 (2021), 14-29 [tlačená forma] [online] . – SNIP: 1,076 ; SJR: 0,187 ; CiteScore: 0,5 ; AIS: 0.198 AIS - Anthropology - Q3 Scimago - Anthropology - Q3 </t>
  </si>
  <si>
    <t>AEC - Vedecké práce v zahraničných recenzovaných vedeckých zborníkoch, monografiách</t>
  </si>
  <si>
    <t xml:space="preserve">"The onion" or "chop the onion" - the potential of teaching and learning language chunks in pre-primary education / Horváthová, Ivana [Autor, UKFFFAKAA, 50%] ; Harťanská, Jana [Autor, UKFFFAKAA, 50%]. – text. – [angličtina]. – [OV 020]. – [príspevok] In: Filologické štúdie [textový dokument (print)] / Vajičková, Mária [Zostavovateľ, editor] ; Bojničanová, Renáta [Zostavovateľ, editor] ; Tomášková, Simona [Zostavovateľ, editor] ; Žeňuch, Peter [Recenzent] ; Bojničanová, Renáta [Recenzent] ; Javorčíková, Jana [Recenzent]. – 1. vyd. – č. 4. – Nümbrecht (Nemecko) : Kirsch-Verlag, 2018. – (Acta Facultatis Paedagogicae Universitatis Comenianae Bratislavensis : Acta Doctorandorum Facultatis Facultatis Paedagogicae Universitatis Comenianae Bratislavensis.). – ISBN 978-3-943906-47-9, s. 127-134 [tlačená forma] </t>
  </si>
  <si>
    <t xml:space="preserve">(Hang ki. Csönd.) : Mándy Iván rádiójátékai / Tóth, Anikó [Autor, UKFFSSUML, 100%] ; Bengi, László [Recenzent] ; Vörös, István [Recenzent]. – [maďarčina]. – [OV 010]. – [príspevok] In: Séta közben [textový dokument (print)] : Tanulmányok Mándy Iván életművéről / Bengi, László [Zostavovateľ, editor]. – 1. vyd. – Budapešť (Maďarsko) : Magyar Irodalomtörténeti Társaság, 2018. – ISBN 978-615-81036-1-9, s. 109-115 </t>
  </si>
  <si>
    <t xml:space="preserve">“Don’t light the candle, please, we are still alive” - preparing one’s own “residence” at a cemetery = „Prosím nepáliť sviečky, ešte žijeme“ - k problematike „zabývania sa“ v priestore cintorína / Jágerová, Margita [Autor, UKFFFAKEF, 100%]. – text. – [angličtina]. – [OV 030]. – [príspevok]. – WOS CC In: Journal of Urban Ethnology [textový dokument (print)] [elektronický dokument] : etnologia, antropologia miasta / [bez zostavovateľa] [Zostavovateľ, editor]. – 1 vyd. – Roč. 17. – Krakov (Poľsko) : Instytut Archeologii i Etnologii PAN, 2019. – ISSN 1429-0618, s. 212-222 [tlačená forma] [online] </t>
  </si>
  <si>
    <t xml:space="preserve">“One can say it like this or like that, one talks in vain, because one can only talk their own mind anyway.” About the language use of Pál Száz’s / Petres Csizmadia, Gabriela [Autor, UKFFSSUML, 100%]. – text. – [angličtina]. – [OV 020]. – [príspevok]. – SCO In: Hungarian as a Plucentric Language  in Language and Literature [textový dokument (print)] / Muhr, Rudolf [Zostavovateľ, editor] ; Vančo, Ildikó [Zostavovateľ, editor] ; Kozmács, István [Zostavovateľ, editor] ; Huber, Maté [Zostavovateľ, editor]. – 1. vyd. – č. 22. – Berlín (Nemecko) : Peter Lang, 2020. – ISBN 978-3-631-80975-4. – ISBN (online) 978-36-318-2219-7. – ISSN 1618-5714, s. 269-283 [tlačená forma] </t>
  </si>
  <si>
    <t xml:space="preserve">„My“ a „oni“ - postoje slovenskej spoločnosti k novodobým migrantom a migráciám / Letavajová, Silvia [Autor, UKFFFAKMK, 100%]. – text. – [slovenčina]. – [OV 060]. – [príspevok] In: My a oni. Domácí a cizí v lidové tradici [textový dokument (print)] / Číhal, Petr [Zostavovateľ, editor] ; Drápala, Daniel [Recenzent] ; Holubová, Markéta [Recenzent]. – 1. vyd. – Uherské Hradiště (Česko) : Slovácke muzeum, 2019. – ISBN 978-80-87671-39-9, s. 217-228 [tlačená forma] </t>
  </si>
  <si>
    <t xml:space="preserve">A Brief View of the History of the Standard Slovak Language (Between the Two World Wars), Vojvodina Slovak Studies and the Relevance of Vojvodina Slovak Studies in the History of the Standard Slovak Language / Koruniak, Samuel [Autor, UKFFFASJL, 100%]. – text. – [angličtina]. – [OV 020]. – [kapitola]. – [recenzované]. – SCO In: A Reflection of Man and Culture in Language and Literature (13), (Studies in Linguistics, Anglophone Literatures and Cultures) [textový dokument (print)] / Matiová, Mária [Zostavovateľ, editor] ; Navrátil, Martin [Zostavovateľ, editor]. – 1. vyd. – Berlin (Nemecko) : Peter Lang, 2019. – ISBN 978-3-631-74550-2, s. 179-197 [1,24 AH] [tlačená forma] </t>
  </si>
  <si>
    <t xml:space="preserve">A Critique of the Liberal Concept of Ethical Pluralism in Relation to the Neutrality of the State / Turčan, Ciprian [Autor, UKFFFAKAE 06.2022, 100%]. – text. – [angličtina]. – [OV 020]. – [príspevok] In: Disputes on the Religious and Ethical Neutrality of the State [textový dokument (print)] / [bez zostavovateľa] [Zostavovateľ, editor] ; Probucka, Dorota [Recenzent] ; Valčo, Michal [Recenzent]. – 1. vyd. – Boskovice (Česko) : Nakladatelství František Šalé - Albert, 2019. – ISBN 978-80-7326-309-6, s. 105-126 [tlačená forma] </t>
  </si>
  <si>
    <t xml:space="preserve">A nyitrai Közép-európai Tanulmányok Karán zajló anyanyelvi-irodalmi képzés specifikumai / Presinszky, Károly [Autor, UKFFSSUML, 34%] ; Petres Csizmadia, Gabriela [Autor, UKFFSSUML, 33%] ; Bárcziová, Žofia [Autor, UKFFSSUML, 33%]. – [maďarčina]. – [OV 020]. – [príspevok]. – [recenzované] In: Magyar nyelvű pedagógusok és pedagógusképzés a Kárpát-medencében [textový dokument (print)] / Lőrincz, Ildikó [Zostavovateľ, editor]. – 1. vyd. – Győr (Maďarsko) : Széchenyi István Egyetem. Apáczai Csere János Kar, 2019. – ISBN 978-615-5837-55-5, s. 44-50 [tlačená forma] </t>
  </si>
  <si>
    <t xml:space="preserve">A semiotic reading of the cours in the year of its centennial = Una lectura semiótica del cours en el año de su centenario / Lampis, Mirko [Autor, UKFFFAKRO, 100%]. – text. – [angličtina]. – [OV 020]. – [príspevok]. – [recenzované]. – WOS CC ; SCO In: Signa [textový dokument (print)] / [bez zostavovateľa] [Zostavovateľ, editor]. – 1. vyd. – Roč. 27. – Madrid (Španielsko) : Universidad Nacional de Educación a Distancia, 2018. – ISSN 1133-3634. – ISSN (online) 2254-9307, s. 697-718 </t>
  </si>
  <si>
    <t xml:space="preserve">A sportolás intézményi környezete / Kovács, Klára [Autor, 25%] ; Baráth, Ladislav [Autor, UKFFSSUVP, 25%] ; Dobay, Beáta [Autor, UJSPFKTVŠ, 25%] ; Halasi, Szabolcs [Autor, 25%]. – text. – [maďarčina]. – [OV 010]. – [príspevok] In: Lemorzsolódási kockázat és erőforrások a felsőoktatásban [textový dokument (print)] [elektronický dokument] / Pusztai, Gabriella [Zostavovateľ, editor] ; Szigeti, Fruzsina [Zostavovateľ, editor] ; Bacskai, Katinka [Recenzent] ; Berei, Emese [Recenzent]. – 1. vyd. – Debrecen (Maďarsko) : Center for Higher Education, 2021. – ISBN 978-615-6012-12-8, s. 225-246 [online] [tlačená forma] </t>
  </si>
  <si>
    <t xml:space="preserve">A szlovák nyelvű és a magyar jogi terminológia helyzete Szlovákiában / Szabómihály, Gizella [Autor, UKFFSSUML, 100%]. – text. – [maďarčina]. – [OV 020]. – [príspevok] In: Terminológiastratégia és jogi alapterminusok a szomszédos országok nyelvén [textový dokument (print)] / Tamás, Dóra Mária [Zostavovateľ, editor] ; Szoták, Szilvia [Zostavovateľ, editor] ; Péntek, János [Recenzent] ; Ugróczky, Mária [Recenzent]. – 1. vyd. – Budapešť (Maďarsko) : Országos Fordító és Fordításhitelesítő Iroda, 2021. – ISBN 978-615-81983-0-1, s. 129-155 </t>
  </si>
  <si>
    <t xml:space="preserve">Academic Self-Efficacy, Approach to Learning and Academic Achievement / Verešová, Marcela [Autor, UKFPFAKAP, 90%] ; Foglová, Lucia [Autor, UKFPFAKAP, 10%]. – text. – [angličtina]. – [OV 060]. – [príspevok]. – [recenzované]. – DOI 0.5772/intechopen.70948 In: Health and Academic Achievement [textový dokument (print)] / Bernal-Morales, Blandina [Zostavovateľ, editor]. – 1. vyd. – Londýn (Veľká Británia) : Intech. IntechOpen, 2018. – ISBN 978-1-78923-730-6. – ISBN (online) 978-1-78923-731-3, s. 177-196 </t>
  </si>
  <si>
    <t xml:space="preserve">Age-related changes of reactive agility in football / Horička, Pavol [Autor, UKFPFAKTV, 50%] ; Šimonek, Jaromír [Autor, UKFPFAKTV, 50%]. – text. – [angličtina]. – [OV 210]. – [príspevok] In: Physical activity review [elektronický dokument] / Wasik, Jacek [Zostavovateľ, editor] ; Franchini, Emerson [Zostavovateľ, editor]. – 1. vyd. – Roč. 9, č. 1. – Czestochowa (Poľsko) : PPHU Projack, 2021. – (Physical activity review, ISSN 2300-5076 ; 9/1, CiteScore: 2 ; SJR: 0,256 ; SNIP: 0,53 ; AIS: 0.156). – ISSN (online) 2300-5076, s. 16-23 [online] AIS - Sport sciences - Q2 Scimago - Education - Q3, Health (social science) - Q3, Orthopedics and sports medicine - Q3, Physical therapy, sports therapy and rehabilitation - Q3 </t>
  </si>
  <si>
    <t xml:space="preserve">Achieving Bilinguality in Children : Teaching English as a Foreign Language through Integrated Learning / Hornáčková Klapicová, Edita [Autor, UKFFFAKTR, 100%]. – text. – [angličtina]. – [OV 020]. – [príspevok] In: Modern approaches in foreign language learning: methodological and psychological issues [textový dokument (print)] / Hornáčková Klapicová, Edita [Zostavovateľ, editor] ; Bączkowska, Anna [Recenzent] ; Hass, Jeffrey [Recenzent]. – 1. vyd. – Madrid (Španielsko) : Ediciones Xorki, 2020. – ISBN 978-84-948441-4-0, s. 90-120 [tlačená forma] </t>
  </si>
  <si>
    <t xml:space="preserve">Aktivity na rozvoj geometrických predstáv žiakov mladšieho školského veku / Páleníková, Kitti [Autor, UKFFPVKMA, 90%] ; Bugárová, Mária [Autor, 10%]. – text. – [slovenčina]. – [OV 010, 240]. – [príspevok]. – DOI 10.21062/ujep/227.2018/a/2533-7106/OJPPE/2/1/23 In: Online Journal of Primary and Preschool Education [elektronický dokument] / [bez zostavovateľa] [Zostavovateľ, editor]. – 1. vyd. – Roč. 2, č. 1. – Ústí nad Labem (Česko) : Univerzita Jana Evangelisty Purkyně v Ústí nad Labem, 2018. – ISSN (online) 2533-7106, s. 23-32 [online] </t>
  </si>
  <si>
    <t xml:space="preserve">Aktuálne podoby betlehemskej hry (gubajky) vo vidieckom prostredí - na príklade obce Vlachovo / Jágerová, Margita [Autor, UKFFFAKEF, 100%] ; Kaczor, Katarzyna [Recenzent] ; Grębecka, Zuzana [Recenzent]. – text. – [slovenčina]. – [OV 030]. – [príspevok] In: Gry v kulturze i zyciu codziennym. Metafory, strategie, komunikacja [textový dokument (print)] / Łeńska-Bąk, Katarzyna [Zostavovateľ, editor]. – 1. vyd. – Opole (Poľsko) : Uniwersytet Opolski, 2020. – ISBN 978-83-7395-816-6, s. 287-296 </t>
  </si>
  <si>
    <t xml:space="preserve">Aluzija u kniževnoj komunikaciji / Žilka, Tibor [Autor, UKFFSSUSJ, 100%]. – text. – [srbčina]. – [OV 020]. – [príspevok]. – [recenzované] In: Modeli i diskursi nauke o književnosti [textový dokument (print)] : izbor iz novije slovačke nauke o književnosti / Harpáň, Michal [Zostavovateľ, editor]. – 1. vyd. – Belehrad (Srbsko) : Službeni glasnik, 2018. – (Osnova. Kniževna teorija). – ISBN 978-86-519-2160-8, s. 174-188 [tlačená forma] </t>
  </si>
  <si>
    <t xml:space="preserve">Analyses carpologiques = Karpologické analýzy / Hajnalová, Mária [Autor, UKFFFAKAR, 100%]. – text. – [francúzština]. – [OV 030]. – [kapitola] In: Programme quadriennal de recherche 2017-2020 sur le Mont Beuvray / Durost, Sébastien [Zostavovateľ, editor] ; Paris, Pascal [Zostavovateľ, editor] ; Meunier, Arnaud [Zostavovateľ, editor] ; Duchamp, Héléne [Zostavovateľ, editor] ; Guichard, Vincent [Recenzent]. – 1. vyd. – Glux-en-Glenne (Francúzsko) : Center Archaeological European De Bibracte, 2020. – ISBN 978-2-490601-03-5, s. 151-154 [tlačená forma] </t>
  </si>
  <si>
    <t xml:space="preserve">Analysis of Teaching Materials for Foreign Language Reading Comprehension / Chválová, Katarína [Autor, UKFFFAKRO, 100%]. – text. – [angličtina]. – [OV 020]. – [kapitola]. – [recenzované]. – SCO In: A Reflection of Man and Culture in Language and Literature (13), (Studies in Linguistics, Anglophone Literatures and Cultures) [textový dokument (print)] / Matiová, Mária [Zostavovateľ, editor] ; Navrátil, Martin [Zostavovateľ, editor]. – 1. vyd. – Berlin (Nemecko) : Peter Lang, 2019. – ISBN 978-3-631-74550-2, s. 157-177 [1,11 AH] [tlačená forma] </t>
  </si>
  <si>
    <t xml:space="preserve">Analýza a spracování dat v sociálních vědách / Sollár, Tomáš [Autor, UKFFSVUAP, 100%]. – text. – [čeština]. – [OV 060]. – [príspevok] In: Sociální psychologie [textový dokument (print)] : teorie, metody, aplikace / Výrost, Jozef [Zostavovateľ, editor] ; Slaměník, Ivan [Zostavovateľ, editor] ; Sollárová, Eva [Zostavovateľ, editor] ; Letovancová, Eva [Recenzent] ; Poláčková Šolcová, Iva [Recenzent]. – 1. vyd. – Praha (Česko) : Grada Publishing, 2019. – (Psyché). – ISBN 978-80-247-5775-9, s. 427-443 [tlačená forma] </t>
  </si>
  <si>
    <t xml:space="preserve">Analýza produktů v sociální psychologii / Baňasová, Katarína [Autor, UKFFSVUAP, 50%] ; Slaměník, Ivan [Autor, UKFFSVUAP, 50%]. – text. – [čeština]. – [OV 060]. – [príspevok] In: Sociální psychologie [textový dokument (print)] : teorie, metody, aplikace / Výrost, Jozef [Zostavovateľ, editor] ; Slaměník, Ivan [Zostavovateľ, editor] ; Sollárová, Eva [Zostavovateľ, editor] ; Letovancová, Eva [Recenzent] ; Poláčková Šolcová, Iva [Recenzent]. – 1. vyd. – Praha (Česko) : Grada Publishing, 2019. – (Psyché). – ISBN 978-80-247-5775-9, s. 329-340 [tlačená forma] </t>
  </si>
  <si>
    <t xml:space="preserve">Anonymus műve a szlovák történetírásban a XIX. és XX. században / Pintérová, Beáta [Autor, UKFFFAKHI, 100%] ; Kovács, Vilmos [Recenzent]. – [maďarčina]. – [OV 030]. – [príspevok] In: Hadi és más nevezetes történetek [textový dokument (print)] / Kincses, Katalin Mária [Zostavovateľ, editor]. – 1. vyd. – Budapešť (Maďarsko) : HM Hadtörténeti Intézet és Múzeum, 2018. – ISBN 978-963-7097-87-4, s. 397-399 [tlačená forma] </t>
  </si>
  <si>
    <t xml:space="preserve">Antiposlovicy v slovackom i russkom jazykach / Bilčíková, Miriama [Autor, UKFFFAKRU, 100%]. – text. – [ruština]. – [OV 020]. – [príspevok]. – [recenzované] In: Žurnalistika, multimedia: informacionnyj i sociokuľturnyj potencial [textový dokument (print)] : sbornik naučnych trudov / Maľceva, R.I. [Zostavovateľ, editor]. – 1. vyd. – Krasnodar (Ruská federácia) : Kubanskij gosudarstvennyj universitet, 2021. – ISBN 978-5-8209-1931-2, s. 16-21 [tlačená forma] </t>
  </si>
  <si>
    <t xml:space="preserve">Anxiety / Müller De Morais, Marianna [Autor, UKFPFAKPE, 100%]. – text. – [angličtina]. – [OV 010]. – [príspevok] In: Foreign Language Anxiety [textový dokument (print)] : Post-Communist Country Context / Kráľová, Zdena [Zostavovateľ, editor] ; Kamenická, Jana [Zostavovateľ, editor] ; Škorvagová, Eva [Recenzent] ; Zelina, Miron [Recenzent]. – 2. rozš. vyd. – Praha (Česko) : Verbum, 2019. – ISBN 978-80-87800-50-8, s. 9-22 [tlačená forma] </t>
  </si>
  <si>
    <t xml:space="preserve">Applicability of measurements of local electrical parameters in the modeling of technological texture of ceramic blanks / Kozík, Tomáš [Autor, 25%] ; Minárik, Stanislav [Autor, MTF STU, 25%] ; Kubliha, Marian [Autor, M1000, 25%] ; Kuna, Peter [Autor, UKFFPVKIN, 25%]. – [angličtina]. – [OV 110]. – [príspevok]. – SCO In: Novel Trends in Production Devices and Systems 5 [elektronický dokument] / Delgado Sobrino, Daynier Rolando [Zostavovateľ, editor] ; Velíšek, Karol [Zostavovateľ, editor]. – 1. vyd. – Zürich (Švajčiarsko) : Trans Tech Publications, 2019. – (Materials Science Forum, ISSN 1662-9752, ISSN 0255-5476, ISSN 1662-9760 ; 952, SJR: 0,182 ; CiteScore: 0,7 ; SNIP: 0,331). – ISBN 978-3-0357-1515-6, s. 346-355 [online] Scimago - Condensed matter physics - Q4, Materials science (miscellaneous) - Q3, Mechanical engineering - Q3, Mechanics of materials - Q4 </t>
  </si>
  <si>
    <t xml:space="preserve">Archetyp domu / domova : úvodné poznámky / Baďová, Petra [Autor, UKFFFAULK, 100%] ; Malicki, Jan [Recenzent] ; Raclavská, Jana [Recenzent]. – text. – [slovenčina]. – [OV 020]. – [príspevok] In: Studia humanitatis – Ars hermeneutica [textový dokument (print)] : metodologie a theurgie hermeneutické interpretace 7 / Mikulášek, Miroslav [Zostavovateľ, editor]. – 1. vyd. – Ostrava (Česko) : Ostravská univerzita, 2018. – ISBN 978-80-7599-026-6, s. 217-224 [tlačená forma] </t>
  </si>
  <si>
    <t xml:space="preserve">Aspects of fantasy in Terry Pratchett's City Watch series / Ondrušeková, Judita [Autor, UKFFFAKAA, 100%]. – text. – [slovenčina]. – [OV 020]. – [príspevok] In: Filologické štúdie [textový dokument (print)] / Vajičková, Mária [Zostavovateľ, editor] ; Bojničanová, Renáta [Zostavovateľ, editor] ; Tomášková, Simona [Zostavovateľ, editor] ; Žeňuch, Peter [Recenzent] ; Bojničanová, Renáta [Recenzent] ; Javorčíková, Jana [Recenzent]. – 1. vyd. – č. 4. – Nümbrecht (Nemecko) : Kirsch-Verlag, 2018. – (Acta Facultatis Paedagogicae Universitatis Comenianae Bratislavensis : Acta Doctorandorum Facultatis Facultatis Paedagogicae Universitatis Comenianae Bratislavensis.). – ISBN 978-3-943906-47-9, s. 150-160 [tlačená forma] </t>
  </si>
  <si>
    <t xml:space="preserve">Aspects of Multiculturalism in Present-day Europe : The Influence of Globalization in the Creation of New Identities in the 21st Century / Puškár, Jozef [Autor, UKFFFAKKU, 100%] ; Velev, Ilja [Recenzent] ; Avramovska, Natasha [Recenzent]. – text. – [angličtina]. – [OV 020]. – [príspevok] In: Culture in Transition Countries [textový dokument (print)] / Jakimovska-Toshikj, Maja [Zostavovateľ, editor] ; Gabašová, Katarína [Zostavovateľ, editor]. – 1. vyd. – Skopje (Macedónsko) : Saints Cyril and Methodius University of Skopje, 2018. – ISBN 978-608-4744-10-8, s. 125-143 [tlačená forma] </t>
  </si>
  <si>
    <t xml:space="preserve">Avantgardný vedecký prínos Jiřího Levého a Antona Popoviča v kontexte súčasného translatologického vývoja / Gromová, Edita [Autor, UKFFFAKTR, 33.334%] ; Müglová, Daniela [Autor, UKFFFAKTR, 33.333%] ; Munková, Daša [Autor, UKFFFAKTR, 33.333%]. – text. – [slovenčina]. – [OV 020]. – [príspevok] In: Jiří Levý: zakladatel československé translatologie [textový dokument (print)] [elektronický dokument] / Kupková, Ivana [Zostavovateľ, editor] ; Fišer, Zbyněk [Zostavovateľ, editor] ; Janíková, Věra [Recenzent] ; Andričík, Marián [Recenzent]. – 1. vyd. – Brno (Česko) : Masarykova univerzita, 2019. – ISBN 978-80-210-9348-5. – ISBN (online) 978-80-210-9349-2. – SIGN-PU FF-19 331/19, s. 15-25 [tlačená forma] [online] </t>
  </si>
  <si>
    <t xml:space="preserve">Axiológia životných postojov i umeleckej tvorby Jána Motulka / Brunclík, Jozef [Autor, UKFFFASJL, 100%]. – [slovenčina]. – [OV 020]. – [príspevok] In: Revitalizace hodnot: umění a literatura IV [textový dokument (print)] [elektronický dokument] / Dohnal, Josef [Zostavovateľ, editor] ; Eliáš, Anton [Recenzent] ; Richterek, Oldřich [Recenzent]. – 1. vyd. – Brno (Česko) : Tribun EU, 2019. – ISBN 978-80-263-1476-9. – ISBN (online) 978-80-263-1477-6, s. 25-37 [tlačená forma] [CD-ROM] </t>
  </si>
  <si>
    <t xml:space="preserve">Az udmurt nyelv kutatástörténetének egy problémájához 2. / Kozmács, István [Autor, UKFFSSUML, 100%] ; Kelmakov, V. K. [Recenzent] ; Samarova, M. A. [Recenzent]. – text. – [maďarčina]. – [OV 020]. – [príspevok] In: Permistika 18 [textový dokument (print)] : Dialekty i istorija jazykov vo vzaimodejstvii s drugimi jazykami. Sbornik statej / Kelmakov, V. K [Zostavovateľ, editor]. – 1. vyd. – Izhevsk (Ruská federácia) : Neumann János Egyetem, 2020. – ISBN 978-5-4344-0906-3, s. 114-124 </t>
  </si>
  <si>
    <t xml:space="preserve">Balancing school autonomy and head teachers' accountability for schools in Slovakia / Hašková, Alena [Autor, UKFPFAKTT, 100%]. – text. – [angličtina]. – [OV 010]. – [príspevok] In: Leadership in education [textový dokument (print)] : initiatives and trends in selected European countries / Ševkušić, Slavica [Zostavovateľ, editor] ; Verbiest, Eric [Recenzent] ; Ivanova, Ilze [Recenzent]. – 1. vyd. – Beograd (Srbsko) : Institute for Educational Research, 2019. – ISBN 978-86-7447-149-4, s. 181-206 [tlačená forma] </t>
  </si>
  <si>
    <t xml:space="preserve">Big Brother Is Watching You : The Metamorphoses of Life and Identity Crises in the Virtual Space of Social Networks / Moravčíková, Erika [Autor, UKFFFAKKU, 100%] ; Velev, Ilja [Recenzent] ; Avramovska, Natasha [Recenzent]. – text. – [angličtina]. – [OV 020]. – [príspevok] In: Culture in Transition Countries [textový dokument (print)] / Jakimovska-Toshikj, Maja [Zostavovateľ, editor] ; Gabašová, Katarína [Zostavovateľ, editor]. – 1. vyd. – Skopje (Macedónsko) : Saints Cyril and Methodius University of Skopje, 2018. – ISBN 978-608-4744-10-8, s. 255-279 [tlačená forma] </t>
  </si>
  <si>
    <t xml:space="preserve">Canonical visitations and chapter statutes, sources for understanding the local history of the Spiš chapter in the early modern period / Glejtek, Miroslav [Autor, UKFFFAKHI, 100%]. – text. – [angličtina]. – [OV 030]. – [príspevok]. – SCO In: People, institutions, relations. Slovakia and Hungary from the 11th to the 18th century [textový dokument (print)] / Marci, Ľudovít [Zostavovateľ, editor] ; Selecká Mârza, Eva [Recenzent] ; Chrastina, Peter [Recenzent]. – 1. vyd. – Berlin (Nemecko) : Peter Lang, 2020. – ISBN 978-3-631-77357-4, s. 107-150 [tlačená forma] </t>
  </si>
  <si>
    <t xml:space="preserve">Case study area Ľubietová and Strelníky: Agricultural abandonment and land use changes since 1949 / Masný, Matej [Autor, UMBFP01, 60%] ; Weis, Karol [Autor, UMBFP01, 30%] ; Boltižiar, Martin [Autor, UKFFPVKGR, 10%]. – text. – [angličtina]. – [OV 092]. – [príspevok] In: Land Use/Cover Changes in Selected Regions in the World (Volume), (13) [textový dokument (print)] / Kupková, Lucie [Zostavovateľ, editor] ; Himiyama, Yukio [Zostavovateľ, editor] ; Bičík, Ivan [Recenzent] ; Šefrna, Luděk [Recenzent]. – [s.l.] (Japonsko) : International Geographical Union, 2018. – ISBN 978-4-907651-14-5, s. 43-51 [tlačená forma] </t>
  </si>
  <si>
    <t xml:space="preserve">Central and Eastern Europe / Karpinsky, Maciej [Autor, 20%] ; Andreeva, Bistra [Autor, 16%] ; Asu, Eva Liina [Autor, 16%] ; Daugavet, Anna [Autor, 16%] ; Beňuš, Štefan [Autor, UKFFFAKAA, 16%] ; Mády, Katalin [Autor, 16%]. – text. – [angličtina]. – [OV 020]. – [príspevok] In: The Oxford Handbook of Language Prosody [textový dokument (print)] / Gussenhoven, Carlos [Zostavovateľ, editor] ; Chen, Aoju [Zostavovateľ, editor]. – 1. vyd. – Oxford (Veľká Británia) : Oxford University Press, 2021. – ISBN 978-0-19-883223-2, s. 225-235 [tlačená forma] </t>
  </si>
  <si>
    <t xml:space="preserve">Cognitive Analysis of the Concept of Envy as an Interpretative Construct of Slovak Lingual and Cultural Society / Matiová, Mária [Autor, UKFFFASJL, 100%]. – [angličtina]. – [OV 020]. – [kapitola]. – [recenzované]. – SCO In: A Reflection of Man and Culture in Language and Literature (13), (Studies in Linguistics, Anglophone Literatures and Cultures) [textový dokument (print)] / Matiová, Mária [Zostavovateľ, editor] ; Navrátil, Martin [Zostavovateľ, editor]. – 1. vyd. – Berlin (Nemecko) : Peter Lang, 2019. – ISBN 978-3-631-74550-2, s. 81-104 [tlačená forma] </t>
  </si>
  <si>
    <t xml:space="preserve">Cognitive-Behavioral Approach in Teaching Foreign Languages / Müller De Morais, Marianna [Autor, UKFPFAKPE, 50%] ; Petrová, Gabriela [Autor, UKFPFAKPE, 50%]. – text. – [angličtina]. – [OV 010]. – [príspevok] In: Foreign Language Anxiety [textový dokument (print)] : Post-Communist Country Context / Kráľová, Zdena [Zostavovateľ, editor] ; Kamenická, Jana [Zostavovateľ, editor] ; Škorvagová, Eva [Recenzent] ; Zelina, Miron [Recenzent]. – 2. rozš. vyd. – Praha (Česko) : Verbum, 2019. – ISBN 978-80-87800-50-8, s. 65-102 [tlačená forma] </t>
  </si>
  <si>
    <t xml:space="preserve">Come d’asse si trae chiodo con chiodo» (Triumphus Cupidinis III 66). Un’immagine di Petrarca Fra Cicerone e Dante : il testo digitale fra edizione e archivio / Zaccarello, Michelangelo [Autor, UKFFFAKRO, 100%]. – text. – [taliančina]. – [OV 020]. – [príspevok] In: Studi medievali e umanistici - Rivista SMU [textový dokument (print)] / [bez zostavovateľa] [Zostavovateľ, editor]. – 1. vyd. – Roma (Taliansko) : Arbor Sapientiae, 2018. – ISSN 2035-3774, s. 27-42 </t>
  </si>
  <si>
    <t xml:space="preserve">Comprensión de textos literarios para estudiantes extranjeros desde la Crítica de la razón literaria. La cuestión didáctica / De Miguel Santos, César [Autor, UKFFFAKRO, 100%]. – text. – [španielčina]. – [OV 020]. – [príspevok] In: Hacia una interpretación de la literatura a través de las ciencias desde la Crítica de la razón literaria [textový dokument (print)] / Maestro, Jesús G. [Zostavovateľ, editor]. – 1. vyd. – Vigo (Španielsko) : Academia del Hispanismo, 2020. – ISBN 978-84-17696-31-3, s. 199-230 [tlačená forma] </t>
  </si>
  <si>
    <t xml:space="preserve">Conceptual maps as one of the form of innovative teachings methods / Vanko, Andrej [Autor, UKFFPVKMA, 100%]. – text. – [angličtina]. – [OV 240]. – [príspevok] In: Modern technologies in education [textový dokument (print)] : collective scientific monograph / Duczmal, Wojciech [Zostavovateľ, editor] ; Ciepaj, Marian [Recenzent] ; Svitlychna, Nataliia [Recenzent]. – 1. vyd. – Opole (Poľsko) : Wyższa Szkoła Zarządzania i Administracji w Opolu, 2019. – ISBN 978-83-946765-5-1, s. 159-183 [tlačená forma] </t>
  </si>
  <si>
    <t xml:space="preserve">Conservativism's Approach to the Ethical Neutrality of the State / Michalík, Adrian [Autor, UKFFFAKAE 06.2022, 100%]. – text. – [angličtina]. – [OV 020]. – [príspevok] In: Disputes on the Religious and Ethical Neutrality of the State [textový dokument (print)] / [bez zostavovateľa] [Zostavovateľ, editor] ; Probucka, Dorota [Recenzent] ; Valčo, Michal [Recenzent]. – 1. vyd. – Boskovice (Česko) : Nakladatelství František Šalé - Albert, 2019. – ISBN 978-80-7326-309-6, s. 81-104 [tlačená forma] </t>
  </si>
  <si>
    <t xml:space="preserve">Construction of speculative reality in sci-fi, science and philosophy / Štúr, Martin [Autor, UKFFFAKRO, 100%]. – text. – [angličtina]. – [OV 020]. – [príspevok] In: Studies in foreign language education [textový dokument (print)] / Husárová, Zuzana [Zostavovateľ, editor] ; Vajičková, Mária [Zostavovateľ, editor] ; Šipošová, Martina [Recenzent] ; Vietorová, Nina [Recenzent] ; Charfaoui, Emília [Recenzent]. – 1. vyd. – Roč. 13. – Nümbrecht (Nemecko) : Kirsch-Verlag, 2021. – ISBN 978-3-943906-61-5. – SIGN-UKO PD AJ,NJ/21, s. 194-219 [tlačená forma] </t>
  </si>
  <si>
    <t xml:space="preserve">Contact phenomena in the use of personal names of Slovakia Hungarians / Bauko, Ján [Autor, UKFFSSUML, 100%]. – text. – [angličtina]. – [OV 020]. – [príspevok]. – SCO In: Hungarian as a Plucentric Language  in Language and Literature [textový dokument (print)] / Muhr, Rudolf [Zostavovateľ, editor] ; Vančo, Ildikó [Zostavovateľ, editor] ; Kozmács, István [Zostavovateľ, editor] ; Huber, Maté [Zostavovateľ, editor]. – 1. vyd. – č. 22. – Berlín (Nemecko) : Peter Lang, 2020. – ISBN 978-3-631-80975-4. – ISBN (online) 978-36-318-2219-7. – ISSN 1618-5714, s. 81-96 [tlačená forma] </t>
  </si>
  <si>
    <t xml:space="preserve">Contextualización : La relación de Kierkegaard con la prensa desde el punto de vista de la tradición de su recepción filosófica / Štúr, Martin [Autor, UKFFFAKRO, 100%] ; Binetti, Maria Jose [Recenzent]. – text. – [španielčina]. – [OV 020]. – [príspevok] In: Kierkegaard’s legacy, Mass‐media and Journalism [textový dokument (print)] / Štúr, Martin [Zostavovateľ, editor] ; Králik, Roman [Zostavovateľ, editor]. – 1. vyd. – Toronto (Kanada) : Kierkegaard Circle, 2018. – ISBN 978-1-988129-01-3, s. 85-108 [tlačená forma] </t>
  </si>
  <si>
    <t xml:space="preserve">Creatividad, cultura y lógica abductiva / Lampis, Mirko [Autor, UKFFFAKRO, 100%] ; González de Ávila, Manuel [Recenzent] ; Cureses de la Vega, Marta [Recenzent]. – [španielčina]. – [OV 020]. – [príspevok] In: Idea súbita. Ensayos sobre epifanía creativa [textový dokument (print)] / Gamoneda, Amelia [Zostavovateľ, editor]. – 1. vyd. – Madrid (Španielsko) : Abada, 2018. – ISBN 978-84-17301-03-3, s. 111-137 </t>
  </si>
  <si>
    <t xml:space="preserve">Cultural Ecosystem Services / Izakovičová, Zita [Korešpondenčný autor, 7.154%] ; Štefunková, Dagmar [Autor, 7.142%] ; Špulerová, Jana [Autor, 7.142%] ; Kaisová, Dominika [Autor, UKFFPVKEE, 7.142%] ; Vrbičanová, Gréta [Autor, UKFFPVKEE, 7.142%] ; Mederly, Peter [Autor, UKFFPVKEE, 7.142%] ; Petrovič, František [Autor, UKFFPVKEE, 7.142%] ; Močko, Matej [Autor, UKFFPVKEE, 7.142%] ; Turanovičová, Martina [Autor, UKFFPVKGR, 7.142%] ; Šatalová, Barbora [Autor, 7.142%] ; Gusejnov, Simona [Autor, 7.142%] ; Kováč, Tomáš [Autor, UKFFPVKGR, 7.142%] ; Černecký, Ján [Autor, UKFFPVKEE, 7.142%] ; Ďuricová, Viktória [Autor, UMBFP09, 7.142%]. – text. – [angličtina]. – [OV 100, 190]. – [príspevok]. – DOI 10.1007/978-3-030-46508-7_5 In: A Catalogue of Ecosystem Services in Slovakia [textový dokument (print)] [elektronický dokument] : Benefits to Society / Mederly, Peter [Zostavovateľ, editor] ; Černecký, Ján [Zostavovateľ, editor]. – 1. vyd. – Cham (Švajčiarsko) : Springer Verlag, 2020. – ISBN 978-3-030-46507-0. – ISBN (online) 978-3-030-46508-7, s. 185-218 [tlačená forma] </t>
  </si>
  <si>
    <t xml:space="preserve">Culture as a Factor of International Relations : Cultural Diplomacy and Foreign Cultural Policy in a Changing Modern Society / Moravčíková, Veronika [Autor, UKFFFAKKU, 100%] ; Velev, Ilja [Recenzent] ; Avramovska, Natasha [Recenzent]. – text. – [angličtina]. – [OV 020]. – [príspevok] In: Culture in Transition Countries [textový dokument (print)] / Jakimovska-Toshikj, Maja [Zostavovateľ, editor] ; Gabašová, Katarína [Zostavovateľ, editor]. – 1. vyd. – Skopje (Macedónsko) : Saints Cyril and Methodius University of Skopje, 2018. – ISBN 978-608-4744-10-8, s. 144-156 [tlačená forma] </t>
  </si>
  <si>
    <t xml:space="preserve">Current state of military museology in Slovakia / Šteiner, Pavol [Autor, UKFFFAKMU, 100%]. – text. – [angličtina, poľština]. – [OV 030]. – [príspevok]. – SCO In: Muzealnictwo [textový dokument (print)] / [bez zostavovateľa] [Zostavovateľ, editor]. – 1. vyd. – Roč. 61. – Warszawa (Poľsko) : Narodowy Instytut Muzealnictwa i Ochrony Zabytków, 2020. – ISSN 2391-4815. – ISSN (online) 0464-1086, s. 66-74 [tlačená forma] </t>
  </si>
  <si>
    <t xml:space="preserve">Cyrilo-metodská misia v kontexte srbsko-slovenských vzťahov / Zozuľak, Ján [Autor, UKFFFAKFI, 100%] ; Tišliar, Pavol [Recenzent] ; Taneski, Zvonko [Recenzent]. – text. – [slovenčina]. – [OV 030, 020]. – [príspevok] In: Cyrilometodějská tradice v novodobých československých dejinách [textový dokument (print)] / [bez zostavovateľa] [Zostavovateľ, editor]. – 1. vyd. – Zlín (Česko) : Evropská kulturní stezka sv. Cyrila a Metoděje, 2018. – ISBN 978-80-270-5024-6, s. 21-35 [tlačená forma] </t>
  </si>
  <si>
    <t xml:space="preserve">Cyrilo-metodská tradícia – integračný prvok čs. štátnosti? / Arpáš, Róbert [Autor, UKFFFAKHI, 100%] ; Tišliar, Pavol [Recenzent] ; Taneski, Zvonko [Recenzent]. – text. – [slovenčina]. – [OV 030, 020]. – [príspevok] In: Cyrilometodějská tradice v novodobých československých dejinách [textový dokument (print)] / [bez zostavovateľa] [Zostavovateľ, editor]. – 1. vyd. – Zlín (Česko) : Evropská kulturní stezka sv. Cyrila a Metoděje, 2018. – ISBN 978-80-270-5024-6, s. 83-93 [tlačená forma] </t>
  </si>
  <si>
    <t xml:space="preserve">Cyrilo-metodská úcta na Slovensku v 19. a 20. storočí / Ivanič, Peter [Autor, UKFFFAUKD, 100%] ; Tišliar, Pavol [Recenzent] ; Taneski, Zvonko [Recenzent]. – text. – [slovenčina]. – [OV 030, 020]. – [príspevok] In: Cyrilometodějská tradice v novodobých československých dejinách [textový dokument (print)] / [bez zostavovateľa] [Zostavovateľ, editor]. – 1. vyd. – Zlín (Česko) : Evropská kulturní stezka sv. Cyrila a Metoděje, 2018. – ISBN 978-80-270-5024-6, s. 65-82 [tlačená forma] </t>
  </si>
  <si>
    <t xml:space="preserve">Československo - národný štát Čechoslovákov? : úloha slovenskej  otázky v československej politike / Arpáš, Róbert [Autor, UKFFFAKHI, 100%] ; Jakubec, Ivan [Recenzent] ; Morávková, Naděžda [Recenzent]. – text. – [slovenčina]. – [OV 030]. – [kapitola] In: Československo 1918-1938/2018 [textový dokument (print)] / Bílek, Petr A. [Zostavovateľ, editor] ; Jiroušek, Bohumil [Zostavovateľ, editor] ; Novotný, Lukáš [Zostavovateľ, editor]. – České Budějovice (Česko) : Jihočeská univerzita v Českých Budějovicích, 2018. – ISBN 978-80-7394-725-5, s. 39-50 [1,13 AH] [tlačená forma] </t>
  </si>
  <si>
    <t xml:space="preserve">Dante's Comedy : a Life's Work / Zaccarello, Michelangelo [Autor, UKFFFAKRO, 100%]. – text. – [taliančina]. – [OV 020]. – [príspevok] In: Le Tre Corone [textový dokument (print)] : Rivista internazionale di studi su Dante, Petrarca, Boccaccio / Baranski, Zygmunt G. [Zostavovateľ, editor]. – 1. vyd. – Roč. 2020, č. 7. – Pisa (Taliansko) : Accademia Editoriale, 2020. – ISSN 2283-5768. – ISSN (online) 2421-0277, s. 85-101 </t>
  </si>
  <si>
    <t xml:space="preserve">Developing a method of integrating the four-dimensional model of creative language methodology and new technologies: implications for the sustainable development of language education in the 21st century / Foltyn, Marzena Aneta [Autor, UKFPFAKLI, 100%]. – text. – [angličtina, poľština]. – [OV 010]. – [príspevok] In: Poszerzamy Horyzonty : Tom 21 [textový dokument (print)] / Bogusz, M. [Zostavovateľ, editor]. – 1. vyd. – Słupsk (Poľsko) : Mateusz Weiland Network Solutions, 2020. – ISBN 978-83-63216-37-5, s. 368-382 [tlačená forma] </t>
  </si>
  <si>
    <t xml:space="preserve">Developing students’ reading comprehension and critical thinking through contextual reading activities / Hricková, Mária [Autor, UKFFFAKAA, 50%] ; Klimková, Simona [Autor, UKFFFAKAA, 50%]. – text. – [angličtina]. – [OV 010]. – [príspevok]. – [recenzované] In: Radomskie Studia Filologiczne [textový dokument (print)] / Trześniowski, Dariusz [Zostavovateľ, editor] ; Stachurska, Anna [Zostavovateľ, editor] ; Buda, Agata [Zostavovateľ, editor]. – 1. vyd. – Roč. 7, č. 1. – Radom (Poľsko) : Uniwersytet Technologiczno-Humanistyczny im. Kazimierza Pułaskiego w Radomiu, 2018. – ISSN 2299-1131, s. 114-119 [tlačená forma] </t>
  </si>
  <si>
    <t xml:space="preserve">Diagnostics of reactive and running agility in young football players / Horička, Pavol [Autor, UKFPFAKTV, 33.334%] ; Šimonek, Jaromír [Autor, UKFPFAKTV, 33.333%] ; Broďáni, Jaroslav [Autor, UKFPFAKTV, 33.333%]. – text. – [angličtina]. – [OV 210]. – [príspevok]. – [recenzované]. – DOI 10.16926/par.2018.06.05. – SCO In: Physical activity review [elektronický dokument] / Wasik, Jacek [Zostavovateľ, editor] ; Franchini, Emerson [Zostavovateľ, editor]. – 1. vyd. – Roč. 6. – Czestochowa (Poľsko) : PPHU Projack, 2018. – (Physical activity review, ISSN 2300-5076 ; 6, SNIP: 0,286 ; SJR: 0,178 ; CiteScore: 0,80). – ISSN (online) 2300-5076, s. 29-36 [online] Scimago - Education - Q4, Health (social science) - Q4, Orthopedics and sports medicine - Q4, Physical therapy, sports therapy and rehabilitation - Q4 </t>
  </si>
  <si>
    <t xml:space="preserve">Die Widerspiegelung der Kultur- und Zivilisationsprozesse in der slowakischen Gesellschaft und Translationswissenschaft / Gromová, Edita [Autor, UKFFFAKTR, 50%] ; Müglová, Daniela [Autor, UKFFFAKTR, 50%] ; Žigon, Tanja [Recenzent] ; Hansen, Gyde [Recenzent]. – text. – [nemčina]. – [OV 020]. – [príspevok] In: Transkulturalität im mehrsprachigen Dialog [textový dokument (print)] / Kučiš, Vlasta [Zostavovateľ, editor]. – 1. vyd. – Hamburg (Nemecko) : Verlag Dr. Kovač, 2018. – (Translatologie : Studien zur Übersetzungswissenschaft, ISSN 1869-5655 ; 17). – ISBN 978-3-8300-9837-9, s. 65-85 [tlačená forma] </t>
  </si>
  <si>
    <t xml:space="preserve">Diera do svetra : interpretáciou k porozumeniu nekonvenčnému textu Veroniky Šikulovej / Zeleňáková, Hana [Autor, UKFFFAULK, 100%] ; Malicki, Jan [Recenzent] ; Raclavská, Jana [Recenzent]. – text. – [slovenčina]. – [OV 020]. – [príspevok] In: Studia humanitatis – Ars hermeneutica [textový dokument (print)] : metodologie a theurgie hermeneutické interpretace 7 / Mikulášek, Miroslav [Zostavovateľ, editor]. – 1. vyd. – Ostrava (Česko) : Ostravská univerzita, 2018. – ISBN 978-80-7599-026-6, s. 235-252 [tlačená forma] </t>
  </si>
  <si>
    <t xml:space="preserve">Digital and Mobile Marketing, and Mobile Applications / Al-ali, Jalal [Autor, UKFFFADE2, 100%]. – text. – [angličtina]. – [OV 060]. – [príspevok] In: Marketing in the Digital Era [textový dokument (print)] / Bačíková, Zuzana [Zostavovateľ, editor]. – 1. vyd. – Berlín (Nemecko) : Peter Lang, 2018. – (New Horizons in Management Sciences ; 8). – ISBN 978-3-631-74545-8, s. 71-90 [tlačená forma] </t>
  </si>
  <si>
    <t xml:space="preserve">Diversification in the Poetics of Current Slovak Theatre : On Some Inspiring Changes in Current Slovak Theatre / Ballay, Miroslav [Autor, UKFFFAKKU, 100%] ; Velev, Ilja [Recenzent] ; Avramovska, Natasha [Recenzent]. – text. – [angličtina]. – [OV 020]. – [príspevok] In: Culture in Transition Countries [textový dokument (print)] / Jakimovska-Toshikj, Maja [Zostavovateľ, editor] ; Gabašová, Katarína [Zostavovateľ, editor]. – 1. vyd. – Skopje (Macedónsko) : Saints Cyril and Methodius University of Skopje, 2018. – ISBN 978-608-4744-10-8, s. 200-220 [tlačená forma] </t>
  </si>
  <si>
    <t xml:space="preserve">Dlhodobé výzvy pre službu chudobným v duchu kresťanského posolstva / Lyko, Miroslav [Autor, UKFFFAKNS, 100%]. – text. – [angličtina]. – [OV 020]. – [príspevok] In: Aktuální otázky filozoficko-sociálního výzkumu [textový dokument (print)] / Králik, Roman [Zostavovateľ, editor] ; Maturkanič, Patrik [Zostavovateľ, editor] ; Dolista, Josef [Recenzent] ; Zimny, Jan [Recenzent]. – 1. vyd. – Terezín (Česko) : Vysoká škola aplikované psychologie, 2021. – ISBN 978-80-87871-16-4, s. 126-178 [tlačená forma] </t>
  </si>
  <si>
    <t xml:space="preserve">Doctor Mráz (Doktor Mráz) Denisa Fulmeková / Adamická, Monika [Autor, UKFFSSUSJ, 100%]. – text. – [angličtina]. – [OV 020]. – [kapitola] In: Handbook of Polish, Czech, and Slovak Holocaust Fiction [textový dokument (print)] [elektronický dokument] : Works and Contexts / Hiemer, Elisa-Maria [Zostavovateľ, editor] ; Holý, Jiří [Zostavovateľ, editor] ; Firlej, Agata [Zostavovateľ, editor] ; Nichtburgerová, Hana [Zostavovateľ, editor]. – 1. vyd. – Oldenbourg (Nemecko) : De Gruyter, 2021. – ISBN 978-3-11-066725-7. – ISBN (online) 978-3-11-066741-7. – ISBN (online) 978-3-11-067105-6, s. 150-153 [tlačená forma] </t>
  </si>
  <si>
    <t xml:space="preserve">Doživljajno u sistemu kulture / Plesník, Ľubomír [Autor, UKFFFAULK, 100%]. – text. – [srbské jazyky]. – [OV 020]. – [príspevok]. – [recenzované] In: Modeli i diskursi nauke o književnosti [textový dokument (print)] : izbor iz novije slovačke nauke o književnosti / Harpáň, Michal [Zostavovateľ, editor]. – 1. vyd. – Belehrad (Srbsko) : Službeni glasnik, 2018. – (Osnova. Kniževna teorija). – ISBN 978-86-519-2160-8, s. 303-315 [tlačená forma] </t>
  </si>
  <si>
    <t xml:space="preserve">Dva vida naučno-teorijske autentičnosti – František Miko i Ljubomir Pljesnik / Rédey, Zoltán [Autor, UKFFFAULK, 100%]. – [srbčina]. – [OV 020]. – [príspevok]. – [recenzované] In: Modeli i diskursi nauke o književnosti [textový dokument (print)] : izbor iz novije slovačke nauke o književnosti / Harpáň, Michal [Zostavovateľ, editor]. – 1. vyd. – Belehrad (Srbsko) : Službeni glasnik, 2018. – (Osnova. Kniževna teorija). – ISBN 978-86-519-2160-8, s. 415-420 [tlačená forma] </t>
  </si>
  <si>
    <t xml:space="preserve">Dve podoby interpretácie básne Miroslava Válka Večer : od ľúbostného sklamania k existenciálnej osihotenosti / Zlatoš, Peter [Autor, UKFFFAULK, 100%] ; Malicki, Jan [Recenzent] ; Raclavská, Jana [Recenzent]. – text. – [slovenčina]. – [OV 020]. – [príspevok] In: Studia humanitatis – Ars hermeneutica [textový dokument (print)] : metodologie a theurgie hermeneutické interpretace 7 / Mikulášek, Miroslav [Zostavovateľ, editor]. – 1. vyd. – Ostrava (Česko) : Ostravská univerzita, 2018. – ISBN 978-80-7599-026-6, s. 225-236 [tlačená forma] </t>
  </si>
  <si>
    <t xml:space="preserve">Education at a cooperative university in the digital economy / Maksaev, Artur A. [Autor, 20%] ; Vasbieva, Dinara G. [Autor, 20%] ; Sherbakova, Olga Yu [Autor, 20%] ; Mirzoeva, Fatima R. [Autor, 20%] ; Králik, Roman [Autor, UKFFFAKAE 06.2022, 20%]. – text. – [angličtina]. – [OV 020, 010]. – [príspevok]. – DOI 10.1007/978-3-030-57831-2_4. – SCO In: Studies in Systems, Decision and Control [textový dokument (print)] / [bez zostavovateľa] [Zostavovateľ, editor]. – 1. vyd. – Berlín (Nemecko) : Springer Nature. Springer Science+Business Media, 2021. – ISSN 21984182. – ISSN (online) 21984190, 33-42 [tlačená forma] </t>
  </si>
  <si>
    <t xml:space="preserve">Education of the Roma Minority in Slovakia / Rosinský, Rastislav [Autor, UKFFSVURS, 100%]. – [angličtina]. – [OV 060]. – [príspevok] In: Lifelong Learning and the Roma Minority in Central and Eastern Europe [textový dokument (print)] / Óhidy, Andrea [Zostavovateľ, editor] ; Forray, Katalin R. [Zostavovateľ, editor]. – Bingley (Veľká Británia) : Emerald Group Publishing, 2019. – ISBN 978-1-83867-260-7, s. 181-202 </t>
  </si>
  <si>
    <t xml:space="preserve">E-hodnotenie v procese formatívneho prístupu školskej evalvácie : E-Assessment as the Part of The Formative Evaluatio Approach / Beták, Norbert [Autor, UKFFSSKCR, 100%]. – text. – [slovenčina]. – [OV 010]. – [príspevok] In: Edukacja - technika - informatyka w budowaniu lepszej przyszłości [textový dokument (print)] / Sałata, Elżbieta [Zostavovateľ, editor] ; Buda, Agata [Zostavovateľ, editor] ; Rudolf, Ladislav [Recenzent] ; Symela, Krzysztof [Recenzent]. – 1. vyd. – Radom (Poľsko) : Wydawnictwo Uniwersytetu Technologiczno-Humanistycznego w Radomiu, 2018. – (Monografia ; 222). – ISBN 978-83-7351-860-5. – ISSN 1642-5278, s. 135-142 [tlačená forma] </t>
  </si>
  <si>
    <t xml:space="preserve">Emlékezet, határátlépés és transzferek : Patai József A középső kapu című művében / Száz, Pavol [Autor, UKFFSSUML, 100%] ; Bessenyei, Balázs [Recenzent] ; Pataki, Viktor [Recenzent]. – [maďarčina]. – [OV 020]. – [príspevok] In: A magyar falu poétikái [textový dokument (print)] / Korpa, Tamás [Zostavovateľ, editor]. – 1. vyd. – Budapest (Maďarsko) : Fiatal Írók Szövetsége, 2018. – ISBN 978-61-5572-927-0, s. 111-138 </t>
  </si>
  <si>
    <t xml:space="preserve">Emócie v slovných asociáciách (slovensko-ukrajinsko-ruský komparatívny aspekt) = Emotions in Verbal Associations (the Slovak-Ukrainian-Russian Comparative Aspect) / Zsarnóczaiová, Žaneta [Autor, UKFFFAKRU, 100%]. – text. – [slovenčina]. – [OV 020]. – [príspevok] In: Philologia Rossica (3) [textový dokument (print)] [elektronický dokument] : časopis pro ruskou filologii a výuku ruského jazyka / [bez zostavovateľa] [Zostavovateľ, editor]. – Hradec Králové (Česko) : Univerzita Hradec Králové, 2020. – ISSN 2694-8826, s. 149-164 [tlačená forma] [online] </t>
  </si>
  <si>
    <t xml:space="preserve">Epistemológia humanitných a sociálnych vied za hranicou metafyziky / Kondrla, Peter [Autor, UKFFFAKNS, 100%]. – text. – [slovenčina]. – [OV 010]. – [príspevok] In: Aktuální otázky filozoficko-sociálního výzkumu [textový dokument (print)] / Králik, Roman [Zostavovateľ, editor] ; Maturkanič, Patrik [Zostavovateľ, editor] ; Dolista, Josef [Recenzent] ; Zimny, Jan [Recenzent]. – 1. vyd. – Terezín (Česko) : Vysoká škola aplikované psychologie, 2021. – ISBN 978-80-87871-16-4, s. 65-77 [tlačená forma] </t>
  </si>
  <si>
    <t xml:space="preserve">Ethical Neutrality of the State from the Perspective of Realistic Liberalism / Šebíková, Lívia [Autor, UKFFFAKAE 06.2022, 100%]. – text. – [angličtina]. – [OV 020]. – [príspevok] In: Disputes on the Religious and Ethical Neutrality of the State [textový dokument (print)] / [bez zostavovateľa] [Zostavovateľ, editor] ; Probucka, Dorota [Recenzent] ; Valčo, Michal [Recenzent]. – 1. vyd. – Boskovice (Česko) : Nakladatelství František Šalé - Albert, 2019. – ISBN 978-80-7326-309-6, s. 213-243 [tlačená forma] </t>
  </si>
  <si>
    <t xml:space="preserve">Ethical View on the Importance of Gender Identity in the Postmodern Society / Jozek, Milan [Autor, UKFFSSUSJ, 100%]. – text. – [angličtina]. – [OV 020]. – [príspevok]. – [recenzované] In: Context [textový dokument (print)] : Review for Comparative Literature and Cultural Research / [bez zostavovateľa] [Zostavovateľ, editor]. – 1. vyd. – Skopje (Macedónsko) : Institute for Macedonian Literature, 2019. – ISSN 1857-7377, s. 55-61 </t>
  </si>
  <si>
    <t xml:space="preserve">Ethnic Groups and Minorities (on The Example of the Roma) / Štrbová, Monika [Autor, UKFFFAKSO, 100%] ; Vančová, Alica [Recenzent] ; Kusin, Vasiľ [Recenzent]. – text. – [angličtina]. – [OV 060]. – [príspevok] In: Die wirtschaftliche Entwicklung europäischer Regionen in der Ausbildungs- und Arbeitsmarktpolitik [textový dokument (print)] : Übergänge und Strategien 5 / Holonič, Ján [Zostavovateľ, editor]. – 1. vyd. – Uzhorod (Ukrajina) : TOV "RiK - U", 2018. – ISBN 978-617-7404-93-3, s. 192-198 [tlačená forma] </t>
  </si>
  <si>
    <t xml:space="preserve">Ethnic Writing as a Part of American Studies : Interpretation and Teaching / Židová, Diana [Autor, UKFPFAKLI, 100%]. – [angličtina]. – [OV 020, 010]. – [príspevok]. – [recenzované] In: English Language Teaching through the Lens of Experience [textový dokument (print)] / Haase, Christoph [Zostavovateľ, editor] ; Orlova, Natalia [Zostavovateľ, editor]. – 1. vyd. – Newcastle Upon Tyne (Veľká Británia) : Cambridge Scholars Publishing, 2019. – ISBN 978-1-5275-3718-7, s. 305-318 </t>
  </si>
  <si>
    <t xml:space="preserve">Etické problémy medicíny související se vstupem molekulární genetiky do klinické praxe / Omelka, Radoslav [Autor, UKFFPVKBG, 50%] ; Brdička, Radim [Autor, 50%] ; Petrášek, Ján [Recenzent]. – [čeština]. – [OV 130]. – [kapitola] In: Genetika v klinické praxi 5 [textový dokument (print)] / Brdička, Radim [Autor] ; Didden, William [Autor]. – 1. vyd. – Praha (Česko) : Galén, 2018. – ISBN 978-80-7492-331-9, s. 159-166 [tlačená forma] </t>
  </si>
  <si>
    <t xml:space="preserve">Études archéobotaniques = Archeobotanické štúdie / Hajnalová, Mária [Autor, UKFFFAKAR, 100%]. – text. – [francúzština]. – [OV 030]. – [kapitola] In: Programme quadriennal de recherche 2017-2020 sur le Mont Beuvray. Rapport intermédiaire 2018 Synthèse [textový dokument (print)] / Durost, Sébastien [Zostavovateľ, editor] ; Paris, Pascal [Zostavovateľ, editor] ; Meunier, Arnaud [Zostavovateľ, editor] ; Clément-Demange, Cécile [Zostavovateľ, editor] ; Guichard, Vincent [Recenzent]. – 1. vyd. – Glux-en-Glenne (Francúzsko) : Center Archaeological European De Bibracte, 2020. – ISBN 978-2-490601-00-4, s. 125-127 [tlačená forma] </t>
  </si>
  <si>
    <t xml:space="preserve">European Parliament elections as a part of European Civic Participation (Case Study) / Papcunová, Viera [Autor, UKFFPVUMI, 50%] ; Hudáková, Jarmila [Autor, UKFFPVUMI, 50%]. – text. – [angličtina]. – [OV 080]. – [príspevok] In: Evropská unie - názory a vize [textový dokument (print)] / Bílý, Jiří [Autor] ; Heroutová, Eva [Recenzent] ; Šrédl, Karel [Recenzent]. – 1. vyd. – České Budějovice (Česko) : Vysoká škola evropských a regionálních studií, 2021. – ISBN 978-80-7556-095-7, s. 74-80 [tlačená forma] </t>
  </si>
  <si>
    <t xml:space="preserve">Existential Crisis : Escapism as a Way of Facing the Power and Impotence of a Culture in Transition / Gabašová, Katarína [Autor, UKFFFAKKU, 100%] ; Velev, Ilja [Recenzent] ; Avramovska, Natasha [Recenzent]. – text. – [angličtina]. – [OV 020]. – [príspevok] In: Culture in Transition Countries [textový dokument (print)] / Jakimovska-Toshikj, Maja [Zostavovateľ, editor] ; Gabašová, Katarína [Zostavovateľ, editor]. – 1. vyd. – Skopje (Macedónsko) : Saints Cyril and Methodius University of Skopje, 2018. – ISBN 978-608-4744-10-8, s. 83-105 [tlačená forma] </t>
  </si>
  <si>
    <t xml:space="preserve">Experiment v sociální psychologii / Sollár, Tomáš [Autor, UKFFSVUAP, 100%]. – text. – [čeština]. – [OV 060]. – [príspevok] In: Sociální psychologie [textový dokument (print)] : teorie, metody, aplikace / Výrost, Jozef [Zostavovateľ, editor] ; Slaměník, Ivan [Zostavovateľ, editor] ; Sollárová, Eva [Zostavovateľ, editor] ; Letovancová, Eva [Recenzent] ; Poláčková Šolcová, Iva [Recenzent]. – 1. vyd. – Praha (Česko) : Grada Publishing, 2019. – (Psyché). – ISBN 978-80-247-5775-9, s. 307-318 [tlačená forma] </t>
  </si>
  <si>
    <t xml:space="preserve">Expressing Emotions in Slovak and Romanian Proverbs and Idioms: A Comparison of the Language View of the World Reconstructed from Communication-Cultural Stereotypes and Paremiological Language Material of Two Typologically Different Languages / Kováčová, Zuzana [Autor, UKFFFASJL, 65%] ; Bires, Marka [Autor, UKFFFASJL, 35%]. – text. – [angličtina]. – [OV 020]. – [kapitola]. – [recenzované]. – SCO In: A Reflection of Man and Culture in Language and Literature (13), (Studies in Linguistics, Anglophone Literatures and Cultures) [textový dokument (print)] / Matiová, Mária [Zostavovateľ, editor] ; Navrátil, Martin [Zostavovateľ, editor]. – 1. vyd. – Berlin (Nemecko) : Peter Lang, 2019. – ISBN 978-3-631-74550-2, s. 61-79 [1,07 AH] [tlačená forma] </t>
  </si>
  <si>
    <t xml:space="preserve">Extenzívne a intenzívne čítanie v cudzom jazyku vzhľadom na porozumenie textu / Ficzere, Anikó [Autor, UKFFSSKCR, 50%] ; Stranovská, Eva [Autor, UKFFFAKGE, 50%]. – text. – [slovenčina]. – [OV 020]. – [príspevok] In: Filologické štúdie [textový dokument (print)] / Vajičková, Mária [Zostavovateľ, editor] ; Bojničanová, Renáta [Zostavovateľ, editor] ; Tomášková, Simona [Zostavovateľ, editor] ; Kačala, Ján [Recenzent] ; Žeňuch, Peter [Recenzent]. – 1. vyd. – č. 5. – Nümbrecht (Nemecko) : Kirsch-Verlag, 2019. – (Acta Facultatis Paedagogicae Universitatis Comenianae Bratislavensis : Acta Doctorandorum Facultatis Facultatis Paedagogicae Universitatis Comenianae Bratislavensis.). – ISBN 978-3-943906-52-3, s. 136-149 [tlačená forma] </t>
  </si>
  <si>
    <t xml:space="preserve">Fabryho choroba ako predispozičný faktor cievnej mozgovej príhody / Brázdilová, Dana [Autor, UKFFSVKUM, 100%] ; Andraščíková, Štefánia [Recenzent] ; Botíková, Andrea [Recenzent]. – text. – [slovenčina]. – [OV 180]. – [príspevok] In: Ošetřovatelství v domácí péči - právní, etický, legislativní průrez metodologií ošetřovatelské praxe [textový dokument (print)] / Archalousová, Alexandra [Zostavovateľ, editor]. – 1. vyd. – Hradec Králové (Česko) : Pracoviště ošetřovatelské péče, 2018. – ISBN 978-80-906319-3-9, s. 23-32 [tlačená forma] </t>
  </si>
  <si>
    <t xml:space="preserve">Family in contemporary context / Lesková, Andrea [Autor, UKFFFAKAE 06.2022, 100%]. – text. – [angličtina]. – [OV 060]. – [príspevok] In: Family in Today‘s society [textový dokument (print)] / Horváth, Peter [Zostavovateľ, editor] ; Swadżba, Urszula [Recenzent] ; Haburajová Ilavská, Lenka [Recenzent]. – 1. vyd. – Katowice (Poľsko) : Studio - NOA, 2019. – ISBN 978-83-66055-07-0, s. 33-50 [tlačená forma] </t>
  </si>
  <si>
    <t xml:space="preserve">Fashion as a Cultural Intertext / Malíčková, Michaela [Autor, UKFFFAULK, 100%]. – text. – [angličtina]. – [OV 020]. – [príspevok]. – DOI 10.13134/978-80-555-2778-9 In: Everydayness [textový dokument (print)] [elektronický dokument] : contemporary aesthetic approaches / Giombini, Lisa [Zostavovateľ, editor] ; Kvokačka, Adrián [Zostavovateľ, editor] ; Kačmárová, Alena [Recenzent] ; Suvák, Vladislav [Recenzent] ; Ševčík, Miloš [Recenzent]. – 1. vyd. – Prešov (Slovensko) : Prešovská univerzita v Prešove ; Rím (Taliansko) : Roma Tre-Press, 2021. – (Opera Philosophica ; 36) (Colloquia Philosophica ; 3). – ISBN 978-80-555-2777-2. – ISBN 979-12-5977-052-3. – ISBN (online) 978-80-555-2778-9. – ISBN (online) 979-12-5977-053-0. – SIGN-PU FF-21 280/21, s. 121-133 [tlačená forma] [online] </t>
  </si>
  <si>
    <t xml:space="preserve">Filologia materiale e nuove tecnologie : il testo digitale fra edizione e archivio / Zaccarello, Michelangelo [Autor, UKFFFAKRO, 100%]. – text. – [taliančina]. – [OV 020]. – [príspevok] In: Studi medievali e umanistici - Rivista SMU [textový dokument (print)] / [bez zostavovateľa] [Zostavovateľ, editor]. – 1. vyd. – Roma (Taliansko) : Arbor Sapientiae, 2018. – ISSN 2035-3774, s. 113-121 </t>
  </si>
  <si>
    <t xml:space="preserve">Filosofický kroužek profesora Josefa Macháčka / Horyna, Břetislav [Autor, UKFFFAKFI, 100%]. – text. – [čeština]. – [OV 020]. – [príspevok] In: Filozofové ve městě [textový dokument (print)] / Brázda, Radim [Zostavovateľ, editor]. – 1. vyd. – Brno (Česko) : Masaryk University Press, 2021. – ISBN 9788021098268, s. 107-110 </t>
  </si>
  <si>
    <t xml:space="preserve">Foreign Language Anxiety / Kráľová, Zdena [Autor, UKFPFAKLI, 100%]. – text. – [angličtina]. – [OV 010]. – [príspevok] In: Foreign Language Anxiety [textový dokument (print)] : Post-Communist Country Context / Kráľová, Zdena [Zostavovateľ, editor] ; Kamenická, Jana [Zostavovateľ, editor] ; Škorvagová, Eva [Recenzent] ; Zelina, Miron [Recenzent]. – 2. rozš. vyd. – Praha (Česko) : Verbum, 2019. – ISBN 978-80-87800-50-8, s. 23-46 [tlačená forma] </t>
  </si>
  <si>
    <t xml:space="preserve">Foreign Language Anxiety Coping Strategies / Kráľová, Zdena [Autor, UKFPFAKLI, 100%]. – text. – [angličtina]. – [OV 010]. – [príspevok] In: Foreign Language Anxiety [textový dokument (print)] : Post-Communist Country Context / Kráľová, Zdena [Zostavovateľ, editor] ; Kamenická, Jana [Zostavovateľ, editor] ; Škorvagová, Eva [Recenzent] ; Zelina, Miron [Recenzent]. – 2. rozš. vyd. – Praha (Česko) : Verbum, 2019. – ISBN 978-80-87800-50-8, s. 49-62 [tlačená forma] </t>
  </si>
  <si>
    <t xml:space="preserve">Free radicals and antioxidants in human disease / Lawson, Michael Kenneth [Autor, UKFFPVKCH, 17%] ; Jomová, Klaudia [Autor, UKFFPVKCH, 50%] ; Poprac, Patrik [Autor, 1%] ; Kuča, Kamil [Autor, 1%] ; Musílek, Kamil [Autor, 1%] ; Valko, Marián [Autor, 30%]. – text. – [angličtina]. – [OV 120]. – [príspevok]. – [recenzované]. – DOI 10.1007/978-3-319-67625-8_12. – SCO In: Nutritional Antioxidant Therapies: Treatments and Perspectives [textový dokument (print)] [elektronický dokument] / Al-Gubory, Kaïs Hussain [Zostavovateľ, editor] ; Laher, Ismail [Zostavovateľ, editor]. – 1. vyd. – Cham (Švajčiarsko) : Springer Nature, 2018. – ISBN 978-3-319-67623-4. – ISBN (online) 978-3-319-67625-8, s. 283-305 [tlačená forma] [online] </t>
  </si>
  <si>
    <t xml:space="preserve">Funkcia emócií v kognitívnych procesoch – náboženská racionalita / Kondrla, Peter [Autor, UKFFFAKNS, 100%]. – text. – [slovenčina]. – [OV 020]. – [príspevok] In: Aktuální otázky filozoficko-sociálního výzkumu [textový dokument (print)] / Králik, Roman [Zostavovateľ, editor] ; Maturkanič, Patrik [Zostavovateľ, editor] ; Dolista, Josef [Recenzent] ; Zimny, Jan [Recenzent]. – 1. vyd. – Terezín (Česko) : Vysoká škola aplikované psychologie, 2021. – ISBN 978-80-87871-16-4, s. 8-20 [tlačená forma] </t>
  </si>
  <si>
    <t xml:space="preserve">Gattungstheorie / Žilka, Tibor [Autor, UKFFSSUSJ, 100%] ; Mikuláš, Roman [Prekladateľ, UKOPDNJL, 100%]. – text. – [nemčina]. – [OV 020]. – [kapitola] In: Literaturwissenschaft in internationaler Perspektive [textový dokument (print)] / Mikuláš, Roman [Autor] ; Kravets, Jessica [Recenzent]. – 1. vyd. – Nümbrecht (Nemecko) : Kirsch-Verlag, 2019. – ISBN 978-3-943906-35-6, s. 47-58 [tlačená forma] </t>
  </si>
  <si>
    <t xml:space="preserve">General practitioners and cancer prevention in Slovakia / Mináriková, Daniela [Autor, UKOFAPR, 20%] ; Minárik, Peter [Autor, UKFFSVKUM, 20%] ; Makara, Peter [Autor, 15%] ; Fábryová, Ľubomíra [Autor, 15%] ; Lehocká, Ľubica [Autor, UKOFAPR, 15%] ; Mrázová, Mariana [Autor, VSSVArektorat, 15%]. – text. – [angličtina]. – [OV 180]. – [príspevok] In: Global Health Challenges 2 (Band 32. Schriftenreihe Gesundheitswissenschaften) [textový dokument (print)] / Mrázová, Mariana [Zostavovateľ, editor] ; Renger, Fabian [Zostavovateľ, editor] ; Czirfusz, Attila [Zostavovateľ, editor] ; Durdík, Štefan [Recenzent] ; Galbavý, Štefan [Recenzent] ; Lévai, Attila [Recenzent] ; Tisoňová, Jana [Recenzent]. – 1. vyd. – Hamburg (Nemecko) : Verlag Dr. Kovač, 2021. – ISBN 978-3-339-12260-5, s. 43-68 [tlačená forma] </t>
  </si>
  <si>
    <t xml:space="preserve">Gifted education programmes / Reid, Eva [Autor, UKFPFAKLI, 100%]. – text. – [angličtina]. – [OV 010]. – [príspevok]. – [recenzované]. – WOS CC In: The Routledge Handbook of Translation and Education [textový dokument (print)] [elektronický dokument] / Laviosa, Sara [Zostavovateľ, editor] ; González-Davies, Maria [Zostavovateľ, editor]. – 1. vyd. – London (Veľká Británia) : Taylor &amp; Francis Group. Routledge, 2020. – (Routledge Handbooks in Translation and Interpreting Studies). – ISBN 978-0-815-36843-4. – ISBN (online) 978-0-367-85485-0, s. 323-340 [tlačená forma] [online] </t>
  </si>
  <si>
    <t xml:space="preserve">Global connections on a local scale: A writer's vision / Klimková, Simona [Autor, UKFFFAKAA, 100%]. – text. – [angličtina]. – [OV 020]. – [príspevok]. – [recenzované]. – DOI 10.1007/978-981-10-8468-3_12 In: Language and Literature in a Global World [textový dokument (print)] [elektronický dokument] / Sandhya Rao, Mehta [Zostavovateľ, editor]. – 1. vyd. – Berlín (Nemecko) : Springer Verlag, 2018. – ISBN 978-981-10-8467-6. – ISBN (online) 978-981-10-8468-3, s. 193-206 [1,26 AH] [tlačená forma] [online] </t>
  </si>
  <si>
    <t xml:space="preserve">Glosár hokejových a futbalových termínov v relácii francúzsky - slovenský jazyk / Kopecký, Peter [Autor, UKFFFAKTR, 50%] ; Ukušová, Jana [Autor, UKFFFAKTR, 50%]. – [slovenčina]. – [OV 020]. – [príspevok]. – [recenzované] In: Profesorului Constantin Geambasu la 70 de ani [textový dokument (print)] : Volum îngrijit de Marina Ilie / Ilie, Marina [Zostavovateľ, editor]. – 1. vyd. – Bukurešť (Rumunsko) : Editura Paideia, 2018. – ISBN 978-606-748-257-7, s. 167-170 </t>
  </si>
  <si>
    <t xml:space="preserve">Główne modele przemian religijności młodzieży w ujęciu profesora Janusza Mariańskiego oraz ich weryfikacja w środowisku młodego pokolenia Słowaków / Štefaňak, Ondrej [Autor, UKFFFAKSO, 100%] ; Radziewicz-Winnicki, Andrzej [Recenzent] ; Wielecki, Krzysztof [Recenzent]. – text. – [poľština]. – [OV 020]. – [príspevok] In: Wychować (w sobie) mistrza [textový dokument (print)] : w stronę Jubileuszu 80-lecia Profesora Wojciecha Kojsa i Profesora Janusza Mariańskiego / Pawelski, Leszek [Zostavovateľ, editor]. – 1. vyd. – Szczecinek (Poľsko) : Polskie Stowarzyszenie Nauczycieli Twórczych, 2019. – ISBN 978-83-936269-7-7, s. 329-341 </t>
  </si>
  <si>
    <t xml:space="preserve">Główne teorie socjologii religii oraz scenariusze przemian religijności młodzieży / Štefaňak, Ondrej [Autor, UKFFFAKSO, 100%] ; Mariański, Janusz [Recenzent] ; Motyka, Krzysztof [Recenzent]. – [poľština]. – [OV 020]. – [príspevok] In: Zeszyty Naukowe Wyższej Szkoły Nauk Społecznych z siedzibą w Lublinie / Matysek-Nawrocka, Marlena [Zostavovateľ, editor]. – 1. vyd. – Roč. 8, č. 1. – Lublin (Poľsko) : Wyższa Szkoła Nauk Społecznych, 2019. – ISSN 2450-0550, s. 29-36 [tlačená forma] </t>
  </si>
  <si>
    <t xml:space="preserve">Havran, ktorý odmietol spievať - interpretačné postrehy k estetike progresívneho rocku Stevena Wilsona / Lakoštik, Radoslav [Autor, UKFFFAULK, 100%] ; Malicki, Jan [Recenzent] ; Raclavská, Jana [Recenzent]. – text. – [slovenčina]. – [OV 020]. – [príspevok] In: Studia humanitatis – Ars hermeneutica [textový dokument (print)] : metodologie a theurgie hermeneutické interpretace 7 / Mikulášek, Miroslav [Zostavovateľ, editor]. – 1. vyd. – Ostrava (Česko) : Ostravská univerzita, 2018. – ISBN 978-80-7599-026-6, s. 287-299 [tlačená forma] </t>
  </si>
  <si>
    <t xml:space="preserve">Heart failure - the epidemic of the 21st century in period of Covid-19 pandemic / Snopek, Peter [Autor, VSSVArektorat, 25%] ; Hasilla, Jozef [Autor, UKFFSVKUM, 25%] ; Hetényi, Ján [Autor, VSSVArektorat, 25%] ; Mrázová, Mariana [Autor, VSSVArektorat, 25%]. – [angličtina]. – [OV 180]. – [príspevok] In: Global Health Challenges 2 (Band 32. Schriftenreihe Gesundheitswissenschaften) [textový dokument (print)] / Mrázová, Mariana [Zostavovateľ, editor] ; Renger, Fabian [Zostavovateľ, editor] ; Czirfusz, Attila [Zostavovateľ, editor] ; Durdík, Štefan [Recenzent] ; Galbavý, Štefan [Recenzent] ; Lévai, Attila [Recenzent] ; Tisoňová, Jana [Recenzent]. – 1. vyd. – Hamburg (Nemecko) : Verlag Dr. Kovač, 2021. – ISBN 978-3-339-12260-5, s. 69-104 [tlačená forma] </t>
  </si>
  <si>
    <t xml:space="preserve">Historical notes on textual scholarships: Lectio brevior potior rule / Zaccarello, Michelangelo [Autor, UKFFFAKRO, 100%]. – text. – [angličtina]. – [OV 020]. – [príspevok] In: Interpretation and Visual Poetics in Medieval and Early Modern Texts [textový dokument (print)] / Arduini, Ana Beatriz Spíndola [Zostavovateľ, editor] ; Magni, Isabella [Zostavovateľ, editor] ; Todorovic, Jelena [Zostavovateľ, editor]. – 1. vyd. – Leiden (Holandsko) : Brill, 2021. – ISBN 978-90-04-46177-2, s. 17-34 </t>
  </si>
  <si>
    <t xml:space="preserve">Hungarian toponyms in Slovakia - a source of conflict / Szabómihály, Gizella [Autor, UKFFSSUML, 100%]. – text. – [angličtina]. – [OV 020]. – [príspevok]. – SCO In: Hungarian as a Plucentric Language  in Language and Literature [textový dokument (print)] / Muhr, Rudolf [Zostavovateľ, editor] ; Vančo, Ildikó [Zostavovateľ, editor] ; Kozmács, István [Zostavovateľ, editor] ; Huber, Maté [Zostavovateľ, editor]. – 1. vyd. – č. 22. – Berlín (Nemecko) : Peter Lang, 2020. – ISBN 978-3-631-80975-4. – ISBN (online) 978-36-318-2219-7. – ISSN 1618-5714, s. 97-110 [tlačená forma] </t>
  </si>
  <si>
    <t xml:space="preserve">Changes in education of preschool age children in nursery schools in Slovakia = Veränderungen in der Bildung der Vorschulkinder in den Kindengärten in der Slowakei / Pataiová, Helena [Autor, UKFFSSUVP, 50%] ; Lehoťáková, Eva [Autor, UKFFSSUVP, 50%] ; Pehofer, Johann [Recenzent] ; Fehér, Katalin [Recenzent]. – [angličtina]. – [OV 010]. – [príspevok] In: Education and Training [textový dokument (print)] : National and International Tendencies of Education and Training / Kovács, Krisztina [Zostavovateľ, editor]. – 1. vyd. – Szeged (Maďarsko) : JGZF Kiadó, 2019. – ISBN 978-615-5946-04-2, s. 173-180 </t>
  </si>
  <si>
    <t xml:space="preserve">Changes in Female Intimacy in Selected Works of the Red Library / Valková, Lucia [Autor, UKFFFAKKU, 100%] ; Velev, Ilja [Recenzent] ; Avramovska, Natasha [Recenzent]. – text. – [angličtina]. – [OV 020]. – [príspevok] In: Culture in Transition Countries [textový dokument (print)] / Jakimovska-Toshikj, Maja [Zostavovateľ, editor] ; Gabašová, Katarína [Zostavovateľ, editor]. – 1. vyd. – Skopje (Macedónsko) : Saints Cyril and Methodius University of Skopje, 2018. – ISBN 978-608-4744-10-8, s. 321-339 [tlačená forma] </t>
  </si>
  <si>
    <t xml:space="preserve">Changes of the family environment in the perception of the Slovak youth / Štefaňak, Ondrej [Autor, UKFFFAKSO, 100%]. – text. – [angličtina]. – [OV 060]. – [príspevok] In: Family in Today‘s society [textový dokument (print)] / Horváth, Peter [Zostavovateľ, editor] ; Swadżba, Urszula [Recenzent] ; Haburajová Ilavská, Lenka [Recenzent]. – 1. vyd. – Katowice (Poľsko) : Studio - NOA, 2019. – ISBN 978-83-66055-07-0, s. 111-134 [tlačená forma] </t>
  </si>
  <si>
    <t xml:space="preserve">Charakteristika informačnej spoločnosti a jej súčasný stav / Selická, Denisa [Autor, UKFFFAKSO, 50%] ; Štrbová, Monika [Autor, UKFFFAKSO, 50%] ; Beckmann, Bernarhd [Recenzent] ; Mačkinová, Monika [Recenzent]. – [slovenčina]. – [OV 060]. – [príspevok] In: Die wirtschaftliche Entwicklung europäischer Regionen in der Ausbildungs- und Arbeitsmarktpolitik [textový dokument (print)] : Übergänge und Strategien 3 / Holonič, Ján [Zostavovateľ, editor] ; Baková, Daniela [Zostavovateľ, editor] ; Kopinec, Pavol [Zostavovateľ, editor] ; Mačkinová, Monika [Zostavovateľ, editor]. – 1. vyd. – č. 3. – Krakow (Poľsko) : Uniwersytet Pedagogiczny im. Komisji Edukacji Narodowej w Krakowie, 2018. – ISBN 978-83-947579-2-2, s. 88-94 [tlačená forma] </t>
  </si>
  <si>
    <t xml:space="preserve">China - New Sea Power? / Kočnerová, Mária [Autor, UKFFFAKPO, 100%]. – text. – [angličtina]. – [OV 060]. – [príspevok] In: Ukraina i centraľnaja Evropa: istorija, politika, kuľtura [textový dokument (print)] : materiali VI mižnarodnoj naukovo-praktičnoj konferencij "Format rozvitku vidnosin Ukraini ta krajn Centraľnoj Evropi u konteksti vplivu gibridnoj vijni, viborčich procesiv, prav nacionaľnich menšin ta pandemij COVID-19" / Girja, V.I. [Zostavovateľ, editor] ; Vegeš, M.M. [Zostavovateľ, editor] ; Ostapeč, Jurij [Recenzent] ; Savčenko, Irina [Recenzent]. – 1. vyd. – Užhorod (Ukrajina) : Užgorodsky nacionalnyj universitet, 2021. – ISBN 978-617-8046-15-6, s. 68-71 [tlačená forma] </t>
  </si>
  <si>
    <t xml:space="preserve">Christian Decalogue: Between acceptance and marginalization / Swiatkiewicz, Wojciech  Krzysztof [Autor, UKFFFAKSO, 100%]. – text. – [angličtina]. – [OV 060]. – [príspevok]. – [recenzované] In: Between Construction and Deconstruction of the Universes of Meaning [textový dokument (print)] : Research into the Religiosity of Academic Youth in the Years 1988 – 1998 – 2005 – 2017 / Zarzecki, Zaręba, M. [Zostavovateľ, editor]. – 1. vyd. – Berlín (Nemecko) : Peter Lang, 2019. – ISBN 9783631795170, s. 22-36 </t>
  </si>
  <si>
    <t xml:space="preserve">Chrześcijański Dekalog: między akceptacją a marginalizacją / Swiatkiewicz, Wojciech  Krzysztof [Autor, UKFFFAKSO, 100%] ; Mariański, Janusz [Recenzent]. – [poľština]. – [OV 060]. – [príspevok] In: Między konstrukcją a dekonstrukcją uniwersum znaczeń [textový dokument (print)] : badania religijności młodzieży akademickiej w latach 1988-1998-2005-2017 / Zaręba, Sławomir H. [Zostavovateľ, editor] ; Zarzecki, Marcin [Zostavovateľ, editor]. – 1. vyd. – Warszawa (Poľsko) : Warszawskie Wydawnictwo Socjologiczne, 2018. – ISBN 978-83-947012-6-0, s. 29-50 [tlačená forma] </t>
  </si>
  <si>
    <t xml:space="preserve">Iconographic changes of ecclesiastic seals in the medieval Hungarian Kingdom (illustrated by the example of Spiš chapter provosts) / Glejtek, Miroslav [Autor, UKFFFAKHI, 100%]. – text. – [angličtina]. – [OV 030]. – [príspevok]. – DOI 10.2298/ZOG1842055G. – WOS CC In: Zograf [textový dokument (print)] / Subotić, Gojko [Zostavovateľ, editor]. – 1. vyd. – Roč. 17, č. 1. – Beograd (Srbsko) : Filozofski fakultet - Institut za istoriju umetnosti, 2018. – ISSN 0350-1361, s. 55-71 </t>
  </si>
  <si>
    <t xml:space="preserve">Identity - gender - sex / Valková, Lucia [Autor, UKFFFAKKU, 100%]. – text. – [angličtina]. – [OV 020]. – [kapitola]. – [recenzované]. – SCO In: Reflexions about a Cultural and Social Phenomenon: Identity [textový dokument (print)] [elektronický dokument] / Popovicsová, Jana [Zostavovateľ, editor]. – 1. vyd. – Berlín (Nemecko ) : Peter Lang, 2020. – (Studies in politics, security and society ; 36). – ISBN 978-3-631-83187-8. – ISBN 978-3-631-84244-7. – ISBN (online) 978-3-631-84242-3. – ISBN (online) 978-3-631-84243-0. – ISSN 2199-028X, s. 49-63 [tlačená forma] [online] </t>
  </si>
  <si>
    <t xml:space="preserve">Identity and Culture in a Tourist Destination on the Example of Village Ždiar / Kurpašová, Lucia [Autor, UKFFFAKMK, 100%]. – text. – [angličtina]. – [OV 020]. – [kapitola]. – [recenzované]. – SCO In: Reflexions about a Cultural and Social Phenomenon: Identity [textový dokument (print)] [elektronický dokument] / Popovicsová, Jana [Zostavovateľ, editor]. – 1. vyd. – Berlín (Nemecko ) : Peter Lang, 2020. – (Studies in politics, security and society ; 36). – ISBN 978-3-631-83187-8. – ISBN 978-3-631-84244-7. – ISBN (online) 978-3-631-84242-3. – ISBN (online) 978-3-631-84243-0. – ISSN 2199-028X, s. 83-103 [tlačená forma] [online] </t>
  </si>
  <si>
    <t xml:space="preserve">Identity in Cyberplace / Çoban, Barbara [Autor, UKFFFASJL, 100%]. – text. – [angličtina]. – [OV 010, 020]. – [kapitola]. – [recenzované] In: Reflexions about a Cultural and Social Phenomenon: Identity [textový dokument (print)] [elektronický dokument] / Popovicsová, Jana [Zostavovateľ, editor]. – 1. vyd. – Berlín (Nemecko ) : Peter Lang, 2020. – (Studies in politics, security and society ; 36). – ISBN 978-3-631-83187-8. – ISBN 978-3-631-84244-7. – ISBN (online) 978-3-631-84242-3. – ISBN (online) 978-3-631-84243-0. – ISSN 2199-028X, s. 9-28 [tlačená forma] [online] </t>
  </si>
  <si>
    <t xml:space="preserve">Image of the Enemy in 21st century = Obraz voroga v 21. stoliti / Brhlíková, Radoslava [Autor, UKFFFAKPO, 100%]. – text. – [angličtina, ukrajinčina]. – [OV 060]. – [príspevok] In: Ukraina i centraľnaja Evropa: istorija, politika, kuľtura [textový dokument (print)] : materiali VI mižnarodnoj naukovo-praktičnoj konferencij "Format rozvitku vidnosin Ukraini ta krajn Centraľnoj Evropi u konteksti vplivu gibridnoj vijni, viborčich procesiv, prav nacionaľnich menšin ta pandemij COVID-19" / Girja, V.I. [Zostavovateľ, editor] ; Vegeš, M.M. [Zostavovateľ, editor] ; Ostapeč, Jurij [Recenzent] ; Savčenko, Irina [Recenzent]. – 1. vyd. – Užhorod (Ukrajina) : Užgorodsky nacionalnyj universitet, 2021. – ISBN 978-617-8046-15-6, s. 120-125 [tlačená forma] </t>
  </si>
  <si>
    <t xml:space="preserve">Immigration of Ukrainian Students into EFL Classroom in Poland : A Case Study / Foltyn, Marzena Aneta [Autor, UKFPFAKLI, 100%]. – text. – [angličtina]. – [OV 010]. – [príspevok] In: Język. Tożsamość. Wychowanie 3 [textový dokument (print)] / [bez zostavovateľa] [Zostavovateľ, editor] ; Kida, Ireneusz [Recenzent] ; Pietrzykowska, Justyna [Recenzent]. – 1. vyd. – Bielsko-Biała (Poľsko) : Wydawnictwo naukowe Akademii techniczno-humanistycznej w Bielsku-Białej, 2020. – ISBN 978-83-66249-67-7, s. 217-233 [tlačená forma] </t>
  </si>
  <si>
    <t xml:space="preserve">Impact of balance exercises on the elimination of functional muscular disorders in volleyball players / Kanásová, Janka [Autor, UKFPFAKTV, 35%] ; Czaková, Natália [Autor, UKFPFAKTV, 20%] ; Divinec, Lenka [Autor, UKFPFAKTV, 20%] ; Veis, Alexandra [Autor, UKFPFAKTV, 20%] ; Solvesterová, Mária [Autor, 5%]. – text. – [angličtina]. – [OV 210]. – [príspevok]. – [recenzované]. – DOI 10.16926/par.2019.07.18. – SCO In: Physical activity review [elektronický dokument] / Wasik, Jacek [Zostavovateľ, editor] ; Franchini, Emerson [Zostavovateľ, editor]. – 1. vyd. – Roč. 7. – Czestochowa (Poľsko) : PPHU Projack, 2019. – (Physical activity review, ISSN 2300-5076 ; 7, SNIP: 0,908 ; SJR: 0,368 ; CiteScore: 1,40). – ISSN (online) 2300-5076, s. 152-159 [online] Scimago - Education - Q2, Health (social science) - Q3, Orthopedics and sports medicine - Q3, Physical therapy, sports therapy and rehabilitation - Q3 </t>
  </si>
  <si>
    <t xml:space="preserve">Independent Cultural Centers as the Place for Creating Identity / Kočiš, Michal [Autor, UKFFFAKKU, 100%]. – text. – [angličtina]. – [OV 020]. – [kapitola]. – [recenzované]. – SCO In: Reflexions about a Cultural and Social Phenomenon: Identity [textový dokument (print)] [elektronický dokument] / Popovicsová, Jana [Zostavovateľ, editor]. – 1. vyd. – Berlín (Nemecko ) : Peter Lang, 2020. – (Studies in politics, security and society ; 36). – ISBN 978-3-631-83187-8. – ISBN 978-3-631-84244-7. – ISBN (online) 978-3-631-84242-3. – ISBN (online) 978-3-631-84243-0. – ISSN 2199-028X, s. 65-82 [tlačená forma] [online] </t>
  </si>
  <si>
    <t xml:space="preserve">Ingázó munkavállalás az osztrák-magyar határtérségben az uniós csatlakozás előtt / Hardi, Tamás [Autor, UKFFSSKCR, 100%] ; Szirmai, Viktória [Recenzent] ; Rechnitzer, János [Recenzent]. – text. – [maďarčina]. – [OV 080]. – [kapitola] In: Burgenland [textový dokument (print)] : A Kárpát-medence régiói 14 / Jankó, Ferenc [Zostavovateľ, editor] ; Fábián, Attila [Zostavovateľ, editor] ; Hardi, Tamás [Zostavovateľ, editor]. – 1. vyd. – Budapest (Maďarsko) : Nemzetstratégiai Kutatóintézet, 2019. – ISBN 978-963-359-075-1, s. 477-500 [tlačená forma] </t>
  </si>
  <si>
    <t xml:space="preserve">Innovative methods of mastering economic knowledge by learning a foreign language / Kozharinov, Aleksander V. [Autor, 20%] ; Kalugina, Olga A. [Autor, 20%] ; Ryabchenko, Natalia V. [Autor, 20%] ; Kolobkova, Anastasia A. [Autor, 20%] ; Králik, Roman [Korešpondenčný autor, UKFFFAKAE 06.2022, 20%]. – text. – [angličtina]. – [OV 020, 010]. – [príspevok]. – [recenzované]. – DOI 10.1007/978-3-030-57831-2_66. – SCO In: Studies in Systems, Decision and Control [textový dokument (print)] / [bez zostavovateľa] [Zostavovateľ, editor]. – 1. vyd. – Berlín (Nemecko) : Springer Nature. Springer Science+Business Media, 2021. – ISSN 21984182. – ISSN (online) 21984190, 615-623 [tlačená forma] </t>
  </si>
  <si>
    <t xml:space="preserve">Intentio Auctoris and Self-Writing / Debnár, Marek [Autor, UKFFFAKAE 06.2022, 100%]. – [angličtina]. – [OV 020]. – [príspevok]. – [recenzované] In: Current Perspectives in Semiotics [textový dokument (print)] [elektronický dokument] : Text, Genres, and Representations / Kopytowska, Monika [Zostavovateľ, editor] ; Gałkowski, Artur [Zostavovateľ, editor]. – 1. vyd. – Berlín (Nemecko) : Peter Lang, 2018. – (Łódz studies in language, ISSN 1437-5281 ; 56). – ISBN 978-3-631-77770-1. – ISBN (online) 978-3-631-77772-5. – ISBN (online) 978-3-631-77771-8, s. 29-46 [1,27 AH] [tlačená forma] [online] </t>
  </si>
  <si>
    <t xml:space="preserve">Intergenerational transmission in the family / Šarvajcová, Marcela [Autor, UKFFFAKSO, 100%]. – text. – [angličtina]. – [OV 060]. – [príspevok] In: Family in Today‘s society [textový dokument (print)] / Horváth, Peter [Zostavovateľ, editor] ; Swadżba, Urszula [Recenzent] ; Haburajová Ilavská, Lenka [Recenzent]. – 1. vyd. – Katowice (Poľsko) : Studio - NOA, 2019. – ISBN 978-83-66055-07-0, s. 85-110 [tlačená forma] </t>
  </si>
  <si>
    <t xml:space="preserve">Interlingual  Homonymy in Genetically Related Languages / Ternová, Alica [Autor, UKFFFASJL, 100%]. – text. – [angličtina]. – [OV 020]. – [kapitola]. – [recenzované]. – SCO In: A Reflection of Man and Culture in Language and Literature (13), (Studies in Linguistics, Anglophone Literatures and Cultures) [textový dokument (print)] / Matiová, Mária [Zostavovateľ, editor] ; Navrátil, Martin [Zostavovateľ, editor]. – 1. vyd. – Berlin (Nemecko) : Peter Lang, 2019. – ISBN 978-3-631-74550-2, s. 105-118 [1,11 AH] [tlačená forma] </t>
  </si>
  <si>
    <t xml:space="preserve">Intervencie sestry v intenzívnej starostlivosti = Intervention nurse in intensive care / Pavelová, Ľuboslava [Autor, UKFFSVKOS, 50%] ; Brázdilová, Dana [Autor, UKFFSVKUM, 50%] ; Andraščíková, Štefánia [Recenzent] ; Derňarová, Ľubica [Recenzent]. – text. – [čeština]. – [OV 180]. – [príspevok] In: Validace ošetřovatelských intervencí [textový dokument (print)] : recenzovaný sborník vědeckých prací vydaný k příležitosti ukončení projektů / Archalousová, Alexandra [Zostavovateľ, editor]. – 1. vyd. – Plzeň (Česko) : Západočeská univerzita v Plzni, 2018. – ISBN 978-80-261-0825-2, s. 128-143 [tlačená forma] </t>
  </si>
  <si>
    <t xml:space="preserve">Intonation in Reports Featuring "Light" Topics on Slovak TV News / Petráš, Patrik [Autor, UKFFFASJL, 100%]. – text. – [angličtina]. – [OV 020]. – [kapitola]. – [recenzované]. – SCOPUS 2-s2.0-85112659503. – SCO In: A Reflection of Man and Culture in Language and Literature (13), (Studies in Linguistics, Anglophone Literatures and Cultures) [textový dokument (print)] / Matiová, Mária [Zostavovateľ, editor] ; Navrátil, Martin [Zostavovateľ, editor]. – 1. vyd. – Berlin (Nemecko) : Peter Lang, 2019. – ISBN 978-3-631-74550-2, s. 119-137 [1,22 AH] [tlačená forma] </t>
  </si>
  <si>
    <t xml:space="preserve">Introduction [Disputes on the Religious and Ethical Neutrality of the State] / Korený, Peter [Autor, UKFFFAKAE 06.2022, 100%]. – text. – [angličtina]. – [OV 020]. – [príspevok] In: Disputes on the Religious and Ethical Neutrality of the State [textový dokument (print)] / [bez zostavovateľa] [Zostavovateľ, editor] ; Probucka, Dorota [Recenzent] ; Valčo, Michal [Recenzent]. – 1. vyd. – Boskovice (Česko) : Nakladatelství František Šalé - Albert, 2019. – ISBN 978-80-7326-309-6, s. 7-26 [tlačená forma] </t>
  </si>
  <si>
    <t xml:space="preserve">Investigating the Slovakia Hungarian variety as a factor of identity formation / Vančo, Ildikó [Autor, UKFFSSUML, 100%] ; Muhr, Rudolf [Recenzent] ; Máté, Hubert [Recenzent]. – text. – [angličtina]. – [OV 020]. – [príspevok]. – SCO In: Hungarian as a Plucentric Language  in Language and Literature [textový dokument (print)] / Muhr, Rudolf [Zostavovateľ, editor] ; Vančo, Ildikó [Zostavovateľ, editor] ; Kozmács, István [Zostavovateľ, editor] ; Huber, Maté [Zostavovateľ, editor]. – 1. vyd. – č. 22. – Berlín (Nemecko) : Peter Lang, 2020. – ISBN 978-3-631-80975-4. – ISBN (online) 978-36-318-2219-7. – ISSN 1618-5714, s. 49-61 [tlačená forma] </t>
  </si>
  <si>
    <t xml:space="preserve">Is Pillar 3 a good tool for stakeholders in CEE commercial banks? / Blažeková, Petra [Autor, 25%] ; Benko, Ľubomír [Autor, UKFFPVKIN, 25%] ; Pilková, Anna [Autor, UKOMAKSP, 25%] ; Munk, Michal [Autor, UKFFPVKIN, 25%]. – text. – [angličtina]. – [OV 160, 080]. – [príspevok]. – [recenzované]. – DOI 10.1007/978-3-030-76632-0_15. – SCO In: Developments in information and knowledge management for business applications (Volume 2) [elektronický dokument] [textový dokument (print)] / Kryvinska, Natalia [Zostavovateľ, editor] ; Poniszewska-Maranda, Aneta [Zostavovateľ, editor]. – 1. vyd. – Cham (Švajčiarsko) : Springer Nature, 2021. – (Studies in Systems, Decision and Control, ISSN 2198-4182, ISSN 2198-4190 ; Volume 376, CiteScore: 1,3 ; SJR: 0,11 ; SNIP: 0,37). – ISBN 978-3-030-76631-3. – ISBN (online) 978-3-030-76632-0, s. 421-440 [tlačená forma] [online] Scimago - Automotive engineering - Q4, Computer science (miscellaneous) - Q4, Control and optimization - Q4, Control and systems engineering - Q4, Decision sciences (miscellaneous) - Q4, Economics, econometrics and finance (miscellaneous) - Q4, Social sciences (miscellaneous) - Q4 </t>
  </si>
  <si>
    <t xml:space="preserve">Issues and changes in today's family on the example of a family with an unemployed member / Selická, Denisa [Autor, UKFFFAKSO, 100%]. – text. – [angličtina]. – [OV 060]. – [príspevok] In: Family in Today‘s society [textový dokument (print)] / Horváth, Peter [Zostavovateľ, editor] ; Swadżba, Urszula [Recenzent] ; Haburajová Ilavská, Lenka [Recenzent]. – 1. vyd. – Katowice (Poľsko) : Studio - NOA, 2019. – ISBN 978-83-66055-07-0, s. 135-163 [tlačená forma] </t>
  </si>
  <si>
    <t xml:space="preserve">Justiciability of the Right to Health and the Health System in Slovakia / Pavlíková, Barbara [Autor, UKFFSVKSP, 100%]. – [angličtina]. – [OV 060]. – [príspevok]. – [recenzované] In: Issues in the Justiciability of the Right to Health [textový dokument (print)] [elektronický dokument] / Gutiérrez Silva, Rodolfo [Zostavovateľ, editor]. – 1. vyd. – Bogota (Kolumbia) : Ediciones Universidad Cooperativa
de Colombia, 2019. – ISBN 978-958-760-134-3. – ISBN (online) 978-958-760-135-0, s. 54-80 [tlačená forma] [online] </t>
  </si>
  <si>
    <t xml:space="preserve">K dvom podobám tváre prednovembrovej reality / Smiešková, Lucia [Autor, UKFFFASJL, 100%]. – text. – [slovenčina]. – [OV 020]. – [príspevok] In: Filologické štúdie [textový dokument (print)] / Vajičková, Mária [Zostavovateľ, editor] ; Bojničanová, Renáta [Zostavovateľ, editor] ; Tomášková, Simona [Zostavovateľ, editor] ; Kačala, Ján [Recenzent] ; Žeňuch, Peter [Recenzent]. – 1. vyd. – č. 5. – Nümbrecht (Nemecko) : Kirsch-Verlag, 2019. – (Acta Facultatis Paedagogicae Universitatis Comenianae Bratislavensis : Acta Doctorandorum Facultatis Facultatis Paedagogicae Universitatis Comenianae Bratislavensis.). – ISBN 978-3-943906-52-3, s. 243-255 [tlačená forma] </t>
  </si>
  <si>
    <t xml:space="preserve">K organizácii dozorného orgánu školskej správy / Kičková, Adriana [Autor, UKFFFAKHI, 100%] ; Galandauer, Jan [Recenzent] ; Kahuda, Jan [Recenzent]. – text. – [čeština]. – [OV 030]. – [príspevok] In: Úředník sluhou dvou pánů? [textový dokument (print)] : nacionalizace a politizace veřejné správy ve střední Evropě 1848-1948 / Klečanský, Martin [Zostavovateľ, editor]. – 1. vyd. – Praha (Česko) : CEVRO Institut, 2018. – ISBN 978-80-87782-50-7, s. 196-204 </t>
  </si>
  <si>
    <t xml:space="preserve">K problematike akulturačných procesov v Senváclave / Michalík, Boris [Autor, UKFFFAKMK, 100%]. – [slovenčina]. – [OV 020, 030]. – [príspevok] In: Slovenské inšpirácie zo Senváclavu [textový dokument (print)] / Turková, Tünde [Zostavovateľ, editor] ; Uhrinová, Alžbeta [Zostavovateľ, editor] ; Lenovský, Ladislav [Recenzent]. – 1. vyd. – Békešská Čaba (Maďarsko) : Magyarországi Szlovákok Kutatóintézete, 2019. – ISBN 978-615-6014-03-0, s. 237-242 [tlačená forma] </t>
  </si>
  <si>
    <t xml:space="preserve">Kilka słów o profesorze Januszu Mariańskim / Štefaňak, Ondrej [Autor, UKFFFAKSO, 100%] ; Prüfer, Paweł [Recenzent] ; Szymczak, Wioletta [Recenzent]. – text. – [poľština]. – [OV 060]. – [príspevok] In: Wokół życia i dzieła Księdza Janusza Mariańskiego [textový dokument (print)] : biografia z socjologią w tle (1940 - 2020) / Fel, Stanislaw [Zostavovateľ, editor] ; Zemło, Mariusz [Zostavovateľ, editor]. – 1. vyd. – Lublin (Poľsko) : Katolicki Uniwersytet Lubelski Jana Pawła II.. Wydawnictwo KUL, 2020. – ISBN 978-83-8061-808-4, s. 440-443 [tlačená forma] </t>
  </si>
  <si>
    <t xml:space="preserve">Komunikacja cyfrowa współczesnych organizacji = Digital communication of contemporary organizations / Fichnová, Katarína [Autor, UKFFFAKMR, 60%] ; Goluchowski, Jerzy [Autor, 10%] ; Paliszkiewicz, Joanna [Autor, 10%] ; Walentukiewicz, Wieslaw [Autor, 10%] ; Zdanowicz-Cyganiak, Katarzyna [Autor, 10%]. – text. – [poľština]. – [OV 060]. – [príspevok] In: Cyfrowa komunikacja organizacji [textový dokument (print)] / Filipczyk, Barbara [Zostavovateľ, editor] ; Goluchowski, Jerzy [Zostavovateľ, editor] ; Kępa-Figura, Danuta [Recenzent]. – 1. vyd. – Katowice (Poľsko) : Uniwersytet Ekonomiczny w Katowicach. Wydawnictwo Uniwersytetu Ekonomicznego w Katowicach, 2020. – ISBN 978-83-7875-612-5. – ISBN (online) 978-83-7875-613-2, s. 15-54 </t>
  </si>
  <si>
    <t xml:space="preserve">Koncepcja Dekalogu odwróconego w ujęciu profesora Wojciecha Świątkiewicza oraz jej weryfikacja w środowisku młodego pokolenia Słowaków / Štefaňak, Ondrej [Autor, UKFFFAKSO, 100%]. – text. – [poľština]. – [OV 060]. – [príspevok] In: Pejzaże kultury, religii, regionu i rodziny. Księga jubileuszowa dedykowana Profesorowi Wojciechowi Świątkiewiczowi [textový dokument (print)] / Górny, Andrzej [Zostavovateľ, editor] ; Kijonka, Justyna [Zostavovateľ, editor] ; Zagała, Zbigniew [Zostavovateľ, editor] ; Geisler, Robert [Recenzent]. – 1. vyd. – Katowice (Poľsko) : Studio - NOA, 2021. – ISBN 978-83-66055-20-9, s. 351-364 [tlačená forma] </t>
  </si>
  <si>
    <t xml:space="preserve">Koncept ZDRAVIE v slovenskom jazyku (výsledky empirického výskumu) / Dudová, Katarína [Autor, UKFFFASJL, 100%]. – text. – [slovenčina]. – [OV 020]. – [príspevok]. – DOI 978-83-227-9450-0 In: Wartości w kulturach europejskich [textový dokument (print)] : Raport z badań empirycznych / [bez zostavovateľa] [Zostavovateľ, editor] ; Genew-Puhalewa, Iliana [Recenzent] ; Pazio-Wlazłowska, Dorota [Recenzent]. – 1. vyd. – Lublin-Przemyśl (Poľsko) : Uniwersytet Marii Curie-Skłodowskiej. Wydawnictwo Uniwersytetu Marii Curie-Skłodowskiej, 2021. – ISBN 978-83-227-9450-0, s. 107-113 [tlačená forma] </t>
  </si>
  <si>
    <t xml:space="preserve">Konkurencia krajín Európskej únie = Competition of European Union countries / Levický, Michal [Autor, UKFFPVUMI, 50%] ; Mižičková, Jarmila [Autor, 1, 50%] ; Hudák, Jozef [Recenzent] ; Gajdová, Denisa [Recenzent]. – text. – [angličtina]. – [OV 080]. – [príspevok] In: Effects of small and medium-sized enterprises in rural areas [textový dokument (print)] : proceedings of scientific papers / Levický, Michal [Zostavovateľ, editor] ; Beresecká, Janka [Zostavovateľ, editor]. – 1. vyd. – Białostok (Poľsko) : Białostockie Wydawnictwo Naukowe, 2018. – ISBN 978-83-950152-8-1, s. 74-79 [tlačená forma] </t>
  </si>
  <si>
    <t xml:space="preserve">Kontingence a fakticita : uskutečnění potencionality skutečného za situace náhodnosti / Horyna, Břetislav [Autor, UKFFFAKFI, 100%]. – text. – [čeština]. – [OV 020]. – [príspevok] In: Paulo Floss octogenario [textový dokument (print)] : filosofie v dějinách a současnosti / Nejeschleba, Tomáš [Zostavovateľ, editor] ; Jedličková, Lenka [Zostavovateľ, editor] ; Bureš, Otakar [Zostavovateľ, editor] ; Čížek, Jan [Recenzent] ; Jabůrek, Martin [Recenzent]. – 1. vyd. – Olomouc (Česko) : Univerzita Palackého v Olomouci, 2020. – ISBN 978-80-244-5729-1, s. 183-206 [tlačená forma] </t>
  </si>
  <si>
    <t xml:space="preserve">Kooperatív kapcsolattartási formák kialakítása a család és az iskola között / Pataiová, Helena [Autor, UKFFSSUVP, 100%]. – text. – [maďarčina]. – [OV 010]. – [príspevok] In: A család megismerésének módszerei [textový dokument (print)] / Vargáné Nagy, Anikó [Zostavovateľ, editor] ; Bocsai, Veronika [Recenzent] ; Vargáné Nagy, Anikó [Recenzent]. – 1. vyd. – Debrecén (Maďarsko) : Forstag, 2020. – ISBN 978-615-6054-15-9, s. 113-130 [tlačená forma] </t>
  </si>
  <si>
    <t xml:space="preserve">Krátka správa o živote v "bezčasí" : k memoárom Kornela Földváriho ...až pod čiernu zem / Mitková, Natália [Autor, UKFFFASJL, 100%]. – text. – [slovenčina]. – [OV 020]. – [príspevok] In: Filologické štúdie [textový dokument (print)] / Vajičková, Mária [Zostavovateľ, editor] ; Bojničanová, Renáta [Zostavovateľ, editor] ; Tomášková, Simona [Zostavovateľ, editor] ; Kačala, Ján [Recenzent] ; Žeňuch, Peter [Recenzent]. – 1. vyd. – č. 5. – Nümbrecht (Nemecko) : Kirsch-Verlag, 2019. – (Acta Facultatis Paedagogicae Universitatis Comenianae Bratislavensis : Acta Doctorandorum Facultatis Facultatis Paedagogicae Universitatis Comenianae Bratislavensis.). – ISBN 978-3-943906-52-3, s. 256-266 [tlačená forma] </t>
  </si>
  <si>
    <t xml:space="preserve">Krátke pravidlá Vasilija Veľkého a zorganizovanie mníšstva v Kappadokii / Zozuľak, Ján [Autor, UKFFFAKFI, 100%]. – text. – [slovenčina]. – [OV 020]. – [príspevok]. – [recenzované] In: Parrésia : revue pro Východní Křesťanství / Řoutil, Michal [Zostavovateľ, editor]. – 1. vyd. – Roč. 12, č. 9. – Červený Kostelec (Česko) : Nakladatelství Pavel Mervart, 2018. – ISSN 1802-8209, s. 77-86 [tlačená forma] </t>
  </si>
  <si>
    <t xml:space="preserve">Kultúrny potenciál Slovákov v Tardoši / Pluhár, Tamás [Autor, UKFFFAKMK, 70%] ; Pap, Miroslav [Autor, UKFFFAKMK, 30%]. – text. – [slovenčina]. – [OV 030]. – [príspevok] In: Slovenské inšpirácie z Tardoša [textový dokument (print)] : 35. interdisciplinárny výskumný tábor Výskumného ústavu Slovákov v Maďarsku / Tušková, Tünde [Zostavovateľ, editor] ; Žiláková, Mária [Zostavovateľ, editor] ; Divičanová, Anna [Recenzent] ; Čukan, Jaroslav [Recenzent]. – Békešská Čaba (Maďarsko) : Magyarországi Szlovákok Kutatóintézete, 2018. – (Studia interdisciplinaria). – ISBN 978-615-5330-15-5, s. 187-220 [tlačená forma] </t>
  </si>
  <si>
    <t xml:space="preserve">Kurds in the Middle East in the context of plurality of identities / Al-Absi, Marwan [Autor, UCMFIFKEMŠ, 70%] ; Al-Absiová, Eva [Autor, UKFFFAJZC, 30%]. – [angličtina]. – [OV 030]. – [príspevok]. – [recenzované]. – DOI 10.2478/pn-2018-0009 In: Przeglad narodowościowy (8. Nations without states or states without nations) [textový dokument (print)] [elektronický dokument] : czasopismo naukowe poświecone narodom, mniejszościom narodowym i etnicznym = scientific journal about nations, national and ethnic minorities / Pochyly, Piotr [Zostavovateľ, editor]. – Zielona Góra (Poľsko) : Wydawnictwo Uniwersytetu Zielonogórskiego, 2018. – ISSN 2084-848X. – ISSN (online) 2543-9391, s. 149-156 [tlačená forma] [online] </t>
  </si>
  <si>
    <t xml:space="preserve">Kvalitná príprava študentov - budúcich učiteľov, pedagógov počas štúdia : predpoklad dobrých výsledkov v praxi / Feszterová, Melánia [Autor, UKFFPVKCH, 100%] ; Stoffa, Ján [Recenzent] ; Stoffová, Veronika [Recenzent]. – text. – [slovenčina]. – [OV 120]. – [príspevok] In: Przygotowanie nauczycieli do nowych wyzwań edukacyjnych. Problemy współczesnej edukacji [textový dokument (print)] / Bojanowicz, Justyna [Zostavovateľ, editor] ; Ziębakowska-Cecot, Katarzyna [Zostavovateľ, editor]. – 1. vyd. – Radom (Poľsko) : Wydawnictwo Uniwersytetu Technologiczno-Humanistycznego w Radomiu, 2018. – (Monografia ; Nr 221). – ISBN 978-83-7351-861-2. – ISSN 1642-5278, s. 219-229 [tlačená forma] </t>
  </si>
  <si>
    <t xml:space="preserve">L ́education des éléves roms en Slovaquie: entre ségrégation, assimilation, intégration et inclusion / Lužica, René [Autor, UKFFSVURS, 90%] ; Segretain, Arnaud [Autor, 10%]. – text. – [francúzština]. – [OV 010]. – [príspevok]. – [recenzované] In: Revue Internationale d’Éducation de Sèvres [textový dokument (print)] / [bez zostavovateľa] [Zostavovateľ, editor]. – 1. vyd. – Roč. 78, č. 2. – Paris (Francúzsko) : Centre international d'études pédagogiques, 2018. – ISBN 978-2-85420-619-7. – ISSN 1254-4590. – ISSN (online) 2261-4265, s. 91-103 </t>
  </si>
  <si>
    <t xml:space="preserve">La mirada filosófica : La relación entre la persona y el autor en la existencia individual de Kierkegaard / Manda, Vladimír [Autor, UKFFFAKFI, 100%] ; Binetti, Maria Jose [Recenzent]. – [španielčina]. – [OV 020]. – [príspevok] In: Kierkegaard’s legacy, Mass‐media and Journalism [textový dokument (print)] / Štúr, Martin [Zostavovateľ, editor] ; Králik, Roman [Zostavovateľ, editor]. – 1. vyd. – Toronto (Kanada) : Kierkegaard Circle, 2018. – ISBN 978-1-988129-01-3, s. 35-59 [tlačená forma] </t>
  </si>
  <si>
    <t xml:space="preserve">La mirada histórica : El periodismo desde la óptica de Soren Kierkegaard en función de su conflicto con El Corsario / Králik, Roman [Autor, UKFFFAKAE 06.2022, 34%] ; Kamenický, Matúš [Autor, 33%] ; Lenghart, Patrik [Autor, UKFFFAKZU, 33%] ; Binetti, Maria Jose [Recenzent]. – text. – [španielčina]. – [OV 020]. – [príspevok] In: Kierkegaard’s legacy, Mass‐media and Journalism [textový dokument (print)] / Štúr, Martin [Zostavovateľ, editor] ; Králik, Roman [Zostavovateľ, editor]. – 1. vyd. – Toronto (Kanada) : Kierkegaard Circle, 2018. – ISBN 978-1-988129-01-3, s. 11-34 [tlačená forma] </t>
  </si>
  <si>
    <t xml:space="preserve">La Neoavanguardia e il Sessantotto / Gritti, Fabiano [Autor, UKFFFAKRO, 100%] ; Gialloreto, Andrea [Recenzent] ; Panetta, Maria [Recenzent]. – [taliančina]. – [OV 020]. – [príspevok] In: Il '68. Costruzione e decostruzione di un mito [textový dokument (print)] : applicazioni e rappresentazioni italiane del movimento / Nobile de, Sandro [Zostavovateľ, editor]. – 1. vyd. – Chieti (Taliansko) : Solfanelli, 2018. – ISBN (série) 978-88-3505-096-6, s. 33-42 [tlačená forma] </t>
  </si>
  <si>
    <t xml:space="preserve">La noción de traducción en los estudios semioculturales / Lampis, Mirko [Autor, UKFFFAKRO, 100%]. – text. – [španielčina]. – [OV 020]. – [príspevok] In: Las fronteras de la traducción [textový dokument (print)] : las prácticas traductivas como cuestión sociocultural / Lampis, Mirko [Zostavovateľ, editor] ; González de Ávila, Manuel [Recenzent] ; Linares Alés, Francisco [Recenzent]. – 1. vyd. – Sevilla (Španielsko) : Alfar, 2019. – ISBN 978-84-7898-824-2, s. 19-40 [tlačená forma] </t>
  </si>
  <si>
    <t xml:space="preserve">La presencia de las obras de Gabriel García Márquez en el ámbito literario eslovaco / Civáňová, Zuzana [Autor, UKFFFAKRO, 100%]. – text. – [španielčina]. – [OV 020]. – [príspevok] In: Las fronteras de la traducción [textový dokument (print)] : las prácticas traductivas como cuestión sociocultural / Lampis, Mirko [Zostavovateľ, editor] ; González de Ávila, Manuel [Recenzent] ; Linares Alés, Francisco [Recenzent]. – 1. vyd. – Sevilla (Španielsko) : Alfar, 2019. – ISBN 978-84-7898-824-2, s. 137-157 [tlačená forma] </t>
  </si>
  <si>
    <t xml:space="preserve">Language Levels of Primary English Teacher / Horváthová, Ivana [Autor, UKFFFAKAA, 80%] ; Seewaldová, Katarína [Autor, 20%]. – text. – [angličtina]. – [OV 010, 020]. – [príspevok] In: Academic Journal of International Education Research [elektronický dokument] : scientific journal / Douda, Vladimír [Zostavovateľ, editor] ; Kratochvil, Radek [Zostavovateľ, editor] ; Vopava, Jiŕí [Zostavovateľ, editor] ; Konecki, Mario [Zostavovateľ, editor]. – 1. vyd. – Roč. 2, č. 1. – Praha (Česko) : Academic Conferences Association, 2021. – ISSN (online) 2694-7803, s. 19-36 [online] </t>
  </si>
  <si>
    <t xml:space="preserve">Lanštják and Launer's View on Štúr's Standardization of the Slovak Language / Klabníková, Ivana [Autor, UKFFFASJL, 100%]. – text. – [angličtina]. – [OV 020]. – [kapitola]. – [recenzované]. – SCO In: A Reflection of Man and Culture in Language and Literature (13), (Studies in Linguistics, Anglophone Literatures and Cultures) [textový dokument (print)] / Matiová, Mária [Zostavovateľ, editor] ; Navrátil, Martin [Zostavovateľ, editor]. – 1. vyd. – Berlin (Nemecko) : Peter Lang, 2019. – ISBN 978-3-631-74550-2, s. 199-222 [tlačená forma] </t>
  </si>
  <si>
    <t xml:space="preserve">Le geste brutal du romancier : Milan Kundera et la morale du roman subversif / Žiak, Peter [Autor, UKFFFAKTR, 100%]. – text. – [francúzština]. – [OV 020]. – [príspevok] In: Inter-Textes [elektronický dokument] : Revue annuelle du Laboratoire de Littérature Comparée de l’Université Aristote de Thessalonique / Grosdanis, Christos [Zostavovateľ, editor] ; Grammatikopoulou, Eugenia [Zostavovateľ, editor] ; Papanikolaou, Andreas [Recenzent]. – 1. vyd. – Roč. 20. – Thessalonique (Grécko) : Université Aristote de Thessalonique, 2020. – ISSN (online) 2241-1186, s. 49-60 [online] </t>
  </si>
  <si>
    <t xml:space="preserve">Le nouveau texte critique des Trecento Novelle de Franco Sacchetti / Zaccarello, Michelangelo [Autor, UKFFFAKRO, 100%]. – text. – [francúzština]. – [OV 020]. – [príspevok]. – [recenzované] In: En traduisant Franco Sacchetti [textový dokument (print)] : De la langue à l’histoire / [bez zostavovateľa] [Zostavovateľ, editor]. – 1. vyd. – Paríž (Francúzsko) : Classiques Garnier, 2021. – ISBN 978-2-406-11170-2. – ISSN 2493-8947, s. 31-47 [tlačená forma] </t>
  </si>
  <si>
    <t xml:space="preserve">Lexical Means Used in the Realization of the Tabloid Principle / Matiová, Mária [Autor, UKFFFASJL, 100%]. – text. – [angličtina]. – [OV 020]. – [kapitola]. – [recenzované]. – SCO In: A Reflection of Man and Culture in Language and Literature (13), (Studies in Linguistics, Anglophone Literatures and Cultures) [textový dokument (print)] / Matiová, Mária [Zostavovateľ, editor] ; Navrátil, Martin [Zostavovateľ, editor]. – 1. vyd. – Berlin (Nemecko) : Peter Lang, 2019. – ISBN 978-3-631-74550-2, s. 139-156 [1,13 AH] [tlačená forma] </t>
  </si>
  <si>
    <t xml:space="preserve">Lexicalization patterns in Slovak color naming / Dudová, Katarína [Autor, UKFFFASJL, 100%]. – text. – [angličtina]. – [OV 020, 010]. – [príspevok]. – [recenzované] In: Lexicalization patterns in color naming: A cros-linguistic perspectve [textový dokument (print)] / Raffaelli, Ida [Zostavovateľ, editor] ; Katunar, Daniela [Zostavovateľ, editor] ; Kerovec, Barbara [Zostavovateľ, editor]. – 1. vyd. – Amsterdam (Holandsko) : John Benjamins Publishing Company, 2019. – ISBN 978-90-272-0403-5, s. 45-58 </t>
  </si>
  <si>
    <t xml:space="preserve">Lily of the Valley: Rudolf Dilong’s Forbidden Love (Konvália: Zakázaná láska Rudolfa Dilonga) / Žilka, Tibor [Autor, UKFFSSUSJ, 50%] ; Holý, Jiří [Autor, 50%]. – text. – [angličtina]. – [OV 020]. – [kapitola] In: Handbook of Polish, Czech, and Slovak Holocaust Fiction [textový dokument (print)] [elektronický dokument] : Works and Contexts / Hiemer, Elisa-Maria [Zostavovateľ, editor] ; Holý, Jiří [Zostavovateľ, editor] ; Firlej, Agata [Zostavovateľ, editor] ; Nichtburgerová, Hana [Zostavovateľ, editor]. – 1. vyd. – Oldenbourg (Nemecko) : De Gruyter, 2021. – ISBN 978-3-11-066725-7. – ISBN (online) 978-3-11-066741-7. – ISBN (online) 978-3-11-067105-6, s. 263-265 [tlačená forma] </t>
  </si>
  <si>
    <t xml:space="preserve">Literarische Kommunikation / Plesník, Ľubomír [Autor, UKFFFAULK, 80%] ; Mikuláš, Roman [Autor, UKOPDNJL, 20%] ; Mikuláš, Roman [Prekladateľ, UKOPDNJL, 100%]. – text. – [nemčina]. – [OV 020]. – [kapitola]. – SIGN-UKO PD NJ/19 In: Literaturwissenschaft in internationaler Perspektive [textový dokument (print)] / Mikuláš, Roman [Autor] ; Kravets, Jessica [Recenzent]. – 1. vyd. – Nümbrecht (Nemecko) : Kirsch-Verlag, 2019. – ISBN 978-3-943906-35-6, s. 426-446 [tlačená forma] </t>
  </si>
  <si>
    <t xml:space="preserve">Literárnohistorická reflexia cyrilo-metodského odkazu v dejinách slovenskej literatúry / Lukáčová, Martina [Autor, UKFFFAJZC, 100%] ; Tišliar, Pavol [Recenzent] ; Taneski, Zvonko [Recenzent]. – text. – [slovenčina]. – [OV 030, 020]. – [príspevok] In: Cyrilometodějská tradice v novodobých československých dejinách [textový dokument (print)] / [bez zostavovateľa] [Zostavovateľ, editor]. – 1. vyd. – Zlín (Česko) : Evropská kulturní stezka sv. Cyrila a Metoděje, 2018. – ISBN 978-80-270-5024-6, s. 113-129 [tlačená forma] </t>
  </si>
  <si>
    <t xml:space="preserve">Lo sguardo sul mondo di Adriano Spatola da L’Oblò a Zeroglifico / Gritti, Fabiano [Autor, UKFFFAKRO, 100%]. – text. – [taliančina]. – [OV 020]. – [príspevok] In: Anti-mimesis [textový dokument (print)] : Le poetiche antimimetiche in Italia (1930-1980) / Gialloreto, Andrea [Zostavovateľ, editor] ; Jurišić, Srećko [Zostavovateľ, editor] ; Benedetti, Carla [Recenzent] ; Castellana, Riccardo [Recenzent]. – 1. vyd. – Milano (Taliansko) : Prospero Editore, 2021. – ISBN 978-88-3130-448-1, s. 455-472 [online] [tlačená forma] </t>
  </si>
  <si>
    <t xml:space="preserve">Los tratadistas del eros contra la Academia. El caso del sociólogo Amando de Miguel / Lampis, Mirko [Autor, UKFFFAKRO, 100%]. – text. – [španielčina]. – [OV 020]. – [príspevok] In: Epos [textový dokument (print)] : Revista de filología / [bez zostavovateľa] [Zostavovateľ, editor]. – 1. vyd. – Roč. 37, č. 1-2. – Madrid (Španielsko) : Universidad Nacional de Educación a Distancia, 2021. – ISSN 0213-201X, s. 129-144 [tlačená forma] </t>
  </si>
  <si>
    <t xml:space="preserve">Magyar tulajdonnevek a cseh és szlovák névszótárakban / Bauko, Ján [Autor, UKFFSSUML, 100%]. – text. – [maďarčina]. – [OV 020]. – [príspevok]. – DOI 10.26546/4892373.12 In: Tulajdonnevek és szótárak [textový dokument (print)] / Farkas, Tamás [Zostavovateľ, editor] ; Tamás, Mariann [Zostavovateľ, editor] ; Benő, Attila [Recenzent] ; Berecz, Ágoston [Recenzent]. – 1. vyd. – Budapešť (Maďarsko) : Eötvös Loránd Tudományegyetem. ELTE Bölcsészettudományi Kar. Magyar Nyelvtudományi és Finnugor Intézet ; Maďarsko : Magyar nyelvtudományi társaság, 2020. – ISBN 978-963-489-237-3, s. 199-207 </t>
  </si>
  <si>
    <t xml:space="preserve">Mapovanie kultúrneho potenciálu slovenského minoritného spoločenstva v Číve / Čukan, Jaroslav [Autor, UKFFFAKMK, 50%] ; Michalík, Boris [Autor, UKFFFAKMK, 50%]. – text. – [slovenčina]. – [OV 030]. – [príspevok] In: Slovenské inšpirácie z Čívu [textový dokument (print)] : 36. interdisciplinárny výskumný tábor Výskumného ústavu Slovákov v Maďarsku / Tuska, Tünde [Zostavovateľ, editor] ; Rágyanszki, György [Zostavovateľ, editor] ; Lenovský, Ladislav [Recenzent] ; Szabo, Orsolya [Recenzent]. – 1. vyd. – Békéscsaba (Maďarsko) : Magyarországi Szlovákok Kutatóintézete, 2020. – (Studia interdisciplinaria). – ISBN 978-615-5330-18-6. – ISSN 2631-1283, s. 392-415 [tlačená forma] </t>
  </si>
  <si>
    <t xml:space="preserve">Marriage as an Ideal of Couple Relationship? Empirical Research of Moral Preferences of Partner and Sexual Lifestyles in the Czech Republic and Slovakia = Manželstvo ako ideál párového spolužitia? Empirická sonda do morálnych preferencií partnerských a sexuálnych životných štýlov v Čechách a na Slovensku / Marková, Dagmar [Autor, UKFFFAKAE 06.2022, 100%]. – text. – [angličtina]. – [OV 060]. – [príspevok] In: Fenomény postmoderny [textový dokument (print)] / Jůzl, Miloslav [Zostavovateľ, editor] ; Kalábová, Helena [Zostavovateľ, editor] ; Semrádová, Ilona [Recenzent] ; Rybák, David [Recenzent]. – 1. vyd. – Praha (Česko) : Univerzita Jana Amose Komenského Praha, 2020. – ISBN 978-80-7452-149-2, s. 175-216 [tlačená forma] </t>
  </si>
  <si>
    <t xml:space="preserve">Matthias Bel and Nyitra County / Rácová, Katarína [Autor, UKFFFAKHI, 100%]. – text. – [angličtina]. – [OV 030]. – [príspevok]. – SCO In: People, institutions, relations. Slovakia and Hungary from the 11th to the 18th century [textový dokument (print)] / Marci, Ľudovít [Zostavovateľ, editor] ; Selecká Mârza, Eva [Recenzent] ; Chrastina, Peter [Recenzent]. – 1. vyd. – Berlin (Nemecko) : Peter Lang, 2020. – ISBN 978-3-631-77357-4, s. 189-214 [tlačená forma] </t>
  </si>
  <si>
    <t xml:space="preserve">Media and Digital Marketing / Chalányová, Oľga [Autor, UKFFFAKMR, 100%]. – text. – [angličtina]. – [OV 060]. – [príspevok] In: Marketing in the Digital Era [textový dokument (print)] / Bačíková, Zuzana [Zostavovateľ, editor]. – 1. vyd. – Berlín (Nemecko) : Peter Lang, 2018. – (New Horizons in Management Sciences ; 8). – ISBN 978-3-631-74545-8, s. 39-70 [tlačená forma] </t>
  </si>
  <si>
    <t xml:space="preserve">Medieval roads and written sources / Ivanič, Peter [Autor, UKFFFAUKD, 100%]. – text. – [angličtina]. – [OV 030]. – [príspevok]. – SCO In: People, institutions, relations. Slovakia and Hungary from the 11th to the 18th century [textový dokument (print)] / Marci, Ľudovít [Zostavovateľ, editor] ; Selecká Mârza, Eva [Recenzent] ; Chrastina, Peter [Recenzent]. – 1. vyd. – Berlin (Nemecko) : Peter Lang, 2020. – ISBN 978-3-631-77357-4, s. 11-38 [tlačená forma] </t>
  </si>
  <si>
    <t xml:space="preserve">Medzigeneračné učenie ako preventívny nástroj (kyber-)šikany / Jedličková, Petra [Autor, UKFPFAKPE, 100%]. – [poľština]. – [OV 010]. – [príspevok]. – [recenzované] In: W starzejącej się Europie.... Konteksty sąsiedztwa i dialogu we współczesnym świecie [textový dokument (print)] / Stopińska-Pająk, Agnieszka [Zostavovateľ, editor] ; Dacko-Pikiewicz, Zdzisława [Zostavovateľ, editor]. – 1. vyd. – Warszawa (Poľsko) : Wydawnictwo Naukowe PWN, 2018. – ISBN 978-83-01-20285-9, s. 117-125 [tlačená forma] </t>
  </si>
  <si>
    <t xml:space="preserve">Memoárové texty súčasných slovenských básnikov / Mitková, Natália [Autor, UKFFFASJL, 100%]. – text. – [slovenčina]. – [OV 020]. – [príspevok] In: Filologické štúdie [textový dokument (print)] / Vajičková, Mária [Zostavovateľ, editor] ; Bojničanová, Renáta [Zostavovateľ, editor] ; Tomášková, Simona [Zostavovateľ, editor] ; Žeňuch, Peter [Recenzent] ; Bojničanová, Renáta [Recenzent] ; Javorčíková, Jana [Recenzent]. – 1. vyd. – č. 4. – Nümbrecht (Nemecko) : Kirsch-Verlag, 2018. – (Acta Facultatis Paedagogicae Universitatis Comenianae Bratislavensis : Acta Doctorandorum Facultatis Facultatis Paedagogicae Universitatis Comenianae Bratislavensis.). – ISBN 978-3-943906-47-9, s. 50-57 [tlačená forma] </t>
  </si>
  <si>
    <t xml:space="preserve">Měření postojů / Sollár, Tomáš [Autor, UKFFSVUAP, 100%]. – text. – [čeština]. – [OV 060]. – [príspevok] In: Sociální psychologie [textový dokument (print)] : teorie, metody, aplikace / Výrost, Jozef [Zostavovateľ, editor] ; Slaměník, Ivan [Zostavovateľ, editor] ; Sollárová, Eva [Zostavovateľ, editor] ; Letovancová, Eva [Recenzent] ; Poláčková Šolcová, Iva [Recenzent]. – 1. vyd. – Praha (Česko) : Grada Publishing, 2019. – (Psyché). – ISBN 978-80-247-5775-9, s. 341-351 [tlačená forma] </t>
  </si>
  <si>
    <t xml:space="preserve">Metapher als Träger der Ikonizität / Žilka, Tibor [Autor, UKFFSSUSJ, 100%]. – text. – [nemčina]. – [OV 020]. – [príspevok] In: Metaphernforschung in Interdisziplinären und Interdiskursiven Perspektiven [textový dokument (print)] [elektronický dokument] / Mikuláš, Roman [Zostavovateľ, editor]. – 1. vyd. – Paderborn (Nemecko) : Brill. Mentis Verlag, 2020. – (Poetogenesis : Studien zur empirischen Anthropologie der Literatur, ISSN 2629-6985 ; 12). – ISBN 978-3-95743-190-5. – ISBN (online) 978-3-95743-747-1, s. 59-72 [tlačená forma] [online] </t>
  </si>
  <si>
    <t xml:space="preserve">Methodology of the National ES Assessment / Mederly, Peter [Korešpondenčný autor, UKFFPVKEE, 20%] ; Špulerová, Jana [Autor, 20%] ; Izakovičová, Zita [Autor, 20%] ; Petrovič, František [Autor, UKFFPVKEE, 20%] ; Černecký, Ján [Autor, UKFFPVKEE, 20%]. – text. – [angličtina]. – [OV 100]. – [príspevok]. – DOI 10.1007/978-3-030-46508-7_2 In: A Catalogue of Ecosystem Services in Slovakia [textový dokument (print)] [elektronický dokument] : Benefits to Society / Mederly, Peter [Zostavovateľ, editor] ; Černecký, Ján [Zostavovateľ, editor]. – 1. vyd. – Cham (Švajčiarsko) : Springer Verlag, 2020. – ISBN 978-3-030-46507-0. – ISBN (online) 978-3-030-46508-7, s. 39-44 [tlačená forma] </t>
  </si>
  <si>
    <t xml:space="preserve">Metodologičeskije strategiji issledovanija kuľtury v evropejskoj filosofskoj tradiciji : osnovnyje ideji i podchody / Kleckoba, Irina M. [Autor, 40%] ; Jakubovská, Viera [Autor, UKFFFAKFI, 60%]. – [ruština]. – [OV 020]. – [príspevok]. – [recenzované] In: Filosofsko-kuľturologičeskije issledovanija [textový dokument (print)] / Legčilin, Anna A. [Zostavovateľ, editor]. – 1. vyd. – Minsk (Bielorusko (predtým ako Bieloruská SSR)) : Belorusskij gosudarstvennyj universitet, 2018. – ISBN 978-985-566-549-7, s. 174-190 [tlačená forma] </t>
  </si>
  <si>
    <t xml:space="preserve">Middle Byzantine period weapons from the collections of the National Museum of Romanian history in Bucharest (also) used in Byzantium / Husár, Martin [Autor, UKFFFAUKD, 75%] ; Ota, Silviu [Autor, 25%]. – text. – [angličtina, rumunčina]. – [OV 030]. – [príspevok]. – SCO In: Materiale si Cercetari Arheologice (16) [textový dokument (print)] [elektronický dokument] / [bez zostavovateľa] [Zostavovateľ, editor]. – 1. vyd. – č. 16. – Bucurest (Rumunsko) : Editura Academiei Române, 2020. – ISSN 0076-5147, s. 229-265 </t>
  </si>
  <si>
    <t xml:space="preserve">Minulosť a budúcnosť ľudstva z hľadiska kritického environmentalizmu / Sťahel, Richard [Autor, UKFFFAKFI, 100%] ; Andrzejewski, Bolesław [Recenzent] ; Astafjeva, Oľga [Recenzent]. – text. – [slovenčina]. – [OV 020]. – [príspevok] In: Sofia [textový dokument (print)] [elektronický dokument] : Pismo Filozofów Krajów Słowiańskich. – 1. vyd. – Roč. 18. – Rzeszów (Poľsko) : Uniwersytet Rzeszowski, 2018. – ISSN 1642-1248, s. 91-102 [tlačená forma] [online] </t>
  </si>
  <si>
    <t xml:space="preserve">Młodzież wobec wartości osobistych i społecznych / Štefaňak, Ondrej [Autor, UKFFFAKSO, 100%]. – text. – [poľština]. – [OV 060]. – [príspevok]. – [recenzované] In: Forum Historyczno-Społeczne [textový dokument (print)] : Rocznik Polskiego Towarzystwa Historycznego - Oddział w Gorzowie Wielkopolskim / Leszczyński, Paweł A. [Zostavovateľ, editor]. – 1. vyd. – Gorzów Wielkopolski (Poľsko) : Polskie Towarzystwo Historyczne, 2020. – ISSN 1899-7708, s. 65-78 [tlačená forma] </t>
  </si>
  <si>
    <t xml:space="preserve">Modern, irodalom, elmélet, kánon : Jan Mukařovský esete / Benyovszky, Kristian [Autor, UKFFSSUML, 100%]. – text. – [maďarčina]. – [OV 020]. – [príspevok] In: Kánon és komparatisztika [textový dokument (print)] : a kánonok többszólamúsága kelet-közép-európai kontextusban / Szávai, Dorottya [Zostavovateľ, editor] ; Bengi, László [Recenzent] ; Varga, Zoltan V. [Recenzent]. – 1. vyd. – Budapešť (Maďarsko) : Gondolat Kiadói Kör, 2020. – ISBN 9789636938260, s. 100-110 </t>
  </si>
  <si>
    <t xml:space="preserve">Modernization of Environmental Education with the Use of Project-Based Learning, Outdoor Education and Mobile Learning Supported by Information and Communication Technology / Pucherová, Zuzana [Autor, UKFFPVKEE, 35%] ; Jakab, Imrich [Autor, UKF.Nitra, 35%] ; Zigová, Martina [Autor, UKFFPVKEE, 30%]. – [angličtina]. – [OV 100]. – [príspevok]. – [recenzované]. – DOI 10.1007/978-3-030-05026-9 In: Universities in the networked society [elektronický dokument] : cultural diversity and digital competences in learning communities / Smyrnova-Trybulska, Eugenia [Zostavovateľ, editor] ; Kommers, Piet [Zostavovateľ, editor] ; Morze, Nataliia [Zostavovateľ, editor] ; Malach, Josef [Zostavovateľ, editor]. – 1. vyd. – Cham (Švajčiarsko) : Springer Nature, 2019. – (Critical studies of education ; 10). – ISBN 978-3-030-05025-2. – ISBN (online) 978-3-030-05026-9, s. 223-248 [online] </t>
  </si>
  <si>
    <t xml:space="preserve">Moral profiles and religious affiliations of academic youth / Swiatkiewicz, Wojciech  Krzysztof [Autor, UKFFFAKSO, 100%]. – text. – [angličtina]. – [OV 060]. – [príspevok]. – [recenzované] In: Between Construction and Deconstruction of the Universes of Meaning [textový dokument (print)] : Research into the Religiosity of Academic Youth in the Years 1988 – 1998 – 2005 – 2017 / Zarzecki, Zaręba, M. [Zostavovateľ, editor]. – 1. vyd. – Berlín (Nemecko) : Peter Lang, 2019. – ISBN 9783631795170, s. 161-172 </t>
  </si>
  <si>
    <t xml:space="preserve">Motív smrti v tvorbe autorov slovenskej, českej a maďarskej katolíckej literatúry / Gallik, Ján [Autor, UKFFSSUSJ, 100%]. – text. – [slovenčina]. – [OV 020]. – [príspevok] In: Slavica Wratislaviensia [textový dokument (print)] : wielkie tematy kultury w literaturach słowiańskich 13. Tanatos 2 / Tyszkowska-Kasprzak, Elżbieta [Zostavovateľ, editor]. – 1. vyd. – Roč. 13, č. 2. – Wroclaw (Poľsko) : Polska Akademia Nauk, 2019. – ISSN 0137-1150, s. 315-326 [tlačená forma] </t>
  </si>
  <si>
    <t xml:space="preserve">Motivational structure and the interpreter’s personality / Hodáková, Soňa [Autor, UKFFFAKTR, 100%]. – text. – [angličtina]. – [OV 020]. – [príspevok]. – DOI 10.4324/9781003087977. – WOS CC ; SCO In: Changing paradigms and approaches in interpreter training [textový dokument (print)] [elektronický dokument] : perspectives from Central Europe / Šveda, Pavol [Zostavovateľ, editor]. – 1. vyd. – New York (USA) ; Abingdon (Veľká Británia) : Taylor &amp; Francis Group. Routledge, 2021. – ISBN 978-0-367-51891-2. – ISBN 978-1-032-00455-6. – ISBN (online) 978-1-003-08797-7, s. 185-208 [tlačená forma] [online] </t>
  </si>
  <si>
    <t xml:space="preserve">Motivationsstruktur als Prädiktor für die Qualität und Stabilität der Dolmetschleistung bei Studenten / Hodáková, Soňa [Autor, UKFFFAKTR, 100%]. – text. – [nemčina]. – [OV 020, 010]. – [príspevok] In: Interpreter training - experience, ideas, perspectives [textový dokument (print)] / Bohušová, Zuzana [Zostavovateľ, editor] ; Djovčoš, Martin [Zostavovateľ, editor] ; Melicherčíková, Miroslava [Zostavovateľ, editor] ; Müglová, Daniela [Recenzent] ; Gavurová, Miroslava [Recenzent]. – 1. vyd. – č. 8. – Viedeň (Rakúsko) : Praesens Verlag, 2020. – (Translation Studies and its Contexts). – ISBN 978-3-7069-1107-8, s. 137-148 [tlačená forma] </t>
  </si>
  <si>
    <t xml:space="preserve">Možnosti prognózy finančnej situácie podnikov = Possibilities of forecasting the financial situation of enterprises / Levický, Michal [Autor, UKFFPVUMI, 34%] ; Gajdová, Denisa [Autor, EUBFPMKPO, 33%] ; Kapustová, Zuzana [Autor, SPUFEM01, 33%]. – text. – [angličtina]. – [OV 080]. – [príspevok] In: Effects of small and medium-sized enterprises in rural areas [textový dokument (print)] : proceedings of scientific papers / Levický, Michal [Zostavovateľ, editor] ; Beresecká, Janka [Zostavovateľ, editor] ; Gozora, Vladimír [Recenzent] ; Hudák, Jozef [Recenzent]. – 1. vyd. – Białostok (Poľsko) : Białostockie Wydawnictwo Naukowe, 2018. – ISBN 978-83-950152-8-1, s. 61-66 [tlačená forma] </t>
  </si>
  <si>
    <t xml:space="preserve">Multimediálne vzdelávanie sestier v paliatívnej starostlivosti / Slamková, Alica [Autor, UKFFSVKOS, 50%] ; Poledníková, Ľubica [Autor, UKFFSVKOS, 50%]. – text. – [slovenčina]. – [OV 180]. – [príspevok]. – [recenzované] In: Hospicová a paliativní péče [elektronický dokument] / [bez zostavovateľa] [Zostavovateľ, editor]. – 1. vyd. – Roč. 12, č. Suppl. A. – Olomouc (Česko) : Solen medical education (CZ), 2018. – ISBN 978-80-7471-246-3, s. 16-19 [online] </t>
  </si>
  <si>
    <t xml:space="preserve">Municipal statutes - source of law and education in the royal free towns in the territory of present-day Slovakia during the early modern period / Tandlich, Tomáš [Autor, UKFFFAKHI, 100%]. – text. – [angličtina]. – [OV 030]. – [príspevok]. – SCO In: People, institutions, relations. Slovakia and Hungary from the 11th to the 18th century [textový dokument (print)] / Marci, Ľudovít [Zostavovateľ, editor] ; Selecká Mârza, Eva [Recenzent] ; Chrastina, Peter [Recenzent]. – 1. vyd. – Berlin (Nemecko) : Peter Lang, 2020. – ISBN 978-3-631-77357-4, s. 57-82 [tlačená forma] </t>
  </si>
  <si>
    <t xml:space="preserve">Musikinstrumentenbau in Bratislava / Preßburg - Kulturtransfer, Migrationsprozesse, europäische Kontexte / Szórádová, Eva [Autor, UKFPFAKHU, 100%]. – text. – [nemčina]. – [OV 010, 040]. – [príspevok] In: Barockmusik als europäischer Brückenschlag [textový dokument (print)] : Festschrift für Klaus-Peter Koch / Behn, Claudia [Zostavovateľ, editor]. – 1. vyd. – Beeskow (Nemecko) : Ortus Musikverlag, 2019. – ISBN 978-3-937788-60-9, s. 173-183 [tlačená forma] </t>
  </si>
  <si>
    <t xml:space="preserve">Nájomné bývanie na vidieku na príklade výskumu vybraných obcí = Tenanted housing in rural areas-research on the example of selected villages / Beňušková, Zuzana [Autor, UKFFFAKEF, 100%]. – text. – [slovenčina]. – [OV 030]. – [príspevok]. – WOS CC In: Journal of Urban Ethnology [textový dokument (print)] [elektronický dokument] : etnologia, antropologia miasta / [bez zostavovateľa] [Zostavovateľ, editor]. – 1 vyd. – Roč. 17. – Krakov (Poľsko) : Instytut Archeologii i Etnologii PAN, 2019. – ISSN 1429-0618, s. 243-257 [tlačená forma] [online] </t>
  </si>
  <si>
    <t xml:space="preserve">Násilná smrť v postkoloniálnej próze / Žilka, Tibor [Autor, UKFFSSUSJ, 100%]. – text. – [slovenčina]. – [OV 020]. – [príspevok] In: Slavica Wratislaviensia [textový dokument (print)] : wielkie tematy kultury w literaturach słowiańskich 13. Tanatos 2 / Tyszkowska-Kasprzak, Elżbieta [Zostavovateľ, editor]. – 1. vyd. – Roč. 13, č. 2. – Wroclaw (Poľsko) : Polska Akademia Nauk, 2019. – ISSN 0137-1150, s. 337-348 [tlačená forma] </t>
  </si>
  <si>
    <t xml:space="preserve">Nel giardino dei simboli. Lettura del canto XXXII del Purgatorio / Zaccarello, Michelangelo [Autor, UKFFFAKRO, 100%]. – text. – [taliančina]. – [OV 020]. – [príspevok] In: ll colloquio circolare. I libri, gli allievi, gli amici [textový dokument (print)] : a cura di Stefano Cremonini e Francesca Florimbii / Cremonini, Stefano [Zostavovateľ, editor] ; Florimbii, Francesca [Zostavovateľ, editor]. – 1. vyd. – Pisa (Taliansko) : Patron Editore, 2020. – ISBN 9788855534697, s. 599-614 [tlačená forma] </t>
  </si>
  <si>
    <t xml:space="preserve">Neroľnícke a doplnkové zamestnania v Číve v 1. polovici 20. storočia / Kontriková Šusteková, Ivana [Autor, UKFFFAKEF, 100%]. – text. – [slovenčina]. – [OV 030]. – [príspevok] In: Slovenské inšpirácie z Čívu [textový dokument (print)] : 36. interdisciplinárny výskumný tábor Výskumného ústavu Slovákov v Maďarsku / Tuska, Tünde [Zostavovateľ, editor] ; Rágyanszki, György [Zostavovateľ, editor] ; Lenovský, Ladislav [Recenzent] ; Szabo, Orsolya [Recenzent]. – 1. vyd. – Békéscsaba (Maďarsko) : Magyarországi Szlovákok Kutatóintézete, 2020. – (Studia interdisciplinaria). – ISBN 978-615-5330-18-6. – ISSN 2631-1283, s. 110-162 [tlačená forma] </t>
  </si>
  <si>
    <t xml:space="preserve">New Directions and Solutions in the Ecotourismof Hungary / Aubert, Antal [Autor, UKFFSSKCR, 40%] ; Szabó, Géza [Autor, 10%] ; Jónas-Berki, Mónika [Autor, 10%] ; Horváth, Andrea [Autor, 10%] ; Szeidl, Klaudia [Autor, 10%] ; Kocsor, Zsófia [Autor, 10%] ; Raffay, Zoltán [Autor, 10%] ; Fischer, Wolfgang [Recenzent] ; Simić, Danko [Recenzent]. – [angličtina]. – [OV 080]. – [príspevok] In: Spatial Tensions - Future Changes [textový dokument (print)] / Simić, Danko [Zostavovateľ, editor] ; Pizzera, Judith [Zostavovateľ, editor]. – 1. vyd. – Graz (Rakúsko) : Institut für Geographie und Raumforschung, 2018. – (Grazer Schriften der Geographie und Raumforschung ; 48). – ISBN 978-3-9502276-7-3, s. 71-82 [tlačená forma] </t>
  </si>
  <si>
    <t xml:space="preserve">Notes on the role of orality and memory in Dante's Comedy / Zaccarello, Michelangelo [Autor, UKFFFAKRO, 100%]. – text. – [taliančina]. – [OV 020]. – [príspevok] In: "Vedi lo sol che 'n fronte ti riluce" [textový dokument (print)] : la vista e gli altri sensi in Dante e nella ricezione artistico-letteraria delle sue opere / Maślanka-Soro, Maria [Zostavovateľ, editor]. – 1. vyd. – Roma (Taliansko) : Aracne, 2019. – ISBN 9788825529340, s. 145-167 </t>
  </si>
  <si>
    <t xml:space="preserve">Nové poňatie "domáceho miláčika" v súčasnej detskej literatúre / Kaizerová, Petra [Autor, UKFFFASJL, 100%]. – text. – [slovenčina]. – [OV 020]. – [príspevok] In: Výzvy současnosti [textový dokument (print)] : nová témata české a slovenské literatury (2000 - 2017) / Pospíšil, Ivo [Zostavovateľ, editor] ; Paučová, Lenka [Recenzent] ; Maiello, Guiseppe [Recenzent]. – 1. vyd. – Brno (Česko) : Sojnek Jan - Galium, 2019. – ISBN 978-80-88296-05-8, s. 49-56 [tlačená forma] </t>
  </si>
  <si>
    <t xml:space="preserve">Novinárska činnosť Daniela Licharda a jej vplyv na ustaľovanie spisovnej slovenčiny / Nemčeková, Jana [Autor, UKFFFASJL, 100%]. – text. – [slovenčina]. – [OV 020]. – [príspevok] In: Filologické štúdie [textový dokument (print)] / Vajičková, Mária [Zostavovateľ, editor] ; Bojničanová, Renáta [Zostavovateľ, editor] ; Tomášková, Simona [Zostavovateľ, editor] ; Kačala, Ján [Recenzent] ; Žeňuch, Peter [Recenzent]. – 1. vyd. – č. 5. – Nümbrecht (Nemecko) : Kirsch-Verlag, 2019. – (Acta Facultatis Paedagogicae Universitatis Comenianae Bratislavensis : Acta Doctorandorum Facultatis Facultatis Paedagogicae Universitatis Comenianae Bratislavensis.). – ISBN 978-3-943906-52-3, s. 63-69 [tlačená forma] </t>
  </si>
  <si>
    <t xml:space="preserve">Nyelvi tallózas Felső-Ipoly mente történeti helynevei között / Angyal, Ladislav [Autor, UKFFSSUML, 100%] ; Eőry, Vilma [Recenzent] ; Pethő, József [Recenzent]. – [maďarčina]. – [OV 020]. – [príspevok] In: Acta Academiae Pedagogicae Agriensis [textový dokument (print)] : Sectio Linguistica Hungarica. Sectio Nova Series / [bez zostavovateľa] [Zostavovateľ, editor]. – 1. vyd. – č. 44. – Eger (Maďarsko) : EKE Líceum, 2018. – ISSN 1785-6906, s. 33-46 [tlačená forma] </t>
  </si>
  <si>
    <t xml:space="preserve">O slovenskom jazyku a štýle v printových médiách vo Vojvodine / Hlavatá, Renáta [Autor, UKFFFASJL, 100%]. – [slovenčina]. – [OV 020]. – [príspevok]. – [recenzované] In: Profesorului Constantin Geambasu la 70 de ani [textový dokument (print)] : Volum îngrijit de Marina Ilie / Ilie, Marina [Zostavovateľ, editor]. – 1. vyd. – Bukurešť (Rumunsko) : Editura Paideia, 2018. – ISBN 978-606-748-257-7, s. 141-148 </t>
  </si>
  <si>
    <t xml:space="preserve">Obohacovanie slovnej zásoby pomocou modifikovaných cvičení / Glaap, Natália [Autor, UKFFFASJL, 100%]. – text. – [slovenčina]. – [OV 020]. – [príspevok] In: Filologické štúdie [textový dokument (print)] / Vajičková, Mária [Zostavovateľ, editor] ; Bojničanová, Renáta [Zostavovateľ, editor] ; Tomášková, Simona [Zostavovateľ, editor] ; Javorčíková, Jana [Recenzent] ; Mikulášová, Andrea [Recenzent]. – 1. vyd. – č. 7. – Nümbrecht (Nemecko) : Kirsch-Verlag, 2021. – (Acta Facultatis Paedagogicae Universitatis Comenianae Bratislavensis : Acta Doctorandorum Facultatis Facultatis Paedagogicae Universitatis Comenianae Bratislavensis.). – ISBN 978-3-943906-58-5, s. 76-84 [tlačená forma] </t>
  </si>
  <si>
    <t xml:space="preserve">Obrazy rozpadu Rakúska-Uhorska v opere o M. R. Štefánikovi : Egon Bondy, Marek Piaček a M. R. Š. / Beličová, Renáta [Autor, UKFFFAULK, 100%]. – text. – [slovenčina]. – [OV 020]. – [príspevok] In: Rozpad Rakouska-Uherska a jeho důsledky pro středoevropské literatury a kultury [textový dokument (print)] / Hrabal, Jiří [Zostavovateľ, editor] ; Wiendl, Jan [Recenzent] ; Bauer, Michal [Recenzent]. – 1. vyd. – Olomouc (Česko) : Univerzita Palackého v Olomouci, 2019. – (Umění a kultury střední Evropy ; sv. č. 4). – ISBN 978-80-88278-34-4, s. 253-267 [tlačená forma] </t>
  </si>
  <si>
    <t xml:space="preserve">Occupational Component / Žovinec, Erik [Autor, UKFPFAKPE, 80%] ; Kramer, Martin [Autor, 20%]. – text. – [angličtina]. – [OV 010]. – [príspevok]. – SCO In: Key Components of Inclusive Education [textový dokument (print)] / Lechta, Viktor [Zostavovateľ, editor] ; Bizová, Naďa [Zostavovateľ, editor] ; Schavel, Milan [Recenzent] ; Vítková, Marie [Recenzent]. – 1. vyd. – Berlín (Nemecko) : Peter Lang, 2019. – (Spectrum Slovakia, ISSN 2195-1845 ; Volume 22). – ISBN 978-3-631-76858-7. – ISBN 978-3-631-78305-4. – ISBN 978-80-224-1713-6. – ISBN (online) 978-3-631-78303-0. – ISBN (online) 978-3-631-78304-7. – ISSN 2195-1845. – TUTPFKPS signatúra E075769, s. 226-241 [tlačená forma] </t>
  </si>
  <si>
    <t xml:space="preserve">Od sexuálnej morálky k sexuálnej spokojnosti: eticko-deskriptívna výskumná sonda do súvislostí morálnych preferencií a subjektívneho hodnotenia spokojnosti v oblasti intímneho života u slovenských a českých žien / Marková, Dagmar [Autor, UKFFFAKAE 06.2022, 50%] ; Šebíková, Lívia [Autor, UKFFFAKAE 06.2022, 50%]. – text. – [slovenčina]. – [OV 020]. – [ŠO 6107]. – [príspevok] In: Dilemata žen a mužů v době postmoderní [textový dokument (print)] [elektronický dokument] / Jůzl, Miloslav [Zostavovateľ, editor] ; Kalábová, Helena [Zostavovateľ, editor] ; Šrobárová, Soňa [Zostavovateľ, editor] ; Hogenová, Anna [Recenzent] ; Vlach, František [Recenzent]. – 1. vyd. – Stráž pod Ralskem (Česko) : Akademie Vězeňské služby ČR, 2020. – ISBN 978-80-907836-5-2. – ISBN (online) 978-80-907836-6-9, s. 152-186 [tlačená forma] [online] </t>
  </si>
  <si>
    <t xml:space="preserve">Odhad hodnoty opeľovacej činnosti včelstiev v podmienkach Slovenskej republiky = Estimation of the value of bee pollination in the conditions of the Slovak Republic / Levický, Michal [Autor, UKFFPVUMI, 100%] ; Hudák, Jozef [Recenzent] ; Gajdová, Denisa [Recenzent]. – text. – [angličtina]. – [OV 080]. – [príspevok] In: Effects of small and medium-sized enterprises in rural areas [textový dokument (print)] : proceedings of scientific papers / Levický, Michal [Zostavovateľ, editor] ; Beresecká, Janka [Zostavovateľ, editor]. – 1. vyd. – Białostok (Poľsko) : Białostockie Wydawnictwo Naukowe, 2018. – ISBN 978-83-950152-8-1, s. 67-73 [tlačená forma] </t>
  </si>
  <si>
    <t xml:space="preserve">Ojciec Profesor Leon Dyczewski OFMConv. jako nauczyciel i wychowawca; badacz kultury / Swiatkiewicz, Wojciech  Krzysztof [Autor, UKFFFAKSO, 100%] ; Fel, Stanislaw [Recenzent]. – [poľština]. – [OV 060]. – [príspevok] In: Mistrz i przyjaciel [textový dokument (print)] [elektronický dokument] : Ojciec Profesor Leon Benigny Dyczewski OFMConv / Halicka, Małgorzata [Zostavovateľ, editor]. – 1. vyd. – Białystok (Poľsko) : Wydawnictwo Uniwersytetu w Białymstoku, 2018. – ISBN 978-83-7431-532-6, s. 251-274 [tlačená forma] [online] </t>
  </si>
  <si>
    <t xml:space="preserve">On the impact of the initial phrase length on the position of enclitics in Old Czech / Čech, Radek [Autor, 25%] ; Kosek, Pavel [Autor, 25%] ; Navrátilová, Olga [Autor, 25%] ; Mačutek, Ján [Autor, UKFFPVKMA, 25%]. – text. – [angličtina]. – [OV 240]. – [príspevok]. – DOI 10.1075/cilt.356.01cec. – SCO In: Current Issues in Linguistic Theory [textový dokument (print)] / Pawlowski, Adam [Zostavovateľ, editor] ; Mačutek, Ján [Zostavovateľ, editor] ; Embleton, Sheila [Zostavovateľ, editor] ; Mikros, George [Zostavovateľ, editor]. – 1. vyd. – č. 356. – Amsterdam (Holandsko) : John Benjamins Publishing Company, 2021. – ISBN 9789027258380. – ISSN 03040763, s. 9-20 [tlačená forma] </t>
  </si>
  <si>
    <t xml:space="preserve">On the pluricentricity of the Hungarian languages in textbooks published in Hungary / Kozmács, István [Autor, UKFFSSUML, 50%] ; Vančo, Ildikó [Autor, UKFFSSUML, 50%]. – text. – [angličtina]. – [OV 020]. – [príspevok]. – SCO In: Hungarian as a Plucentric Language  in Language and Literature [textový dokument (print)] / Muhr, Rudolf [Zostavovateľ, editor] ; Vančo, Ildikó [Zostavovateľ, editor] ; Kozmács, István [Zostavovateľ, editor] ; Huber, Maté [Zostavovateľ, editor]. – 1. vyd. – č. 22. – Berlín (Nemecko) : Peter Lang, 2020. – ISBN 978-3-631-80975-4. – ISBN (online) 978-36-318-2219-7. – ISSN 1618-5714, s. 221-230 [tlačená forma] </t>
  </si>
  <si>
    <t xml:space="preserve">Operationalising ecosystem services: Advancing knowledge on natural and cultural capital / Furman, Eeva [Autor, 7.154%] ; Barton, David N. [Autor, 7.142%] ; Harrison, Paula [Autor, 7.142%] ; Kopperoinen, Leena [Autor, 7.142%] ; Mederly, Peter [Autor, UKFFPVKEE, 7.142%] ; Perez-Soba, Marta [Autor, 7.142%] ; Potschin, Marion [Autor, 7.142%] ; Saarikoski, Heli [Autor, 7.142%] ; Schleyer, Christian [Autor, 7.142%] ; Smith, Alison [Autor, 7.142%] ; Watt, Alan [Autor, 7.142%] ; Young, Juliette [Autor, 7.142%] ; Kelemen, Eszter [Autor, 7.142%] ; Goméz-Baggethun, Erik [Autor, 7.142%]. – text. – [angličtina]. – [OV 100]. – [príspevok]. – [recenzované] In: Reconnecting natural and cultural capital [textový dokument (print)] [elektronický dokument] : contributions from science and policy / Paracchini, Maria Luisa [Zostavovateľ, editor] ; Zingari, Pier Carlo [Zostavovateľ, editor] ; Blasi, Carlo [Zostavovateľ, editor]. – 1. vyd. – Roč. 1. – Luxembourg (Luxembursko) : Európska únia, 2018. – ISBN 978-92-79-59949-1. – ISBN (online) 978-92-79-59948-4. – ISSN 1018-5593. – ISSN (online) 1831-9424, s. 41-56 [1,18 AH] [tlačená forma] [online] </t>
  </si>
  <si>
    <t xml:space="preserve">Ošetrovateľská diagnostika v klinickej praxi pediatrického ošetrovateľstva / Spáčilová, Zuzana [Autor, UKFFSVKOS, 34%] ; Krištofová, Erika [Autor, UKFFSVKOS, 33%] ; Pavelová, Ľuboslava [Autor, UKFFSVKOS, 33%]. – text. – [slovenčina]. – [OV 180]. – [príspevok] In: Multidimenzionalita v starostlivosti o dieťa [elektronický dokument] [textový dokument (print)] : Zborník vedeckých prác / Šupínová, Mária [Zostavovateľ, editor] ; Frčová, Beáta [Zostavovateľ, editor] ; Vansáč, Peter [Recenzent] ; Klement, Cyril [Recenzent] ; Czarnecki, Paweł Stanisław [Recenzent]. – 1. vyd. – Warszawa (Poľsko) : Collegium Humanum - Szkoła Główna Menedżerska, 2019. – ISBN 978-83-952951-2-6, s. 129-139 [online] [tlačená forma] </t>
  </si>
  <si>
    <t xml:space="preserve">Ošetrovateľská diagnostika vo vzdelávaní v onkologickom ošetrovateľstve / Spáčilová, Zuzana [Autor, UKFFSVKOS, 34%] ; Poledníková, Ľubica [Autor, UKFFSVKOS, 33%] ; Slamková, Alica [Autor, UKFFSVKOS, 33%] ; Andraščíková, Štefánia [Recenzent] ; Botíková, Andrea [Recenzent]. – text. – [slovenčina]. – [OV 180]. – [príspevok] In: Ošetřovatelství v domácí péči - právní, etický, legislativní průrez metodologií ošetřovatelské praxe [textový dokument (print)] / Archalousová, Alexandra [Zostavovateľ, editor]. – 1. vyd. – Hradec Králové (Česko) : Pracoviště ošetřovatelské péče, 2018. – ISBN 978-80-906319-3-9, s. 110-120 [tlačená forma] </t>
  </si>
  <si>
    <t xml:space="preserve">Ošetrovateľská diagnóza vo vzťahu k intervenciám v chirurgickom ošetrovateľstve / Mesárošová, Jozefína [Autor, UKFFSVKOS, 100%]. – text. – [slovenčina]. – [OV 180]. – [príspevok] In: Ošetřovatelské intervence ve vztahu k ošetřovatelským diagnózám [textový dokument (print)] : recenzovaný sborník vědeckých prací. vydaný k příležitosti 5. výročí spolupráce ve vědě a výzkumu mezi akademickými a klinickými pracovníky Katedry ošetřovatelství a porodní asistence FZS ZCU v Plzni České republiky a Katedry ošetřovatelství FSVaZ UKF v Nitre Slovenské republiky / Archalousová, Alexandra [Zostavovateľ, editor] ; Frei, Jiří [Zostavovateľ, editor] ; Andraščíková, Štefánia [Recenzent] ; Derňarová, Ľubica [Recenzent]. – 1. vyd. – Plzeň (Česko) : Západočeská univerzita v Plzni, 2021. – ISBN 978-80-261-1056-9, s. 66-73 [tlačená forma] </t>
  </si>
  <si>
    <t xml:space="preserve">Ošetrovateľská diagnóza vo vzťahu k intervenciám v internom ošetrovateľstve / Vörösová, Gabriela [Autor, UKFFSVKOS, 100%]. – text. – [slovenčina]. – [OV 180]. – [príspevok] In: Ošetřovatelské intervence ve vztahu k ošetřovatelským diagnózám [textový dokument (print)] : recenzovaný sborník vědeckých prací. vydaný k příležitosti 5. výročí spolupráce ve vědě a výzkumu mezi akademickými a klinickými pracovníky Katedry ošetřovatelství a porodní asistence FZS ZCU v Plzni České republiky a Katedry ošetřovatelství FSVaZ UKF v Nitre Slovenské republiky / Archalousová, Alexandra [Zostavovateľ, editor] ; Frei, Jiří [Zostavovateľ, editor] ; Andraščíková, Štefánia [Recenzent] ; Derňarová, Ľubica [Recenzent]. – 1. vyd. – Plzeň (Česko) : Západočeská univerzita v Plzni, 2021. – ISBN 978-80-261-1056-9, s. 104-111 [tlačená forma] </t>
  </si>
  <si>
    <t xml:space="preserve">Ošetrovateľská diagnóza vo vzťahu k intervenciám v kardiologickom ošetrovateľstve / Líšková, Miroslava [Autor, UKFFSVKOS, 100%]. – text. – [slovenčina]. – [OV 180]. – [príspevok] In: Ošetřovatelské intervence ve vztahu k ošetřovatelským diagnózám [textový dokument (print)] : recenzovaný sborník vědeckých prací. vydaný k příležitosti 5. výročí spolupráce ve vědě a výzkumu mezi akademickými a klinickými pracovníky Katedry ošetřovatelství a porodní asistence FZS ZCU v Plzni České republiky a Katedry ošetřovatelství FSVaZ UKF v Nitre Slovenské republiky / Archalousová, Alexandra [Zostavovateľ, editor] ; Frei, Jiří [Zostavovateľ, editor] ; Andraščíková, Štefánia [Recenzent] ; Derňarová, Ľubica [Recenzent]. – 1. vyd. – Plzeň (Česko) : Západočeská univerzita v Plzni, 2021. – ISBN 978-80-261-1056-9, s. 51-58 [tlačená forma] </t>
  </si>
  <si>
    <t xml:space="preserve">Ošetrovateľská diagnóza vo vzťahu k intervenciám v neurologickom ošetrovateľstve / Solgajová, Andrea [Autor, UKFFSVKOS, 100%]. – text. – [slovenčina]. – [OV 180]. – [príspevok] In: Ošetřovatelské intervence ve vztahu k ošetřovatelským diagnózám [textový dokument (print)] : recenzovaný sborník vědeckých prací. vydaný k příležitosti 5. výročí spolupráce ve vědě a výzkumu mezi akademickými a klinickými pracovníky Katedry ošetřovatelství a porodní asistence FZS ZCU v Plzni České republiky a Katedry ošetřovatelství FSVaZ UKF v Nitre Slovenské republiky / Archalousová, Alexandra [Zostavovateľ, editor] ; Frei, Jiří [Zostavovateľ, editor] ; Andraščíková, Štefánia [Recenzent] ; Derňarová, Ľubica [Recenzent]. – 1. vyd. – Plzeň (Česko) : Západočeská univerzita v Plzni, 2021. – ISBN 978-80-261-1056-9, s. 93-98 [tlačená forma] </t>
  </si>
  <si>
    <t xml:space="preserve">Ošetrovateľská diagnóza vo vzťahu k intervenciám v psychiatrickom ošetrovateľstve / Spáčilová, Zuzana [Autor, UKFFSVKOS, 50%] ; Zrubcová, Dana [Autor, UKFFSVKOS, 50%]. – text. – [slovenčina]. – [OV 180]. – [príspevok] In: Ošetřovatelské intervence ve vztahu k ošetřovatelským diagnózám [textový dokument (print)] : recenzovaný sborník vědeckých prací. vydaný k příležitosti 5. výročí spolupráce ve vědě a výzkumu mezi akademickými a klinickými pracovníky Katedry ošetřovatelství a porodní asistence FZS ZCU v Plzni České republiky a Katedry ošetřovatelství FSVaZ UKF v Nitre Slovenské republiky / Archalousová, Alexandra [Zostavovateľ, editor] ; Frei, Jiří [Zostavovateľ, editor] ; Andraščíková, Štefánia [Recenzent] ; Derňarová, Ľubica [Recenzent]. – 1. vyd. – Plzeň (Česko) : Západočeská univerzita v Plzni, 2021. – ISBN 978-80-261-1056-9, s. 112-118 [tlačená forma] </t>
  </si>
  <si>
    <t xml:space="preserve">Ošetrovateľské diagnózy a intervencie v pediatrickej praxi / Krištofová, Erika [Autor, UKFFSVKOS, 100%]. – text. – [slovenčina]. – [OV 180]. – [príspevok] In: Ošetřovatelské intervence ve vztahu k ošetřovatelským diagnózám [textový dokument (print)] : recenzovaný sborník vědeckých prací. vydaný k příležitosti 5. výročí spolupráce ve vědě a výzkumu mezi akademickými a klinickými pracovníky Katedry ošetřovatelství a porodní asistence FZS ZCU v Plzni České republiky a Katedry ošetřovatelství FSVaZ UKF v Nitre Slovenské republiky / Archalousová, Alexandra [Zostavovateľ, editor] ; Frei, Jiří [Zostavovateľ, editor] ; Andraščíková, Štefánia [Recenzent] ; Derňarová, Ľubica [Recenzent]. – 1. vyd. – Plzeň (Česko) : Západočeská univerzita v Plzni, 2021. – ISBN 978-80-261-1056-9, s. 44-50 [tlačená forma] </t>
  </si>
  <si>
    <t xml:space="preserve">Ošetrovateľské diagnózy v klinickej praxi onkologického ošetrovateľstva z pohľadu experta / Spáčilová, Zuzana [Autor, UKFFSVKOS, 100%]. – text. – [slovenčina]. – [OV 180]. – [príspevok] In: Ošetřovatelské intervence ve vztahu k ošetřovatelským diagnózám [textový dokument (print)] : recenzovaný sborník vědeckých prací. vydaný k příležitosti 5. výročí spolupráce ve vědě a výzkumu mezi akademickými a klinickými pracovníky Katedry ošetřovatelství a porodní asistence FZS ZCU v Plzni České republiky a Katedry ošetřovatelství FSVaZ UKF v Nitre Slovenské republiky / Archalousová, Alexandra [Zostavovateľ, editor] ; Frei, Jiří [Zostavovateľ, editor] ; Andraščíková, Štefánia [Recenzent] ; Derňarová, Ľubica [Recenzent]. – 1. vyd. – Plzeň (Česko) : Západočeská univerzita v Plzni, 2021. – ISBN 978-80-261-1056-9, s. 99-103 [tlačená forma] </t>
  </si>
  <si>
    <t xml:space="preserve">Ošetrovateľské diagnózy v podmienkach domácej ošetrovateľskej starostlivosti z pohľadu experta / Slamková, Alica [Autor, UKFFSVKOS, 100%]. – text. – [slovenčina]. – [OV 180]. – [príspevok] In: Ošetřovatelské intervence ve vztahu k ošetřovatelským diagnózám [textový dokument (print)] : recenzovaný sborník vědeckých prací. vydaný k příležitosti 5. výročí spolupráce ve vědě a výzkumu mezi akademickými a klinickými pracovníky Katedry ošetřovatelství a porodní asistence FZS ZCU v Plzni České republiky a Katedry ošetřovatelství FSVaZ UKF v Nitre Slovenské republiky / Archalousová, Alexandra [Zostavovateľ, editor] ; Frei, Jiří [Zostavovateľ, editor] ; Andraščíková, Štefánia [Recenzent] ; Derňarová, Ľubica [Recenzent]. – 1. vyd. – Plzeň (Česko) : Západočeská univerzita v Plzni, 2021. – ISBN 978-80-261-1056-9, s. 87-92 [tlačená forma] </t>
  </si>
  <si>
    <t xml:space="preserve">Ošetrovateľské diagnózy vo vzťahu k intervenciám v ambulantnom ošetrovateľstve / Beťková, Melanie [Autor, UKFFSVKOS, 100%]. – text. – [slovenčina]. – [OV 180]. – [príspevok] In: Ošetřovatelské intervence ve vztahu k ošetřovatelským diagnózám [textový dokument (print)] : recenzovaný sborník vědeckých prací. vydaný k příležitosti 5. výročí spolupráce ve vědě a výzkumu mezi akademickými a klinickými pracovníky Katedry ošetřovatelství a porodní asistence FZS ZCU v Plzni České republiky a Katedry ošetřovatelství FSVaZ UKF v Nitre Slovenské republiky / Archalousová, Alexandra [Zostavovateľ, editor] ; Frei, Jiří [Zostavovateľ, editor] ; Andraščíková, Štefánia [Recenzent] ; Derňarová, Ľubica [Recenzent]. – 1. vyd. – Plzeň (Česko) : Západočeská univerzita v Plzni, 2021. – ISBN 978-80-261-1056-9, s. 22-28 [tlačená forma] </t>
  </si>
  <si>
    <t xml:space="preserve">Ošetrovateľské intervencie pri chronickej bolesti vo vyššom veku / Poledníková, Ľubica [Autor, UKFFSVKOS, 34%] ; Slamková, Alica [Autor, UKFFSVKOS, 33%] ; Spáčilová, Zuzana [Autor, UKFFSVKOS, 33%] ; Andraščíková, Štefánia [Recenzent] ; Botíková, Andrea [Recenzent]. – text. – [slovenčina]. – [OV 180]. – [príspevok] In: Ošetřovatelství v domácí péči - právní, etický, legislativní průrez metodologií ošetřovatelské praxe [textový dokument (print)] / Archalousová, Alexandra [Zostavovateľ, editor]. – 1. vyd. – Hradec Králové (Česko) : Pracoviště ošetřovatelské péče, 2018. – ISBN 978-80-906319-3-9, s. 85-99 [tlačená forma] </t>
  </si>
  <si>
    <t xml:space="preserve">Ošetrovateľské intervencie u pacientov s delíriom a cirhózou pečene / Líšková, Miroslava [Autor, UKFFSVKOS, 100%] ; Andraščíková, Štefánia [Recenzent] ; Botíková, Andrea [Recenzent]. – text. – [slovenčina]. – [OV 180]. – [príspevok] In: Ošetřovatelství v domácí péči - právní, etický, legislativní průrez metodologií ošetřovatelské praxe [textový dokument (print)] / Archalousová, Alexandra [Zostavovateľ, editor]. – 1. vyd. – Hradec Králové (Česko) : Pracoviště ošetřovatelské péče, 2018. – ISBN 978-80-906319-3-9, s. 52-61 [tlačená forma] </t>
  </si>
  <si>
    <t xml:space="preserve">Ošetrovateľské intervencie u pacientov v paliatívnej starostlivosti pri ošetrovateľskej diagnóze Strach / Slamková, Alica [Autor, UKFFSVKOS, 25%] ; Poledníková, Ľubica [Autor, UKFFSVKOS, 25%] ; Spáčilová, Zuzana [Autor, UKFFSVKOS, 25%] ; Kubričanová, Alexandra [Autor, 25%] ; Andraščíková, Štefánia [Recenzent] ; Botíková, Andrea [Recenzent]. – text. – [slovenčina]. – [OV 180]. – [príspevok] In: Ošetřovatelství v domácí péči - právní, etický, legislativní průrez metodologií ošetřovatelské praxe [textový dokument (print)] / Archalousová, Alexandra [Zostavovateľ, editor]. – 1. vyd. – Hradec Králové (Česko) : Pracoviště ošetřovatelské péče, 2018. – ISBN 978-80-906319-3-9, s. 100-109 [tlačená forma] </t>
  </si>
  <si>
    <t xml:space="preserve">Ošetřovatelské diagnózy a ošetřovatelské intervence z pohledu experta/pedagoga / Archalousová, Alexandra [Autor, UKFFSVKOS, 40%] ; Andraščíková, Štefánia [Autor, 30%] ; Frei, Jiří [Autor, 30%]. – text. – [slovenčina]. – [OV 180]. – [príspevok] In: Ošetřovatelské intervence ve vztahu k ošetřovatelským diagnózám [textový dokument (print)] : recenzovaný sborník vědeckých prací. vydaný k příležitosti 5. výročí spolupráce ve vědě a výzkumu mezi akademickými a klinickými pracovníky Katedry ošetřovatelství a porodní asistence FZS ZCU v Plzni České republiky a Katedry ošetřovatelství FSVaZ UKF v Nitre Slovenské republiky / Archalousová, Alexandra [Zostavovateľ, editor] ; Frei, Jiří [Zostavovateľ, editor] ; Andraščíková, Štefánia [Recenzent] ; Derňarová, Ľubica [Recenzent]. – 1. vyd. – Plzeň (Česko) : Západočeská univerzita v Plzni, 2021. – ISBN 978-80-261-1056-9, s. 29-37 [tlačená forma] </t>
  </si>
  <si>
    <t xml:space="preserve">Ošetřovatelské intervence vybraných ošetřovatelských diagnóz v klinickém ošetřovatelství z pohledu experta / Archalousová, Alexandra [Autor, UKFFSVKOS, 100%]. – text. – [slovenčina]. – [OV 180]. – [príspevok] In: Ošetřovatelské intervence ve vztahu k ošetřovatelským diagnózám [textový dokument (print)] : recenzovaný sborník vědeckých prací. vydaný k příležitosti 5. výročí spolupráce ve vědě a výzkumu mezi akademickými a klinickými pracovníky Katedry ošetřovatelství a porodní asistence FZS ZCU v Plzni České republiky a Katedry ošetřovatelství FSVaZ UKF v Nitre Slovenské republiky / Archalousová, Alexandra [Zostavovateľ, editor] ; Frei, Jiří [Zostavovateľ, editor] ; Andraščíková, Štefánia [Recenzent] ; Derňarová, Ľubica [Recenzent]. – 1. vyd. – Plzeň (Česko) : Západočeská univerzita v Plzni, 2021. – ISBN 978-80-261-1056-9, s. 7-13 [tlačená forma] </t>
  </si>
  <si>
    <t xml:space="preserve">Otázky životního prostředí zemí EU : edukácia v súlade s európskou zelenou dohodou k environmentálnej udržateľnosti / Bilčík, Alexander [Autor, 34%] ; Bilčíková, Jana [Autor, UKFPFAKTT, 33%] ; Geršicová, Zuzana [Autor, 33%]. – text. – [slovenčina]. – [OV 010]. – [príspevok] In: Evropská unie - názory a vize [textový dokument (print)] / Bílý, Jiří [Autor] ; Heroutová, Eva [Recenzent] ; Šrédl, Karel [Recenzent]. – 1. vyd. – České Budějovice (Česko) : Vysoká škola evropských a regionálních studií, 2021. – ISBN 978-80-7556-095-7, s. 11-20 [tlačená forma] </t>
  </si>
  <si>
    <t xml:space="preserve">Overview of the Ecosystem Services Concept / Mederly, Peter [Korešpondenčný autor, UKFFPVKEE, 20%] ; Černecký, Ján [Autor, UKFFPVKEE, 20%] ; Gusejnov, Simona [Autor, 20%] ; Ďuricová, Viktória [Autor, UMBFP09, 20%] ; Vrbičanová, Gréta [Autor, UKFFPVKEE, 20%]. – text. – [angličtina]. – [OV 100, 190]. – [príspevok]. – DOI 10.1007/978-3-030-46508-7_1 In: A Catalogue of Ecosystem Services in Slovakia [textový dokument (print)] [elektronický dokument] : Benefits to Society / Mederly, Peter [Zostavovateľ, editor] ; Černecký, Ján [Zostavovateľ, editor]. – 1. vyd. – Cham (Švajčiarsko) : Springer Verlag, 2020. – ISBN 978-3-030-46507-0. – ISBN (online) 978-3-030-46508-7, s. 3-35 [tlačená forma] </t>
  </si>
  <si>
    <t xml:space="preserve">Óvópedagógus- és tanítóképzés a Nyitrai Konstantin Filozófus Egyetem Közép-európai Tanulmányok Karán / Bárcziová, Žofia [Autor, UKFFSSUML, 100%]. – [maďarčina]. – [OV 020]. – [príspevok]. – [recenzované] In: Magyar nyelvű pedagógusok és pedagógusképzés a Kárpát-medencében [textový dokument (print)] / Lőrincz, Ildikó [Zostavovateľ, editor]. – 1. vyd. – Győr (Maďarsko) : Széchenyi István Egyetem. Apáczai Csere János Kar, 2019. – ISBN 978-615-5837-55-5, s. 29-33 [tlačená forma] </t>
  </si>
  <si>
    <t xml:space="preserve">Paul Strauss and his Philosophical-Religious Interpretation of the Phenomenon of Dying, Death and Psychical-Physical Suffering / Hlad, Ľubomír [Autor, UKFFFAKNS, 100%]. – text. – [angličtina]. – [OV 020]. – [príspevok] In: Spiritual and Social Experience in the Context of Modernism and Postmodernism [textový dokument (print)] [elektronický dokument] : (Interdisciplinary Reading of the Phenomenon) / Maturkanič, Patrik [Zostavovateľ, editor] ; Tomanová Čergeťová, Ivana [Zostavovateľ, editor] ; Stolárik, Stanislav [Recenzent] ; Šuráb, Marian [Recenzent] ; Janáčková, Laura [Recenzent]. – 1. vyd. – Morrisville (USA) : Lulu Publishing Company, 2021. – ISBN 978-1-716-21192-8, s. 341-363 [tlačená forma] [online] </t>
  </si>
  <si>
    <t xml:space="preserve">Persecutions of Roma - Romani Holocaust in Slovakia / Lužica, René [Autor, UKFFSVURS, 50%] ; Janas, Karol [Autor, 50%]. – text. – [angličtina]. – [OV 060]. – [príspevok]. – TUAD PC017964 In: Preserving the Roma Memories [textový dokument (print)] : Festschrift in Honor of Dr. Adam Bartosz / Kyuchukov, Hristo [Zostavovateľ, editor] ; Marushiakova, Elena [Zostavovateľ, editor] ; Vesellin, Popov [Zostavovateľ, editor] ; New, William S. [Recenzent] ; Kwardans, Lukasz [Recenzent]. – 1. vyd. – Mníchov (Nemecko) : Lincom, 2020. – ISBN 978-3-86290-218-7, s. 94-117 [tlačená forma] </t>
  </si>
  <si>
    <t xml:space="preserve">Phraseology in the Headlines of News Websites’ Reports on the Coronavirus in Slovakia / Csalová, Oľga [Autor, UKFFFAJZC, 25%] ; Burcl, Pavol [Autor, UKFFFAJZC, 25%] ; Zelenická, Elena [Autor, UKFFFAJZC, 25%] ; Kozárová, Zuzana [Autor, UKFFFAJZC, 25%]. – text. – [angličtina]. – [OV 020]. – [príspevok]. – [recenzované] In: The Discoursal Use of Phraseological Units [textový dokument (print)] / Arsenteva, Elena [Zostavovateľ, editor]. – 1. vyd. – Newcastle upon (Veľká Británia) : Cambridge Scholars Publishing, 2021. – ISBN 978-1-5275-7506-6, s. 241-263 [tlačená forma] </t>
  </si>
  <si>
    <t xml:space="preserve">Pluricentric language in György Norberts novel Klára / Tóth, Anikó [Autor, UKFFSSUML, 100%]. – text. – [angličtina]. – [OV 020]. – [príspevok]. – SCO In: Hungarian as a Plucentric Language  in Language and Literature [textový dokument (print)] / Muhr, Rudolf [Zostavovateľ, editor] ; Vančo, Ildikó [Zostavovateľ, editor] ; Kozmács, István [Zostavovateľ, editor] ; Huber, Maté [Zostavovateľ, editor]. – 1. vyd. – č. 22. – Berlín (Nemecko) : Peter Lang, 2020. – ISBN 978-3-631-80975-4. – ISBN (online) 978-36-318-2219-7. – ISSN 1618-5714, s. 257-268 [tlačená forma] </t>
  </si>
  <si>
    <t xml:space="preserve">Podnikanie klastrov a kooperácia MSP v rámci regiónov = Entrepreneurship of clusters and cooperation of SME within regions / Gajdová, Denisa [Autor, EUBFPMKPO, 50%] ; Levický, Michal [Autor, UKFFPVUMI, 50%] ; Hudák, Jozef [Recenzent] ; Gozora, Vladimír [Recenzent]. – [angličtina]. – [OV 080]. – [príspevok] In: Effects of small and medium-sized enterprises in rural areas [textový dokument (print)] : proceedings of scientific papers / Levický, Michal [Zostavovateľ, editor] ; Beresecká, Janka [Zostavovateľ, editor]. – 1. vyd. – Białostok (Poľsko) : Białostockie Wydawnictwo Naukowe, 2018. – ISBN 978-83-950152-8-1, s. 26-32 [tlačená forma] </t>
  </si>
  <si>
    <t xml:space="preserve">Poetik / Žilka, Tibor [Autor, UKFFSSUSJ, 100%] ; Mikuláš, Roman [Prekladateľ, UKOPDNJL, 100%]. – text. – [nemčina]. – [OV 020]. – [kapitola] In: Literaturwissenschaft in internationaler Perspektive [textový dokument (print)] / Mikuláš, Roman [Autor] ; Kravets, Jessica [Recenzent]. – 1. vyd. – Nümbrecht (Nemecko) : Kirsch-Verlag, 2019. – ISBN 978-3-943906-35-6, s. 14-26 [tlačená forma] </t>
  </si>
  <si>
    <t xml:space="preserve">Poetika humoru románu Poslední aristokratka / Waldnerová, Jana [Autor, UKFFFAKAA, 100%] ; Hashemi pour Soleiman, Michaela [Recenzent] ; Zelenka, Miloš [Recenzent]. – [slovenčina]. – [OV 020]. – [príspevok] In: Střední Evropa včera dnes (II) [textový dokument (print)] : proměny koncepcí : (jazyk - literatura - kultura - politika - filozofie) / Pospíšil, Ivo [Zostavovateľ, editor]. – 1. vyd. – Brno (Česko) : Středoevropské centrum slovanských studií, 2018. – ISBN 978-80-88296-01-0, s. 231-238 [tlačená forma] </t>
  </si>
  <si>
    <t xml:space="preserve">Policy and Practice in Visual Arts Education in Eastern and Central Europe / Kárpáti, Andrea [Autor, UKFFSSUVP, 100%]. – text. – [angličtina]. – [OV 010]. – [príspevok]. – [recenzované] In: International Yearbook for Research in Arts Education [textový dokument (print)] : Arts Education around the World: Comparative Research Seven Years after the Seoul Agenda / Ijdens, Teunis [Zostavovateľ, editor]. – 1. vyd. – Roč. 5. – Münster (Nemecko) : Waxmann Verlag, 2018. – ISBN 978-3-8309-3797-5, s. 261-269 [tlačená forma] </t>
  </si>
  <si>
    <t xml:space="preserve">Populárna kultúra v znamení Prometea : (vstupné poznámky a vyhliadky) / Boszorád, Martin [Autor, UKFFFAULK, 100%]. – text. – [slovenčina]. – [OV 020]. – [príspevok]. – DOI 10.19195/0867-7441.26.3 In: Literatura i kultura popularna / Gemry, Anna [Zostavovateľ, editor] ; Brzostek, Dariusz [Recenzent] ; Copik, Ilona [Recenzent]. – 1. vyd. – Roč. 26. – Wroclaw (Poľsko) : Pracownia Literatury i Kultury Popularnej oraz Nowych Mediów, 2020, s. 31-39 [tlačená forma] [online] </t>
  </si>
  <si>
    <t xml:space="preserve">Postmodernist Representation of the Central European Multiethnic Milieu: Marek Piaček Apolloopera - A Melodrama about Bombing for Choir, Actor and Trombone / Beličová, Renáta [Autor, UKFFFAULK, 100%]. – text. – [angličtina]. – [OV 020]. – [príspevok]. – WOS CC In: Literary Canon Formation as Nation-Building in Central Europe and the Baltics [textový dokument (print)] [elektronický dokument] : 19th to early 20th Century / Kučinskienė, Aistė [Zostavovateľ, editor] ; Šeina, Viktorija [Zostavovateľ, editor] ; Speičytė, Brigita [Zostavovateľ, editor]. – 1. vyd. – Roč. 24. – Leiden (Holandsko) : Brill, 2021. – ISBN 978-90-04-39839-9. – ISBN (online) 978-90-04-45771-3. – ISSN 1876-5645, s. 295-310 [tlačená forma] </t>
  </si>
  <si>
    <t xml:space="preserve">Postoje hlavných slovenských politických prúdov k čechoslovakizmu v medzivojnovom období / Arpáš, Róbert [Autor, UKFFFAKHI, 50%] ; Hanula, Matej [Autor, 50%]. – text. – [slovenčina]. – [OV 030]. – [príspevok] In: Čecho/slovakismus [textový dokument (print)] / Hudek, Adam [Zostavovateľ, editor] ; Kopeček, Michal [Zostavovateľ, editor] ; Mervart, Jan [Zostavovateľ, editor] ; Stehlík, Michal [Recenzent] ; Holec, Roman [Recenzent]. – 1. vyd. – Praha (Česko) : Akademie věd České republiky. Ústav pro soudobé dějiny AV ČR ; Nakladatelství Lidové noviny, 2019. – ISBN 978-80-7422-679-3. – ISBN 978-80-7285-229-1, s. 182-201 [tlačená forma] </t>
  </si>
  <si>
    <t xml:space="preserve">Pozorování v sociální psychologii / Turzáková, Jana [Autor, UKFFSVUAP, 100%]. – text. – [čeština]. – [OV 060]. – [príspevok] In: Sociální psychologie [textový dokument (print)] : teorie, metody, aplikace / Výrost, Jozef [Zostavovateľ, editor] ; Slaměník, Ivan [Zostavovateľ, editor] ; Sollárová, Eva [Zostavovateľ, editor] ; Letovancová, Eva [Recenzent] ; Poláčková Šolcová, Iva [Recenzent]. – 1. vyd. – Praha (Česko) : Grada Publishing, 2019. – (Psyché). – ISBN 978-80-247-5775-9, s. 297-306 [tlačená forma] </t>
  </si>
  <si>
    <t xml:space="preserve">Precedent Phenomena as a Linguistic, Translation and Reception Problem / Zahorák, Andrej [Autor, UKFFFAKTR, 100%]. – text. – [angličtina]. – [OV 020]. – [kapitola]. – [recenzované]. – SCO In: A Reflection of Man and Culture in Language and Literature (13), (Studies in Linguistics, Anglophone Literatures and Cultures) [textový dokument (print)] / Matiová, Mária [Zostavovateľ, editor] ; Navrátil, Martin [Zostavovateľ, editor]. – 1. vyd. – Berlin (Nemecko) : Peter Lang, 2019. – ISBN 978-3-631-74550-2, s. 37-60 [tlačená forma] </t>
  </si>
  <si>
    <t xml:space="preserve">Precedent Phenomena in the Mirror of Associations / Juricová, Miriama [Autor, UKFFFAKRU, 100%]. – text. – [angličtina]. – [OV 020]. – [kapitola]. – [recenzované]. – SCO In: A Reflection of Man and Culture in Language and Literature (13), (Studies in Linguistics, Anglophone Literatures and Cultures) [textový dokument (print)] / Matiová, Mária [Zostavovateľ, editor] ; Navrátil, Martin [Zostavovateľ, editor]. – 1. vyd. – Berlin (Nemecko) : Peter Lang, 2019. – ISBN 978-3-631-74550-2, s. 15-35 [tlačená forma] </t>
  </si>
  <si>
    <t xml:space="preserve">Prednemocničná neodkladná zdravotná starostlivosť o pacienta s akútnym zlyhaním srdca / Mankovecká, Monika [Autor, UKFFSVKUM, 100%] ; Andraščíková, Štefánia [Recenzent] ; Botíková, Andrea [Recenzent]. – text. – [slovenčina]. – [OV 180]. – [príspevok] In: Ošetřovatelství v domácí péči - právní, etický, legislativní průrez metodologií ošetřovatelské praxe [textový dokument (print)] / Archalousová, Alexandra [Zostavovateľ, editor]. – 1. vyd. – Hradec Králové (Česko) : Pracoviště ošetřovatelské péče, 2018. – ISBN 978-80-906319-3-9, s. 62-76 [tlačená forma] </t>
  </si>
  <si>
    <t xml:space="preserve">Premessa all'ed. Robecchi del Canzoniere di G. Prestinari / Zaccarello, Michelangelo [Autor, UKFFFAKRO, 100%]. – text. – [taliančina]. – [OV 020]. – [príspevok] In: Canzoniere [textový dokument (print)] : Edizione critica del codice Scatola 59, fascicolo 536 (olim X.2) della Biblioteca dell’Accademia Carrara / Robecchi, Marco [Zostavovateľ, editor]. – 1. vyd. – Bergamo (Taliansko) : Centro Studi e Ricerche Archivio Bergamasco, 2019. – ISBN 978-88-99755-14-0, s. 7-13 [tlačená forma] </t>
  </si>
  <si>
    <t xml:space="preserve">Preparation of Teachers  of Technical Subjects in the Opinion of Teachers and Students / Lukáčová, Danka [Autor, UKFPFAKTT, 100%]. – text. – [angličtina]. – [OV 010]. – [príspevok] In: ICT in educational design [textový dokument (print)] : processes, materials, resources - KEGA edition / Koziej, Slawomir [Recenzent] ; Bratland, Erik [Recenzent]. – 1. vyd. – č. 14. – Zielona Góra  (Poľsko) : Uniwersytet Zielonogórski. Oficyna Wydawnicza Uniwersytetu Zielonogórskiego, 2019. – ISBN 978-83-7842-411-6. – ISSN 2450-3967, s. 87-94 [tlačená forma] </t>
  </si>
  <si>
    <t xml:space="preserve">Primenenije associativnogo eksperimenta v psicholingvističeskich issledovanijach slavjanskich jazykov / Zsarnóczaiová, Žaneta [Autor, UKFFFAKRU, 100%]. – [ruština]. – [OV 020]. – [príspevok]. – [recenzované] In: Filologija, inostrannyje jazyky i medijakommunikaciji [elektronický dokument] : materialy simpoziuma 13 (45) meždunarodnoj naučno-praktičeskoj konferenciji "Obrazovanije, nauka, innovaciji: vklad molodych issledovatelej", Kemerovo 18.4.2018 / Prosekov, A. J. [Zostavovateľ, editor]. – 1. – Kemerovo (Ruská federácia) : Kemerovskij gosudarstvennyj universitet, 2018. – ISBN 978-5-8353-2248-0, s. 19-21 [DVD] </t>
  </si>
  <si>
    <t xml:space="preserve">Priorita ošetrovateľských diagnóz a ošetrovateľských intervencií z pohľadu experta akutnej starostlivosti / Pavelová, Ľuboslava [Autor, UKFFSVKOS, 100%]. – text. – [slovenčina]. – [OV 180]. – [príspevok] In: Ošetřovatelské intervence ve vztahu k ošetřovatelským diagnózám [textový dokument (print)] : recenzovaný sborník vědeckých prací. vydaný k příležitosti 5. výročí spolupráce ve vědě a výzkumu mezi akademickými a klinickými pracovníky Katedry ošetřovatelství a porodní asistence FZS ZCU v Plzni České republiky a Katedry ošetřovatelství FSVaZ UKF v Nitre Slovenské republiky / Archalousová, Alexandra [Zostavovateľ, editor] ; Frei, Jiří [Zostavovateľ, editor] ; Andraščíková, Štefánia [Recenzent] ; Derňarová, Ľubica [Recenzent]. – 1. vyd. – Plzeň (Česko) : Západočeská univerzita v Plzni, 2021. – ISBN 978-80-261-1056-9, s. 74-81 [tlačená forma] </t>
  </si>
  <si>
    <t xml:space="preserve">Priorita ošetrovateľských diagnóz a ošetrovateľských intervencií z pohľadu experta na geriatrickom pracovisku / Poledníková, Ľubica [Autor, UKFFSVKOS, 100%]. – text. – [slovenčina]. – [OV 180]. – [príspevok] In: Ošetřovatelské intervence ve vztahu k ošetřovatelským diagnózám [textový dokument (print)] : recenzovaný sborník vědeckých prací. vydaný k příležitosti 5. výročí spolupráce ve vědě a výzkumu mezi akademickými a klinickými pracovníky Katedry ošetřovatelství a porodní asistence FZS ZCU v Plzni České republiky a Katedry ošetřovatelství FSVaZ UKF v Nitre Slovenské republiky / Archalousová, Alexandra [Zostavovateľ, editor] ; Frei, Jiří [Zostavovateľ, editor] ; Andraščíková, Štefánia [Recenzent] ; Derňarová, Ľubica [Recenzent]. – 1. vyd. – Plzeň (Česko) : Západočeská univerzita v Plzni, 2021. – ISBN 978-80-261-1056-9, s. 82-86 [tlačená forma] </t>
  </si>
  <si>
    <t xml:space="preserve">Priorita ošetrovateľských diagnóz a ošetrovateľských intervencií z pohľadu experta v intenzívnej starostlivosti / Mankovecká, Monika [Autor, UKFFSVKUM, 50%] ; Brázdilová, Dana [Autor, UKFFSVKUM, 50%]. – text. – [slovenčina]. – [OV 180]. – [príspevok] In: Ošetřovatelské intervence ve vztahu k ošetřovatelským diagnózám [textový dokument (print)] : recenzovaný sborník vědeckých prací. vydaný k příležitosti 5. výročí spolupráce ve vědě a výzkumu mezi akademickými a klinickými pracovníky Katedry ošetřovatelství a porodní asistence FZS ZCU v Plzni České republiky a Katedry ošetřovatelství FSVaZ UKF v Nitre Slovenské republiky / Archalousová, Alexandra [Zostavovateľ, editor] ; Frei, Jiří [Zostavovateľ, editor] ; Andraščíková, Štefánia [Recenzent] ; Derňarová, Ľubica [Recenzent]. – 1. vyd. – Plzeň (Česko) : Západočeská univerzita v Plzni, 2021. – ISBN 978-80-261-1056-9, s. 59-65 [tlačená forma] </t>
  </si>
  <si>
    <t xml:space="preserve">Priorita ošetřovatelských diagnóz a ošetřovatelských intervencí z pohledu experta v gynekologické péči / Archalousová, Alexandra [Autor, UKFFSVKOS, 100%]. – text. – [slovenčina]. – [OV 180]. – [príspevok] In: Ošetřovatelské intervence ve vztahu k ošetřovatelským diagnózám [textový dokument (print)] : recenzovaný sborník vědeckých prací. vydaný k příležitosti 5. výročí spolupráce ve vědě a výzkumu mezi akademickými a klinickými pracovníky Katedry ošetřovatelství a porodní asistence FZS ZCU v Plzni České republiky a Katedry ošetřovatelství FSVaZ UKF v Nitre Slovenské republiky / Archalousová, Alexandra [Zostavovateľ, editor] ; Frei, Jiří [Zostavovateľ, editor] ; Andraščíková, Štefánia [Recenzent] ; Derňarová, Ľubica [Recenzent]. – 1. vyd. – Plzeň (Česko) : Západočeská univerzita v Plzni, 2021. – ISBN 978-80-261-1056-9, s. 14-21 [tlačená forma] </t>
  </si>
  <si>
    <t xml:space="preserve">Priorita ošetřovatelských diagnóz a ošetřovatelských intervencí z pohledu experta v neonatologické péči / Archalousová, Alexandra [Autor, UKFFSVKOS, 50%] ; Spáčilová, Zuzana [Autor, UKFFSVKOS, 50%]. – text. – [slovenčina]. – [OV 180]. – [príspevok] In: Ošetřovatelské intervence ve vztahu k ošetřovatelským diagnózám [textový dokument (print)] : recenzovaný sborník vědeckých prací. vydaný k příležitosti 5. výročí spolupráce ve vědě a výzkumu mezi akademickými a klinickými pracovníky Katedry ošetřovatelství a porodní asistence FZS ZCU v Plzni České republiky a Katedry ošetřovatelství FSVaZ UKF v Nitre Slovenské republiky / Archalousová, Alexandra [Zostavovateľ, editor] ; Frei, Jiří [Zostavovateľ, editor] ; Andraščíková, Štefánia [Recenzent] ; Derňarová, Ľubica [Recenzent]. – 1. vyd. – Plzeň (Česko) : Západočeská univerzita v Plzni, 2021. – ISBN 978-80-261-1056-9, s. 38-43 [tlačená forma] </t>
  </si>
  <si>
    <t xml:space="preserve">Prírodné a syntetické náhrady českých granátov = Natural and Synthetic Imitation of Bohemian Garnets / Štubňa, Ján [Autor, UKFFPVGMU, 100%]. – text. – [slovenčina]. – [OV 092]. – [príspevok] In: Český granát [textový dokument (print)] : historie, identifikace a zpracování v kontextu muzejních sbírek / Hanus, Radek [Zostavovateľ, editor] ; Selucká, Alena [Zostavovateľ, editor] ; Stöhrová, Pavla [Zostavovateľ, editor] ; Panenková, Duňa [Recenzent] ; Ziegler, Václav [Recenzent]. – 1. vyd. – Brno (Česko) : Technické muzeum v Brně, 2019. – ISBN 978-80-87896-73-0, s. 91-98 </t>
  </si>
  <si>
    <t xml:space="preserve">Problematika ošetrovateľských intervencií u pacientov s poruchou dýchania / Líšková, Miroslava [Autor, UKFFSVKOS, 100%] ; Andraščíková, Štefánia [Recenzent] ; Botíková, Andrea [Recenzent]. – text. – [slovenčina]. – [OV 180]. – [príspevok] In: Ošetřovatelství v domácí péči - právní, etický, legislativní průrez metodologií ošetřovatelské praxe [textový dokument (print)] / Archalousová, Alexandra [Zostavovateľ, editor]. – 1. vyd. – Hradec Králové (Česko) : Pracoviště ošetřovatelské péče, 2018. – ISBN 978-80-906319-3-9, s. 41-51 [tlačená forma] </t>
  </si>
  <si>
    <t xml:space="preserve">Problematizing the Freedom of Expression – Liberal Legalism Encounters Postmodern Legal Thought / Kocina, Petr [Autor, UKFFFAKAE 06.2022, 100%]. – text. – [angličtina]. – [OV 060]. – [príspevok] In: Fenomény postmoderny [textový dokument (print)] / Jůzl, Miloslav [Zostavovateľ, editor] ; Kalábová, Helena [Zostavovateľ, editor] ; Semrádová, Ilona [Recenzent] ; Rybák, David [Recenzent]. – 1. vyd. – Praha (Česko) : Univerzita Jana Amose Komenského Praha, 2020. – ISBN 978-80-7452-149-2, s. 217-230 [tlačená forma] </t>
  </si>
  <si>
    <t xml:space="preserve">Professional Development of EFL Teachers in Slovakia / Kováčiková, Elena [Autor, UKFPFAKLI, 100%]. – text. – [angličtina]. – [OV 010]. – [príspevok] In: Foreign Language Anxiety [textový dokument (print)] : Post-Communist Country Context / Kráľová, Zdena [Zostavovateľ, editor] ; Kamenická, Jana [Zostavovateľ, editor] ; Škorvagová, Eva [Recenzent] ; Zelina, Miron [Recenzent]. – 2. rozš. vyd. – Praha (Česko) : Verbum, 2019. – ISBN 978-80-87800-50-8, s. 121-133 [tlačená forma] </t>
  </si>
  <si>
    <t xml:space="preserve">Profile moralne a religijne afiliacje młodzieży studenckiej / Swiatkiewicz, Wojciech  Krzysztof [Autor, UKFFFAKSO, 100%] ; Mariański, Janusz [Recenzent]. – text. – [poľština]. – [OV 060]. – [príspevok] In: Między konstrukcją a dekonstrukcją uniwersum znaczeń [textový dokument (print)] : badania religijności młodzieży akademickiej w latach 1988-1998-2005-2017 / Zaręba, Sławomir H. [Zostavovateľ, editor] ; Zarzecki, Marcin [Zostavovateľ, editor]. – 1. vyd. – Warszawa (Poľsko) : Warszawskie Wydawnictwo Socjologiczne, 2018. – ISBN 978-83-947012-6-0, s. 241-256 [tlačená forma] </t>
  </si>
  <si>
    <t xml:space="preserve">Projavlenije egocentrizma v sovremennom diskurse pečatnych SMI (na materiale slovackich gazet i naučno-populjarnych žurnalov žurnalov) = Manifestation of Egocentrism in Contemporary Print Media Discourse (On the Material of Slovak Press and Popular Journals) / Gallo, Ján [Autor, UKFFFAKRU, 100%] ; Public recreation and landscape protection - with sense hand in hand! [10.05.2021-11.05.2021, Brno, Česko]. – text. – [ruština]. – [OV 020]. – [príspevok]. – [recenzované]. – SCO In: Philologia Rossica (3) [textový dokument (print)] [elektronický dokument] : časopis pro ruskou filologii a výuku ruského jazyka / [bez zostavovateľa] [Zostavovateľ, editor]. – Hradec Králové (Česko) : Univerzita Hradec Králové, 2020. – ISSN 2694-8826, s. 35-54 [tlačená forma] [online] </t>
  </si>
  <si>
    <t xml:space="preserve">Prométheus například : moc mýtu, distance a přihlížení podle H. Blumenberga / Horyna, Břetislav [Autor, UKFFFAKFI, 100%]. – text. – [čeština]. – [OV 020]. – [príspevok] In: Filosofie jako životní cesta [textový dokument (print)] : Ad honorem Jan Zouhar / Pavlincová, Helena [Zostavovateľ, editor] ; Hejduk, Tomáš [Recenzent] ; Kužel, Petr [Recenzent]. – 1. vyd. – Brno (Česko) : Masarykova univerzita, 2019. – ISBN 978-80-210-9457-4. – ISBN (online) 978-80-210-9458-1, s. 135-150 [tlačená forma] </t>
  </si>
  <si>
    <t xml:space="preserve">Prosody in discourse and speaker state / Hirschberg, Julia [Autor, 30%] ; Beňuš, Štefan [Autor, UKFFFAKAA, 30%] ; Gravano, Augustin [Autor, 20%] ; Levitan, Rivka [Autor, 20%]. – text. – [angličtina]. – [OV 020]. – [príspevok] In: The Oxford Handbook of Language Prosody [textový dokument (print)] / Gussenhoven, Carlos [Zostavovateľ, editor] ; Chen, Aoju [Zostavovateľ, editor]. – 1. vyd. – Oxford (Veľká Británia) : Oxford University Press, 2021. – ISBN 978-0-19-883223-2, s. 468-476 [tlačená forma] </t>
  </si>
  <si>
    <t xml:space="preserve">Reclaiming the Past: Restoration of Personal and Communal History in Petals of Blood / Klimková, Simona [Autor, UKFFFAKAA, 100%]. – text. – [angličtina]. – [OV 020]. – [príspevok] In: Prague Journal of English Studies [textový dokument (print)] [elektronický dokument] : the Journal of Charles University, Faculty of Education / [bez zostavovateľa] [Zostavovateľ, editor]. – 1. vyd. – Roč. 7, č. 1. – Praha (Česko) : Univerzita Karlova v Praze. Pedagogická fakulta. Katedra anglického jazyka a literatury, 2018. – ISSN 1804-8722. – ISSN (online) 2336-2685, s. 111-122 [tlačená forma] [online] </t>
  </si>
  <si>
    <t xml:space="preserve">Regionálna výchova a tradičná ľudová kultúra vo výučbe na základných školách = Regional education and traditional folk culturein elementary school education / Jágerová, Margita [Autor, UKFFFAKEF, 100%]. – text. – [slovenčina]. – [OV 030]. – [príspevok]. – [recenzované] In: Rocznik Muzeum "Górnośląski Park Etnograficzny w Chorzowie" [textový dokument (print)] [elektronický dokument] / [bez zostavovateľa] [Zostavovateľ, editor]. – 1 vyd. – Roč. 7. – Chorzów (Poľsko) : Muzeum "Górnośląski Park Etnograficzny w Chorzowie", 2019. – ISSN 2353-2734, s. 67-78 [tlačená forma] [online] </t>
  </si>
  <si>
    <t xml:space="preserve">Relación entre los campos semánticos de la juventud y de lo moderno desde el punto de vista diacrónico: formas y significados / Štúr, Martin [Autor, UKFFFAKRO, 100%]. – text. – [angličtina]. – [OV 010]. – [príspevok] In: Język. Tożsamość. Wychowanie 3 [textový dokument (print)] / [bez zostavovateľa] [Zostavovateľ, editor] ; Kida, Ireneusz [Recenzent] ; Pietrzykowska, Justyna [Recenzent]. – 1. vyd. – Bielsko-Biała (Poľsko) : Wydawnictwo naukowe Akademii techniczno-humanistycznej w Bielsku-Białej, 2020. – ISBN 978-83-66249-67-7, s. 127-138 [tlačená forma] </t>
  </si>
  <si>
    <t xml:space="preserve">Religious and Ethical Neutrality of the State / Korený, Peter [Autor, UKFFFAKAE 06.2022, 100%]. – text. – [angličtina]. – [OV 020]. – [príspevok] In: Disputes on the Religious and Ethical Neutrality of the State [textový dokument (print)] / [bez zostavovateľa] [Zostavovateľ, editor] ; Probucka, Dorota [Recenzent] ; Valčo, Michal [Recenzent]. – 1. vyd. – Boskovice (Česko) : Nakladatelství František Šalé - Albert, 2019. – ISBN 978-80-7326-309-6, s. 27-54 [tlačená forma] </t>
  </si>
  <si>
    <t xml:space="preserve">Research on Visual Arts Education in Eastern and Central Europe - Comments on MONAES Findings / Kárpáti, Andrea [Autor, UKFFSSUVP, 100%]. – [angličtina]. – [OV 010]. – [príspevok]. – [recenzované] In: International Yearbook for Research in Arts Education [textový dokument (print)] : Arts Education around the World: Comparative Research Seven Years after the Seoul Agenda / Ijdens, Teunis [Zostavovateľ, editor]. – 1. vyd. – Roč. 5. – Münster (Nemecko) : Waxmann Verlag, 2018. – ISBN 978-3-8309-3797-5, s. 341-348 [tlačená forma] </t>
  </si>
  <si>
    <t xml:space="preserve">Revision and Self-Censorship in the Poetry Collection Sonety Pre Tvoju Samotu (Sonnets For Your Solitude) by Vojtech Mihálik / Navrátil, Martin [Autor, UKFFFASJL, 100%]. – text. – [angličtina]. – [OV 020]. – [kapitola]. – [recenzované]. – SCO In: A Reflection of Man and Culture in Language and Literature (13), (Studies in Linguistics, Anglophone Literatures and Cultures) [textový dokument (print)] / Matiová, Mária [Zostavovateľ, editor] ; Navrátil, Martin [Zostavovateľ, editor]. – 1. vyd. – Berlin (Nemecko) : Peter Lang, 2019. – ISBN 978-3-631-74550-2, s. 257-278 [tlačená forma] </t>
  </si>
  <si>
    <t xml:space="preserve">Rhetorik / Žilka, Tibor [Autor, UKFFSSUSJ, 100%] ; Mikuláš, Roman [Prekladateľ, UKOPDNJL, 100%]. – text. – [nemčina]. – [OV 020]. – [kapitola] In: Literaturwissenschaft in internationaler Perspektive [textový dokument (print)] / Mikuláš, Roman [Autor] ; Kravets, Jessica [Recenzent]. – 1. vyd. – Nümbrecht (Nemecko) : Kirsch-Verlag, 2019. – ISBN 978-3-943906-35-6, s. 27-46 [tlačená forma] </t>
  </si>
  <si>
    <t xml:space="preserve">Rodzina we współczesnej Polsce / Swiatkiewicz, Wojciech  Krzysztof [Autor, UKFFFAKSO, 100%] ; Landwójtowicz, Paweł [Recenzent] ; Pryba, Andrzej [Recenzent]. – text. – [poľština]. – [OV 060]. – [príspevok] In: Rodzina w społeczeństwie - relacje i wyzwania [textový dokument (print)] / Osewska, Elźbieta [Zostavovateľ, editor] ; Stala, Józef [Zostavovateľ, editor]. – 1. vyd. – Kraków (Poľsko) : Uniwersytet Papieski Jana Pawła II w Krakowie. Wydawnictwo Naukowe Uniwersytetu Papieskiego Jana Pawła II., 2019. – ISBN 978-83-7438-816-0, s. 15-33 [tlačená forma] </t>
  </si>
  <si>
    <t xml:space="preserve">Rola i oddziaływanie współczesnych technologii w zagrożeniu młodzieży szkolnej cyberprzestępczością / Malodobry, Zbigniew [Autor, 40%] ; Bánesz, Gabriel [Autor, UKFPFAKTT, 20%] ; Piekarz, Ewelina [Autor, 40%]. – text. – [poľština]. – [OV 010]. – [príspevok] In: Bezpieczeństwo. Prawa człowieka. Stosunki międzynarodowe (3) [textový dokument (print)] : Tom 3 / Źarna, Krzysztof [Zostavovateľ, editor]. – 1. vyd. – Rzeszów (Poľsko) : Uniwersytet Rzeszowski. Wydawnictwo Uniwersytetu Rzeszowskiego, 2021. – ISBN 978-83-7996-893-0, s. 229-233 [tlačená forma] </t>
  </si>
  <si>
    <t xml:space="preserve">Roman Polák - iný dramatik / Inštitorisová, Dagmar [Autor, UKFFFAKMR, 100%]. – [slovenčina]. – [OV 020]. – [príspevok] In: Výzvy současnosti [textový dokument (print)] : nová témata české a slovenské literatury (2000 - 2017) / Pospíšil, Ivo [Zostavovateľ, editor] ; Paučová, Lenka [Recenzent] ; Maiello, Guiseppe [Recenzent]. – 1. vyd. – Brno (Česko) : Sojnek Jan - Galium, 2019. – ISBN 978-80-88296-05-8, s. 33-40 [tlačená forma] </t>
  </si>
  <si>
    <t xml:space="preserve">Searching for the Identity of the Protagonist Blanka in the Works of Ivana Dobrakovová / Popovicsová, Jana [Autor, UKFFFASJL, 100%]. – text. – [angličtina]. – [OV 020]. – [kapitola]. – [recenzované]. – SCO In: Reflexions about a Cultural and Social Phenomenon: Identity [textový dokument (print)] [elektronický dokument] / Popovicsová, Jana [Zostavovateľ, editor]. – 1. vyd. – Berlín (Nemecko ) : Peter Lang, 2020. – (Studies in politics, security and society ; 36). – ISBN 978-3-631-83187-8. – ISBN 978-3-631-84244-7. – ISBN (online) 978-3-631-84242-3. – ISBN (online) 978-3-631-84243-0. – ISSN 2199-028X, s. 105-122 [tlačená forma] [online] </t>
  </si>
  <si>
    <t xml:space="preserve">Security as a National Interest after EU Accession / Brhlíková, Radoslava [Autor, UKFFFAKPO, 100%]. – text. – [angličtina]. – [OV 060]. – [príspevok] In: Seeking the National Interest [textový dokument (print)] : Slovakia after 15 Years of EU and NATO Accession / Brhlíková, Radoslava [Zostavovateľ, editor] ; Mokrá, Lucia [Recenzent] ; Ivančík, Radoslav [Recenzent]. – 1. vyd. – Stuttgart (Nemecko) : ibidem-Verlag, 2020. – ISBN 978-3-8382-1417-7, s. 45-68 [tlačená forma] </t>
  </si>
  <si>
    <t xml:space="preserve">Semiotik und Literaturwissenschaft / Benyovszky, Kristian [Autor, UKFFSSUML, 100%] ; Mikuláš, Roman [Prekladateľ, UKOPDNJL, 100%]. – text. – [nemčina]. – [OV 020]. – [kapitola] In: Literaturwissenschaft in internationaler Perspektive [textový dokument (print)] / Mikuláš, Roman [Autor] ; Kravets, Jessica [Recenzent]. – 1. vyd. – Nümbrecht (Nemecko) : Kirsch-Verlag, 2019. – ISBN 978-3-943906-35-6, s. 268-296 [tlačená forma] </t>
  </si>
  <si>
    <t xml:space="preserve">Slovak National Interrest and the Hungarian Minority in the Post-Integration Period / Szentandrási, Tibor [Autor, UKFFFAKPO, 100%]. – text. – [angličtina]. – [OV 060]. – [príspevok] In: Seeking the National Interest [textový dokument (print)] : Slovakia after 15 Years of EU and NATO Accession / Brhlíková, Radoslava [Zostavovateľ, editor] ; Mokrá, Lucia [Recenzent] ; Ivančík, Radoslav [Recenzent]. – 1. vyd. – Stuttgart (Nemecko) : ibidem-Verlag, 2020. – ISBN 978-3-8382-1417-7, s. 141-154 [tlačená forma] </t>
  </si>
  <si>
    <t xml:space="preserve">Slovakia : Commercial TV stations and digital-born news portals remain the dominant news sources for Slovaks / Chlebcová Hečková, Andrea [Autor, UKFFFAKZU, 50%] ; Smith, Simon [Autor, 50%]. – text. – [angličtina]. – [OV 060]. – [príspevok] In: Digital News Report 2021 [elektronický dokument] : Reuters Institute for Study of Journalism / Newman, Nick [Zostavovateľ, editor] ; Fletcher, Richard [Zostavovateľ, editor]. – 1. vyd. – Roč. 10. – Oxford (Veľká Británia) : Reuters Institute for the Study of Journalism, 2021. – ISBN 978-1-907384-90-5, s. 100-101 [online] </t>
  </si>
  <si>
    <t xml:space="preserve">Snahy o reformu štúrovského pravopisu. Dielo A. Radlinského / Klabníková, Ivana [Autor, UKFFFASJL, 100%]. – text. – [slovenčina]. – [OV 020]. – [príspevok] In: Filologické štúdie [textový dokument (print)] / Vajičková, Mária [Zostavovateľ, editor] ; Bojničanová, Renáta [Zostavovateľ, editor] ; Tomášková, Simona [Zostavovateľ, editor] ; Kačala, Ján [Recenzent] ; Žeňuch, Peter [Recenzent]. – 1. vyd. – č. 5. – Nümbrecht (Nemecko) : Kirsch-Verlag, 2019. – (Acta Facultatis Paedagogicae Universitatis Comenianae Bratislavensis : Acta Doctorandorum Facultatis Facultatis Paedagogicae Universitatis Comenianae Bratislavensis.). – ISBN 978-3-943906-52-3, s. 55-62 [tlačená forma] </t>
  </si>
  <si>
    <t xml:space="preserve">Sobre la traducción de la Divina Comedia en Eslovaquia / Šavelová, Monika [Autor, UKFFFAKRO, 100%]. – text. – [španielčina]. – [OV 020]. – [príspevok] In: Las fronteras de la traducción [textový dokument (print)] : las prácticas traductivas como cuestión sociocultural / Lampis, Mirko [Zostavovateľ, editor] ; González de Ávila, Manuel [Recenzent] ; Linares Alés, Francisco [Recenzent]. – 1. vyd. – Sevilla (Španielsko) : Alfar, 2019. – ISBN 978-84-7898-824-2, s. 117-136 [tlačená forma] </t>
  </si>
  <si>
    <t xml:space="preserve">Social Management as a Current Challenge for Management and Sustainability of Efficiency in Social Services / Lehoczká, Lýdia [Autor, UKFFSVURS, 100%]. – text. – [angličtina]. – [OV 060]. – [príspevok]. – [recenzované]. – DOI 10.24297/jssr.v15i.8679 In: Journal of Social Science  Research [elektronický dokument] / [bez zostavovateľa] [Zostavovateľ, editor]. – 1. vyd. – Roč. 8, č. 1. – Punjab (India) : Khalsa Publications, 2020. – ISSN (online) 2321-1091, s. 110-114 [online] </t>
  </si>
  <si>
    <t xml:space="preserve">Social pedagogue and Roma pupil in the Slovak school system / Selická, Denisa [Autor, UKFFFAKSO, 100%] ; Vančová, Alica [Recenzent] ; Kusin, Vasiľ [Recenzent]. – [angličtina]. – [OV 060]. – [príspevok] In: Die wirtschaftliche Entwicklung europäischer Regionen in der Ausbildungs- und Arbeitsmarktpolitik [textový dokument (print)] : Übergänge und Strategien 5 / Holonič, Ján [Zostavovateľ, editor]. – 1. vyd. – Uzhorod (Ukrajina) : TOV "RiK - U", 2018. – ISBN 978-617-7404-93-3, s. 223-232 [tlačená forma] </t>
  </si>
  <si>
    <t xml:space="preserve">Sociální psychologie předsudků / Turzáková, Jana [Autor, UKFFSVUAP, 100%]. – text. – [čeština]. – [OV 060]. – [príspevok] In: Sociální psychologie [textový dokument (print)] : teorie, metody, aplikace / Výrost, Jozef [Zostavovateľ, editor] ; Slaměník, Ivan [Zostavovateľ, editor] ; Sollárová, Eva [Zostavovateľ, editor] ; Letovancová, Eva [Recenzent] ; Poláčková Šolcová, Iva [Recenzent]. – 1. vyd. – Praha (Česko) : Grada Publishing, 2019. – (Psyché). – ISBN 978-80-247-5775-9, s. 657-667 [tlačená forma] </t>
  </si>
  <si>
    <t xml:space="preserve">Sociální psychologie zdraví a nemoci / Sollárová, Eva [Autor, UMBPF08, 50%] ; Turzáková, Jana [Autor, UKFFSVUAP, 50%]. – text. – [čeština]. – [OV 060]. – [príspevok] In: Sociální psychologie [textový dokument (print)] : teorie, metody, aplikace / Výrost, Jozef [Zostavovateľ, editor] ; Slaměník, Ivan [Zostavovateľ, editor] ; Sollárová, Eva [Zostavovateľ, editor] ; Letovancová, Eva [Recenzent] ; Poláčková Šolcová, Iva [Recenzent]. – 1. vyd. – Praha (Česko) : Grada Publishing, 2019. – (Psyché). – ISBN 978-80-247-5775-9, s. 600-611 [tlačená forma] </t>
  </si>
  <si>
    <t xml:space="preserve">Sociocultural factors in communication in French language teaching: Readings of E.T Hall and G. Hofstede = Facteurs socioculturels dans la communication pour l’enseignement de la langue française: Relectures de E.T Hall et G. Hofstede / Ciprianová, Elena [Autor, UKFFFAKAA, 50%] ; Bírová, Jana [Autor, UCMFIFKPED, 50%]. – [angličtina]. – [OV 010]. – [príspevok]. – [recenzované]. – SCO In: Synergies Europe [elektronický dokument] [textový dokument (print)] / [bez zostavovateľa] [Zostavovateľ, editor]. – 1. vyd. – č. 14. – Sylvains-les-Moulins (Francúzsko) : Gerflint, 2019. – ISSN 1951-6088. – ISSN (online) 2260-653X, s. 121-133 [tlačená forma] [online] </t>
  </si>
  <si>
    <t xml:space="preserve">Socio-Cultural Impacts of the Pandemic on Tourism / Caner, Çalışkan [Autor, 35%] ; Yeşilyurt, Hülya [Autor, 35%] ; Michalík, Boris [Autor, UKFFFAKMK, 30%]. – text. – [angličtina]. – [OV 020]. – [príspevok]. – DOI 10.4018/978-1-7998-8231-2.ch022 In: Handbook of Research on the Impacts and Implications of COVID-19 on the Tourism Industry [elektronický dokument] / Demir, Mahmut [Zostavovateľ, editor] ; Dalgıç, Ali [Zostavovateľ, editor] ; Doğanay Ergen, Fatma [Zostavovateľ, editor]. – 1. vyd. – Hershey (USA) : IGI Global, 2021. – (Advances in hospitality, tourism, and the services industry, ISSN 2475-6547, ISSN 2475-6555). – ISBN 978-1-7998-8231-2, s. 461-477 [online] </t>
  </si>
  <si>
    <t xml:space="preserve">Sociological perspective of unmarried cohabitations / Štrbová, Monika [Autor, UKFFFAKSO, 100%]. – text. – [angličtina]. – [OV 060]. – [príspevok] In: Family in Today‘s society [textový dokument (print)] / Horváth, Peter [Zostavovateľ, editor] ; Swadżba, Urszula [Recenzent] ; Haburajová Ilavská, Lenka [Recenzent]. – 1. vyd. – Katowice (Poľsko) : Studio - NOA, 2019. – ISBN 978-83-66055-07-0, s. 51-84 [tlačená forma] </t>
  </si>
  <si>
    <t xml:space="preserve">Solución: Como la palabra de Kierkegaard se hizo carne / Mitterpach, Klement [Autor, UKFFFAKFI, 100%] ; Binetti, Maria Jose [Recenzent]. – text. – [španielčina]. – [OV 020]. – [príspevok] In: Kierkegaard’s legacy, Mass‐media and Journalism [textový dokument (print)] / Štúr, Martin [Zostavovateľ, editor] ; Králik, Roman [Zostavovateľ, editor]. – 1. vyd. – Toronto (Kanada) : Kierkegaard Circle, 2018. – ISBN 978-1-988129-01-3, s. 60-84 [tlačená forma] </t>
  </si>
  <si>
    <t xml:space="preserve">Some Thoughts on the Greek Milieu in Rome in Relation to the Cyrillo-Methodian Mission / Husár, Martin [Autor, UKFFFAUKD, 100%]. – text. – [angličtina]. – [OV 030]. – [príspevok] In: Pontica [textový dokument (print)] : Anuar al Muzeului de Istorie Naţionalăşi Arheologie Constanţa / [bez zostavovateľa] [Zostavovateľ, editor]. – 1. vyd. – Roč. 51. – Constanţa (Rumunsko) : Muzeul de Istorie Naţionalăşi Arheologie, 2018. – ISBN 973-7951-29-8. – ISSN 1013-4247. – ISSN (online) 2247-9341, s. 91-112 </t>
  </si>
  <si>
    <t xml:space="preserve">Sonic Photography as a Trace of Kairos : Personal Margin Notes / Fuják, Július [Autor, UKFFFAKKU, 100%] ; Klusák, Pavel [Recenzent] ; Hlaváčová, Jitka [Recenzent]. – text. – [angličtina]. – [OV 020]. – [príspevok] In: Sound and Environment. [textový dokument (print)] : Contemporary Approaches to Sonic Ecology in Art / Krtička, Jan [Zostavovateľ, editor] ; Mrkus, Pavel [Zostavovateľ, editor]. – 1. vyd. – Ústí nad Labem (Česko) : Univerzita Jana Evangelisty Purkyně v Ústí nad Labem, 2020. – ISBN 978-80-7561-268-7, s. 144-156 </t>
  </si>
  <si>
    <t xml:space="preserve">Specifika metod sociální psychologie / Urbánek, Tomáš [Autor, UKFFSVUAP, 100%]. – text. – [čeština]. – [OV 060]. – [príspevok] In: Sociální psychologie [textový dokument (print)] : teorie, metody, aplikace / Výrost, Jozef [Zostavovateľ, editor] ; Slaměník, Ivan [Zostavovateľ, editor] ; Sollárová, Eva [Zostavovateľ, editor] ; Letovancová, Eva [Recenzent] ; Poláčková Šolcová, Iva [Recenzent]. – 1. vyd. – Praha (Česko) : Grada Publishing, 2019. – (Psyché). – ISBN 978-80-247-5775-9, s. 286-296 [tlačená forma] </t>
  </si>
  <si>
    <t xml:space="preserve">Specifika sintaksičeskich jazykovych sredstv tekstov SMI = Specific Syntactical Linguistic Means of Journalistic Texts / Gallo, Ján [Autor, UKFFFAKRU, 100%]. – text. – [ruština]. – [OV 010]. – [príspevok]. – [recenzované] In: Philologia Rossica (3) [textový dokument (print)] [elektronický dokument] : časopis pro ruskou filologii a výuku ruského jazyka / [bez zostavovateľa] [Zostavovateľ, editor]. – 1. vyd. – Hradec Králové (Česko) : Univerzita Hradec Králové, 2019. – ISSN 2694-8826, s. 19-34 [tlačená forma] [online] </t>
  </si>
  <si>
    <t xml:space="preserve">Speculative Things : Ontological Realism in Speculative Fiction / Mitterpach, Klement [Autor, UKFFFAKFI, 100%]. – text. – [angličtina]. – [OV 020]. – [príspevok] In: Studies in foreign language education [textový dokument (print)] / Husárová, Zuzana [Zostavovateľ, editor] ; Vajičková, Mária [Zostavovateľ, editor] ; Šipošová, Martina [Recenzent] ; Vietorová, Nina [Recenzent] ; Charfaoui, Emília [Recenzent]. – 1. vyd. – Roč. 13. – Nümbrecht (Nemecko) : Kirsch-Verlag, 2021. – ISBN 978-3-943906-61-5. – SIGN-UKO PD AJ,NJ/21, s. 162-193 [tlačená forma] </t>
  </si>
  <si>
    <t xml:space="preserve">Sprachmittlerausbildung für ein vereintes Europa - Anforderungen und Perspektiven im 21. Jahrhundert / Wrede, Oľga [Autor, UKFFFAKGE, 50%] ; Štefčík, Jozef [Autor, EUBFAJKJT, 50%] ; Žigon, Tanja [Recenzent] ; Hansen, Gyde [Recenzent]. – text. – [nemčina]. – [OV 020]. – [príspevok] In: Transkulturalität im mehrsprachigen Dialog [textový dokument (print)] / Kučiš, Vlasta [Zostavovateľ, editor]. – 1. vyd. – Hamburg (Nemecko) : Verlag Dr. Kovač, 2018. – (Translatologie : Studien zur Übersetzungswissenschaft, ISSN 1869-5655 ; 17). – ISBN 978-3-8300-9837-9, s. 223-243 [tlačená forma] </t>
  </si>
  <si>
    <t xml:space="preserve">Standardní rámec zhodnocení zdraví ženy v postkoncepčním období / Andraščíková, Štefánia [Autor, 50%] ; Archalousová, Alexandra [Autor, UKFFSVKOS, 50%] ; Botíková, Andrea [Recenzent] ; Eliašová, Anna [Recenzent]. – text. – [slovenčina]. – [OV 180]. – [príspevok] In: Ošetřovatelství v domácí péči - právní, etický, legislativní průrez metodologií ošetřovatelské praxe [textový dokument (print)] / Archalousová, Alexandra [Zostavovateľ, editor]. – 1. vyd. – Hradec Králové (Česko) : Pracoviště ošetřovatelské péče, 2018. – ISBN 978-80-906319-3-9, s. 6-13 [tlačená forma] </t>
  </si>
  <si>
    <t xml:space="preserve">Stárnutí jako dědičná nemoc? / Brdička, Radim [Autor, 50%] ; Omelka, Radoslav [Autor, UKFFPVKBG, 50%] ; Petrášek, Ján [Recenzent]. – text. – [čeština]. – [OV 130]. – [kapitola] In: Genetika v klinické praxi 5 [textový dokument (print)] / Brdička, Radim [Autor] ; Didden, William [Autor]. – 1. vyd. – Praha (Česko) : Galén, 2018. – ISBN 978-80-7492-331-9, s. 147-157 [tlačená forma] </t>
  </si>
  <si>
    <t xml:space="preserve">Strategy versus reality in technology education at basic schools in Slovakia / Hašková, Alena [Autor, UKFPFAKTT, 50%] ; Manduľáková, Silvia [Autor, 50%]. – text. – [angličtina]. – [OV 010]. – [príspevok]. – [recenzované]. – SCO In: Science and technology education [textový dokument (print)] : perspectives, opportunities and challenges / Pabst, Steffen [Zostavovateľ, editor]. – 1. vyd. – New York (USA) : NOVA Science Publishers, 2018. – ISBN 978-1-53613-718-7, s. 63-98 </t>
  </si>
  <si>
    <t xml:space="preserve">Stratification of the believers in the postmodern society / Ďurková, Eva [Autor, UKFFFAKAE 06.2022, 50%] ; Kondrla, Peter [Autor, UKFFFAKNS, 50%]. – text. – [angličtina]. – [OV 060]. – [príspevok] In: Family in Today‘s society [textový dokument (print)] / Horváth, Peter [Zostavovateľ, editor] ; Swadżba, Urszula [Recenzent] ; Haburajová Ilavská, Lenka [Recenzent]. – 1. vyd. – Katowice (Poľsko) : Studio - NOA, 2019. – ISBN 978-83-66055-07-0, s. 7-31 [tlačená forma] </t>
  </si>
  <si>
    <t xml:space="preserve">Students' reading interests and teaching practice : a few remarks on teaching literature at the undergraduate level / Hricková, Mária [Autor, UKFFFAKAA, 50%] ; Klimková, Simona [Autor, UKFFFAKAA, 50%]. – text. – [angličtina]. – [OV 020, 010]. – [príspevok] In: Radomskie Studia Filologiczne [textový dokument (print)] / Stachurska, Anna [Zostavovateľ, editor] ; Buda, Agata [Zostavovateľ, editor]. – 1. vyd. – Roč. 8, č. 1. – Radom (Poľsko) : Uniwersytet Technologiczno-Humanistyczny im. Kazimierza Pułaskiego w Radomiu, 2019. – ISSN 2299-1131. – TUTPFKAJ signatúra E087480, s. 77-95 [tlačená forma] </t>
  </si>
  <si>
    <t xml:space="preserve">Supportive education for children with alcohol-dependent parents / Juhásová, Andrea [Autor, UKFPFAKAP, 50%] ; Balážiová, Petra [Autor, 50%]. – text. – [srbčina]. – [OV 010]. – [príspevok]. – [recenzované]. – DOI 10.18421/SAR11-02 In: Zbornik radova Učiteljskog fakulteta [textový dokument (print)] [elektronický dokument] / Marinković, Snežana [Zostavovateľ, editor]. – 1. vyd. – Roč. 23. – Užice (Srbsko) : Pedagoški fakultet, 2021. – ISSN 2560-550X. – ISSN (online) 2683-5649, s. 27-42 [tlačená forma] [online] </t>
  </si>
  <si>
    <t xml:space="preserve">Sustainable Tourism Development in Times of the COVID-19 Pandemic : Case Study of Slovakia / Bieliková, Hana [Autor, UKFFSSKCR, 50%] ; Palenčíková, Zuzana [Autor, UKFFSSKCR, 50%]. – text. – [angličtina]. – [OV 080]. – [príspevok]. – DOI 10.4018/978-1-7998-8231-2.ch022. – SCO In: Handbook of Research on the Impacts and Implications of COVID-19 on the Tourism Industry [elektronický dokument] / Demir, Mahmut [Zostavovateľ, editor] ; Dalgıç, Ali [Zostavovateľ, editor] ; Doğanay Ergen, Fatma [Zostavovateľ, editor]. – 1. vyd. – Hershey (USA) : IGI Global, 2021. – (Advances in hospitality, tourism, and the services industry, ISSN 2475-6547, ISSN 2475-6555). – ISBN 978-1-7998-8231-2, s. 823-842 [online] </t>
  </si>
  <si>
    <t xml:space="preserve">Synthesis of Ecosystem Services Assessment in Slovakia / Mederly, Peter [Korešpondenčný autor, UKFFPVKEE, 20%] ; Černecký, Ján [Autor, UKFFPVKEE, 16%] ; Špulerová, Jana [Autor, 16%] ; Izakovičová, Zita [Autor, 16%] ; Petrovič, František [Autor, UKFFPVKEE, 16%] ; Ďuricová, Viktória [Autor, UMBFP09, 16%]. – text. – [angličtina]. – [OV 100, 190]. – [príspevok]. – DOI 10.1007/978-3-030-46508-7_6 In: A Catalogue of Ecosystem Services in Slovakia [textový dokument (print)] [elektronický dokument] : Benefits to Society / Mederly, Peter [Zostavovateľ, editor] ; Černecký, Ján [Zostavovateľ, editor]. – 1. vyd. – Cham (Švajčiarsko) : Springer Verlag, 2020. – ISBN 978-3-030-46507-0. – ISBN (online) 978-3-030-46508-7, s. 219-241 [tlačená forma] </t>
  </si>
  <si>
    <t xml:space="preserve">Szlovákiai egyetemi hallgatónők szubjektív és objektív egészségi állapotának kapcsolata / Zsoffay, Klára [Autor, 10%] ; Dancs, Gábor [Autor, 10%] ; Venyingi, Beáta [Autor, 10%] ; Mészárosné Darvay, Sarolta Zsuzsanna [Autor, UJSPFKBIO, 10%] ; Nagy, Melinda [Autor, UJSPFKBIO, 10%] ; Balla, Štefan [Autor, UKFFSSUVP, 25%] ; Matejovičová, Barbora [Autor, UKFFPVKZA, 15%] ; Vitályos, Gábor Áron [Autor, 10%]. – [maďarčina]. – [OV 010, 130]. – [príspevok]. – DOI 10.20330/Anthrop.Kozl.2021.62.57 In: Anthropológiai Közlemények [elektronický dokument] : A Magyar Biológiai Társáság Embertani Szakosztályának folyóirata / Zsákai, Annamária [Zostavovateľ, editor]. – 1. vyd. – Roč. 62. – Budapest (Maďarsko) : Magyar Biológiai Társaság, 2021. – ISSN 0003-5440. – ISSN (online) 2560-0753, s. 57-68 [online] </t>
  </si>
  <si>
    <t xml:space="preserve">Škůdci církevního majetku a klerických osob podle bratislavských legátských statut Gentila z roku 1309 / Krafl, Pavel Otmar [Autor, UKFFFAKHI, 100%]. – text. – [čeština]. – [OV 030]. – [príspevok] In: Pocta Jiřímu Rajmundu Treterovi [textový dokument (print)] / Horák, Záboj [Zostavovateľ, editor] ; Skřejpková, Petra [Zostavovateľ, editor] ; Kašný, Jiří [Recenzent] ; Vladár, Vojtech [Recenzent]. – 1. vyd. – Praha (Česko) : Nakladatelství Leges, 2020. – ISBN 978-80-7502-439-8, s. 235-238 [tlačená forma] </t>
  </si>
  <si>
    <t xml:space="preserve">Špecifiká edukácie žiaka so špeciálnymi výchovno-vzdelávacími potrebami na strednej škole = Specific Education of Pupils with Special Educational Needs at Secondary Schools / Bilčík, Alexander [Autor, KDOP, 50%] ; Balážová, Jana [Autor, UKFPFAKPE, 50%]. – [slovenčina]. – [OV 010]. – [príspevok] In: Pohledy na středoškolského učitele odborných předmětů [elektronický dokument] : kolektivní monografie / Pavera, Libor [Zostavovateľ, editor] ; Krpálková Krelová, Katarína [Zostavovateľ, editor] ; Novák, Jaromír [Zostavovateľ, editor] ; Gadušová, Zdenka [Recenzent] ; Král, Bohumil [Recenzent] ; Šlosár, Rudolf [Recenzent]. – 1. vyd. – Praha (Česko) : Vysoká škola ekonomická v Praze, 2020. – ISBN 978-80-87570-48-7, s. 9-19 [online] </t>
  </si>
  <si>
    <t xml:space="preserve">Štátna ideológia verzus národné ambície. Návrhy ministra Ivana Dérera z roku 1938 na riešenie slovenskej otázky / Arpáš, Róbert [Autor, UKFFFAKHI, 100%] ; Galandauer, Jan [Recenzent] ; Kahuda, Jan [Recenzent]. – text. – [slovenčina]. – [OV 030]. – [príspevok]. – DOI 10.17265/2328-2185/2019.01.008 In: Úředník sluhou dvou pánů? [textový dokument (print)] : nacionalizace a politizace veřejné správy ve střední Evropě 1848-1948 / Klečanský, Martin [Zostavovateľ, editor]. – 1. vyd. – Praha (Česko) : CEVRO Institut, 2018. – ISBN 978-80-87782-50-7, s. 205-216 [1,12 AH] </t>
  </si>
  <si>
    <t xml:space="preserve">Štićenik sudbine kao arhetipski narativni algoritam / Čechová, Mariana [Autor, UKFFFAULK, 100%]. – text. – [srbské jazyky]. – [OV 020]. – [príspevok]. – [recenzované] In: Modeli i diskursi nauke o književnosti [textový dokument (print)] : izbor iz novije slovačke nauke o književnosti / Harpáň, Michal [Zostavovateľ, editor]. – 1. vyd. – Belehrad (Srbsko) : Službeni glasnik, 2018. – (Osnova. Kniževna teorija). – ISBN 978-86-519-2160-8, s. 483-493 [tlačená forma] </t>
  </si>
  <si>
    <t xml:space="preserve">Teaching Foreign Languages in Slovakia / Kráľová, Zdena [Autor, UKFPFAKLI, 50%] ; Malá, Eva [Autor, UKFPFAKLI, 50%]. – text. – [angličtina]. – [OV 010]. – [príspevok] In: Foreign Language Anxiety [textový dokument (print)] : Post-Communist Country Context / Kráľová, Zdena [Zostavovateľ, editor] ; Kamenická, Jana [Zostavovateľ, editor] ; Škorvagová, Eva [Recenzent] ; Zelina, Miron [Recenzent]. – 2. rozš. vyd. – Praha (Česko) : Verbum, 2019. – ISBN 978-80-87800-50-8, s. 105-120 [tlačená forma] </t>
  </si>
  <si>
    <t xml:space="preserve">Teaching reading comprehension in a creative way / Chválová, Katarína [Autor, UKFFFAKRO, 50%] ; Stranovská, Eva [Autor, UKFFFAKGE, 50%] ; Desblache, Lucile [Recenzent] ; Nykiel-Herbert, Barbara [Recenzent]. – text. – [angličtina]. – [OV 010]. – [príspevok]. – DOI 10.1007/978-3-030-04978-2. – SCO In: Contacts and Contrasts in Educational Contexts and Translation [textový dokument (print)] / Lewandowska-Tomaszczyk, Barbara [Zostavovateľ, editor]. – 1. vyd. – Cham (Švajčiarsko) : Springer Verlag, 2019. – ISBN 978-3-030-04977-5, s. 85-103 [tlačená forma] </t>
  </si>
  <si>
    <t xml:space="preserve">Technologie cyfrowe wspomagające komunikację organizacji / Bedrowska, Agata [Autor, 50%] ; Mikuláš, Peter [Autor, UKFFFAKMR, 50%]. – text. – [poľština]. – [OV 060]. – [príspevok] In: Cyfrowa komunikacja organizacji [textový dokument (print)] / Filipczyk, Barbara [Zostavovateľ, editor] ; Goluchowski, Jerzy [Zostavovateľ, editor] ; Kępa-Figura, Danuta [Recenzent]. – 1. vyd. – Katowice (Poľsko) : Uniwersytet Ekonomiczny w Katowicach. Wydawnictwo Uniwersytetu Ekonomicznego w Katowicach, 2020. – ISBN 978-83-7875-612-5. – ISBN (online) 978-83-7875-613-2, s. 126-144 </t>
  </si>
  <si>
    <t xml:space="preserve">Téma diktatúry v diele Isabel Allendeovej v kontexte čilskej exilovej literatúry / Brezováková, Monika [Autor, UKFFFAKRO, 100%]. – text. – [slovenčina]. – [OV 020]. – [príspevok] In: Filologické štúdie [textový dokument (print)] / Vajičková, Mária [Zostavovateľ, editor] ; Bojničanová, Renáta [Zostavovateľ, editor] ; Tomášková, Simona [Zostavovateľ, editor] ; Kačala, Ján [Recenzent] ; Žeňuch, Peter [Recenzent]. – 1. vyd. – č. 5. – Nümbrecht (Nemecko) : Kirsch-Verlag, 2019. – (Acta Facultatis Paedagogicae Universitatis Comenianae Bratislavensis : Acta Doctorandorum Facultatis Facultatis Paedagogicae Universitatis Comenianae Bratislavensis.). – ISBN 978-3-943906-52-3, s. 222-233 [tlačená forma] </t>
  </si>
  <si>
    <t xml:space="preserve">Tematizácia prekonávania bariér v spoločenskej próze pre detského čitateľa / Hrašková, Mariana [Autor, UKFFFASJL, 100%]. – text. – [slovenčina]. – [OV 020]. – [príspevok] In: Výzvy současnosti [textový dokument (print)] : nová témata české a slovenské literatury (2000 - 2017) / Pospíšil, Ivo [Zostavovateľ, editor] ; Paučová, Lenka [Recenzent] ; Maiello, Guiseppe [Recenzent]. – 1. vyd. – Brno (Česko) : Sojnek Jan - Galium, 2019. – ISBN 978-80-88296-05-8, s. 25-32 [tlačená forma] </t>
  </si>
  <si>
    <t xml:space="preserve">Terminologiearbeit in der Übersetzerausbildung - aktueller Stand, Erfahrungen und Perspektiven / Wrede, Oľga [Autor, UKFFFAKGE, 100%] ; Gruntar Jermol, Ada [Recenzent] ; Andel, Maja [Recenzent]. – [nemčina]. – [OV 020]. – [príspevok] In: Translation, Transkulturalität und Mehrsprachigkeit [textový dokument (print)] / Kučiš, Vlasta [Zostavovateľ, editor] ; Begonja, Helga [Zostavovateľ, editor]. – 1. vyd. – Zadar (Chorvátsko) : Sveučilište u Zadru, 2018. – ISBN 978-953-331-191-3, s. 151-166 [tlačená forma] </t>
  </si>
  <si>
    <t xml:space="preserve">Terminologiearbeit in Theorie und Praxis und ihre Resonanz in der universitären Übersetzerausbildung / Wrede, Oľga [Autor, UKFFFAKGE, 100%] ; Czachur, Waldemar [Recenzent] ; Makowski, Jacek [Recenzent]. – [nemčina]. – [OV 020]. – [príspevok] In: Speclang 2 [textový dokument (print)] : Fachsprachen - Ausbildung - Karrierechancen / Grzeszczakowska-Pawlikowska, Beata [Zostavovateľ, editor]. – 1. vyd. – Łódź (Poľsko) : Primum Verbum, 2018. – ISBN 978-83-8142-389-2, s. 145-154 </t>
  </si>
  <si>
    <t xml:space="preserve">Testimony of single items deposited in the archive of the Gemer Seniorate in the town of Revúca on testimony of that Seniorate in 1681-1792 / Jakubej, Ján [Autor, UKFFFAKHI, 100%]. – text. – [angličtina]. – [OV 030]. – [príspevok]. – SCO In: People, institutions, relations. Slovakia and Hungary from the 11th to the 18th century [textový dokument (print)] / Marci, Ľudovít [Zostavovateľ, editor] ; Selecká Mârza, Eva [Recenzent] ; Chrastina, Peter [Recenzent]. – 1. vyd. – Berlin (Nemecko) : Peter Lang, 2020. – ISBN 978-3-631-77357-4, s. 151-188 [tlačená forma] </t>
  </si>
  <si>
    <t xml:space="preserve">Testing Motor Predispositions and Competences of Primary School Children in the Czech and Slovak Republics / Šimonek, Jaromír [Autor, UKFPFAKTV, 34%] ; Halmová, Nora [Autor, UKFPFAKTV, 33%] ; Vojtíková, Lenka [Autor, 33%]. – text. – [angličtina]. – [OV 210, 010]. – [príspevok] In: New Horizons in Subject-Specific Education [elektronický dokument] : Research Aspects of Subject-Specific Didactics / Lipovec, Alenka [Zostavovateľ, editor] ; Batič, Janja [Zostavovateľ, editor] ; Kranjec, Eva [Zostavovateľ, editor] ; Kordigel Aberšek, Metka [Recenzent] ; Fošnarič, Samo [Recenzent]. – 1. vyd. – Maribor (Slovinsko) : Univerza v Mariboru. Univerzitetna založba Univerze v Mariboru, 2020. – ISBN 978-961-286-358-6, s. 271-290 [online] </t>
  </si>
  <si>
    <t xml:space="preserve">Testo teoria edizione: come cambia la filologia nel contesto digitale / Zaccarello, Michelangelo [Autor, UKFFFAKRO, 50%] ; Moreno, Paola [Autor, 50%]. – text. – [taliančina]. – [OV 020]. – [príspevok] In: Ecdotica [textový dokument (print)] / [bez zostavovateľa] [Zostavovateľ, editor]. – 1. vyd. – Roč. 16. – Roma (Taliansko) : Carocci editore, 2019. – ISSN 1825-5361, s. 186-202 </t>
  </si>
  <si>
    <t xml:space="preserve">The Aesthetic Event and the Act of Interpretation / Žiak, Peter [Autor, UKFFFAKTR, 100%]. – text. – [angličtina]. – [OV 020]. – [kapitola]. – [recenzované]. – SCO In: A Reflection of Man and Culture in Language and Literature (13), (Studies in Linguistics, Anglophone Literatures and Cultures) [textový dokument (print)] / Matiová, Mária [Zostavovateľ, editor] ; Navrátil, Martin [Zostavovateľ, editor]. – 1. vyd. – Berlin (Nemecko) : Peter Lang, 2019. – ISBN 978-3-631-74550-2, s. 297-309 [1,24 AH] [tlačená forma] </t>
  </si>
  <si>
    <t xml:space="preserve">The competences of school leaders and the impact of school reform on their positions / Hašková, Alena [Autor, UKFPFAKTT, 50%] ; Pisoňová, Mária [Autor, UKFPFAKPE, 50%]. – text. – [angličtina]. – [OV 010]. – [príspevok]. – [recenzované] In: Progress in education [textový dokument (print)] / Nata, Roberta V. [Zostavovateľ, editor]. – 1. vyd. – č. 59. – New York (USA) : NOVA Science Publishers, 2019. – ISBN 978-1-53615-368-2. – ISSN 1535-4806, s. 103-140 [tlačená forma] </t>
  </si>
  <si>
    <t xml:space="preserve">The Culinary Geography of Multiculturalism in the Gyimes Region / Dávid, Lóránt Dénes [Autor, UKFFSSKCR, 50%] ; Bulcsu, Remenyik [Autor, 50%] ; Katalin, Csobán [Recenzent] ; Erika, Könyves [Recenzent]. – text. – [angličtina]. – [OV 080]. – [príspevok] In: Gastronomy and Culture [textový dokument (print)] / Csoban, Katalin [Zostavovateľ, editor] ; Könyves, Erika [Zostavovateľ, editor]. – 1. vyd. – Debrecen (Maďarsko) : Debreceni Egyetem, 2021. – ISBN 978-963-473-828-2, s. 56-68 [tlačená forma] </t>
  </si>
  <si>
    <t xml:space="preserve">The development of the choreographic production of folklore ensembles in the Slovak folklore movement from the point of view of period dance estethics in the second half of the 20th century / Hrabovská, Martina [Autor, UKFFFAKEF, 100%]. – text. – [angličtina]. – [OV 020]. – [príspevok]. – [recenzované] In: Variability in Perspectives on  Current Issues in Social Sciences (11) [textový dokument (print)] : Volume 11 / Bešina, Daniel [Zostavovateľ, editor]. – 1. vyd. – Berlin (Nemecko) : Peter Lang, 2019. – ISBN 978-3-631-80282-3, s. 89-108 [tlačená forma] </t>
  </si>
  <si>
    <t xml:space="preserve">The evolution and formation of small settlements in Europe, with an emphasis on the territory of Slovakia / Bešina, Daniel [Autor, UKFFFAKAR, 100%]. – [angličtina]. – [OV 020]. – [príspevok]. – [recenzované] In: Variability in Perspectives on  Current Issues in Social Sciences (11) [textový dokument (print)] : Volume 11 / Bešina, Daniel [Zostavovateľ, editor]. – 1. vyd. – Berlin (Nemecko) : Peter Lang, 2019. – ISBN 978-3-631-80282-3, s. 9-36 [tlačená forma] </t>
  </si>
  <si>
    <t xml:space="preserve">The characteristics of Slovakia Hungarian varietes in local government documents / Presinszky, Károly [Autor, UKFFSSUML, 100%]. – text. – [angličtina]. – [OV 020]. – [príspevok]. – SCO In: Hungarian as a Plucentric Language  in Language and Literature [textový dokument (print)] / Muhr, Rudolf [Zostavovateľ, editor] ; Vančo, Ildikó [Zostavovateľ, editor] ; Kozmács, István [Zostavovateľ, editor] ; Huber, Maté [Zostavovateľ, editor]. – 1. vyd. – č. 22. – Berlín (Nemecko) : Peter Lang, 2020. – ISBN 978-3-631-80975-4. – ISBN (online) 978-36-318-2219-7. – ISSN 1618-5714, s. 127-138 [tlačená forma] </t>
  </si>
  <si>
    <t xml:space="preserve">The Influence of Dionýz Durišin on Lotman's Semiosphere Theory. Semiotics Between Russia and Slovakia / De Luca, Andrea [Autor, UKFFFAKRO, 100%]. – text. – [angličtina]. – [OV 020]. – [kapitola]. – [recenzované]. – SCO In: A Reflection of Man and Culture in Language and Literature (13), (Studies in Linguistics, Anglophone Literatures and Cultures) [textový dokument (print)] / Matiová, Mária [Zostavovateľ, editor] ; Navrátil, Martin [Zostavovateľ, editor]. – 1. vyd. – Berlin (Nemecko) : Peter Lang, 2019. – ISBN 978-3-631-74550-2, s. 279-295 [1,15 AH] [tlačená forma] </t>
  </si>
  <si>
    <t xml:space="preserve">The interaction of physical activity, joy of movement and quality of life of high school students at different ages / Broďáni, Jaroslav [Autor, UKFPFAKTV, 50%] ; Kováčová, Natália [Autor, UKFPFAKTV, 50%]. – text. – [angličtina]. – [OV 210]. – [príspevok]. – [recenzované]. – DOI 10.16926/par.2019.07.16. – SCO In: Physical activity review [elektronický dokument] / Wasik, Jacek [Zostavovateľ, editor] ; Franchini, Emerson [Zostavovateľ, editor]. – 1. vyd. – Roč. 7. – Czestochowa (Poľsko) : PPHU Projack, 2019. – (Physical activity review, ISSN 2300-5076 ; 7, SNIP: 0,908 ; SJR: 0,368 ; CiteScore: 1,40). – ISSN (online) 2300-5076, s. 134-142 [online] Scimago - Education - Q2, Health (social science) - Q3, Orthopedics and sports medicine - Q3, Physical therapy, sports therapy and rehabilitation - Q3 </t>
  </si>
  <si>
    <t xml:space="preserve">The Land of Forgetting (Krajina zabudnutia) / Adamická, Monika [Autor, UKFFSSUSJ, 100%]. – text. – [angličtina]. – [OV 020]. – [kapitola] In: Handbook of Polish, Czech, and Slovak Holocaust Fiction [textový dokument (print)] [elektronický dokument] : Works and Contexts / Hiemer, Elisa-Maria [Zostavovateľ, editor] ; Holý, Jiří [Zostavovateľ, editor] ; Firlej, Agata [Zostavovateľ, editor] ; Nichtburgerová, Hana [Zostavovateľ, editor]. – 1. vyd. – Oldenbourg (Nemecko) : De Gruyter, 2021. – ISBN 978-3-11-066725-7. – ISBN (online) 978-3-11-066741-7. – ISBN (online) 978-3-11-067105-6, s. 237-240 [tlačená forma] </t>
  </si>
  <si>
    <t xml:space="preserve">The Lilies of Erika (Erikine ľalie) Vincent Šikula / Adamická, Monika [Autor, UKFFSSUSJ, 100%]. – text. – [angličtina]. – [OV 020]. – [kapitola] In: Handbook of Polish, Czech, and Slovak Holocaust Fiction [textový dokument (print)] [elektronický dokument] : Works and Contexts / Hiemer, Elisa-Maria [Zostavovateľ, editor] ; Holý, Jiří [Zostavovateľ, editor] ; Firlej, Agata [Zostavovateľ, editor] ; Nichtburgerová, Hana [Zostavovateľ, editor]. – 1. vyd. – Oldenbourg (Nemecko) : De Gruyter, 2021. – ISBN 978-3-11-066725-7. – ISBN (online) 978-3-11-066741-7. – ISBN (online) 978-3-11-067105-6, s. 260-262 [tlačená forma] </t>
  </si>
  <si>
    <t xml:space="preserve">The Lyric Subject in Contemporary Poetry / Biznárová, Lucia [Autor, UKFFFAULK, 100%]. – text. – [angličtina]. – [OV 020]. – [kapitola]. – [recenzované]. – SCO In: A Reflection of Man and Culture in Language and Literature (13), (Studies in Linguistics, Anglophone Literatures and Cultures) [textový dokument (print)] / Matiová, Mária [Zostavovateľ, editor] ; Navrátil, Martin [Zostavovateľ, editor]. – 1. vyd. – Berlin (Nemecko) : Peter Lang, 2019. – ISBN 978-3-631-74550-2, s. 179-197 [1,24 AH] [tlačená forma] </t>
  </si>
  <si>
    <t xml:space="preserve">The Magic of Intertextuality in Carol Ann Duffy's Poetry / Parížeková, Adriana [Autor, UKFFFASJL, 100%]. – text. – [angličtina]. – [OV 020]. – [kapitola]. – [recenzované]. – SCO In: A Reflection of Man and Culture in Language and Literature (13), (Studies in Linguistics, Anglophone Literatures and Cultures) [textový dokument (print)] / Matiová, Mária [Zostavovateľ, editor] ; Navrátil, Martin [Zostavovateľ, editor]. – 1. vyd. – Berlin (Nemecko) : Peter Lang, 2019. – ISBN 978-3-631-74550-2, s. 157-177 [1,11 AH] [tlačená forma] </t>
  </si>
  <si>
    <t xml:space="preserve">The Nature of Evil in Tolkien’s Works / Juričková, Martina [Autor, UKFFFAKAA, 100%]. – text. – [angličtina]. – [OV 020]. – [príspevok] In: Filologické štúdie [textový dokument (print)] / Vajičková, Mária [Zostavovateľ, editor] ; Bojničanová, Renáta [Zostavovateľ, editor] ; Tomášková, Simona [Zostavovateľ, editor] ; Kačala, Ján [Recenzent] ; Žeňuch, Peter [Recenzent]. – 1. vyd. – č. 5. – Nümbrecht (Nemecko) : Kirsch-Verlag, 2019. – (Acta Facultatis Paedagogicae Universitatis Comenianae Bratislavensis : Acta Doctorandorum Facultatis Facultatis Paedagogicae Universitatis Comenianae Bratislavensis.). – ISBN 978-3-943906-52-3, s. 198-207 [tlačená forma] </t>
  </si>
  <si>
    <t xml:space="preserve">The Old Man and Fate (Starý pán a osud) Peter Karvaš / Adamická, Monika [Autor, UKFFSSUSJ, 100%]. – text. – [angličtina]. – [OV 020]. – [kapitola] In: Handbook of Polish, Czech, and Slovak Holocaust Fiction [textový dokument (print)] [elektronický dokument] : Works and Contexts / Hiemer, Elisa-Maria [Zostavovateľ, editor] ; Holý, Jiří [Zostavovateľ, editor] ; Firlej, Agata [Zostavovateľ, editor] ; Nichtburgerová, Hana [Zostavovateľ, editor]. – 1. vyd. – Oldenbourg (Nemecko) : De Gruyter, 2021. – ISBN 978-3-11-066725-7. – ISBN (online) 978-3-11-066741-7. – ISBN (online) 978-3-11-067105-6, s. 303-305 [tlačená forma] </t>
  </si>
  <si>
    <t xml:space="preserve">The Revitalization of Cultural Traditions : A New Vector in Shaping Contemporary Cultural Identity / Jakubovská, Kristína [Autor, UKFFFAKKU, 100%] ; Velev, Ilja [Recenzent] ; Avramovska, Natasha [Recenzent]. – text. – [angličtina]. – [OV 020]. – [príspevok] In: Culture in Transition Countries [textový dokument (print)] / Jakimovska-Toshikj, Maja [Zostavovateľ, editor] ; Gabašová, Katarína [Zostavovateľ, editor]. – 1. vyd. – Skopje (Macedónsko) : Saints Cyril and Methodius University of Skopje, 2018. – ISBN 978-608-4744-10-8, s. 38-59 [tlačená forma] </t>
  </si>
  <si>
    <t xml:space="preserve">The Romani-Slovak bilingual child : a case study / Samko, Milan [Autor, UKFFSVURS, 100%]. – text. – [angličtina]. – [OV 060]. – [príspevok] In: Life with music and pictures [textový dokument (print)] : Eva Davidová's contribution to roma musicology and ethnography / Kyuchukov, Hristo [Zostavovateľ, editor] ; Balvín, Jaroslav [Zostavovateľ, editor] ; Kwadrans, Lukasz [Zostavovateľ, editor]. – 1. vyd. – Muenchen (Nemecko) : Lincom, 2019. – ISBN 978-3-86288-910-5, s. 140-145 [tlačená forma] </t>
  </si>
  <si>
    <t xml:space="preserve">The settlement and economy of the prehistoric communities of the Zvolen Basin and surrounding areas in the Western Carpathians (Slovakia) / Beljak Pažinová, Noémi [Autor, UKFFFAKAR, 100%]. – [angličtina]. – [OV 030]. – [príspevok]. – [recenzované] In: People and the Mountains [textový dokument (print)] : Current approaches to the Archaeology of Mountainous Landscapes / Pelisiak, Andrzej [Zostavovateľ, editor] ; Nowak, Marek [Zostavovateľ, editor] ; Astaloș, Ciprian [Zostavovateľ, editor]. – 1. vyd. – Oxford (Veľká Británia) : Archaeopress Publishing, 2018. – ISBN 9781784918170, s. 87-100 [tlačená forma] </t>
  </si>
  <si>
    <t xml:space="preserve">The situation of the Hungarian language in the Nitra/Nyitra language island / Sándorová, Anna [Autor, UKFFSSUML, 100%]. – text. – [angličtina]. – [OV 020]. – [príspevok]. – SCO In: Hungarian as a Plucentric Language  in Language and Literature [textový dokument (print)] / Muhr, Rudolf [Zostavovateľ, editor] ; Vančo, Ildikó [Zostavovateľ, editor] ; Kozmács, István [Zostavovateľ, editor] ; Huber, Maté [Zostavovateľ, editor]. – 1. vyd. – č. 22. – Berlín (Nemecko) : Peter Lang, 2020. – ISBN 978-3-631-80975-4. – ISBN (online) 978-36-318-2219-7. – ISSN 1618-5714, s. 169-183 [tlačená forma] </t>
  </si>
  <si>
    <t xml:space="preserve">The specifics of the retail network and consumer shopping behaviour in selected regional towns of west Slovakia / Trembošová, Miroslava [Autor, UKFFPVKGR, 45%] ; Dubcová, Alena [Autor, UKFFPVKGR, 5%] ; Nagyová, Ľudmila [Autor, SPUFEM16, 25%] ; Cagáňová, Dagmar [Autor, M4000, 25%]. – [angličtina]. – [OV 140, 190, 080]. – [príspevok]. – [recenzované]. – SCO In: Advances in Industrial Internet of Things, Engineering and Management [elektronický dokument] / Cagáňová, Dagmar [Zostavovateľ, editor] ; Horňáková, Natália [Zostavovateľ, editor] ; Pusca, Andy [Zostavovateľ, editor] ; Cunha, P.F. [Zostavovateľ, editor]. – 1. vyd. – Cham (Švajčiarsko) : Springer Nature. Springer International Publishing AG, 2021. – (EAI/Springer Innovations in Communication and Computing, ISSN 2522-8595, ISSN 2522-8609, CiteScore: 1,3 ; SJR: 0,178 ; SNIP: 0,303). – ISBN 978-3-030-69705-1, s. 39-74 [online] Scimago - Computer networks and communications - Q4, Electrical and electronic engineering - Q4, Health informatics - Q4, Information systems - Q4 </t>
  </si>
  <si>
    <t xml:space="preserve">The Study of József Ravasz Tales in the Mirror of Primary Socialisation / Tóthová, Gizela [Autor, UKFFSSUML, 100%]. – [angličtina]. – [OV 010]. – [príspevok]. – [recenzované] In: Journal of International Scientific Publications [elektronický dokument] : Language, Individual &amp; Society / [bez zostavovateľa] [Zostavovateľ, editor]. – 1. vyd. – Roč. 12. – Burgas (Bulharsko) : Science Events, 2018. – ISSN 1313-2547. – ISSN (online) 1314-7250, s. 164-172 [online] </t>
  </si>
  <si>
    <t xml:space="preserve">The Study of Magda Szécsi's Tales in the Mirror of Primary Socialisation / Tóthová, Gizela [Autor, UKFFSSUML, 100%]. – [angličtina]. – [OV 010]. – [príspevok]. – [recenzované] In: Journal of International Scientific Publications [elektronický dokument] : Language, Individual &amp; Society / [bez zostavovateľa] [Zostavovateľ, editor]. – 1. vyd. – Roč. 12. – Burgas (Bulharsko) : Science Events, 2018. – ISSN 1313-2547. – ISSN (online) 1314-7250, s. 173-180 [online] </t>
  </si>
  <si>
    <t xml:space="preserve">The Tattooed Body as a Vehicle of the Self and Memory / Boszorád, Martin [Autor, UKFFFAULK, 100%]. – [angličtina]. – [OV 020]. – [príspevok]. – [recenzované]. – DOI 10.1007/978-3-030-25189-5_5. – SCO In: Body and Text: Cultural Transformations in New Media Environments [textový dokument (print)] [elektronický dokument] / Callahan, David [Zostavovateľ, editor] ; Barker, Anthony [Zostavovateľ, editor]. – 1. vyd. – Cham (Švajčiarsko) : Springer Nature. Springer-VDI-Verlag, 2019. – (Issues in Literature and Culture, ISSN 2365-967X, ISSN 2365-9688) (Second Language Learning and Teaching, ISSN 2193-7648, ISSN 2193-7656, SJR: 0,14 ; CiteScore: 0,2 ; SNIP: 0,384). – ISBN 978-3-030-25188-8. – ISBN (online) 978-3-030-25189-5, s. 67-80 [1,05 AH] [tlačená forma] [online] Scimago - Education - Q4, Language and linguistics - Q3, Linguistics and language - Q3 </t>
  </si>
  <si>
    <t xml:space="preserve">The Temptation of Underdevelopment / Öllös, László [Autor, UKFFFAKPO, 100%]. – text. – [angličtina]. – [OV 060]. – [príspevok] In: Seeking the National Interest [textový dokument (print)] : Slovakia after 15 Years of EU and NATO Accession / Brhlíková, Radoslava [Zostavovateľ, editor] ; Mokrá, Lucia [Recenzent] ; Ivančík, Radoslav [Recenzent]. – 1. vyd. – Stuttgart (Nemecko) : ibidem-Verlag, 2020. – ISBN 978-3-8382-1417-7, s. 27-44 [tlačená forma] </t>
  </si>
  <si>
    <t xml:space="preserve">The Ultimate Purpose of Freedom and Religious Neutrality of the State / Blaščíková, Andrea [Autor, UKFFFAKNS, 100%]. – text. – [angličtina]. – [OV 020]. – [príspevok] In: Disputes on the Religious and Ethical Neutrality of the State [textový dokument (print)] / [bez zostavovateľa] [Zostavovateľ, editor] ; Probucka, Dorota [Recenzent] ; Valčo, Michal [Recenzent]. – 1. vyd. – Boskovice (Česko) : Nakladatelství František Šalé - Albert, 2019. – ISBN 978-80-7326-309-6, s. 55-80 [tlačená forma] </t>
  </si>
  <si>
    <t xml:space="preserve">The unsustainable solitude of the reader. Reading as individual and collective work / Lampis, Mirko [Autor, UKFFFAKRO, 100%]. – text. – [angličtina, španielčina]. – [OV 020]. – [príspevok]. – [recenzované] In: Signa / [bez zostavovateľa] [Zostavovateľ, editor]. – 1. vyd. – Roč. 28. – Madrid (Španielsko) : Universidad Nacional de Educación a Distancia, 2019. – ISSN 1133-3634. – ISSN (online) 2254-9307, s. 25-62 </t>
  </si>
  <si>
    <t xml:space="preserve">The visual versus the aural in subtitling for the deaf and hard of hearing / Perez, Emília [Autor, UKFFFAKTR, 40%] ; Klimková, Simona [Autor, UKFFFAKAA, 30%] ; Zahorák, Andrej [Autor, UKFFFAKTR, 30%]. – [angličtina]. – [OV 020]. – [príspevok]. – [recenzované]. – WOS CC In: Current Trends in Translation Teaching and Learning E [textový dokument (print)] / Postigo Pinazo, Encarnación [Zostavovateľ, editor]. – 1. vyd. – Roč. 5. – Helsinky (Fínsko) : University of Helsinki, 2018. – ISSN 2342-7205, s. 315-347 </t>
  </si>
  <si>
    <t xml:space="preserve">To Be or Not to Be an Interpreter? Should Interpreter’s Training Change the Personality or Subordinate Itself to It? / Hodáková, Soňa [Autor, UKFFFAKTR, 100%]. – text. – [angličtina]. – [OV 020]. – [príspevok]. – SCO In: Translation, interpreting and culture [textový dokument (print)] [elektronický dokument] : old dogmas, new approaches / Djovčoš, Martin [Zostavovateľ, editor] ; Kusá, Mária [Zostavovateľ, editor] ; Perez, Emília [Zostavovateľ, editor]. – 1. vyd. – Berlín (Nemecko) : Peter Lang, 2021. – ISBN 978-3-631-83881-5. – ISBN (online) 978-3-631-85302-3. – ISBN (online) 978-3-631-85301-6, s. 243-266 [tlačená forma] [online] </t>
  </si>
  <si>
    <t xml:space="preserve">Tradičné zamestnania Slovákov v Senváclave / Kontriková Šusteková, Ivana [Autor, UKFFFAKEF, 100%]. – text. – [slovenčina]. – [OV 030]. – [príspevok] In: Slovenské inšpirácie zo Senváclavu [textový dokument (print)] / Turková, Tünde [Zostavovateľ, editor] ; Uhrinová, Alžbeta [Zostavovateľ, editor] ; Lenovský, Ladislav [Recenzent]. – 1. vyd. – Békešská Čaba (Maďarsko) : Magyarországi Szlovákok Kutatóintézete, 2019. – ISBN 978-615-6014-03-0, s. 101-120 [tlačená forma] </t>
  </si>
  <si>
    <t xml:space="preserve">Training future professionals in Slovakia: contexts, changes and challenges in translator training / Djovčoš, Martin [Autor, 50%] ; Perez, Emília [Autor, UKFFFAKTR, 50%]. – text. – [angličtina]. – [OV 020]. – [príspevok]. – SCO In: Translation, interpreting and culture [textový dokument (print)] [elektronický dokument] : old dogmas, new approaches / Djovčoš, Martin [Zostavovateľ, editor] ; Kusá, Mária [Zostavovateľ, editor] ; Perez, Emília [Zostavovateľ, editor]. – 1. vyd. – Berlín (Nemecko) : Peter Lang, 2021. – ISBN 978-3-631-83881-5. – ISBN (online) 978-3-631-85302-3. – ISBN (online) 978-3-631-85301-6, s. 221-242 [0,70 AH] [tlačená forma] [online] </t>
  </si>
  <si>
    <t xml:space="preserve">Training indicators as predictors of the sport performance of the race walker Matej Toth in YTC 2013/2014 to YTC 2015/2016 / Broďáni, Jaroslav [Autor, UKFPFAKTV, 60%] ; Tóth, Matej [Autor, 20%] ; Spišiak, Matej [Autor, UKFPFAKTV, 10%] ; Šiška, Ľuboslav [Autor, UKFPFAKTV, 10%]. – text. – [angličtina]. – [OV 210]. – [príspevok]. – [recenzované]. – DOI 10.16926/par.2018.06.21. – SCO In: Physical activity review [elektronický dokument] / Wasik, Jacek [Zostavovateľ, editor] ; Franchini, Emerson [Zostavovateľ, editor]. – 1. vyd. – Roč. 6. – Czestochowa (Poľsko) : PPHU Projack, 2018. – (Physical activity review, ISSN 2300-5076 ; 6, SNIP: 0,286 ; SJR: 0,178 ; CiteScore: 0,80). – ISSN (online) 2300-5076, s. 161-170 [online] Scimago - Education - Q4, Health (social science) - Q4, Orthopedics and sports medicine - Q4, Physical therapy, sports therapy and rehabilitation - Q4 </t>
  </si>
  <si>
    <t xml:space="preserve">Transfer of Vulgarisms in Audiovisual translation / Ukušová, Jana [Autor, UKFFFAKTR, 100%]. – text. – [angličtina]. – [OV 020]. – [príspevok] In: Audiovisual Translation as Trans-Creation [textový dokument (print)] : A Collection of Essays / Sileo, Angela [Zostavovateľ, editor]. – 1. vyd. – Rím (Taliansko) : UniversItalia, 2021. – ISBN 978-88-3293-476-2, s. 129-153 [tlačená forma] </t>
  </si>
  <si>
    <t xml:space="preserve">Translation of Digital Advertising as Intercultural Transfer / Kažimír, Martin [Autor, UKFFFAKTR, 100%]. – text. – [angličtina]. – [OV 060]. – [príspevok] In: Marketing in the Digital Era [textový dokument (print)] / Bačíková, Zuzana [Zostavovateľ, editor]. – 1. vyd. – Berlín (Nemecko) : Peter Lang, 2018. – (New Horizons in Management Sciences ; 8). – ISBN 978-3-631-74545-8, s. 127-148 [tlačená forma] </t>
  </si>
  <si>
    <t xml:space="preserve">Translator and interpreter training during the COVID-19 pandemic : Procedural, technical and psychosocial factors in remote training. / Perez, Emília [Autor, UKFFFAKTR, 50%] ; Hodáková, Soňa [Autor, UKFFFAKTR, 50%]. – text. – [angličtina]. – [OV 020]. – [príspevok]. – DOI 10.51287/cttle20219. – WOS CC In: Current Trends in Translation Teaching and Learning E [textový dokument (print)] / [bez zostavovateľa] [Zostavovateľ, editor]. – 1. vyd. – Roč. 8. – Helsinki (Fínsko) : University of Helsinki. Department of Modern Languages, 2021. – ISSN 2342-7205, s. 276-312 [tlačená forma] </t>
  </si>
  <si>
    <t xml:space="preserve">Transmedia Storytelling: The Many Faces of Video Games, Fluid Narratives and Winding Seriality / Kudláč, Martin [Autor, UKFFFAULK, 100%]. – text. – [angličtina]. – [OV 020]. – [príspevok]. – [recenzované]. – DOI 10.1007/978-3-030-25189-5_5. – SCO In: Body and Text: Cultural Transformations in New Media Environments [textový dokument (print)] [elektronický dokument] / Callahan, David [Zostavovateľ, editor] ; Barker, Anthony [Zostavovateľ, editor]. – 1. vyd. – Cham (Švajčiarsko) : Springer Nature. Springer-VDI-Verlag, 2019. – (Issues in Literature and Culture, ISSN 2365-967X, ISSN 2365-9688) (Second Language Learning and Teaching, ISSN 2193-7648, ISSN 2193-7656, SJR: 0,14 ; CiteScore: 0,2 ; SNIP: 0,384). – ISBN 978-3-030-25188-8. – ISBN (online) 978-3-030-25189-5, s. 191-203 [1,1 AH] [tlačená forma] [online] Scimago - Education - Q4, Language and linguistics - Q3, Linguistics and language - Q3 </t>
  </si>
  <si>
    <t xml:space="preserve">Trust and Marketing / Fichnová, Katarína [Autor, UKFFFAKMR, 34%] ; Wojciechowski, Łukasz Pawel [Autor, UCMFMKKMSK, 33%] ; Mikuláš, Peter [Autor, 33%]. – text. – [angličtina]. – [OV 020]. – [príspevok]. – [recenzované]. – SCO In: Intuition, Trust, and Analytics [textový dokument (print)] / Liebowitz, Jay [Zostavovateľ, editor] ; Paliszkiewicz, Joanna [Zostavovateľ, editor] ; Gołuchowski, Jerzy [Zostavovateľ, editor]. – 1. vyd. – Boca Raton (USA) : Taylor &amp; Francis Group. CRC Press, 2018. – (Data Analytics Applications Series). – ISBN 978-1-1387-1912-5, s. 143-172 [2,17 AH] </t>
  </si>
  <si>
    <t xml:space="preserve">Turisztikai szervezetek online marketingtevékenységének vizsgálata : A szlovák-magyar-ukrán (kárpátaljai) példa / Aubert, Antal [Autor, 30%] ; Berghauer, Sándor [Autor, 30%] ; Beták, Norbert [Autor, UKFFSSKCR, 30%] ; Mókusné Pálfi, Andrea [Autor, 5%] ; Nod, Gabriella [Autor, 5%]. – text. – [maďarčina]. – [OV 080]. – [príspevok] In: Interregionális kutatási eredmények a turizmusban: örökségvédelem, intézményrendszer, helyi termékek (Hun-Au-Slo-Ukr) [textový dokument (print)] / Aubert, Antal [Zostavovateľ, editor] ; Michalkó, Gábor [Recenzent]. – 1. vyd. – Pécs (Maďarsko) : Pécsi Tudományegyetem Természettudományi Kar, 2021. – ISBN 978-963-429-633-1, s. 49-69 [tlačená forma] </t>
  </si>
  <si>
    <t xml:space="preserve">Tvorčestvo F.M. Dostojevskogo v slovackom kuľturnom prostranstve / Muránska, Natália [Autor, UKFFFAKRU, 100%]. – text. – [ruština]. – [OV 020, 010]. – [príspevok] In: Tvorčestvo F. M. Dostojevskogo [textový dokument (print)] : problemy, žanry, interpretacii / Baršt, Konštantin A. [Zostavovateľ, editor] ; Kovalev, Alexander O. [Zostavovateľ, editor] ; Truchan, Evgenij D. [Recenzent]. – 1. vyd. – Novokuzneck (Ruská federácia) : Novokuzneckij institut (filial). Kemerovskij gosudarstvennyj universitet, 2020. – ISBN 978-583-532-466-8, s. 82-92 [tlačená forma] </t>
  </si>
  <si>
    <t xml:space="preserve">Tvorčestvo I.S. Turgeneva v slovackom vosprijatii / Muránska, Natália [Autor, UKFFFAKRU, 100%]. – text. – [ruština]. – [OV 020]. – [príspevok]. – [recenzované] In: Žurnalistika, multimedia: informacionnyj i sociokuľturnyj potencial [textový dokument (print)] : sbornik naučnych trudov / Maľceva, R.I. [Zostavovateľ, editor]. – 1. vyd. – Krasnodar (Ruská federácia) : Kubanskij gosudarstvennyj universitet, 2021. – ISBN 978-5-8209-1931-2, s. 170-178 [tlačená forma] </t>
  </si>
  <si>
    <t xml:space="preserve">Týmová supervize / Gabura, Ján [Autor, UKFFSVKSP, 100%]. – text. – [čeština]. – [OV 060]. – [príspevok] In: Supervize (nejen) v sociální práci a sociálních službách [textový dokument (print)] / Mátel, Andrej [Zostavovateľ, editor] ; Schavel, Milan [Zostavovateľ, editor] ; Gojová, Alice [Recenzent] ; Kleskeň, Lenka [Recenzent]. – 1. vyd. – Praha (Česko) : Institut zdravotních a sociálních věd, 2019. – ISBN 978-80-907489-0-3, s. 59-77 [tlačená forma] </t>
  </si>
  <si>
    <t xml:space="preserve">Una lectura semiótica del Cours en el año de su centenario (segunda parte) / Lampis, Mirko [Autor, UKFFFAKRO, 100%]. – text. – [španielčina]. – [OV 020]. – [príspevok] In: Epos [textový dokument (print)] : Revista de filología / [bez zostavovateľa] [Zostavovateľ, editor]. – 1. vyd. – Madrid (Španielsko) : Universidad Nacional de Educación a Distancia, 2018. – ISSN 0213-201X, s. 125-142 [tlačená forma] </t>
  </si>
  <si>
    <t xml:space="preserve">Using biofeedback and neurofeedback methods in CTB / Kotianová, Antónia [Autor, UKFFSVKPV, 4%] ; Šlepecký, Miloš [Autor, UKFFSVKPV, 30%] ; Majerčák, Ivan [Autor, UPS51260, 3%] ; Zaťková, Marta [Autor, UKFFSVKPV, 30%] ; Popelková, Marta [Autor, UKFFSVKPV, 30%] ; Kotian, Michal [Autor, 3%] ; Zelmanová, Barbora [Recenzent] ; Gallová, Ivana [Recenzent]. – [angličtina]. – [OV 180]. – [príspevok]. – sign UPJS MSEP 029955 In: Cognitive Behavioural Therapy [textový dokument (print)] / Kayihan, Hulya [Zostavovateľ, editor]. – 1. vyd. – Ankara (Turecko) : Universitesin The rectors Office Beytepe, 2018. – ISBN 9786056762703, s. 110-122 </t>
  </si>
  <si>
    <t xml:space="preserve">Utilization of Nemierko's taxonomy of objectives in creation of didactic test for object informatics for the high schools / Pjatková, Marcela [Autor, UKFFPVKMA, 100%]. – text. – [angličtina]. – [OV 240]. – [príspevok] In: Modern technologies in education [textový dokument (print)] : collective scientific monograph / Duczmal, Wojciech [Zostavovateľ, editor] ; Ciepaj, Marian [Recenzent] ; Svitlychna, Nataliia [Recenzent]. – 1. vyd. – Opole (Poľsko) : Wyższa Szkoła Zarządzania i Administracji w Opolu, 2019. – ISBN 978-83-946765-5-1, s. 106-130 [tlačená forma] </t>
  </si>
  <si>
    <t xml:space="preserve">Validace ošetřovatelských intervencí v gynekologickém ošetřovatelství = Validation of nursing interventions in gynecological nursing / Archalousová, Alexandra [Autor, UKFFSVKOS, 50%] ; Vörösová, Gabriela [Autor, UKFFSVKOS, 50%] ; Andraščíková, Štefánia [Recenzent] ; Derňarová, Ľubica [Recenzent]. – [čeština]. – [OV 180]. – [príspevok] In: Validace ošetřovatelských intervencí [textový dokument (print)] : recenzovaný sborník vědeckých prací vydaný k příležitosti ukončení projektů / Archalousová, Alexandra [Zostavovateľ, editor]. – 1. vyd. – Plzeň (Česko) : Západočeská univerzita v Plzni, 2018. – ISBN 978-80-261-0825-2, s. 5-14 [tlačená forma] </t>
  </si>
  <si>
    <t xml:space="preserve">Validace ošetřovatelských intervencí v porodnickém a neonatologickém ošetřovatelství = Validation of nursing interventions maternity and neonatology nursing / Archalousová, Alexandra [Autor, UKFFSVKOS, 100%] ; Andraščíková, Štefánia [Recenzent] ; Derňarová, Ľubica [Recenzent]. – text. – [čeština]. – [OV 180]. – [príspevok] In: Validace ošetřovatelských intervencí [textový dokument (print)] : recenzovaný sborník vědeckých prací vydaný k příležitosti ukončení projektů / Archalousová, Alexandra [Zostavovateľ, editor]. – 1. vyd. – Plzeň (Česko) : Západočeská univerzita v Plzni, 2018. – ISBN 978-80-261-0825-2, s. 15-23 [tlačená forma] </t>
  </si>
  <si>
    <t xml:space="preserve">Validace vybraných ošetřovatelských intervencí v rámci kurrikula sester / oblast bariérová ošetřovatelská péče / Archalousová, Alexandra [Autor, UKFFSVKOS, 50%] ; Vörösová, Gabriela [Autor, UKFFSVKOS, 50%] ; Andraščíková, Štefánia [Recenzent] ; Botíková, Andrea [Recenzent]. – text. – [slovenčina]. – [OV 180]. – [príspevok] In: Ošetřovatelství v domácí péči - právní, etický, legislativní průrez metodologií ošetřovatelské praxe [textový dokument (print)] / Archalousová, Alexandra [Zostavovateľ, editor]. – 1. vyd. – Hradec Králové (Česko) : Pracoviště ošetřovatelské péče, 2018. – ISBN 978-80-906319-3-9, s. 14-22 [tlačená forma] </t>
  </si>
  <si>
    <t xml:space="preserve">Validácia ošetraovateľských intervencií v onkologickom ošetrovateľstve = Validation of nursing interventions in oncology nursing / Spáčilová, Zuzana [Autor, UKFFSVKOS, 34%] ; Slamková, Alica [Autor, UKFFSVKOS, 33%] ; Poledníková, Ľubica [Autor, UKFFSVKOS, 33%] ; Andraščíková, Štefánia [Recenzent] ; Derňarová, Ľubica [Recenzent]. – text. – [čeština]. – [OV 180]. – [príspevok] In: Validace ošetřovatelských intervencí [textový dokument (print)] : recenzovaný sborník vědeckých prací vydaný k příležitosti ukončení projektů / Archalousová, Alexandra [Zostavovateľ, editor]. – 1. vyd. – Plzeň (Česko) : Západočeská univerzita v Plzni, 2018. – ISBN 978-80-261-0825-2, s. 190-207 [tlačená forma] </t>
  </si>
  <si>
    <t xml:space="preserve">Validácia ošetrovateľských intervencií pri diagnóze neefektívne dojčenie / Krištofová, Erika [Autor, UKFFSVKOS, 100%] ; Andraščíková, Štefánia [Recenzent] ; Botíková, Andrea [Recenzent]. – text. – [slovenčina]. – [OV 180]. – [príspevok] In: Ošetřovatelství v domácí péči - právní, etický, legislativní průrez metodologií ošetřovatelské praxe [textový dokument (print)] / Archalousová, Alexandra [Zostavovateľ, editor]. – 1. vyd. – Hradec Králové (Česko) : Pracoviště ošetřovatelské péče, 2018. – ISBN 978-80-906319-3-9, s. 33-40 [tlačená forma] </t>
  </si>
  <si>
    <t xml:space="preserve">Validácia ošetrovateľských intervencií v dermatovenerologickom ošetrovateľstve = Validation of nursing interventions in dermatovenerological nursing / Krištofová, Erika [Autor, UKFFSVKOS, 100%] ; Andraščíková, Štefánia [Recenzent] ; Derňarová, Ľubica [Recenzent]. – text. – [čeština]. – [OV 180]. – [príspevok] In: Validace ošetřovatelských intervencí [textový dokument (print)] : recenzovaný sborník vědeckých prací vydaný k příležitosti ukončení projektů / Archalousová, Alexandra [Zostavovateľ, editor]. – 1. vyd. – Plzeň (Česko) : Západočeská univerzita v Plzni, 2018. – ISBN 978-80-261-0825-2, s. 57-66 [tlačená forma] </t>
  </si>
  <si>
    <t xml:space="preserve">Validácia ošetrovateľských intervencií v chirurgickom ošetrovateľstve = Validation of nursing interventions in surgical nursing / Mesárošová, Jozefína [Autor, UKFFSVKOS, 100%] ; Andraščíková, Štefánia [Recenzent] ; Derňarová, Ľubica [Recenzent]. – text. – [čeština]. – [OV 180]. – [príspevok] In: Validace ošetřovatelských intervencí [textový dokument (print)] : recenzovaný sborník vědeckých prací vydaný k příležitosti ukončení projektů / Archalousová, Alexandra [Zostavovateľ, editor]. – 1. vyd. – Plzeň (Česko) : Západočeská univerzita v Plzni, 2018. – ISBN 978-80-261-0825-2, s. 97-113 [tlačená forma] </t>
  </si>
  <si>
    <t xml:space="preserve">Validácia ošetrovateľských intervencií v internom ošetrovateľstve = Validation of nursing interventions in internal medicine nursing / Líšková, Miroslava [Autor, UKFFSVKOS, 50%] ; Vörösová, Gabriela [Autor, UKFFSVKOS, 50%] ; Andraščíková, Štefánia [Recenzent] ; Derňarová, Ľubica [Recenzent]. – text. – [čeština]. – [OV 180]. – [príspevok] In: Validace ošetřovatelských intervencí [textový dokument (print)] : recenzovaný sborník vědeckých prací vydaný k příležitosti ukončení projektů / Archalousová, Alexandra [Zostavovateľ, editor]. – 1. vyd. – Plzeň (Česko) : Západočeská univerzita v Plzni, 2018. – ISBN 978-80-261-0825-2, s. 47-56 [tlačená forma] </t>
  </si>
  <si>
    <t xml:space="preserve">Validácia ošetrovateľských intervencií v neurologickom ošetrovateľstve = Validation of nursing interventions in neurological nursing / Solgajová, Andrea [Autor, UKFFSVKOS, 50%] ; Vörösová, Gabriela [Autor, UKFFSVKOS, 50%] ; Andraščíková, Štefánia [Recenzent] ; Derňarová, Ľubica [Recenzent]. – text. – [čeština]. – [OV 180]. – [príspevok] In: Validace ošetřovatelských intervencí [textový dokument (print)] : recenzovaný sborník vědeckých prací vydaný k příležitosti ukončení projektů / Archalousová, Alexandra [Zostavovateľ, editor]. – 1. vyd. – Plzeň (Česko) : Západočeská univerzita v Plzni, 2018. – ISBN 978-80-261-0825-2, s. 172-189 [tlačená forma] </t>
  </si>
  <si>
    <t xml:space="preserve">Validácia ošetrovateľských intervencií v očnom ošetrovateľstve = Validation of nursing interventions in ophtalmical nursing / Mesárošová, Jozefína [Autor, UKFFSVKOS, 100%] ; Andraščíková, Štefánia [Recenzent] ; Derňarová, Ľubica [Recenzent]. – text. – [čeština]. – [OV 180]. – [príspevok] In: Validace ošetřovatelských intervencí [textový dokument (print)] : recenzovaný sborník vědeckých prací vydaný k příležitosti ukončení projektů / Archalousová, Alexandra [Zostavovateľ, editor]. – 1. vyd. – Plzeň (Česko) : Západočeská univerzita v Plzni, 2018. – ISBN 978-80-261-0825-2, s. 85-96 [tlačená forma] </t>
  </si>
  <si>
    <t xml:space="preserve">Validácia ošetrovateľských intervencií v ortopedickom ošetrovateľstve = Validation of nursing interventions in orthopedics nursing / Mesárošová, Jozefína [Autor, UKFFSVKOS, 50%] ; Archalousová, Alexandra [Autor, UKFFSVKOS, 50%] ; Andraščíková, Štefánia [Recenzent] ; Derňarová, Ľubica [Recenzent]. – text. – [čeština]. – [OV 180]. – [príspevok] In: Validace ošetřovatelských intervencí [textový dokument (print)] : recenzovaný sborník vědeckých prací vydaný k příležitosti ukončení projektů / Archalousová, Alexandra [Zostavovateľ, editor]. – 1. vyd. – Plzeň (Česko) : Západočeská univerzita v Plzni, 2018. – ISBN 978-80-261-0825-2, s. 114-116 [tlačená forma] </t>
  </si>
  <si>
    <t xml:space="preserve">Validácia ošetrovateľských intervencií v pediatrickom ošetrovateľstve = Validation of nursing interventions in pediatric nursing / Krištofová, Erika [Autor, UKFFSVKOS, 100%] ; Andraščíková, Štefánia [Recenzent] ; Derňarová, Ľubica [Recenzent]. – text. – [čeština]. – [OV 180]. – [príspevok] In: Validace ošetřovatelských intervencí [textový dokument (print)] : recenzovaný sborník vědeckých prací vydaný k příležitosti ukončení projektů / Archalousová, Alexandra [Zostavovateľ, editor]. – 1. vyd. – Plzeň (Česko) : Západočeská univerzita v Plzni, 2018. – ISBN 978-80-261-0825-2, s. 47-56 [tlačená forma] </t>
  </si>
  <si>
    <t xml:space="preserve">Validácia ošetrovateľských intervencií v psychiatrickom ošetrovateľstve = Validation of nursing interventions in psychiatric nursing / Zrubcová, Dana [Autor, UKFFSVKOS, 100%] ; Andraščíková, Štefánia [Recenzent] ; Derňarová, Ľubica [Recenzent]. – text. – [čeština]. – [OV 180]. – [príspevok] In: Validace ošetřovatelských intervencí [textový dokument (print)] : recenzovaný sborník vědeckých prací vydaný k příležitosti ukončení projektů / Archalousová, Alexandra [Zostavovateľ, editor]. – 1. vyd. – Plzeň (Česko) : Západočeská univerzita v Plzni, 2018. – ISBN 978-80-261-0825-2, s. 224-240 [tlačená forma] </t>
  </si>
  <si>
    <t xml:space="preserve">Validácia ošetrovateľských intervencií v traumatologickom ošetrovateľstve = Validation of nursing interventions in tramatolologiic nursing / Mesárošová, Jozefína [Autor, UKFFSVKOS, 50%] ; Archalousová, Alexandra [Autor, UKFFSVKOS, 50%] ; Andraščíková, Štefánia [Recenzent] ; Derňarová, Ľubica [Recenzent]. – text. – [čeština]. – [OV 180]. – [príspevok] In: Validace ošetřovatelských intervencí [textový dokument (print)] : recenzovaný sborník vědeckých prací vydaný k příležitosti ukončení projektů / Archalousová, Alexandra [Zostavovateľ, editor]. – 1. vyd. – Plzeň (Česko) : Západočeská univerzita v Plzni, 2018. – ISBN 978-80-261-0825-2, s. 117-119 [tlačená forma] </t>
  </si>
  <si>
    <t xml:space="preserve">Validácia ošetrovateľských intervencií vo vybranom odbore ošetrovateľstva - otorinolaryngológia = Validation of nursing interventions in otorhinolaryngologic nursing / Zrubcová, Dana [Autor, UKFFSVKOS, 50%] ; Vörösová, Gabriela [Autor, UKFFSVKOS, 50%] ; Andraščíková, Štefánia [Recenzent] ; Derňarová, Ľubica [Recenzent]. – text. – [čeština]. – [OV 180]. – [príspevok] In: Validace ošetřovatelských intervencí [textový dokument (print)] : recenzovaný sborník vědeckých prací vydaný k příležitosti ukončení projektů / Archalousová, Alexandra [Zostavovateľ, editor]. – 1. vyd. – Plzeň (Česko) : Západočeská univerzita v Plzni, 2018. – ISBN 978-80-261-0825-2, s. 208-223 [tlačená forma] </t>
  </si>
  <si>
    <t xml:space="preserve">Validácia špeciálnych ošetrovateľských intervencií v geriatrickom ošetrovateľstve = Validation of special nursing interventions in geriatric nursing / Poledníková, Ľubica [Autor, UKFFSVKOS, 34%] ; Slamková, Alica [Autor, UKFFSVKOS, 33%] ; Spáčilová, Zuzana [Autor, UKFFSVKOS, 33%] ; Andraščíková, Štefánia [Recenzent] ; Derňarová, Ľubica [Recenzent]. – text. – [čeština]. – [OV 180]. – [príspevok] In: Validace ošetřovatelských intervencí [textový dokument (print)] : recenzovaný sborník vědeckých prací vydaný k příležitosti ukončení projektů / Archalousová, Alexandra [Zostavovateľ, editor]. – 1. vyd. – Plzeň (Česko) : Západočeská univerzita v Plzni, 2018. – ISBN 978-80-261-0825-2, s. 144-157 [tlačená forma] </t>
  </si>
  <si>
    <t xml:space="preserve">Validácia špeciálnych ošetrovateľských intervencií v paliatívnom ošetrovateľstve = Validation of special nursing interventions in palliative nursing / Slamková, Alica [Autor, UKFFSVKOS, 34%] ; Poledníková, Ľubica [Autor, UKFFSVKOS, 33%] ; Spáčilová, Zuzana [Autor, UKFFSVKOS, 33%] ; Andraščíková, Štefánia [Recenzent] ; Derňarová, Ľubica [Recenzent]. – text. – [čeština]. – [OV 180]. – [príspevok] In: Validace ošetřovatelských intervencí [textový dokument (print)] : recenzovaný sborník vědeckých prací vydaný k příležitosti ukončení projektů / Archalousová, Alexandra [Zostavovateľ, editor]. – 1. vyd. – Plzeň (Česko) : Západočeská univerzita v Plzni, 2018. – ISBN 978-80-261-0825-2, s. 158-171 [tlačená forma] </t>
  </si>
  <si>
    <t xml:space="preserve">Vasílios N. Tatakis - priekopník v byzantskej filozofii / Zozuľak, Ján [Autor, UKFFFAKFI, 100%]. – text. – [slovenčina]. – [OV 020]. – [príspevok]. – [recenzované] In: Parrésia : revue pro Východní Křesťanství / Řoutil, Michal [Zostavovateľ, editor]. – 1. vyd. – Roč. 12, č. 9. – Červený Kostelec (Česko) : Nakladatelství Pavel Mervart, 2018. – ISSN 1802-8209, s. 467-476 [tlačená forma] </t>
  </si>
  <si>
    <t xml:space="preserve">Vergleichende Literaturwissenschaft / Gáfrik, Róbert [Autor, 50%] ; Zelenka, Miloš [Autor, UKFFSSUSJ, 50%]. – text. – [nemčina]. – [OV 020]. – [kapitola] In: Literaturwissenschaft in internationaler Perspektive [textový dokument (print)] / Mikuláš, Roman [Autor] ; Kravets, Jessica [Recenzent]. – 1. vyd. – Nümbrecht (Nemecko) : Kirsch-Verlag, 2019. – ISBN 978-3-943906-35-6, s. 108-133 [tlačená forma] </t>
  </si>
  <si>
    <t xml:space="preserve">Verslehre/Metrik / Žilka, Tibor [Autor, UKFFSSUSJ, 100%] ; Mikuláš, Roman [Prekladateľ, UKOPDNJL, 100%]. – text. – [nemčina]. – [OV 020]. – [kapitola] In: Literaturwissenschaft in internationaler Perspektive [textový dokument (print)] / Mikuláš, Roman [Autor] ; Kravets, Jessica [Recenzent]. – 1. vyd. – Nümbrecht (Nemecko) : Kirsch-Verlag, 2019. – ISBN 978-3-943906-35-6, s. 71-84 [tlačená forma] </t>
  </si>
  <si>
    <t xml:space="preserve">Video Game As A Simulated Cultural Landscape = Кompjuternaja igra kak simuljator kuľturnogo landšafta / Pevčíková, Jozefa [Autor, UKFFFAULK, 50%] ; Pecníková, Jana [Autor, UMBFF04, 50%]. – text. – [angličtina]. – [OV 020]. – [príspevok] In: Kuľturno-jazykovoj landšaft: na perekrestke issledovateľskich paradigm [textový dokument (print)] / Saduov, Ruslan [Zostavovateľ, editor] ; Saduova, A.T. [Zostavovateľ, editor] ; Vorošilova, M.B. [Recenzent] ; Šipicyna, A.A. [Recenzent]. – Ufa (Ruská federácia) : Baskirskij Gosudarstvennyj Universitet, 2021. – ISBN 978-5-7477-5379-2, s. 194-207 [tlačená forma] </t>
  </si>
  <si>
    <t xml:space="preserve">Visual Literacy Development of Young Children : Nurture Above Nature / Kárpáti, Andrea [Autor, UKFFSSUVP, 60%] ; Gaul-Ács, Ágnes [Autor, 20%] ; Tóth, Alisa [Autor, 20%]. – text. – [angličtina]. – [OV 010]. – [príspevok] In: Learning through Art [textový dokument (print)] : International Perspectives / Coutts, Glen [Zostavovateľ, editor] ; Torres de Eça, Teresa [Zostavovateľ, editor]. – 1. vyd. – Viseu (Portugalsko) : InSEA, 2020. – ISBN 978-989-54683-5-5, s. 219-236 </t>
  </si>
  <si>
    <t xml:space="preserve">Vocabulary Improvement by Using Smart Mobile Application - A Pilot Study / Poláková, Petra [Autor, UKFPFAKLI, 80%] ; Klímová, Blanka [Autor, 10%] ; Pražák, Pavel [Autor, 10%]. – text. – [angličtina]. – [OV 020]. – [príspevok]. – [recenzované]. – DOI 10.1007/978-3-030-47411-9_11. – SCO In: Recent Advances in Intelligent Systems and Smart Applications [textový dokument (print)] [elektronický dokument] / Shaalan, Khaled [Zostavovateľ, editor] ; Hassanien, Aboul Ella [Zostavovateľ, editor]. – 1. vyd. – Bern (Švajčiarsko) : Springer Nature, 2021. – (Studies in Systems, Decision and Control, ISSN 2198-4182, ISSN 2198-4190 ; 295, CiteScore: 1,3 ; SJR: 0,11 ; SNIP: 0,37). – ISBN 978-3-030-47410-2. – ISBN (online) 978-3-030-47411-9, s. 197-208 [tlačená forma] [online] Scimago - Automotive engineering - Q4, Computer science (miscellaneous) - Q4, Control and optimization - Q4, Control and systems engineering - Q4, Decision sciences (miscellaneous) - Q4, Economics, econometrics and finance (miscellaneous) - Q4, Social sciences (miscellaneous) - Q4 </t>
  </si>
  <si>
    <t xml:space="preserve">Von der Strafanzeige zum Urteil. Zur Vermittlung translatorischer Kompetenz am Bespiel des Strafprozessrechts / Wrede, Oľga [Autor, UKFFFAKGE, 100%] ; Zavrl, Irena [Recenzent] ; Štefančík, Radoslav [Recenzent]. – [nemčina]. – [OV 020]. – [príspevok] In: Didaktische Strategien im Fremdsprachenunterricht [textový dokument (print)] / Seresová, Katarína [Zostavovateľ, editor]. – 1. vyd. – Hamburg (Nemecko) : Verlag Dr. Kovač, 2018. – (Lingua : Fremdsprachenunterricht in Forschung und Praxis, ISSN 1614-5550 ; Band 46). – ISBN 978-3-339-10292-8, s. 149-164 [tlačená forma] </t>
  </si>
  <si>
    <t xml:space="preserve">Výskyt citátových asociácií vo voľnom asociačnom experimente – slovensko-ruský aspekt = Occurrence of Quotation Associations in Free Association Experiment (Slovak-Russian Aspect) / Bilčíková, Miriama [Autor, UKFFFAKRU, 100%]. – text. – [slovenčina]. – [OV 020]. – [príspevok] In: Philologia Rossica (3) [textový dokument (print)] [elektronický dokument] : časopis pro ruskou filologii a výuku ruského jazyka / [bez zostavovateľa] [Zostavovateľ, editor]. – Hradec Králové (Česko) : Univerzita Hradec Králové, 2020. – ISSN 2694-8826, s. 7-21 [tlačená forma] [online] </t>
  </si>
  <si>
    <t xml:space="preserve">Využití brownfieldů jako způsobu SMART podnikání v regionu / Dvořáková Líšková, Zuzana [Autor, 80%] ; Némethová, Jana [Autor, UKFFPVKGR, 20%]. – text, ilustr. – [čeština]. – [OV 092]. – [príspevok] In: Rozvoj Jihočeského kraje - potenciál pro aplikaci iniciativy Evropské komise Smart Region [elektronický dokument] [textový dokument (print)] / Cudlínová, Eva [Zostavovateľ, editor] ; Macháček, Jaroslav [Recenzent] ; Krogmann, Alfred [Recenzent]. – 1. vyd. – České Budějovice (Česko) : Jihočeská univerzita v Českých Budějovicích, 2020. – ISBN 978-80-7394-799-6, s. 66-75 [tlačená forma] [online] </t>
  </si>
  <si>
    <t xml:space="preserve">Využitie interaktívnej tabule a interaktívnych úloh pri preverovaní vedomostí / Pšenáková, Ildikó [Autor, TUTPFKMI, 50%] ; Szabó, Tibor [Autor, UKFFSSUVP, 50%]. – [slovenčina]. – [OV 010]. – [príspevok]. – TUTPFKMI signatúra E073555 In: Edukacja - technika - informatyka w budowaniu lepszej przyszłości [textový dokument (print)] / Sałata, Elżbieta [Zostavovateľ, editor] ; Buda, Agata [Zostavovateľ, editor] ; Rudolf, Ladislav [Recenzent] ; Symela, Krzysztof [Recenzent]. – 1. vyd. – Radom (Poľsko) : Wydawnictwo Uniwersytetu Technologiczno-Humanistycznego w Radomiu, 2018. – (Monografia ; 222). – ISBN 978-83-7351-860-5. – ISSN 1642-5278, s. 151-159 [tlačená forma] </t>
  </si>
  <si>
    <t xml:space="preserve">Využívanie klasických jazykov a vyučovania starovekých dejin na Katedre histórie  UKF v Nitre / Jirkal, Emanuel [Autor, UKFFFAKHI, 100%]. – text. – [slovenčina]. – [OV 030]. – [príspevok]. – [recenzované] In: Kalliopé (2) [elektronický dokument] : medzinárodní populárně-vědecký sborník věnovaný kultuře antického starověku / Kysučan, Lubor [Zostavovateľ, editor] ; Lisový, Igor [Zostavovateľ, editor]. – 1. vyd. – Ostrava (Česko) : Repronis, 2019. – ISBN 978-80-270-6737-4, s. 45-52 [CD-ROM] </t>
  </si>
  <si>
    <t xml:space="preserve">Vývoj vužívania krajiny slovenskej enklávy Senváclav / Chrastina, Peter [Autor, UCMFIFKHIS, 50%] ; Boltižiar, Martin [Autor, UKFFPVKGR, 50%]. – [slovenčina]. – [OV 030]. – [príspevok] In: Slovenské inšpirácie zo Senváclavu [textový dokument (print)] / Turková, Tünde [Zostavovateľ, editor] ; Uhrinová, Alžbeta [Zostavovateľ, editor] ; Lenovský, Ladislav [Recenzent]. – 1. vyd. – Békešská Čaba (Maďarsko) : Magyarországi Szlovákok Kutatóintézete, 2019. – ISBN 978-615-6014-03-0, s. 13-38 [tlačená forma] </t>
  </si>
  <si>
    <t xml:space="preserve">Významné činnosti sestry v komunitnej ošetrovateľskej starostlivosti = Significant interventions in the community nursing care / Pavelová, Ľuboslava [Autor, UKFFSVKOS, 100%] ; Andraščíková, Štefánia [Recenzent] ; Derňarová, Ľubica [Recenzent]. – text. – [čeština]. – [OV 180]. – [príspevok] In: Validace ošetřovatelských intervencí [textový dokument (print)] : recenzovaný sborník vědeckých prací vydaný k příležitosti ukončení projektů / Archalousová, Alexandra [Zostavovateľ, editor]. – 1. vyd. – Plzeň (Česko) : Západočeská univerzita v Plzni, 2018. – ISBN 978-80-261-0825-2, s. 120-127 [tlačená forma] </t>
  </si>
  <si>
    <t xml:space="preserve">Výzvy a inovácie vo vyučovaní technických predmetov z pohľadu ich učiteľov = Challenges and Innovations in Technical Subjects from Their Teachers‘ Point of View / Hašková, Alena [Autor, UKFPFAKTT, 50%] ; Danko, Florián [Autor, 50%]. – text. – [slovenčina]. – [OV 010]. – [príspevok] In: Pohledy na středoškolského učitele odborných předmětů [elektronický dokument] : kolektivní monografie / Pavera, Libor [Zostavovateľ, editor] ; Krpálková Krelová, Katarína [Zostavovateľ, editor] ; Novák, Jaromír [Zostavovateľ, editor] ; Gadušová, Zdenka [Recenzent] ; Král, Bohumil [Recenzent] ; Šlosár, Rudolf [Recenzent]. – 1. vyd. – Praha (Česko) : Vysoká škola ekonomická v Praze, 2020. – ISBN 978-80-87570-48-7, s. 51-70 [online] </t>
  </si>
  <si>
    <t xml:space="preserve">Web usage analysis : Pillar 3 information assessment in turbulent times / Pilková, Anna [Autor, UKOMAKSP, 25%] ; Munk, Michal [Autor, UKFFPVKIN, 25%] ; Blažeková, Petra [Autor, 25%] ; Benko, Ľubomír [Autor, UKFFPVKIN, 25%]. – text. – [angličtina]. – [OV 080]. – [príspevok]. – [recenzované]. – SCO In: The essentials of machine learning in finance and accounting [textový dokument (print)] [elektronický dokument] / Abedin, Mohammad Zoynul [Zostavovateľ, editor] ; Hassan, M. Kabir [Zostavovateľ, editor] ; Hajek, Petr [Zostavovateľ, editor] ; Uddin, Mohammed Mohi [Zostavovateľ, editor]. – 1. vyd. – Londýn (Veľká Británia) : Taylor &amp; Francis Group. Routledge, 2021. – (Routledge advanced texts in economics and finance ; 36). – ISBN 978-0-367-48081-3. – ISBN 978-0-367-48083-7. – ISBN (online) 978-1-003-03790-3, s. 157-179 [tlačená forma] [online] </t>
  </si>
  <si>
    <t xml:space="preserve">Wpływ polskiej szkoły socjologicznej na badania religijności na Słowacji / Štefaňak, Ondrej [Autor, UKFFFAKSO, 100%]. – text. – [poľština]. – [OV 060]. – [príspevok]. – DOI 10.31261/GSS_SN.2021.12.13 In: Górnośląskie Studia Socjologiczne [textový dokument (print)] [elektronický dokument] : seria nowa / Kasperk, Andrzej [Zostavovateľ, editor] ; Swiatkiewicz, Wojciech  Krzysztof [Zostavovateľ, editor]. – 1. vyd. – Roč. 12, č. 1. – Katowice (Poľsko) : Uniwersytet Ślaski w Katowicach. Wydawnictwo Uniwersytetu Ślaskiego, 2021. – ISSN 2353-9658, s. 249-260 [tlačená forma] </t>
  </si>
  <si>
    <t xml:space="preserve">Youth’s Approach to Distance-Learning and Being Unable to Physically  Attend School: The Situation During the Global Pandemic / Lenghart, Patrik [Autor, UKFFFAKZU, 100%]. – text. – [angličtina]. – [OV 010]. – [príspevok] In: Aktuální otázky filozoficko-sociálního výzkumu [textový dokument (print)] / Králik, Roman [Zostavovateľ, editor] ; Maturkanič, Patrik [Zostavovateľ, editor] ; Dolista, Josef [Recenzent] ; Zimny, Jan [Recenzent]. – 1. vyd. – Terezín (Česko) : Vysoká škola aplikované psychologie, 2021. – ISBN 978-80-87871-16-4, s. 94-107 [tlačená forma] </t>
  </si>
  <si>
    <t xml:space="preserve">Značenije I.S. Turgeneva v formirovaniji slovackogo realističeskogo romana / Muránska, Natália [Autor, UKFFFAKRU, 100%]. – text. – [slovenčina]. – [OV 020]. – [príspevok] In: Revitalizace hodnot: umění a literatura IV [textový dokument (print)] [elektronický dokument] / Dohnal, Josef [Zostavovateľ, editor] ; Eliáš, Anton [Recenzent] ; Richterek, Oldřich [Recenzent]. – 1. vyd. – Brno (Česko) : Tribun EU, 2019. – ISBN 978-80-263-1476-9. – ISBN (online) 978-80-263-1477-6, s. 609-619 [tlačená forma] [CD-ROM] </t>
  </si>
  <si>
    <t xml:space="preserve">Zur bewussten Reflexion des fachgebietsspezifischen Sachwissens und der Textsortenkenntnis in der Rechtsübersetzung / Wrede, Oľga [Autor, UKFFFAKGE, 100%]. – text. – [nemčina]. – [OV 020]. – [príspevok] In: Od textu k prekladu 15 (1. časť) [elektronický dokument] / Ďuricová, Alena [Zostavovateľ, editor] ; Štefaňáková, Jana [Zostavovateľ, editor] ; Vajičková, Mária [Recenzent] ; Gašová, Zuzana [Recenzent]. – 1. vyd. – Praha (Česko) : Jednota tlumočníků a překladatelů, 2021. – ISBN 978-80-7374-131-0, s. 93-99 [CD-ROM] </t>
  </si>
  <si>
    <t xml:space="preserve">Židovská tematika v románu Jána Tužinského Kto hodí kameňom (se zřetelem k „inkluzivnosti“ zobrazeného prostoru) / Mikulášek, Alexej [Autor, UKFFSSUSJ, 100%] ; Fiala, Jiří [Recenzent] ; Žemberová, Viera [Recenzent]. – text. – [čeština]. – [OV 020]. – [príspevok] In: Česká slavistika 2018 [textový dokument (print)] / Pospíšil, Ivo [Zostavovateľ, editor] ; Zelenka, Miloš [Zostavovateľ, editor] ; Paučová, Lenka [Zostavovateľ, editor]. – 1. vyd. – Brno (Česko) : Sojnek Jan - Galium, 2018. – ISBN 978-80-88296-00-3, s. 107-128 [tlačená forma] </t>
  </si>
  <si>
    <t>AED - Vedecké práce v domácich recenzovaných vedeckých zborníkoch, monografiách</t>
  </si>
  <si>
    <t xml:space="preserve">"Očkovanie“ stresom v telesnej príprave profesionálnych vojakov / Markovič, Roman [Autor, UKFPFAKTV, 100%]. – text. – [slovenčina]. – [OV 210]. – [príspevok] In: Šport a rekreácia 2020 (Recenzovaný nekonferenčný zborník vedecko-výskumných a odborných prác, zameraný na prezentáciu poznatkov v oblasti športu, telesnej výchovy, diagnostiky, zdravia, rekreácie, cestovného ruchu, regenerácie, manažmentu, atď.) [textový dokument (print)] [elektronický dokument] : zborník vedeckých prác / Broďáni, Jaroslav [Zostavovateľ, editor] ; Czaková, Monika [Zostavovateľ, editor] ; Halmová, Nora [Recenzent] ; Lenková, Rút [Recenzent] ; Nemček, Dagmar [Recenzent] ; Kanásová, Janka [Recenzent] ; Šutka, Vladimír [Recenzent] ; Rozim, Robert [Recenzent] ; Buková, Alena [Recenzent] ; Krčmárová, Bohumila [Recenzent] ; Horbacz, Agata [Recenzent] ; Luptáková, Martina [Recenzent] ; Kraček, Stanislav [Recenzent] ; Dzugas, Dalibor [Recenzent] ; Žiška, Peter [Recenzent] ; Czaková, Natália [Recenzent] ; Bartolčičová, Barbora [Recenzent] ; Krčmár, Matúš [Recenzent] ; Važan, Róbert [Recenzent]. – 1. vyd. – Nitra (Slovensko) : Univerzita Konštantína Filozofa v Nitre. Pedagogická fakulta UKF. Katedra telesnej výchovy a športu, 2020. – ISBN 978-80-558-1541-1, s. 116-121 [tlačená forma] [online] </t>
  </si>
  <si>
    <t xml:space="preserve">(Inter)textuálny fundament existenciálnej poetiky / Plesník, Ľubomír [Autor, UKFFFAULK, 100%] ; Kusá, Mária [Recenzent] ; Pokrivčák, Anton [Recenzent]. – text. – [slovenčina]. – [OV 020]. – [príspevok] In: Poetika textu a poetika udalosti [textový dokument (print)] / Bílik, René [Zostavovateľ, editor] ; Zajac, Peter [Zostavovateľ, editor]. – 1. vyd. – Trnava (Slovensko) : Trnavská univerzita v Trnave. Typi Universitatis Tyrnaviensis, spoločné pracovisko Trnavskej univerzity v Trnave a Vedy, vydavateľstva Slovenskej akadémie vied, 2018. – ISBN 978-80-568-0147-5. – ISBN (chybné) 978-80-224-0147-5. – TUTPFSJL signatúra E072977, s. 30-43 [tlačená forma] </t>
  </si>
  <si>
    <t xml:space="preserve">„Face history“ - fotografický portrét ako citlivé miesto slovenskej kultúrnej pamäti / Pariláková, Eva [Autor, UKFFFAULK, 100%] ; Šabík, Vincent [Recenzent] ; Hochel, Igor [Recenzent]. – text. – [slovenčina]. – [OV 020]. – [príspevok] In: Obrazy citlivých miest slovenskej histórie. Reinterpretácia kultúrnej pamäti v umení [textový dokument (print)] / Kapsová, Eva [Zostavovateľ, editor]. – 1. vyd. – Nitra (Slovensko) : Univerzita Konštantína Filozofa v Nitre, 2018. – ISBN 978-80-558-1354-7, s. 82-130 [tlačená forma] </t>
  </si>
  <si>
    <t xml:space="preserve">1939 - rok zlomu v česko-slovenských vzťahoch / Arpáš, Róbert [Autor, UKFFFAKHI, 100%]. – text. – [slovenčina]. – [OV 030]. – [príspevok] In: 1939 - rok zlomu [textový dokument (print)] / Syrný, Marek [Zostavovateľ, editor] ; Martuliak, Pavol [Recenzent] ; Varinský, Vladimír [Recenzent]. – 1. vyd. – Banská Bystrica (Slovensko) : Múzeum Slovenského národného povstania ; Praha (Česko) : Akademie věd České republiky. Historický ústav AV ČR, 2019. – ISBN 978-80-89514-70-0, s. 200-207 [tlačená forma] </t>
  </si>
  <si>
    <t xml:space="preserve">A bárindza kérindzelopentás egy roplemája / Kozmács, István [Autor, UKFFSSUML, 100%]. – text. – [maďarčina]. – [OV 020]. – [príspevok] In: Kétnyelvűség – oktatás – nyelvmenedzselés [textový dokument (print)] : írások, tanulmányok Vančo Ildikó születésnapjára / Kozmács, István [Zostavovateľ, editor] ; Csernicskó, István [Zostavovateľ, editor] ; Heltai, János Imre [Recenzent] ; Sándor, Klára [Recenzent]. – 1. vyd. – Nitra (Slovensko) : Univerzita Konštantína Filozofa v Nitre. Fakulta stredoeurópskych štúdií, 2021. – (Europica varietas ; 152). – ISBN 978-80-558-1737-8, s. 197-202 [tlačená forma] </t>
  </si>
  <si>
    <t xml:space="preserve">A szlovákiai magyar általános iskolás tanulók olvasási szokásai / Gergelyová, Viktória [Autor, UKFFSSUML, 100%]. – text. – [maďarčina]. – [OV 010]. – [príspevok] In: Kétnyelvűség – oktatás – nyelvmenedzselés [textový dokument (print)] : írások, tanulmányok Vančo Ildikó születésnapjára / Kozmács, István [Zostavovateľ, editor] ; Csernicskó, István [Zostavovateľ, editor] ; Heltai, János Imre [Recenzent] ; Sándor, Klára [Recenzent]. – 1. vyd. – Nitra (Slovensko) : Univerzita Konštantína Filozofa v Nitre. Fakulta stredoeurópskych štúdií, 2021. – (Europica varietas ; 152). – ISBN 978-80-558-1737-8, s. 103-112 [tlačená forma] </t>
  </si>
  <si>
    <t xml:space="preserve">A szövegértés fejlesztését szolgáló Legere Irodalmi Verseny / Tóth, Anikó [Autor, UKFFSSUML, 50%] ; Petres Csizmadia, Gabriela [Autor, UKFFSSUML, 50%]. – text. – [maďarčina]. – [OV 010]. – [príspevok] In: Kétnyelvűség – oktatás – nyelvmenedzselés [textový dokument (print)] : írások, tanulmányok Vančo Ildikó születésnapjára / Kozmács, István [Zostavovateľ, editor] ; Csernicskó, István [Zostavovateľ, editor] ; Heltai, János Imre [Recenzent] ; Sándor, Klára [Recenzent]. – 1. vyd. – Nitra (Slovensko) : Univerzita Konštantína Filozofa v Nitre. Fakulta stredoeurópskych štúdií, 2021. – (Europica varietas ; 152). – ISBN 978-80-558-1737-8, s. 217-245 [tlačená forma] </t>
  </si>
  <si>
    <t xml:space="preserve">A szövegértés műveleti tényezőiről / Tolcsvai Nagy, Gábor [Autor, UKFFSSUML, 100%]. – text. – [maďarčina]. – [OV 010]. – [príspevok] In: Kétnyelvűség – oktatás – nyelvmenedzselés [textový dokument (print)] : írások, tanulmányok Vančo Ildikó születésnapjára / Kozmács, István [Zostavovateľ, editor] ; Csernicskó, István [Zostavovateľ, editor] ; Heltai, János Imre [Recenzent] ; Sándor, Klára [Recenzent]. – 1. vyd. – Nitra (Slovensko) : Univerzita Konštantína Filozofa v Nitre. Fakulta stredoeurópskych štúdií, 2021. – (Europica varietas ; 152). – ISBN 978-80-558-1737-8, s. 327-342 [tlačená forma] </t>
  </si>
  <si>
    <t xml:space="preserve">A4 – priestor súčasnej kultúry. Miesto živej kultúry na území Bratislavy / Kočiš, Michal [Autor, UKFFFAKKU, 100%]. – text. – [slovenčina]. – [OV 060]. – [príspevok] In: Nezávislé kultúrne centrá na Slovensku [textový dokument (print)] [elektronický dokument] / Fuják, Július [Zostavovateľ, editor] ; Ballay, Miroslav [Recenzent] ; Malíček, Juraj [Recenzent]. – 1. vyd. – Nitra (Slovensko) : Univerzita Konštantína Filozofa v Nitre, 2021. – ISBN 978-80-558-1674-6, s. 63-80 [tlačená forma] [online] </t>
  </si>
  <si>
    <t xml:space="preserve">Affective Factors in Foreign Language Education / Hvozdíková, Silvia [Autor, UKFFFAKAA, 100%] ; Šenkár, Patrik [Recenzent] ; Dudová, Katarína [Recenzent]. – text. – [angličtina]. – [OV 020]. – [príspevok] In: Moderné jazyky v súčasnej Európe [textový dokument (print)] / Zelenická, Elena [Zostavovateľ, editor]. – 1. vyd. – Nitra (Slovensko) : Univerzita Konštantína Filozofa v Nitre, 2018. – ISBN 978-80-558-1359-2, s. 67-75 [tlačená forma] </t>
  </si>
  <si>
    <t xml:space="preserve">Ako sa stať psychoterapeutom a ako nadobudnúť terapeutickú istotu / Šlepecký, Miloš [Autor, UKFFSVKPV, 34%] ; Zaťková, Marta [Autor, UKFFSVKPV, 33%] ; Popelková, Marta [Autor, UKFFSVKPV, 33%] ; Štefarová, Iveta [Recenzent] ; Jurišová, Erika [Recenzent]. – text. – [slovenčina]. – [OV 060]. – [kapitola] In: Princípy a metódy kognitívno behaviorálnej terapie [textový dokument (print)] / Praško Pavlov, Ján [Autor]. – 1. vyd. – Nitra (Slovensko) : Univerzita Konštantína Filozofa v Nitre, 2018. – ISBN 978-80-558-1348-6, s. 296-305 </t>
  </si>
  <si>
    <t xml:space="preserve">Aktivizujúce metódy ako nástroj rozvíjajúci tvorivé a kritické myslenie / Šutovcová, Lenka [Autor, UKFPFAKPE, 100%]. – text. – [slovenčina]. – [OV 010]. – [príspevok]. – DOI 10.33542/EDU2021-2-0 In: Edukácia [elektronický dokument] / [bez zostavovateľa] [Zostavovateľ, editor]. – 1. vyd. – Roč. 4, č. 2. – Košice (Slovensko) : Univerzita Pavla Jozefa Šafárika v Košiciach, 2021. – ISSN (online) 1339-8725, s. 109-122 [online] </t>
  </si>
  <si>
    <t xml:space="preserve">Aktivizujúce metódy v Prvouke a ich potenciál pre výchovu k trvalo udržateľnému rozvoju / Nagyová, Alexandra [Autor, UKFPFAKPE, 50%] ; Kollárová, Dana [Autor, UKFPFAKPE, 50%]. – text. – [slovenčina]. – [OV 010]. – [príspevok] In: Pedagogica actualis 11 [textový dokument (print)] : spoločnosť a výchova / Sirotová, Mariana [Zostavovateľ, editor] ; Michvocíková, Veronika [Zostavovateľ, editor] ; Lenovský, Ladislav [Recenzent] ; Žáková, Martina [Recenzent]. – 1. vyd. – Trnava (Slovensko) : Univerzita sv. Cyrila a Metoda v Trnave, 2020. – ISBN 978-80-572-0045-1, s. 180-186 [tlačená forma] </t>
  </si>
  <si>
    <t xml:space="preserve">Aktuálne trendy vo výskume porozumenia textu / Ficzere, Anikó [Autor, 50%] ; Stranovská, Eva [Autor, UKFFFAKGE, 50%] ; Šenkár, Patrik [Recenzent] ; Dudová, Katarína [Recenzent]. – text. – [slovenčina]. – [OV 020]. – [príspevok] In: Moderné jazyky v súčasnej Európe [textový dokument (print)] / Zelenická, Elena [Zostavovateľ, editor]. – 1. vyd. – Nitra (Slovensko) : Univerzita Konštantína Filozofa v Nitre, 2018. – ISBN 978-80-558-1359-2, s. 61-67 [tlačená forma] </t>
  </si>
  <si>
    <t xml:space="preserve">Alternative methods enhancing the acquisition of communicative competence and human values in very young learners / Hornáčková Klapicová, Edita [Autor, UKFFFAKTR, 100%]. – text. – [slovenčina]. – [OV 020, 010]. – [príspevok] In: Jazykovedné, literárnovedné a didaktické kolokvium [elektronický dokument] / Lančarič, Daniel [Zostavovateľ, editor] ; Adamcová, Lívia [Recenzent] ; Lagerová, Viera [Recenzent]. – 1. vyd. – Roč. L-7. – Bratislava (Slovensko) : Z-F LINGUA, 2020. – ISBN 978-80-8177-076-0, s. 1-14 [CD-ROM] </t>
  </si>
  <si>
    <t xml:space="preserve">Ambivalentnosť tvorivej a vnútornej slobody v našej (nezávislej) kultúre / Fuják, Július [Autor, UKFFFAKKU, 100%]. – text. – [slovenčina]. – [OV 060]. – [príspevok] In: Charakter a vývoj nezávislej kultúry a umenia na Slovensku po roku 1989 [textový dokument (print)] / Fuják, Július [Zostavovateľ, editor] ; Mistrík, Erich [Recenzent] ; Javorská, Andrea [Recenzent]. – 1. vyd. – Nitra (Slovensko) : Univerzita Konštantína Filozofa v Nitre, 2020. – ISBN 978-80-558-1565-7, s. 57-71 [tlačená forma] </t>
  </si>
  <si>
    <t xml:space="preserve">Analgosedácia v prednemocničnej neodkladnej starostlivosti = Analgosedation in pre-hospital care / Koprdová, Ľubica [Autor, 50%] ; Brázdilová, Dana [Autor, UKFFSVKUM, 50%] ; Botíková, Andrea [Recenzent] ; Kober, Lukáš [Recenzent]. – text. – [slovenčina]. – [OV 180]. – [príspevok] In: Sestry : hlas v popredí - zdravie je ľudské právo [textový dokument (print)] : recenzovaný vedecký zborník vydaný pri príležitosti Medzinárodného dňa sestier 2018 / Spáčilová, Zuzana [Zostavovateľ, editor]. – 1. vyd. – Nitra (Slovensko) : Univerzita Konštantína Filozofa v Nitre, 2018. – ISBN 978-80-558-1293-9, s. 27-33 [tlačená forma] </t>
  </si>
  <si>
    <t xml:space="preserve">Analýza podmienok akceptácie študenta/ky na štúdium učiteľstva akademických predmetov / Rapsová, Lucia [Autor, UKFPFAKPE, 50%] ; Bujdošová, Bibiána [Autor, 50%]. – text. – [slovenčina]. – [OV 010]. – [príspevok] In: Konvergencie vedeckej činnosti študentov a učiteľov [textový dokument (print)] / Verešová, Marcela [Zostavovateľ, editor] ; Pavelová, Ľuba [Recenzent] ; Valihorová, Marta [Recenzent]. – 1. vyd. – Nitra (Slovensko) : Univerzita Konštantína Filozofa v Nitre, 2020. – ISBN 978-80-558-1543-5, s. 110-131 [tlačená forma] </t>
  </si>
  <si>
    <t xml:space="preserve">Analýza sklených korálikov a kamenných artefaktov / Illášová, Ľudmila [Autor, UKFFPVGMU, 50%] ; Štubňa, Ján [Autor, UKFFPVGMU, 50%]. – text. – [slovenčina]. – [OV 030]. – [kapitola] In: Pohrebisko z obdobia avarského kaganátu Obid [textový dokument (print)] / Zábojník, Jozef [Autor] ; Kouřil, Pavel [Recenzent] ; Macháček, Jiří [Recenzent]. – 1. vyd. – Bratislava (Slovensko) : Slovenská akadémia vied, 2019. – ISBN 978-80-224-1739-6, s. 262-277 [tlačená forma] </t>
  </si>
  <si>
    <t xml:space="preserve">Analýza textových variantov básní Lýdie Vadkerti-Gavorníkovej Stolárov dom a Veľké sťahovanie / Rácová, Veronika [Autor, UKFFFASJL, 100%]. – text. – [slovenčina]. – [OV 020]. – [príspevok] In: Textologické štúdie [textový dokument (print)] : (vedecké štúdie o problematike textových variantov / Rácová, Veronika [Zostavovateľ, editor] ; Gavura, Ján [Recenzent] ; Juhásová, Jana [Recenzent]. – 1. vyd. – Nitra (Slovensko) : Univerzita Konštantína Filozofa v Nitre, 2020. – ISBN 978-80-558-1648-7, s. 47-70 [tlačená forma] </t>
  </si>
  <si>
    <t xml:space="preserve">Analýza ukazovateľov výkonnosti a nástrojov sebahodnotenia učiteľov / Boboňová, Ivana [Autor, UKFFPVKMA, 25%] ; Šovčíková, Petronela [Autor, UKFFPVKMA, 25%] ; Čeretková, Soňa [Autor, UKFFPVKMA, 25%] ; Sandanusová, Anna [Autor, UKFFPVKZA, 25%]. – text. – [slovenčina]. – [OV 010]. – [príspevok] In: Príprava učiteľov prírodovedných, poľnohospodárskych a príbuzných odborov v meniacich sa požiadavkách praxe [elektronický dokument] / Sandanusová, Anna [Zostavovateľ, editor] ; Dytrtová, Radmila [Zostavovateľ, editor] ; Morovič, Martin [Recenzent] ; Švecová, Milada [Recenzent]. – 1 vyd. – Nitra (Slovensko) : Univerzita Konštantína Filozofa v Nitre, 2019. – ISBN 978-80-558-1393-6, s. 98-108 [CD-ROM] </t>
  </si>
  <si>
    <t xml:space="preserve">Anyanyelvi keresztnévmenedzselés Szlovákiában / Bauko, Ján [Autor, UKFFSSUML, 100%]. – text. – [maďarčina]. – [OV 020]. – [príspevok] In: Kétnyelvűség – oktatás – nyelvmenedzselés [textový dokument (print)] : írások, tanulmányok Vančo Ildikó születésnapjára / Kozmács, István [Zostavovateľ, editor] ; Csernicskó, István [Zostavovateľ, editor] ; Heltai, János Imre [Recenzent] ; Sándor, Klára [Recenzent]. – 1. vyd. – Nitra (Slovensko) : Univerzita Konštantína Filozofa v Nitre. Fakulta stredoeurópskych štúdií, 2021. – (Europica varietas ; 152). – ISBN 978-80-558-1737-8, s. 23-39 [tlačená forma] </t>
  </si>
  <si>
    <t xml:space="preserve">Archeologický výskum na Pustom hrade vo Zvolene = Archäologische Grabung auf der Burg Pustý hrad in Zvolen / Beljak, Ján [Autor, 70%] ; Beljak Pažinová, Noémi [Autor, UKFFFAKAR, 30%]. – text. – [slovenčina]. – [OV 030]. – [príspevok] In: Archeologické výskumy a nálezy na Slovensku v roku 2014 [textový dokument (print)] / Cheben, Ivan [Zostavovateľ, editor] ; Daňová, Klaudia [Zostavovateľ, editor] ; Vojteček, Marek [Zostavovateľ, editor] ; Elschek, Kristián [Recenzent] ; Varsik, Vladimír [Recenzent]. – 1. vyd. – Roč. 1. – Nitra (Slovensko) : Slovenská akadémia vied. Pracoviská SAV. Archeologický ústav, 2019. – ISSN 0231-925X, s. 31-34 [tlačená forma] </t>
  </si>
  <si>
    <t xml:space="preserve">Archeologický výskum na Pustom hrade vo Zvolene (2) / Beljak, Ján [Autor, 60%] ; Beljak Pažinová, Noémi [Autor, UKFFFAKAR, 40%] ; Ruttkay, Alexander [Recenzent] ; Repka, Dominik [Recenzent]. – [slovenčina]. – [OV 030]. – [príspevok] In: Archeologické výskumy a nálezy na Slovensku v roku 2013 [textový dokument (print)] [elektronický dokument] / Cheben, Ivan [Zostavovateľ, editor] ; Daňová, Klaudia [Zostavovateľ, editor] ; Vojteček, Marek [Zostavovateľ, editor]. – 1. vyd. – Nitra (Slovensko) : Slovenská akadémia vied. Pracoviská SAV. Archeologický ústav, 2018. – ISSN 0231-925X, s. 40-41 [tlačená forma] [online] </t>
  </si>
  <si>
    <t xml:space="preserve">Archeologický výskum na Pustom hrade vo Zvolene (3) = Archäologische Grabung auf der Burg Pustý Hrad in Zvolen (3) / Beljak, Ján [Autor, 40%] ; Beljak Pažinová, Noémi [Autor, UKFFFAKAR, 20%] ; Kučeráková, Kristína [Autor, 10%] ; Melo, Matúš [Autor, 20%] ; Mordovin, Maxim [Autor, 5%] ; Repka, Dominik [Autor, UKFFFAKAR, 5%]. – text. – [slovenčina]. – [OV 030]. – [príspevok] In: Archeologické výskumy a nálezy na Slovensku v roku 2015 [textový dokument (print)] / Cheben, Ivan [Zostavovateľ, editor] ; Daňová, Klaudia [Zostavovateľ, editor] ; Vojteček, Marek [Zostavovateľ, editor] ; Elschek, Kristián [Recenzent] ; Bartík, Juraj [Recenzent]. – 1. vyd. – Nitra (Slovensko) : Slovenská akadémia vied, 2020. – ISBN 978-80-8196-045-1. – ISSN 0231-925X, s. 23-27 [tlačená forma] </t>
  </si>
  <si>
    <t xml:space="preserve">Atribúcia a školský úspech / Stančeková, Svetlana [Autor, UKFFFAKRO, 100%]. – text. – [slovenčina]. – [OV 020]. – [príspevok] In: Moderné jazyky v súčasnej Európe [textový dokument (print)] / Zelenická, Elena [Zostavovateľ, editor] ; Šenkár, Patrik [Recenzent] ; Dudová, Katarína [Recenzent]. – 1. vyd. – Nitra (Slovensko) : Univerzita Konštantína Filozofa v Nitre, 2018. – ISBN 978-80-558-1359-2, s. 134-140 [tlačená forma] </t>
  </si>
  <si>
    <t xml:space="preserve">Attachment v ranej dospelosti a vnímanie vlastného body image / Popelková, Marta [Autor, UKFFSVKPV, 80%] ; Polláková, Ema Lujza [Autor, 20%] ; Koprdová, Ľubica [Recenzent] ; Szakács, Róbert [Recenzent]. – text. – [slovenčina]. – [OV 060]. – [príspevok] In: Optima Opus 2017 [textový dokument (print)] / Rosinský, Rastislav [Zostavovateľ, editor]. – 1. vyd. – Nitra (Slovensko) : Univerzita Konštantína Filozofa v Nitre, 2018. – ISBN 978-80-558-1262-5, s. 105-128 [tlačená forma] </t>
  </si>
  <si>
    <t xml:space="preserve">Autonómia, uznanie a etická neutralita štátu / Turčan, Ciprian [Autor, UKFFFAKAE 06.2022, 100%]. – [slovenčina]. – [OV 020]. – [príspevok] In: Kontextuálna analýza princípu náboženskej a etickej neutrality štátu [textový dokument (print)] / Korený, Peter [Zostavovateľ, editor] ; Plašienková, Zlatica [Recenzent] ; Diatka, Cyril [Recenzent]. – 1. vyd. – Nitra (Slovensko) : Univerzita Konštantína Filozofa v Nitre, 2019. – ISBN 978-80-558-1495-7, s. 65-84 </t>
  </si>
  <si>
    <t xml:space="preserve">Bábkové hry a hry pre deti Kamila Žišku / Ballay, Miroslav [Autor, UKFFFAKKU, 100%]. – text. – [slovenčina]. – [OV 020]. – [príspevok] In: Dejiny slovenskej dramatiky bábkového divadla [textový dokument (print)] / Predmerský, Vladimír [Zostavovateľ, editor] ; Malíková, Nina [Recenzent] ; Sliacky, Ondrej [Recenzent]. – 1. vyd. – Bratislava (Slovensko) : Divadelný ústav, 2020. – ISBN 978-80-8190-061-7, s. 723-745 [tlačená forma] </t>
  </si>
  <si>
    <t xml:space="preserve">Biodiverzita. Návrat k divokej prírode (scenár 2) / Mederly, Peter [Autor, UKFFPVKEE, 100%]. – text. – [slovenčina]. – [OV 100]. – [príspevok] In: Scenáre pre prírodu Slovenska do roku 2050 [textový dokument (print)] [elektronický dokument] : príroda a biodiverzita Slovenska do roku 2050: alternatívne scenáre a implikácie pre verejné politiky / Považan, Radoslav [Zostavovateľ, editor] ; Filčák, Richard [Zostavovateľ, editor] ; Olah, Branislav [Recenzent] ; Škobla, Daniel [Recenzent]. – 1. vyd. – Bratislava (Slovensko) : Ministerstvo životného prostredia Slovenskej republiky, 2020. – ISBN 978-80-8213-012-9. – ISBN (online) 978-80-8213-013-6, s. 45-58 [tlačená forma] [online] </t>
  </si>
  <si>
    <t xml:space="preserve">Biskup v budínských legátských statutech z roku 1279 / Krafl, Pavel Otmar [Autor, UKFFFAKHI, 100%]. – text. – [slovenčina]. – [OV 030]. – [príspevok] In: Arcibiskupi a biskupi Uhorska [textový dokument (print)] : moc prelátov a jej prejavy v stredoveku / Glejtek, Miroslav [Zostavovateľ, editor] ; Maliniak, Pavol [Recenzent] ; Šedivý, Juraj [Recenzent]. – 1. vyd. – Bratislava (Slovensko) : Post Scriptum, 2020. – ISBN 978-80-8218-016-2, s. 117-125 [tlačená forma] </t>
  </si>
  <si>
    <t xml:space="preserve">Centrum nezávislej kultúry. Nezávislá kultúra uprostred mesta / Kočiš, Michal [Autor, UKFFFAKKU, 100%]. – text. – [slovenčina]. – [OV 060]. – [príspevok] In: Nezávislé kultúrne centrá na Slovensku [textový dokument (print)] [elektronický dokument] / Fuják, Július [Zostavovateľ, editor] ; Ballay, Miroslav [Recenzent] ; Malíček, Juraj [Recenzent]. – 1. vyd. – Nitra (Slovensko) : Univerzita Konštantína Filozofa v Nitre, 2021. – ISBN 978-80-558-1674-6, s. 99-110 [tlačená forma] [online] </t>
  </si>
  <si>
    <t xml:space="preserve">Comparative Study of Phraseological Units with Proper Names in English and Russian Languages / Zelenická, Elena [Autor, UKFFFAJZC, 50%] ; Arsenteva, Elena [Autor, 50%] ; Šenkár, Patrik [Recenzent] ; Dudová, Katarína [Recenzent]. – text. – [angličtina]. – [OV 020]. – [príspevok] In: Moderné jazyky v súčasnej Európe [textový dokument (print)] / Zelenická, Elena [Zostavovateľ, editor]. – 1. vyd. – Nitra (Slovensko) : Univerzita Konštantína Filozofa v Nitre, 2018. – ISBN 978-80-558-1359-2, s. 157-171 [tlačená forma] </t>
  </si>
  <si>
    <t xml:space="preserve">Čas a dejiny v diele svätého Augustína / Palitefka, Jozef [Autor, UKFFFAKKU, 100%]. – text. – [slovenčina]. – [OV 020]. – [príspevok]. – [recenzované] In: Culturologica Slovaca [elektronický dokument] : internetový kulturologický časopis / Ballay, Miroslav [Zostavovateľ, editor]. – 1. vyd. – Roč. 3. – Nitra (Slovensko) : Univerzita Konštantína Filozofa v Nitre, 2018. – ISSN 2453-9740, s. 101-110 [online] </t>
  </si>
  <si>
    <t xml:space="preserve">Der EMT-Kompetenzrahmen und seine methodischen Anwendungsmöglichkeiten in der Übersetzerausbildung / Hodáková, Soňa [Autor, UKFFFAKTR, 100%]. – text. – [nemčina]. – [OV 020, 010]. – [príspevok] In: Translatologia [elektronický dokument] / Hodáková, Soňa [Zostavovateľ, editor]. – 1. vyd. – Roč. 4, č. 1. – Nitra (Slovensko) : Univerzita Konštantína Filozofa v Nitre, 2020. – ISSN (online) 2453-9899, s. 142-157 [online] </t>
  </si>
  <si>
    <t xml:space="preserve">Deštrukcia etnických stereotypov v  stredoeurópskych románoch pod pseudonymom / Németh, Zoltán [Autor, UKFFSSUML, 100%] ; Gbúr, Ján [Recenzent] ; Kučera, Petr [Recenzent]. – text. – [slovenčina]. – [OV 020]. – [príspevok] In: Imagológia ako výskum obrazov kultúry [textový dokument (print)] : (k reflexii etnických stereotypov krajín V4) / Zelenka, Miloš [Zostavovateľ, editor] ; Tkáč-Zabáková, Lenka [Zostavovateľ, editor]. – 1. vyd. – Nitra (Slovensko) : Univerzita Konštantína Filozofa v Nitre, 2018. – ISBN 978-80-558-1294-6, s. 51-60 [tlačená forma] </t>
  </si>
  <si>
    <t xml:space="preserve">Determination of Activation Energy in Dehydroxylation Region of Illite - based Ceramics by Thermodilatometry / Obert, Filip [Autor, UKFFPVKFY, 50%] ; Trník, Anton [Autor, UKFFPVKFY, 50%]. – text. – [angličtina]. – [OV 091]. – [príspevok] In: Physics - Applications and innovations [textový dokument (print)] : Part 1, Part 2 / Bilčík, Matúš [Zostavovateľ, editor] ; Božiková, Monika [Zostavovateľ, editor] ; Kráľová, Eva [Zostavovateľ, editor] ; Božiková, Monika [Recenzent] ; Cviklovič, Vladimír [Recenzent] ; Kažimírová, Viera [Recenzent] ; Korenko, Maroš [Recenzent] ; Kubík, Ľubomír [Recenzent] ; Olejár, Martin [Recenzent] ; Žarnovský, Jozef [Recenzent]. – 1. vyd. – Nitra (Slovensko) : Slovenská poľnohospodárska univerzita v Nitre, 2018. – ISBN 978-80-552-1915-8. – SIGN-UKO LF ULFB/18, s. 63-69 [tlačená forma] </t>
  </si>
  <si>
    <t xml:space="preserve">Deti vetra, obzretie po tridsiatich rokoch / Lužica, René [Autor, UKFFSVURS, 100%]. – text. – [slovenčina]. – [OV 060]. – [príspevok] In: Rómovia 30 rokov po revolúcii [textový dokument (print)] : úvahy a reflexie na ceste za slobodou / Rafael, Vlado [Zostavovateľ, editor] ; Rosinský, Rastislav [Recenzent] ; Pavlov, Ivan [Recenzent]. – 1. vyd. – Bratislava (Slovensko) : eduRoma - Roma education project, 2020. – ISBN 978-80-972680-7-7, s. 128-134 [tlačená forma] </t>
  </si>
  <si>
    <t xml:space="preserve">Detské úrazy v domácom prostredí a ich prevencia / Sedláčková, Lucia [Autor, 50%] ; Brázdilová, Dana [Autor, UKFFSVKUM, 50%]. – text. – [slovenčina]. – [OV 180]. – [príspevok] In: Optima Opus 2019 [textový dokument (print)] / Rosinský, Rastislav [Zostavovateľ, editor] ; Koleják, Kamil [Recenzent] ; Gabura, Ján [Recenzent]. – 1. vyd. – Nitra (Slovensko) : Univerzita Konštantína Filozofa v Nitre, 2020. – ISBN 978-80-558-1497-1, s. 31-51 [tlačená forma] </t>
  </si>
  <si>
    <t xml:space="preserve">Dieťa s Downovým syndrómom a narušená  komunikačná schopnosť = Child with Down syndrome and disturbed communication ability / Balážová, Jana [Autor, UKFPFAKPE, 100%]. – text. – [slovenčina]. – [OV 010]. – [ŠO 7605]. – [príspevok] In: Formovanie učiaceho sa spoločenstva v inkluzívnej škole [elektronický dokument] : zborník vedeckých štúdií / Janoško, Pavol [Zostavovateľ, editor] ; Majzlanová, Katarína [Recenzent] ; Zubal, Pavol [Recenzent] ; Kušnírová, Veronika [Recenzent]. – 1. vyd. – Bratislava (Slovensko) : Univerzita Komenského v Bratislave, 2021. – ISBN 978-80-223-5336-6. – SIGN-UKO PD LP/21, s. 57-70 [CD-ROM] </t>
  </si>
  <si>
    <t xml:space="preserve">Diferencie v pohybovej aktivite, radosti z pohybu a kvalite života u žiakov a žiačok stredných škôl / Broďáni, Jaroslav [Autor, UKFPFAKTV, 34%] ; Šiška, Ľuboslav [Autor, UKFPFAKTV, 33%] ; Kováčová, Natália [Autor, UKFPFAKTV, 33%] ; Bendíková, Elena [Recenzent] ; Koštial, Ján [Recenzent]. – [slovenčina]. – [OV 210]. – [príspevok] In: Aktuálne problémy telesnej výchovy a športu VII [elektronický dokument] : zborník vedeckých prác / Hubinák, Andrej [Zostavovateľ, editor]. – 1. vyd. – Ružomberok (Slovensko) : Katolícka univerzita v Ružomberku. VERBUM - vydavateľstvo KU, 2018. – ISBN 978-80-561-0540-5, s. 25-35 [CD-ROM] </t>
  </si>
  <si>
    <t xml:space="preserve">Differences in physical activity, joy of movement and quality of life of pupils of secondary schools with different levels of sport / Broďáni, Jaroslav [Autor, UKFPFAKTV, 25%] ; Kováčová, Natália [Autor, UKFPFAKTV, 25%] ; Šiška, Ľuboslav [Autor, UKFPFAKTV, 25%] ; Páleníková, Bianka [Autor, 25%]. – text. – [slovenčina]. – [OV 210, 060]. – [príspevok] In: Pohybová aktivita a kvalita života žiakov stredných škôl [textový dokument (print)] / Kalinková, Mária [Zostavovateľ, editor] ; Rozim, Robert [Recenzent] ; Kompan, Jaroslav [Recenzent]. – 1. vyd. – Nitra (Slovensko) : Univerzita Konštantína Filozofa v Nitre, 2018. – ISBN 978-80-558-1368-4, s. 208-211 [tlačená forma] </t>
  </si>
  <si>
    <t xml:space="preserve">Different alternative diets within two subgroups in a winter roost of longeared owls / Tulis, Filip [Autor, UKFFPVKEE, 33.334%] ; Veselovský, Tomáš [Autor, 33.333%] ; Birrer, Simon [Autor, 33.333%]. – text. – [angličtina]. – [OV 130]. – [príspevok]. – [recenzované]. – DOI 10.2478/srj-2019-0002. – SCO In: Raptor Journal [elektronický dokument] : formerly known as Slovak Raptor Journal - Ochrana dravcov na Slovensku (2007 - 2018) / [bez zostavovateľa] [Zostavovateľ, editor]. – 1. vyd. – Roč. 13, č. 1. – Bratislava (Slovensko) : De Gruyter, 2019. – ISSN (online) 2644-5247, 139-144 [online] </t>
  </si>
  <si>
    <t xml:space="preserve">Dichter und Richter, Denker und Henker : "Ambiquitätstoleranz" im DaF-Unterricht / Krause, Daniel [Autor, UKFFFAKGE, 100%] ; Šenkár, Patrik [Recenzent] ; Dudová, Katarína [Recenzent]. – [nemčina]. – [OV 020]. – [príspevok] In: Moderné jazyky v súčasnej Európe [textový dokument (print)] / Zelenická, Elena [Zostavovateľ, editor]. – 1. vyd. – Nitra (Slovensko) : Univerzita Konštantína Filozofa v Nitre, 2018. – ISBN 978-80-558-1359-2, s. 100-105 [tlačená forma] </t>
  </si>
  <si>
    <t xml:space="preserve">Dilematická povaha slobody (nezávislosti) v súčasnej kultúre. Sebaklam (ne)spútaného jednotlivca / Gabašová, Katarína [Autor, UKFFFAKKU, 100%]. – text. – [slovenčina]. – [OV 060]. – [príspevok] In: Charakter a vývoj nezávislej kultúry a umenia na Slovensku po roku 1989 [textový dokument (print)] / Fuják, Július [Zostavovateľ, editor] ; Mistrík, Erich [Recenzent] ; Javorská, Andrea [Recenzent]. – 1. vyd. – Nitra (Slovensko) : Univerzita Konštantína Filozofa v Nitre, 2020. – ISBN 978-80-558-1565-7, s. 73-83 [tlačená forma] </t>
  </si>
  <si>
    <t xml:space="preserve">Dilemmas der Mehrfachidentität / Öllös, László [Autor, UKFFFAKPO, 100%]. – text. – [nemčina]. – [OV 060]. – [príspevok]. – [recenzované] In: Acta Ethnologica Danubiana 22 / Liszka, József [Zostavovateľ, editor]. – 1. vyd. – Roč. 22. – Komárno (Slovensko) : Forum Minority Research Institute, 2020. – ISBN 978-80-89978-16-8, s. 195-203 [tlačená forma] </t>
  </si>
  <si>
    <t xml:space="preserve">Divadelní adaptace jako plagiát (na příkladu Jiráskových Psohlavců) / Zelenka, Miloš [Autor, UKFFSSUSJ, 100%]. – text. – [slovenčina]. – [OV 020]. – [príspevok] In: Komplexnosť tvorivosti [textový dokument (print)] : zborník príspevkov k jubileu Márie Bátorovej / Bojničanová, Renáta [Zostavovateľ, editor] ; Šimončíková Heribanová, Tamara [Zostavovateľ, editor] ; Žemberová, Viera [Recenzent] ; Hockicková, Beáta [Recenzent]. – 1. vyd. – Bratislava (Slovensko) : Slovenská akadémia vied. Veda, vydavateľstvo Slovenskej akadémie vied, 2020. – ISBN 978-80-224-1837-9. – SIGN-UKO PD RJ/20, s. 309-320 [tlačená forma] </t>
  </si>
  <si>
    <t xml:space="preserve">Dobrovoľníctvo a dobrovoľnícke programy v DOMKE - združení saleziánskej mládeže v Dubnici nad Váhom / Suchomelová, Veronika [Autor, 40%] ; Rusnáková, Jurina [Autor, UKFFSVURS, 60%]. – text. – [slovenčina]. – [OV 060]. – [príspevok] In: Optima Opus 2019 [textový dokument (print)] / Rosinský, Rastislav [Zostavovateľ, editor] ; Koleják, Kamil [Recenzent] ; Gabura, Ján [Recenzent]. – 1. vyd. – Nitra (Slovensko) : Univerzita Konštantína Filozofa v Nitre, 2020. – ISBN 978-80-558-1497-1, s. 134-148 [tlačená forma] </t>
  </si>
  <si>
    <t xml:space="preserve">Dramatická výchova v univerzitnom vzdelávaní / Kollárová, Dana [Autor, UKFPFAKPE, 40%] ; Zeleňáková, Hana [Autor, UKFFFAULK, 60%] ; Felix, Belo [Recenzent] ; Provazník, Jaroslav [Recenzent]. – text. – [slovenčina]. – [OV 020]. – [príspevok] In: Dramatická edukácia na Slovensku [textový dokument (print)] : zborník príspevkov o východiskách dramatickej edukácie na Slovensku / Inštitorisová, Dagmar [Zostavovateľ, editor] ; Evjáková, Daniela [Zostavovateľ, editor] ; Hyža, Ján [Zostavovateľ, editor]. – 1. vyd. – Senica (Slovensko) : Iniciatíva EDUdrama , 2018. – ISBN 978-80-971188-1-5, s. 113-129 [tlačená forma] </t>
  </si>
  <si>
    <t xml:space="preserve">Dýchanie a jeho ovplyvňovanie / Šlepecký, Miloš [Autor, UKFFSVKPV, 40%] ; Kotianová, Antónia [Autor, UKFFSVKPV, 30%] ; Praško Pavlov, Ján [Autor, UKFFSVKPV, 20%] ; Kotian, Michal [Autor, 10%] ; Štefarová, Iveta [Recenzent] ; Jurišová, Erika [Recenzent]. – [slovenčina]. – [OV 060]. – [kapitola] In: Princípy a metódy kognitívno behaviorálnej terapie [textový dokument (print)] / Praško Pavlov, Ján [Autor]. – 1. vyd. – Nitra (Slovensko) : Univerzita Konštantína Filozofa v Nitre, 2018. – ISBN 978-80-558-1348-6, s. 188-200 </t>
  </si>
  <si>
    <t xml:space="preserve">Edukácia / Zaťková, Marta [Autor, UKFFSVKPV, 50%] ; Šlepecký, Miloš [Autor, UKFFSVKPV, 50%] ; Štefarová, Iveta [Recenzent] ; Jurišová, Erika [Recenzent]. – text. – [slovenčina]. – [OV 060]. – [kapitola] In: Princípy a metódy kognitívno behaviorálnej terapie [textový dokument (print)] / Praško Pavlov, Ján [Autor]. – 1. vyd. – Nitra (Slovensko) : Univerzita Konštantína Filozofa v Nitre, 2018. – ISBN 978-80-558-1348-6, s. 130-136 </t>
  </si>
  <si>
    <t xml:space="preserve">Edukácia prvej pomoci pre pedagógov prvého stupňa = First aid for first-level teachers / Brázdilová, Dana [Autor, UKFFSVKUM, 80%] ; Čulagová, Miroslava [Autor, 20%]. – [slovenčina]. – [OV 180]. – [príspevok]. – TUAD PC018084 In: Sestry: hlas v popredí - vízia pre budúcnosť zdravotnej starostlivosti [elektronický dokument] : recenzovaný vedecký zborník vydaný pri príležitosti Medzinárodného dňa sestier 2021 / Spáčilová, Zuzana [Zostavovateľ, editor] ; Libová, Ľubica [Recenzent] ; Zrubcová, Dana [Recenzent]. – 1. vyd. – Nitra (Slovensko) : Univerzita Konštantína Filozofa v Nitre, 2021. – ISBN 978-80-558-1728-6, s. 10-17 [CD-ROM] </t>
  </si>
  <si>
    <t xml:space="preserve">Edukácia žiakov so zrakovým postihnutím / Žovinec, Erik [Autor, UKFPFAKPE, 100%]. – text. – [slovenčina]. – [OV 010]. – [kapitola] In: Špeciálna pedagogika 2 [textový dokument (print)] : kompendium súčasnej špeciálnej pedagogiky podľa užšieho zamerania pre špeciálnych pedagógov, liečebných pedagógov a logopédov / Žovinec, Erik [Autor] ; Jedličková, Petra [Autor] ; Debnárová Grznárová, Monika [Autor] ; Duchovičová, Jana [Autor] ; Koleňáková, Rebeka Štefánia [Autor] ; Hošová, Dominika [Autor] ; Beliková, Vladimíra [Autor] ; Žovinec, Erik [Zostavovateľ, editor] ; Seidler, Peter [Recenzent] ; Lechta, Viktor [Recenzent]. – 1. vyd. – Nitra (Slovensko) : Univerzita Konštantína Filozofa v Nitre, 2019. – ISBN 978-80-558-1379-0, s. 134-147 [tlačená forma] </t>
  </si>
  <si>
    <t xml:space="preserve">Edukácia žiakov zo sociálne znevýhodneného prostredia / Žovinec, Erik [Autor, UKFPFAKPE, 100%]. – text. – [slovenčina]. – [OV 010]. – [kapitola] In: Špeciálna pedagogika 2 [textový dokument (print)] : kompendium súčasnej špeciálnej pedagogiky podľa užšieho zamerania pre špeciálnych pedagógov, liečebných pedagógov a logopédov / Žovinec, Erik [Autor] ; Jedličková, Petra [Autor] ; Debnárová Grznárová, Monika [Autor] ; Duchovičová, Jana [Autor] ; Koleňáková, Rebeka Štefánia [Autor] ; Hošová, Dominika [Autor] ; Beliková, Vladimíra [Autor] ; Žovinec, Erik [Zostavovateľ, editor] ; Seidler, Peter [Recenzent] ; Lechta, Viktor [Recenzent]. – 1. vyd. – Nitra (Slovensko) : Univerzita Konštantína Filozofa v Nitre, 2019. – ISBN 978-80-558-1379-0, s. 200-211 [tlačená forma] </t>
  </si>
  <si>
    <t xml:space="preserve">Edukačné činnosti sestry u pacientov s chronickou chorobou pľúc = Educational activities of the nurse in patients with chronic lung disease / Krištofová, Erika [Autor, UKFFSVKOS, 50%] ; Pavelová, Ľuboslava [Autor, UKFFSVKOS, 50%] ; Botíková, Andrea [Recenzent] ; Kober, Lukáš [Recenzent]. – text. – [čeština]. – [OV 180]. – [príspevok] In: Sestry : hlas v popredí - zdravie je ľudské právo [textový dokument (print)] : recenzovaný vedecký zborník vydaný pri príležitosti Medzinárodného dňa sestier 2018 / Spáčilová, Zuzana [Zostavovateľ, editor]. – 1. vyd. – Nitra (Slovensko) : Univerzita Konštantína Filozofa v Nitre, 2018. – ISBN 978-80-558-1293-9, s. 34-40 [tlačená forma] </t>
  </si>
  <si>
    <t xml:space="preserve">Efebifóbia - analytický a etiologický pohľad / Jančovičová, Romana [Autor, 50%] ; Krause, Robert [Autor, UKFPFAKAP, 50%]. – text. – [slovenčina]. – [OV 010]. – [príspevok] In: Konvergencie vedeckej činnosti študentov a učiteľov 2 [textový dokument (print)] / Verešová, Marcela [Zostavovateľ, editor] ; Pavelová, Ľuba [Recenzent] ; Valihorová, Marta [Recenzent]. – 1. vyd. – Nitra (Slovensko) : Univerzita Konštantína Filozofa v Nitre, 2021. – ISBN 978-80-558-1732-3, s. 197-209 [tlačená forma] </t>
  </si>
  <si>
    <t xml:space="preserve">Efektivita komplexného pohybového programu telesnej prípravy pre profesionálnych vojakov / Markovič, Roman [Autor, UKFPFAKTV, 70%] ; Šimonek, Jaromír [Autor, UKFPFAKTV, 30%] ; Novotná, Nadežda [Recenzent] ; Lenková, Rút [Recenzent]. – text. – [slovenčina]. – [OV 210]. – [príspevok] In: Šport a rekreácia 2018 [textový dokument (print)] : zborník vedeckých prác / Broďáni, Jaroslav [Zostavovateľ, editor]. – 1. vyd. – Nitra (Slovensko) : Univerzita Konštantína Filozofa v Nitre, 2018. – ISBN 978-80-558-1301-1, s. 113-119 [tlačená forma] </t>
  </si>
  <si>
    <t xml:space="preserve">Efektivita útočného úderu v jednotlivých fázach setu vo volejbale / Paška, Ľubomír [Autor, UKFPFAKTV, 34%] ; Krajčovič, Jaroslav [Autor, UKFPFAKTV, 33%] ; Pacalajová, Lenka [Autor, 33%] ; Novotná, Nadežda [Recenzent] ; Lenková, Rút [Recenzent]. – text. – [slovenčina]. – [OV 210]. – [príspevok] In: Šport a rekreácia 2018 [textový dokument (print)] : zborník vedeckých prác / Broďáni, Jaroslav [Zostavovateľ, editor]. – 1. vyd. – Nitra (Slovensko) : Univerzita Konštantína Filozofa v Nitre, 2018. – ISBN 978-80-558-1301-1, s. 152-158 [tlačená forma] </t>
  </si>
  <si>
    <t xml:space="preserve">Efektívnosť projektu DIYPES na úroveň a zapojenosť stredoškolákov do hodín telesnej a športovej výchovy / Šimonek, Jaromír [Autor, UKFPFAKTV, 25%] ; Paška, Ľubomír [Autor, UKFPFAKTV, 25%] ; Czaková, Natália [Autor, UKFPFAKTV, 25%] ; Horička, Pavol [Autor, UKFPFAKTV, 25%] ; Görner, Karol [Recenzent] ; Lamcha, Lukasz [Recenzent]. – text. – [slovenčina]. – [OV 210]. – [príspevok] In: Žiak, pohyb, edukácia [elektronický dokument] : vedecký zborník 2018 / Merica, Marián [Zostavovateľ, editor]. – 1. vyd. – Bratislava (Slovensko) : Univerzita Komenského v Bratislave, 2018. – ISBN 978-80-223-4582-8, s. 337-343 [CD-ROM] </t>
  </si>
  <si>
    <t xml:space="preserve">Effective way to speaking skills development = Efektívny spôsob rozvoja zručností / Kálaziová, Ingrid [Autor, UKFFFAKAA, 100%]. – text. – [angličtina]. – [OV 010]. – [príspevok] In: Vzdelávaním k perspektívnemu uplatneniu (motivácia, kompetencie, adaptácia, pracovný trh) (1. časť) [elektronický dokument] : vedecký medzinárodný recenzovaný zborník / Hrehová, Daniela [Zostavovateľ, editor] ; Liška, Václav [Recenzent] ; Žiaran, Pavel [Recenzent]. – 1. vyd. – Košice (Slovensko) : Technická univerzita v Košiciach, 2020. – ISBN 978-80-553-3654-1. – SIGN-TUKE 222530, s. 118-123 [CD-ROM] </t>
  </si>
  <si>
    <t xml:space="preserve">Einfluss der Motivationsrichtung auf die Qualität und Stabilität der Dolmetschleistung / Hodáková, Soňa [Autor, UKFFFAKTR, 100%]. – text. – [nemčina]. – [OV 020]. – [príspevok] In: Translatologia [elektronický dokument] / Hodáková, Soňa [Zostavovateľ, editor]. – 1. vyd. – Roč. 3, č. 1. – Nitra (Slovensko) : Univerzita Konštantína Filozofa v Nitre, 2019. – ISSN (online) 2453-9899, s. 91-107 [online] </t>
  </si>
  <si>
    <t xml:space="preserve">Ekosystémové služby - význam ich hodnotenia v globálnom a slovenskom kontexte / Švajda, Juraj [Autor, UMBFP09, 50%] ; Černecký, Ján [Autor, UKFFPVKEE, 50%]. – [slovenčina]. – [OV 130]. – [príspevok] In: Úvod do systémovej ekológie (1) [elektronický dokument] : prípadové štúdie / Urban, Peter [Zostavovateľ, editor] ; Sabo, Peter [Zostavovateľ, editor] ; Kadlečík, Ján [Recenzent] ; Považan, Radoslav [Recenzent] ; Vološčuk, Ivan [Recenzent]. – 1. vyd. – Banská Bystrica (Slovensko) : Univerzita Mateja Bela v Banskej Bystrici. Vydavateľstvo Univerzity Mateja Bela v Banskej Bystrici - Belianum, 2021. – ISBN (online) 978-80-557-1841-5. – ISBN (online) 978-80-557-1842-2, s. 78-83 [CD-ROM] [online] </t>
  </si>
  <si>
    <t xml:space="preserve">Eliminácia stresu u pacienta počas transportu / Brázdilová, Dana [Autor, UKFFSVKUM, 90%] ; Braunerová, Judita [Autor, 10%]. – text. – [slovenčina]. – [OV 180]. – [príspevok] In: Sestry: hlas v popredí - ošetrovateľstvom ku globálnemu zdraviu [elektronický dokument] : recenzovaný vedecký zborník vydaný pri príležitosti Medzinárodného dňa sestier 2020 / Spáčilová, Zuzana [Zostavovateľ, editor] ; Hlinková, Edita [Recenzent] ; Zrubcová, Dana [Recenzent]. – 1. vyd. – Nitra (Slovensko) : Univerzita Konštantína Filozofa v Nitre, 2020. – ISBN 978-80-558-1596-1, s. 6-13 [CD-ROM] </t>
  </si>
  <si>
    <t xml:space="preserve">Emočná regulácia / Praško Pavlov, Ján [Autor, UKFFSVKPV, 30%] ; Šlepecký, Miloš [Autor, UKFFSVKPV, 30%] ; Kotianová, Antónia [Autor, UKFFSVKPV, 10%] ; Popelková, Marta [Autor, UKFFSVKPV, 30%] ; Štefarová, Iveta [Recenzent] ; Jurišová, Erika [Recenzent]. – text. – [slovenčina]. – [OV 060]. – [kapitola] In: Princípy a metódy kognitívno behaviorálnej terapie [textový dokument (print)] / Praško Pavlov, Ján [Autor]. – 1. vyd. – Nitra (Slovensko) : Univerzita Konštantína Filozofa v Nitre, 2018. – ISBN 978-80-558-1348-6, s. 237-254 </t>
  </si>
  <si>
    <t xml:space="preserve">Epistemicky nepodložené presvedčenia a prosociálne správanie / Bendová, Lucia [Autor, 50%] ; Ballová Mikušková, Eva [Autor, UKFPFAKAP, 50%]. – text. – [slovenčina]. – [OV 010]. – [príspevok] In: Konvergencie vedeckej činnosti študentov a učiteľov 2 [textový dokument (print)] / Verešová, Marcela [Zostavovateľ, editor] ; Pavelová, Ľuba [Recenzent] ; Valihorová, Marta [Recenzent]. – 1. vyd. – Nitra (Slovensko) : Univerzita Konštantína Filozofa v Nitre, 2021. – ISBN 978-80-558-1732-3, s. 136-150 [tlačená forma] </t>
  </si>
  <si>
    <t xml:space="preserve">Ethnochoreological Analysis of Changes in Dance Repertoire and Expression of Women from the Telgárt Village with Focus on Circle Dance / Krausová, Agáta [Autor, UKFFFAKEF, 100%]. – text. – [angličtina]. – [OV 030]. – [príspevok] In: Traditional Music and Dance in Contemporary Culture(s) [textový dokument (print)] / Ambrózová, Jana [Zostavovateľ, editor] ; Garaj, Bernard [Zostavovateľ, editor] ; Vejvoda, Zdeněk [Recenzent] ; Sliužinskas, Rimantas [Recenzent]. – 1. vyd. – Nitra (Slovensko) : Univerzita Konštantína Filozofa v Nitre, 2019. – ISBN 978-80-558-1477-3, s. 224-251 [tlačená forma] </t>
  </si>
  <si>
    <t xml:space="preserve">Etnicita ako prostriedok stereotypizácie (literárnych) postáv / Žilka, Tibor [Autor, UKFFSSUSJ, 100%] ; Gbúr, Ján [Recenzent] ; Kučera, Petr [Recenzent]. – text. – [slovenčina]. – [OV 020]. – [príspevok] In: Imagológia ako výskum obrazov kultúry [textový dokument (print)] : (k reflexii etnických stereotypov krajín V4) / Zelenka, Miloš [Zostavovateľ, editor] ; Tkáč-Zabáková, Lenka [Zostavovateľ, editor]. – 1. vyd. – Nitra (Slovensko) : Univerzita Konštantína Filozofa v Nitre, 2018. – ISBN 978-80-558-1294-6, s. 17-28 [tlačená forma] </t>
  </si>
  <si>
    <t xml:space="preserve">Etnické stereotypy postáv románu Pavla Rankova Stalo sa prvého septembra (alebo inokedy) / Guzmická, Hana [Autor, UKFFSSUSJ, 100%] ; Gbúr, Ján [Recenzent] ; Kučera, Petr [Recenzent]. – text. – [slovenčina]. – [OV 020]. – [príspevok] In: Imagológia ako výskum obrazov kultúry [textový dokument (print)] : (k reflexii etnických stereotypov krajín V4) / Zelenka, Miloš [Zostavovateľ, editor] ; Tkáč-Zabáková, Lenka [Zostavovateľ, editor]. – 1. vyd. – Nitra (Slovensko) : Univerzita Konštantína Filozofa v Nitre, 2018. – ISBN 978-80-558-1294-6, s. 105-110 [tlačená forma] </t>
  </si>
  <si>
    <t xml:space="preserve">Etnické stereotypy v ľudových naratívoch / Hlavinová Tekeliová, Dominika [Autor, UKFFSSUSJ, 100%] ; Gbúr, Ján [Recenzent] ; Kučera, Petr [Recenzent]. – text. – [slovenčina]. – [OV 020]. – [príspevok] In: Imagológia ako výskum obrazov kultúry [textový dokument (print)] : (k reflexii etnických stereotypov krajín V4) / Zelenka, Miloš [Zostavovateľ, editor] ; Tkáč-Zabáková, Lenka [Zostavovateľ, editor]. – 1. vyd. – Nitra (Slovensko) : Univerzita Konštantína Filozofa v Nitre, 2018. – ISBN 978-80-558-1294-6, s. 125-134 [tlačená forma] </t>
  </si>
  <si>
    <t xml:space="preserve">Európska identita - súbor otázok / Öllös, László [Autor, UKFFFAKPO, 100%]. – text. – [slovenčina]. – [OV 060]. – [príspevok] In: Fórum spoločenskovedná revue 2018 : Zborník štúdií výskumníkov a výskumníčok Fórum inštitútu pre výskum menšín / Lamplová, Zuzana [Zostavovateľ, editor] ; Kočnerová, Mária [Recenzent] ; Szarka, László [Recenzent]. – 1. vyd. – Šamorín (Slovensko) : Fórum inštitút pre výskum menšín, 2018. – ISBN 978-80-89978-02-1, s. 113-124 [tlačená forma] </t>
  </si>
  <si>
    <t xml:space="preserve">Evalvácia strojového prekladu do slovenčiny ako nástroj zlepšenia jazykových kompetencií / Bánik, Tomáš [Autor, UKFFFASJL, 100%] ; Šenkár, Patrik [Recenzent] ; Dudová, Katarína [Recenzent]. – [slovenčina]. – [OV 020]. – [príspevok] In: Moderné jazyky v súčasnej Európe [textový dokument (print)] / Zelenická, Elena [Zostavovateľ, editor]. – 1. vyd. – Nitra (Slovensko) : Univerzita Konštantína Filozofa v Nitre, 2018. – ISBN 978-80-558-1359-2, s. 23-33 [tlačená forma] </t>
  </si>
  <si>
    <t xml:space="preserve">Exkurzia, jej význam a uplatnenie vo vyučovaní zoológie / Šušková, Emília [Autor, 40%] ; Schlarmannová, Janka [Autor, UKFFPVKZA, 60%]. – text. – [slovenčina]. – [OV 010, 130]. – [príspevok] In: Príprava učiteľov prírodovedných, poľnohospodárskych a príbuzných odborov v meniacich sa požiadavkách praxe [elektronický dokument] / Sandanusová, Anna [Zostavovateľ, editor] ; Dytrtová, Radmila [Zostavovateľ, editor] ; Morovič, Martin [Recenzent] ; Švecová, Milada [Recenzent]. – 1 vyd. – Nitra (Slovensko) : Univerzita Konštantína Filozofa v Nitre, 2019. – ISBN 978-80-558-1393-6, s. 211-216 [CD-ROM] </t>
  </si>
  <si>
    <t xml:space="preserve">Expozičná liečba / Šlepecký, Miloš [Autor, UKFFSVKPV, 30%] ; Praško Pavlov, Ján [Autor, UKFFSVKPV, 30%] ; Novotný, Miroslav [Autor, 10%] ; Kotianová, Antónia [Autor, UKFFSVKPV, 30%] ; Štefarová, Iveta [Recenzent] ; Jurišová, Erika [Recenzent]. – [slovenčina]. – [OV 060]. – [kapitola] In: Princípy a metódy kognitívno behaviorálnej terapie [textový dokument (print)] / Praško Pavlov, Ján [Autor]. – 1. vyd. – Nitra (Slovensko) : Univerzita Konštantína Filozofa v Nitre, 2018. – ISBN 978-80-558-1348-6, s. 217-226 </t>
  </si>
  <si>
    <t xml:space="preserve">Facilitátor v edukačnom procese / Borisová, Simona [Autor, UKFPFAKPE, 100%]. – text. – [slovenčina]. – [OV 010]. – [príspevok] In: Pedagogica actualis 11 [textový dokument (print)] : spoločnosť a výchova / Sirotová, Mariana [Zostavovateľ, editor] ; Michvocíková, Veronika [Zostavovateľ, editor] ; Lenovský, Ladislav [Recenzent] ; Žáková, Martina [Recenzent]. – 1. vyd. – Trnava (Slovensko) : Univerzita sv. Cyrila a Metoda v Trnave, 2020. – ISBN 978-80-572-0045-1, s. 49-53 [tlačená forma] </t>
  </si>
  <si>
    <t xml:space="preserve">Fajčenie ako rizikový faktor životného štýlu u adolescentov = Smoking as lifestyle risk factor in adolescents / Spáčilová, Zuzana [Autor, UKFFSVKOS, 34%] ; Zrubcová, Dana [Autor, UKFFSVKOS, 33%] ; Solgajová, Andrea [Autor, UKFFSVKOS, 33%] ; Botíková, Andrea [Recenzent] ; Kober, Lukáš [Recenzent]. – text. – [čeština]. – [OV 180]. – [príspevok] In: Sestry : hlas v popredí - zdravie je ľudské právo [textový dokument (print)] : recenzovaný vedecký zborník vydaný pri príležitosti Medzinárodného dňa sestier 2018 / Spáčilová, Zuzana [Zostavovateľ, editor]. – 1. vyd. – Nitra (Slovensko) : Univerzita Konštantína Filozofa v Nitre, 2018. – ISBN 978-80-558-1293-9, s. 127-135 [tlačená forma] </t>
  </si>
  <si>
    <t xml:space="preserve">Faktorová štruktúra pohybových schopností atlétov športového gymnázia v Nitre = Factor structure of motor abilities of athletes from sports gymnasium in Nitra / Broďáni, Jaroslav [Autor, UKFPFAKTV, 33.334%] ; Kováčová, Natália [Autor, UKFPFAKTV, 33.333%] ; Czaková, Natália [Autor, UKFPFAKTV, 33.333%]. – text. – [slovenčina]. – [OV 010, 210]. – [príspevok] In: Aktuálne problémy telesnej výchovy a športu IX [elektronický dokument] : zborník vedeckých prác / Šiška, Ľuboslav [Zostavovateľ, editor] ; Šutka, Vladimír [Recenzent] ; Kalinková, Mária [Recenzent]. – 1. vyd. – Roč. 9. – Ružomberok (Slovensko) : Katolícka univerzita v Ružomberku. VERBUM - vydavateľstvo KU, 2020. – ISBN 978-80-561-0757-7. – SIGN-KU EIZ-343, s. 83-92 [CD-ROM] </t>
  </si>
  <si>
    <t xml:space="preserve">Falšovanie mincí v 19. a na počiatku 20. storočia: zmeny technológie výroby a zloženia kovov, výber nominále / Šustek, Zbyšek [Autor, 50%] ; Tirpák, Ján [Autor, UKFFPVGMU, 50%]. – [slovenčina]. – [OV 030]. – [príspevok]. – [recenzované] In: Numizmatika [textový dokument (print)] : spravodajca Slovenskej numizmatickej spoločnosti / [bez zostavovateľa] [Zostavovateľ, editor]. – 1. vyd. – Roč. 27, č. 1. – Bratislava (Slovensko) : Slovenská numizmatická spoločnosť, 2018. – ISBN 80-901414-0-4, s. 73-85 [tlačená forma] </t>
  </si>
  <si>
    <t xml:space="preserve">Financovanie vzdelávania ako jeden z aspektov trvalo udržateľného rozvoja miestnych samospráv v podmienkach Slovenska / Papcunová, Viera [Autor, UKFFPVUMI, 100%]. – text. – [slovenčina]. – [OV 060]. – [príspevok] In: Trvalo udržateľný rozvoj v krajinách Európskej únie [elektronický dokument] : nekonferenčný zborník vedeckých prác / Čepelová, Anna [Zostavovateľ, editor] ; Koreňová, Darina [Zostavovateľ, editor] ; Bobenič Hintošová, Aneta [Recenzent] ; Droppa, Milan [Recenzent] ; Mihalíková, Eva [Recenzent]. – 1. vyd. – Košice (Slovensko) : Univerzita Pavla Jozefa Šafárika v Košiciach, 2019. – ISBN 978-80-8152-747-0. – sign UPJS VSEP 02551, s. 24-32 [CD-ROM] </t>
  </si>
  <si>
    <t xml:space="preserve">Five littlemonkeys : teaching EFL to very young learnersthrough a story pyramidand other effective teaching techniques / Hornáčková Klapicová, Edita [Autor, UKFFFAKTR, 80%] ; Reister, Megan A. [Autor, 20%]. – text. – [slovenčina]. – [OV 020]. – [príspevok] In: Jazykovedné, literárnovedné a didaktické kolokvium L-3 [elektronický dokument] : zborník vedeckých prác a vedeckých štúdií / Lančarič, Daniel [Zostavovateľ, editor] ; Javorčíková, Jana [Recenzent] ; Šipošová, Martina [Recenzent] ; Lagerová, Viera [Recenzent]. – 1. vyd. – Bratislava (Slovensko) : Z-F LINGUA, 2019. – ISBN 978-80-8177-062-3. – SIGN-UKO FI 6/19 AA, s. 9-20 [CD-ROM] </t>
  </si>
  <si>
    <t xml:space="preserve">Folklore, Active Seniors or Ageism in Slovakia? / Beňušková, Zuzana [Autor, UKFFFAKEF, 100%]. – text. – [angličtina]. – [OV 030]. – [príspevok] In: Traditional Music and Dance in Contemporary Culture(s) [textový dokument (print)] / Ambrózová, Jana [Zostavovateľ, editor] ; Garaj, Bernard [Zostavovateľ, editor] ; Vejvoda, Zdeněk [Recenzent] ; Sliužinskas, Rimantas [Recenzent]. – 1. vyd. – Nitra (Slovensko) : Univerzita Konštantína Filozofa v Nitre, 2019. – ISBN 978-80-558-1477-3, s. 166-177 [tlačená forma] </t>
  </si>
  <si>
    <t xml:space="preserve">Formovanie stereotypného pohľadu na Židov v slovenskej tlači / Gallik, Ján [Autor, UKFFSSUSJ, 100%] ; Gbúr, Ján [Recenzent] ; Kučera, Petr [Recenzent]. – text. – [slovenčina]. – [OV 020]. – [príspevok] In: Imagológia ako výskum obrazov kultúry [textový dokument (print)] : (k reflexii etnických stereotypov krajín V4) / Zelenka, Miloš [Zostavovateľ, editor] ; Tkáč-Zabáková, Lenka [Zostavovateľ, editor]. – 1. vyd. – Nitra (Slovensko) : Univerzita Konštantína Filozofa v Nitre, 2018. – ISBN 978-80-558-1294-6, s. 73-86 [tlačená forma] </t>
  </si>
  <si>
    <t xml:space="preserve">Foundations and Traditions of Translation and Interpreting Training in Slovakia / Gromová, Edita [Autor, UKFFFAKTR, 50%] ; Müglová, Daniela [Autor, UKFFFAKTR, 50%]. – text. – [angličtina]. – [OV 020]. – [príspevok] In: Translation and interpreting training in Slovakia [elektronický dokument] / Djovčoš, Martin [Zostavovateľ, editor] ; Šveda, Pavol [Zostavovateľ, editor] ; Hodáková, Soňa [Recenzent] ; Laš, Matej [Recenzent]. – 1. vyd. – Bratislava (Slovensko) : Univerzita Komenského v Bratislave. Filozofická fakulta UK. Stimul, 2021. – ISBN 978-80-8127-320-9. – ISBN 978-80-8127-321-6, s. 11-36 [online] </t>
  </si>
  <si>
    <t xml:space="preserve">Fragmentácia a ochrana konektivity krajiny / Švajda, Juraj [Autor, UMBFP09, 50%] ; Černecký, Ján [Autor, UKFFPVKEE, 50%]. – [slovenčina]. – [OV 130]. – [príspevok] In: Úvod do systémovej ekológie (1) [elektronický dokument] : prípadové štúdie / Urban, Peter [Zostavovateľ, editor] ; Sabo, Peter [Zostavovateľ, editor] ; Kadlečík, Ján [Recenzent] ; Považan, Radoslav [Recenzent] ; Vološčuk, Ivan [Recenzent]. – 1. vyd. – Banská Bystrica (Slovensko) : Univerzita Mateja Bela v Banskej Bystrici. Vydavateľstvo Univerzity Mateja Bela v Banskej Bystrici - Belianum, 2021. – ISBN (online) 978-80-557-1841-5. – ISBN (online) 978-80-557-1842-2, s. 69-77 [CD-ROM] [online] </t>
  </si>
  <si>
    <t xml:space="preserve">Francúzska cestopisná literatúra a vznik frankofónie / Pišová, Paula [Autor, UKFFFAKRO, 100%]. – text. – [slovenčina]. – [OV 020]. – [príspevok] In: Codex historico-Critica 2021 [elektronický dokument] : noetické východiská v kontexte interdisciplinárnych prístupov k histórii, literatúre, jazyku a umeniam / Šteflová, Lucia [Zostavovateľ, editor] ; Markovič, Pavol [Zostavovateľ, editor] ; Kollárová, Nina [Recenzent] ; Makky, Lukáš [Recenzent]. – 1. vyd. – Prešov (Slovensko) : Prešovská univerzita v Prešove, 2021. – ISBN (online) 978-80-555-2843-4. – SIGN-PU FF-21 399/21, s. 54-72 [online] </t>
  </si>
  <si>
    <t xml:space="preserve">Genéza reflexie prekladu spoločenskovedných textov vo svetle nitrianskej školy / Gromová, Edita [Autor, UKFFFAKTR, 100%]. – text. – [slovenčina]. – [OV 020]. – [príspevok] In: Preklad vo vedách o človeku a dialóg kultúr [textový dokument (print)] / Kusá, Mária [Zostavovateľ, editor] ; Rondziková, Natália [Zostavovateľ, editor] ; Djovčoš, Martin [Recenzent] ; Tyšš, Igor [Recenzent]. – 1. vyd. – Bratislava (Slovensko) : Slovenská akadémia vied. Veda, vydavateľstvo Slovenskej akadémie vied, 2020. – ISBN 978-80-224-1873-7, s. 11-20 [tlačená forma] </t>
  </si>
  <si>
    <t xml:space="preserve">Heraldika v prostredí stredovekých uhorských arcibiskupov a biskupov / Glejtek, Miroslav [Autor, UKFFFAKHI, 100%]. – text. – [slovenčina]. – [OV 030]. – [príspevok] In: Arcibiskupi a biskupi Uhorska [textový dokument (print)] : moc prelátov a jej prejavy v stredoveku / Glejtek, Miroslav [Zostavovateľ, editor] ; Maliniak, Pavol [Recenzent] ; Šedivý, Juraj [Recenzent]. – 1. vyd. – Bratislava (Slovensko) : Post Scriptum, 2020. – ISBN 978-80-8218-016-2, s. 316-330 [tlačená forma] </t>
  </si>
  <si>
    <t xml:space="preserve">Historical outline on teaching english as a foreign language with regards to communicative competence and its importance within Slovak primary education / Pauliková, Klaudia [Autor, UKFPFAKLI, 100%]. – [slovenčina]. – [OV 020]. – [príspevok] In: Jazykovedné, literárnovedné a didaktické kolokvium L-3 [elektronický dokument] : zborník vedeckých prác a vedeckých štúdií / Lančarič, Daniel [Zostavovateľ, editor] ; Javorčíková, Jana [Recenzent] ; Šipošová, Martina [Recenzent] ; Lagerová, Viera [Recenzent]. – 1. vyd. – Bratislava (Slovensko) : Z-F LINGUA, 2019. – ISBN 978-80-8177-062-3. – SIGN-UKO FI 6/19 AA, s. 100-113 [CD-ROM] </t>
  </si>
  <si>
    <t xml:space="preserve">Historické produkčné areály v Severných Karpatoch : Anton Točík legenda slovenskej archeológie / Wiedermann, Egon [Autor, UKFFFAKMU, 100%] ; Bednár, Peter [Recenzent] ; Labuda, Jozef [Recenzent]. – [slovenčina]. – [OV 030]. – [kapitola] In: Anton Točík [textový dokument (print)] : legenda slovenskej archeológie / Bátora, Jozef [Zostavovateľ, editor] ; Kujovský, Rudolf [Zostavovateľ, editor] ; Ruttkay, Matej [Zostavovateľ, editor] ; Vladár, Jozef [Zostavovateľ, editor]. – 1. vyd. – Nitra (Slovensko) : Slovenská akadémia vied. Pracoviská SAV. Archeologický ústav, 2018. – (Archaeologica Slovaca Monographiae : Communicationes ; 20). – ISBN 978-80-8196-015-4, s. 193-199 [tlačená forma] </t>
  </si>
  <si>
    <t xml:space="preserve">Historické témy v súčasnej opere : ako odolať mýtom a nepodľahnúť imaginácii? / Beličová, Renáta [Autor, UKFFFAULK, 100%]. – text. – [slovenčina]. – [OV 020]. – [príspevok] In: Obrazy citlivých miest slovenskej histórie. Reinterpretácia kultúrnej pamäti v umení [textový dokument (print)] / Kapsová, Eva [Zostavovateľ, editor] ; Šabík, Vincent [Recenzent] ; Hochel, Igor [Recenzent]. – 1. vyd. – Nitra (Slovensko) : Univerzita Konštantína Filozofa v Nitre, 2018. – ISBN 978-80-558-1354-7, s. 161-204 [tlačená forma] </t>
  </si>
  <si>
    <t xml:space="preserve">Histriónska porucha osobnosti v kontexte raných maladaptívnych schém / Polláková, Ema Lujza [Autor, 40%] ; Popelková, Marta [Autor, UKFFSVKPV, 60%]. – text. – [slovenčina]. – [OV 060]. – [príspevok] In: Optima Opus 2019 [textový dokument (print)] / Rosinský, Rastislav [Zostavovateľ, editor] ; Koleják, Kamil [Recenzent] ; Gabura, Ján [Recenzent]. – 1. vyd. – Nitra (Slovensko) : Univerzita Konštantína Filozofa v Nitre, 2020. – ISBN 978-80-558-1497-1, s. 72-89 [tlačená forma] </t>
  </si>
  <si>
    <t xml:space="preserve">Hodnota vzdelania u odsúdených žien / Temiaková, Dominika [Autor, UKFPFAKPE, 100%]. – text. – [slovenčina]. – [OV 010]. – [príspevok] In: Andragogické štúdie 2021 [textový dokument (print)] / Krystoň, Miroslav [Zostavovateľ, editor] ; Beneš, Milan [Recenzent] ; Müller De Morais, Marianna [Recenzent]. – 1. vyd. – Banská Bystrica (Slovensko) : Univerzita Mateja Bela v Banskej Bystrici. Vydavateľstvo Univerzity Mateja Bela v Banskej Bystrici - Belianum, 2021. – ISBN 978-80-557-1893-4, s. 165-173 [tlačená forma] </t>
  </si>
  <si>
    <t xml:space="preserve">Hodnotenie kompetencie učiteľa: použitie vyučovacích metód a foriem práce / Gadušová, Zdenka [Autor, UKFFFAKAA, 50%] ; Malá, Eva [Autor, 50%]. – text. – [slovenčina]. – [OV 020]. – [príspevok] In: Lingvistika a literatúra vo výskume anglistov [elektronický dokument] : zborník k životnému jubileu docenta Pavla Kvetka, mimoriadneho profesora / Hudcovičová, Marianna [Zostavovateľ, editor] ; Petrášová, Božena [Zostavovateľ, editor] ; Tárnyiková, Jarmila [Recenzent] ; Kolář, Pavel [Recenzent]. – 1. vyd. – Trnava (Slovensko) : Univerzita sv. Cyrila a Metoda v Trnave, 2021. – ISBN (online) 978-80-572-0125-0, s. 24-33 [CD-ROM] </t>
  </si>
  <si>
    <t xml:space="preserve">Hodnotenie uhlových zmien pri korčuľovaní u vrcholového hráča ľadového hokeja / Krajčovič, Jaroslav [Autor, UKFPFAKTV, 40%] ; Lindeman, Marek [Autor, 20%] ; Paška, Ľubomír [Autor, UKFPFAKTV, 40%]. – text. – [slovenčina]. – [OV 210]. – [príspevok] In: Šport a rekreácia 2021 (Recenzovaný nekonferenčný zborník vedecko-výskumných a odborných prác,  zameraný na prezentáciu poznatkov v oblasti športu, telesnej výchovy,  diagnostiky, zdravia, rekreácie, cestovného ruchu, regenerácie, manažmentu,  atď.) [textový dokument (print)] [elektronický dokument] : zborník vedeckých prác / Broďáni, Jaroslav [Zostavovateľ, editor] ; Czaková, Monika [Zostavovateľ, editor] ; Dvořáčková, Natália [Zostavovateľ, editor] ; Boržíková, Iveta [Recenzent] ; Chovanová, Erika [Recenzent] ; Halmová, Nora [Recenzent] ; Kanásová, Janka [Recenzent] ; Labudová, Jana [Recenzent] ; Šutka, Vladimír [Recenzent] ; Uher, Ivan [Recenzent] ; Michal, Jíro [Recenzent] ; Rozim, Robert [Recenzent] ; Kutlík, Dušan [Recenzent] ; Adamčák, Štefan [Recenzent] ; Broďáni, Jaroslav [Recenzent] ; Grznár, Ľuboš [Recenzent] ; Divinec, Lenka [Recenzent] ; Marko, Michal [Recenzent] ; Kraček, Stanislav [Recenzent] ; Leütterová, Daniela [Recenzent] ; Horička, Pavol [Recenzent]. – 1. vyd. – Nitra (Slovensko) : Univerzita Konštantína Filozofa v Nitre. Pedagogická fakulta UKF. Katedra telesnej výchovy a športu, 2021. – ISBN 978-80-558-1726-2, s. 247-252 [tlačená forma] [online] </t>
  </si>
  <si>
    <t xml:space="preserve">Hospodárska situácia v Nitre a v Nitrianskom okrese v období autonómie Slovenska / Hasarová, Zuzana [Autor, UKFFFAKHI, 50%] ; Palárik, Miroslav [Autor, UKFFFAKHI, 50%]. – text. – [slovenčina]. – [OV 030]. – [príspevok] In: Od demokracie k autoritárstvu. Ponitrie v období autonómie (1938 – 1939) [textový dokument (print)] [elektronický dokument] / Arpáš, Róbert [Zostavovateľ, editor] ; Ruman, Ladislav [Recenzent] ; Mičko, Peter [Recenzent]. – 1. vyd. – Nitra (Slovensko) : Univerzita Konštantína Filozofa v Nitre, 2021. – ISBN 978-80-558-1672-2, s. 93-126 [tlačená forma] [online] </t>
  </si>
  <si>
    <t xml:space="preserve">Hospodárstvo v súčasnosti / Dubcová, Alena [Autor, UKFFPVKGR, 100%] ; Bátovská, Jarmila [Recenzent] ; Vincze, Ladislav [Recenzent]. – text. – [slovenčina]. – [OV 092]. – [kapitola] In: Lehota [textový dokument (print)] : príroda, história, pamiatky, tradície, súčasnosť / Keresteš, Peter [Zostavovateľ, editor]. – 1. vyd. – Nitra (Slovensko) : EN ARS, 2018. – ISBN 978-80-973164-0-2. – TUT ID E073351, s. 199-206 [tlačená forma] </t>
  </si>
  <si>
    <t xml:space="preserve">Hrad Dobrá Niva = Dobrá Niva Castle / Beljak Pažinová, Noémi [Autor, UKFFFAKAR, 45%] ; Beljak, Ján [Autor, 10%] ; Maliniak, Pavol [Autor, UMBFF02, 11%] ; Šimkovic, Michal [Autor, 7%] ; Repka, Dominik [Autor, UKFFFAKAR, 23%] ; Šimunková, Katarína [Autor, UKFFFAKAR, 4%]. – text. – [slovenčina]. – [OV 030]. – [príspevok] In: Stredoveké hrady na strednom Pohroní [textový dokument (print)] / Beljak Pažinová, Noémi [Zostavovateľ, editor] ; Mordovin, Maxim [Recenzent] ; Labuda, Jozef [Recenzent]. – 1. vyd. – Nitra (Slovensko) : Slovenská akadémia vied. Pracoviská SAV. Archeologický ústav, 2021. – ISBN 978-80-8196-052-9, s. 183-198 [tlačená forma] </t>
  </si>
  <si>
    <t xml:space="preserve">Hrad Peťuša = Peťuša Castle / Beljak Pažinová, Noémi [Autor, UKFFFAKAR, 61%] ; Beljak, Ján [Autor, 10%] ; Ragač, Radoslav [Autor, 7%] ; Šimkovic, Michal [Autor, 10%] ; Styk, Matej [Autor, UKFFFAKAR, 6%] ; Šimunková, Katarína [Autor, UKFFFAKAR, 6%]. – text. – [slovenčina]. – [OV 030]. – [príspevok] In: Stredoveké hrady na strednom Pohroní [textový dokument (print)] / Beljak Pažinová, Noémi [Zostavovateľ, editor] ; Mordovin, Maxim [Recenzent] ; Labuda, Jozef [Recenzent]. – 1. vyd. – Nitra (Slovensko) : Slovenská akadémia vied. Pracoviská SAV. Archeologický ústav, 2021. – ISBN 978-80-8196-052-9, s. 117-136 [tlačená forma] </t>
  </si>
  <si>
    <t xml:space="preserve">Hrad Revište = Revište Castle / Bóna, Martin [Autor, 20%] ; Debnár, Peter [Autor, 20%] ; Jančiová, Barbora [Autor, UKFFFAKAR, 20%] ; Maliniak, Pavol [Autor, 20%] ; Mazúr, Ratibor [Autor, 20%]. – text. – [slovenčina]. – [OV 030]. – [príspevok] In: Stredoveké hrady na strednom Pohroní [textový dokument (print)] / Beljak Pažinová, Noémi [Zostavovateľ, editor] ; Mordovin, Maxim [Recenzent] ; Labuda, Jozef [Recenzent]. – 1. vyd. – Nitra (Slovensko) : Slovenská akadémia vied. Pracoviská SAV. Archeologický ústav, 2021. – ISBN 978-80-8196-052-9, s. 65-92 [tlačená forma] </t>
  </si>
  <si>
    <t xml:space="preserve">Hungariká v tvorbe Ladislav Balleka (Pomocník) a Daniely Kapitáňovej (Kniha o cintoríne) / Guzmická, Hana [Autor, UKFFSSUSJ, 100%] ; Zelenka, Miloš [Recenzent] ; Magalová, Gabriela [Recenzent]. – text. – [slovenčina]. – [OV 020]. – [príspevok] In: Kultúra a súčasnosť 17 [textový dokument (print)] / Gallik, Ján [Zostavovateľ, editor] ; Jozek, Milan [Zostavovateľ, editor]. – 1. vyd. – Nitra (Slovensko) : Univerzita Konštantína Filozofa v Nitre, 2018. – ISBN 978-80-558-1296-0, s. 91-98 [tlačená forma] </t>
  </si>
  <si>
    <t xml:space="preserve">Charakteristika sídla / Kramáreková, Hilda [Autor, UKFFPVKGR, 100%]. – text. – [slovenčina]. – [OV 092]. – [príspevok] In: Močenok [textový dokument (print)] : monografia obce / Keresteš, Peter [Zostavovateľ, editor] ; Meliš, Jozef [Recenzent] ; Nemčíková, Magdaléna [Recenzent]. – 1. vyd. – Nitra (Slovensko) : EN ARS, 2020. – ISBN 978-80-973164-5-7, s. 357-358 [tlačená forma] </t>
  </si>
  <si>
    <t xml:space="preserve">Chinese Tourists in Europe and Slovakia - Cultural Specifics, Travel Habits and Expectations / Sándorová, Zuzana [Autor, UKFPFAKLI, 50%] ; Tomovics, Evelin [Autor, 50%]. – text. – [angličtina]. – [OV 080]. – [príspevok] In: Humanitné a spoločenské vedy v pregraduálnom vzdelávaní 2 [elektronický dokument] / Lančarič, Daniel [Zostavovateľ, editor] ; Adamcová, Lívia [Recenzent] ; Lagerová, Viera [Recenzent] ; Šipošová, Martina [Recenzent]. – 1. vyd. – Bratislava (Slovensko) : Z-F LINGUA, 2021. – ISBN 978-80-8177-084-5, s. 133-155 [CD-ROM] </t>
  </si>
  <si>
    <t xml:space="preserve">Christianizácia územia Moravy a Slovenska - od misií k arcibiskupstvu / Ivanič, Peter [Autor, UKFFFAUKD, 100%]. – text. – [slovenčina]. – [OV 030]. – [príspevok] In: Arcibiskupi a biskupi Uhorska [textový dokument (print)] : moc prelátov a jej prejavy v stredoveku / Glejtek, Miroslav [Zostavovateľ, editor] ; Maliniak, Pavol [Recenzent] ; Šedivý, Juraj [Recenzent]. – 1. vyd. – Bratislava (Slovensko) : Post Scriptum, 2020. – ISBN 978-80-8218-016-2, s. 35-48 [tlačená forma] </t>
  </si>
  <si>
    <t xml:space="preserve">Identifikácia kompetitívnej úzkosti u športovcov / Sollár, Tomáš [Autor, UKFFSVUAP, 50%] ; Romanová, Martina [Autor, UKFFSVUAP, 50%] ; Novotná, Nadežda [Recenzent] ; Lenková, Rút [Recenzent]. – text. – [slovenčina]. – [OV 060]. – [príspevok] In: Šport a rekreácia 2018 [textový dokument (print)] : zborník vedeckých prác / Broďáni, Jaroslav [Zostavovateľ, editor]. – 1. vyd. – Nitra (Slovensko) : Univerzita Konštantína Filozofa v Nitre, 2018. – ISBN 978-80-558-1301-1, s. 83-88 [tlačená forma] </t>
  </si>
  <si>
    <t xml:space="preserve">Identifikácia rodových rozdielov v motivácii k pohybovej aktivite u študentov stredných škôl / Romanová, Martina [Autor, UKFFSVUAP, 50%] ; Sollár, Tomáš [Autor, UKFFSVUAP, 50%]. – text. – [slovenčina]. – [OV 210, 060]. – [príspevok] In: Pohybová aktivita a kvalita života žiakov stredných škôl [textový dokument (print)] / Kalinková, Mária [Zostavovateľ, editor] ; Rozim, Robert [Recenzent] ; Kompan, Jaroslav [Recenzent]. – 1. vyd. – Nitra (Slovensko) : Univerzita Konštantína Filozofa v Nitre, 2018. – ISBN 978-80-558-1368-4, s. 61-67 [tlačená forma] </t>
  </si>
  <si>
    <t xml:space="preserve">Identifikácia sklených náhrad drahých kameňov / Illášová, Ľudmila [Autor, UKFFPVGMU, 50%] ; Štubňa, Ján [Autor, UKFFPVGMU, 45%] ; Turnovec, Ivan [Autor, 5%] ; Černá, Eva [Recenzent] ; Plško, Alfonz [Recenzent]. – [slovenčina]. – [OV 092]. – [príspevok] In: Historické sklo [textový dokument (print)] : multidisciplinárne o historickom skle 3 / Staššíková-Štukovská, Danica [Zostavovateľ, editor]. – 1. vyd. – Roč. 3. – Bratislava (Slovensko) : Slovenská akadémia vied, 2018. – ISBN 978-80-570-0399-1, s. 13-16 [tlačená forma] </t>
  </si>
  <si>
    <t xml:space="preserve">Ideové princípy encykliky Grande munus (1880) transponované do diel talianskych cirkevných historikov z roku 1881 / Lukáčová, Martina [Autor, UKFFFAKRO, 100%]. – text. – [slovenčina]. – [OV 030]. – [príspevok] In: Cyrilo-metodská tradícia ako spájajúci fenomén [textový dokument (print)] / Letz, Róbert [Zostavovateľ, editor] ; Judák, Viliam [Zostavovateľ, editor] ; Zubko, Peter [Recenzent] ; Coranič, Jaroslav [Recenzent]. – 1. vyd. – Nitra (Slovensko) : Kňazský seminár sv. Gorazda, 2020. – (Studia Theologica Nitriensia ; 18). – ISBN 978-80-89481-57-6. – SIGN-UKO RK 62/10. – SIGN-UKO PD HI/20, s. 51-60 [tlačená forma] </t>
  </si>
  <si>
    <t xml:space="preserve">Individuálne protektívne faktory a ich vzťah k produkcii rizikového správania / Ballová Mikušková, Eva [Autor, UKFPFAKAP, 50%] ; Poliaková, Michaela [Autor, 50%]. – text. – [slovenčina]. – [OV 060]. – [príspevok] In: Konvergencie vedeckej činnosti študentov a učiteľov [textový dokument (print)] / Verešová, Marcela [Zostavovateľ, editor] ; Pavelová, Ľuba [Recenzent] ; Valihorová, Marta [Recenzent]. – 1. vyd. – Nitra (Slovensko) : Univerzita Konštantína Filozofa v Nitre, 2020. – ISBN 978-80-558-1543-5, s. 33-43 [tlačená forma] </t>
  </si>
  <si>
    <t xml:space="preserve">Informácie v digitálnom veku : sondáž do vzťahu medzi participačnou kultúrou a nezávislosťou mediálnej produkcie v internetovom / Olejárová, Andrea [Autor, UKFFFAKKU, 100%]. – text. – [slovenčina]. – [OV 020]. – [príspevok] In: Charakter a vývoj nezávislej kultúry a umenia na Slovensku po roku 1989 [textový dokument (print)] / Fuják, Július [Zostavovateľ, editor] ; Mistrík, Erich [Recenzent] ; Javorská, Andrea [Recenzent]. – 1. vyd. – Nitra (Slovensko) : Univerzita Konštantína Filozofa v Nitre, 2020. – ISBN 978-80-558-1565-7, s. 297-308 [tlačená forma] </t>
  </si>
  <si>
    <t xml:space="preserve">Integration of audiovisual translation training into a translation study programme / Paulínyová, Lucia [Autor, UKOFIAA, 40%] ; Perez, Emília [Autor, UKFFFAKTR, 60%]. – text. – [angličtina]. – [OV 020]. – [príspevok] In: Translation and interpreting training in Slovakia [elektronický dokument] / Djovčoš, Martin [Zostavovateľ, editor] ; Šveda, Pavol [Zostavovateľ, editor] ; Hodáková, Soňa [Recenzent] ; Laš, Matej [Recenzent]. – 1. vyd. – Bratislava (Slovensko) : Univerzita Komenského v Bratislave. Filozofická fakulta UK. Stimul, 2021. – ISBN 978-80-8127-320-9. – ISBN 978-80-8127-321-6, s. 138-156 [1,95 AH] [online] </t>
  </si>
  <si>
    <t xml:space="preserve">Interaction of physical activity, joy of physical activity and quality of life of high school students with different level of sport performance / Broďáni, Jaroslav [Autor, UKFPFAKTV, 34%] ; Šiška, Ľuboslav [Autor, UKFPFAKTV, 33%] ; Kováčová, Natália [Autor, UKFPFAKTV, 33%]. – text. – [slovenčina]. – [OV 210, 060]. – [príspevok] In: Pohybová aktivita a kvalita života žiakov stredných škôl [textový dokument (print)] / Kalinková, Mária [Zostavovateľ, editor] ; Rozim, Robert [Recenzent] ; Kompan, Jaroslav [Recenzent]. – 1. vyd. – Nitra (Slovensko) : Univerzita Konštantína Filozofa v Nitre, 2018. – ISBN 978-80-558-1368-4, s. 106-116 [tlačená forma] </t>
  </si>
  <si>
    <t xml:space="preserve">Interakcia pohybovej aktivity a kvalita života študentov v strednej a neskorej adolescencii / Broďáni, Jaroslav [Autor, UKFPFAKTV, 34%] ; Lipárová, Svetlana [Autor, 33%] ; Kráľ, Matej [Autor, 33%]. – text. – [slovenčina]. – [OV 210, 060]. – [príspevok] In: Pohybová aktivita a kvalita života žiakov stredných škôl [textový dokument (print)] / Kalinková, Mária [Zostavovateľ, editor] ; Rozim, Robert [Recenzent] ; Kompan, Jaroslav [Recenzent]. – 1. vyd. – Nitra (Slovensko) : Univerzita Konštantína Filozofa v Nitre, 2018. – ISBN 978-80-558-1368-4, s. 171-181 [tlačená forma] </t>
  </si>
  <si>
    <t xml:space="preserve">Interakcia pohybovej aktivity a kvality života adolescentov / Broďáni, Jaroslav [Autor, UKFPFAKTV, 34%] ; Spišiak, Matej [Autor, UKFPFAKTV, 33%] ; Paška, Ľubomír [Autor, UKFPFAKTV, 33%]. – text. – [slovenčina]. – [OV 210, 060]. – [príspevok] In: Pohybová aktivita a kvalita života žiakov stredných škôl [textový dokument (print)] / Kalinková, Mária [Zostavovateľ, editor] ; Rozim, Robert [Recenzent] ; Kompan, Jaroslav [Recenzent]. – 1. vyd. – Nitra (Slovensko) : Univerzita Konštantína Filozofa v Nitre, 2018. – ISBN 978-80-558-1368-4, s. 79-88 [tlačená forma] </t>
  </si>
  <si>
    <t xml:space="preserve">Interakcia žiakov primárneho vzdelávania k telesnej a športovej výchove = Interaction of Primary Education Pupils for Physical and Sports Education / Kalinková, Mária [Autor, UKFPFAKTV, 95%] ; Navrátilová, Veronika [Autor, 5%]. – text. – [slovenčina]. – [OV 210]. – [príspevok] In: Vysokoškolská telesná výchova a šport, pohybová aktivita a zdravý životný štýl 2021 [elektronický dokument] : recenzovaný zborník vedeckých prác / Vojtaško, Ľuboš [Zostavovateľ, editor] ; Hlaváčová, Jana [Zostavovateľ, editor] ; Timkovič, Matej [Zostavovateľ, editor]. – 1. vyd. – Roč. 3. – Košice (Slovensko) : Technická univerzita v Košiciach, 2021. – ISBN 978-80-553-3860-6. – SIGN-TUKE 228307, s. 85-91 [DVD] [online] </t>
  </si>
  <si>
    <t xml:space="preserve">Interlingválne aspekty slovenského humoru / Glovňa, Juraj [Autor, UKFFFASJL, 100%]. – text. – [slovenčina]. – [OV 020]. – [príspevok] In: Studia Academica Slovaca [textový dokument (print)] : prednášky 55. letnej školy slovenského jazyka a kultúry / Pekarovičová, Jana [Zostavovateľ, editor] ; Vojtech, Miloslav [Zostavovateľ, editor] ; Čúzy, Ladislav [Recenzent] ; Ondrejovič, Slavomír [Recenzent]. – 1. vyd. – Roč. 48. – Bratislava (Slovensko) : Univerzita Komenského v Bratislave, 2019. – ISBN 978-80-223-4748-8. – SIGN-UKO FI 2/19 SA, s. 291-303 [tlačená forma] </t>
  </si>
  <si>
    <t xml:space="preserve">Interpretácia zmyslu a zmysel interpretácie / Rédey, Zoltán [Autor, UKFFFAULK, 100%] ; Andričík, Marián [Recenzent] ; Součková, Marta [Recenzent]. – text. – [slovenčina]. – [OV 020]. – [príspevok] In: Ako sa číta báseň 2 [textový dokument (print)] : (dvadsaťdva autorských interpretácií) / Milčák, Peter [Zostavovateľ, editor] ; Milčák, Marián [Zostavovateľ, editor]. – 1. vyd. – Levoča (Slovensko) : Vydavateľstvo Modrý Peter, 2018. – ISBN 978-80-89545-53-7, s. 7-24 </t>
  </si>
  <si>
    <t xml:space="preserve">Intersexuálne rozdiely a rozdiely vzhľadom na ročník štúdia v rizikovom správaní pubescentov / Mujkošová, Kristína [Autor, 50%] ; Verešová, Marcela [Autor, UKFPFAKAP, 50%]. – text. – [slovenčina]. – [OV 060]. – [príspevok] In: Konvergencie vedeckej činnosti študentov a učiteľov [textový dokument (print)] / Verešová, Marcela [Zostavovateľ, editor] ; Pavelová, Ľuba [Recenzent] ; Valihorová, Marta [Recenzent]. – 1. vyd. – Nitra (Slovensko) : Univerzita Konštantína Filozofa v Nitre, 2020. – ISBN 978-80-558-1543-5, s. 44-53 [tlačená forma] </t>
  </si>
  <si>
    <t xml:space="preserve">Intersexuálne rozdiely v rizikovom správaní adolescentov / Minarčíková, Natália [Autor, 50%] ; Verešová, Marcela [Autor, UKFPFAKAP, 50%]. – text. – [slovenčina]. – [OV 060]. – [príspevok] In: Konvergencie vedeckej činnosti študentov a učiteľov [textový dokument (print)] / Verešová, Marcela [Zostavovateľ, editor] ; Pavelová, Ľuba [Recenzent] ; Valihorová, Marta [Recenzent]. – 1. vyd. – Nitra (Slovensko) : Univerzita Konštantína Filozofa v Nitre, 2020. – ISBN 978-80-558-1543-5, s. 54-65 [tlačená forma] </t>
  </si>
  <si>
    <t xml:space="preserve">Intervencie sestry v rodine so sluchovo postihnutým dieťaťom = Interventions of a nurse in a family with a hearingly disabled child / Krištofová, Erika [Autor, UKFFSVKOS, 50%] ; Pavelová, Ľuboslava [Autor, UKFFSVKOS, 50%]. – [slovenčina]. – [OV 180]. – [príspevok]. – TUAD PC018084 In: Sestry: hlas v popredí - vízia pre budúcnosť zdravotnej starostlivosti [elektronický dokument] : recenzovaný vedecký zborník vydaný pri príležitosti Medzinárodného dňa sestier 2021 / Spáčilová, Zuzana [Zostavovateľ, editor] ; Libová, Ľubica [Recenzent] ; Zrubcová, Dana [Recenzent]. – 1. vyd. – Nitra (Slovensko) : Univerzita Konštantína Filozofa v Nitre, 2021. – ISBN 978-80-558-1728-6, s. 79-85 [CD-ROM] </t>
  </si>
  <si>
    <t xml:space="preserve">Intervencie v kardiologickej starostlivosti / Líšková, Miroslava [Autor, UKFFSVKOS, 100%]. – text. – [slovenčina]. – [OV 180]. – [príspevok] In: Sestry: hlas v popredí - ošetrovateľstvom ku globálnemu zdraviu [elektronický dokument] : recenzovaný vedecký zborník vydaný pri príležitosti Medzinárodného dňa sestier 2020 / Spáčilová, Zuzana [Zostavovateľ, editor] ; Hlinková, Edita [Recenzent] ; Zrubcová, Dana [Recenzent]. – 1. vyd. – Nitra (Slovensko) : Univerzita Konštantína Filozofa v Nitre, 2020. – ISBN 978-80-558-1596-1, s. 52-63 [CD-ROM] </t>
  </si>
  <si>
    <t xml:space="preserve">Ivan Štrpka (1944). Fragment (rytierskeho) lesa / Hostová, Ivana [Autor, PUPFIISMK, 50%] ; Rácová, Veronika [Autor, UKFFFASJL, 50%]. – text. – [slovenčina]. – [OV 020]. – [príspevok]. – SIGN-PU FF-20 86/20 In: TOP 5 - 2016 [textový dokument (print)] : (slovenská literárna scéna 2016 v odbornej reflexii) / Součková, Marta [Zostavovateľ, editor] ; Gavura, Ján [Zostavovateľ, editor] ; Káša, Peter [Recenzent] ; Mitka, Marek [Recenzent]. – 1. vyd. – Fintice (Slovensko) : FACE - Fórum alternatívnej kultúry a vzdelávania, 2020. – ISBN 978-80-89763-55-9. – SIGN-PU FF-20 100/20, s. 10-20 [tlačená forma] </t>
  </si>
  <si>
    <t xml:space="preserve">Iveta Škripková / Inštitorisová, Dagmar [Autor, UKFFFAKMR, 100%]. – text. – [slovenčina]. – [OV 020]. – [príspevok] In: Dejiny slovenskej dramatiky bábkového divadla [textový dokument (print)] / Predmerský, Vladimír [Zostavovateľ, editor] ; Malíková, Nina [Recenzent] ; Sliacky, Ondrej [Recenzent]. – 1. vyd. – Bratislava (Slovensko) : Divadelný ústav, 2020. – ISBN 978-80-8190-061-7, s. 465-491 [tlačená forma] </t>
  </si>
  <si>
    <t xml:space="preserve">Jánusovská tvár slobody. Kierkegaardov koncept úzkosti a zúfalstva možnosti / Gabašová, Katarína [Autor, UKFFFAKKU, 100%]. – [slovenčina]. – [OV 020]. – [príspevok] In: Culturologica Slovaca [elektronický dokument] / Palitefka, Jozef [Zostavovateľ, editor]. – 1. vyd. – Roč. 4. – Nitra (Slovensko) : Univerzita Konštantína Filozofa v Nitre, 2019. – ISSN 2453-9740, s. 19-31 [online] </t>
  </si>
  <si>
    <t xml:space="preserve">Jogový program s prvkami arteterapie pre deti a možnosti jeho využitia vo výchovno-vzdelávacom procese = Yoga program with elements of art therapy for children and possibilities of its use in the educational process / Sender, Barbora [Autor, UKFPFAKPE, 100%]. – text. – [slovenčina]. – [OV 010]. – [príspevok] In: Žiak, pohyb, edukácia [elektronický dokument] : vedecký zborník 2021 / Merica, Marián [Zostavovateľ, editor] ; Belešová, Mária [Zostavovateľ, editor] ; Skrypko, Anatol [Recenzent] ; Görner, Karol [Recenzent] ; Merica, Marián [Recenzent] ; Belešová, Mária [Recenzent]. – 1. vyd. – Bratislava (Slovensko) : Univerzita Komenského v Bratislave, 2021. – ISBN 978-80-223-5248-2. – SIGN-UKO PD PP/21, s. 151-158 [CD-ROM] </t>
  </si>
  <si>
    <t xml:space="preserve">Jozef Mokoš / Inštitorisová, Dagmar [Autor, UKFFFAKMR, 100%]. – text. – [slovenčina]. – [OV 020]. – [príspevok] In: Dejiny slovenskej dramatiky bábkového divadla [textový dokument (print)] / Predmerský, Vladimír [Zostavovateľ, editor] ; Malíková, Nina [Recenzent] ; Sliacky, Ondrej [Recenzent]. – 1. vyd. – Bratislava (Slovensko) : Divadelný ústav, 2020. – ISBN 978-80-8190-061-7, s. 331-361 [tlačená forma] </t>
  </si>
  <si>
    <t xml:space="preserve">K Dostojevského geopolitickým názorom / Sťahel, Richard [Autor, UKFFFAKFI, 100%] ; Dudinský, Vladislav [Recenzent] ; Hauer, Tomáš [Recenzent]. – [slovenčina]. – [OV 020]. – [príspevok] In: Dostojevskij a Nietzsche. Tragický osud človeka. Za a proti... [textový dokument (print)] / Nezník, Peter [Zostavovateľ, editor] ; Markov, Boris [Zostavovateľ, editor]. – 1. vyd. – Košice (Slovensko) : Univerzita Pavla Jozefa Šafárika v Košiciach, 2018. – ISBN 978-80-8152-632-9. – sign UPJS FSEP 010035. – SAF F 137727, s. 353-370 [tlačená forma] </t>
  </si>
  <si>
    <t xml:space="preserve">K teórii komparatistickej imagológie (úvodné tézy) / Zelenka, Miloš [Autor, UKFFSSUSJ, 100%] ; Gbúr, Ján [Recenzent] ; Kučera, Petr [Recenzent]. – text. – [slovenčina]. – [OV 020]. – [príspevok] In: Imagológia ako výskum obrazov kultúry [textový dokument (print)] : (k reflexii etnických stereotypov krajín V4) / Zelenka, Miloš [Zostavovateľ, editor] ; Tkáč-Zabáková, Lenka [Zostavovateľ, editor]. – 1. vyd. – Nitra (Slovensko) : Univerzita Konštantína Filozofa v Nitre, 2018. – ISBN 978-80-558-1294-6, s. 7-16 [tlačená forma] </t>
  </si>
  <si>
    <t xml:space="preserve">K terminológii nezávislých kultúrno-umeleckých iniciatív na Slovensku / Kočiš, Michal [Autor, UKFFFAKKU, 100%]. – text. – [slovenčina]. – [OV 020]. – [príspevok]. – [recenzované] In: Culturologica Slovaca [elektronický dokument] / Palitefka, Jozef [Zostavovateľ, editor]. – 1. vyd. – Roč. 4. – Nitra (Slovensko) : Univerzita Konštantína Filozofa v Nitre, 2019. – ISSN 2453-9740, s. 106-112 [online] </t>
  </si>
  <si>
    <t xml:space="preserve">Kapelníci Josef Kumlik, Karl Mayrberger, Josef Thiard-Laforest / Lengová, Jana [Autor, 56%] ; Szórádová, Eva [Autor, UKFPFAKHU, 44%]. – text. – [slovenčina]. – [OV 010]. – [kapitola] In: Hudobné dejiny Bratislavy [textový dokument (print)] : od stredoveku po rok 1918 / Bartová, Jana [Zostavovateľ, editor] ; Bugalová, Edita [Recenzent] ; Holčík, Štefan [Recenzent] ; Sehnal, Jiří [Recenzent]. – 1. vyd. – Bratislava (Slovensko) : Ars musica, 2020. – ISBN 978-80-971672-5-7, 0,56, s. 274-282 [tlačená forma] </t>
  </si>
  <si>
    <t xml:space="preserve">Keď menej je viac. Schopnosť kognitívneho uzavretia a potreba kognitívneho uzavretia vo vzťahu k výkonovej motivácii / Kaššaiová, Zuzana [Autor, 20%] ; Sollár, Tomáš [Autor, UKFFSVUAP, 80%] ; Zaťková, Marta [Recenzent] ; Turzáková, Jana [Recenzent]. – [slovenčina]. – [OV 060]. – [príspevok] In: Optima Opus 2017 [textový dokument (print)] / Rosinský, Rastislav [Zostavovateľ, editor]. – 1. vyd. – Nitra (Slovensko) : Univerzita Konštantína Filozofa v Nitre, 2018. – ISBN 978-80-558-1262-5, s. 129-162 [tlačená forma] </t>
  </si>
  <si>
    <t xml:space="preserve">Kétnyelvűségi jelenségek a Szlovákiai magyar nyelvjárási hangoskönyvek szövegeiben / Presinszky, Károly [Autor, UKFFSSUML, 100%]. – text. – [maďarčina]. – [OV 020]. – [príspevok] In: Kétnyelvűség – oktatás – nyelvmenedzselés [textový dokument (print)] : írások, tanulmányok Vančo Ildikó születésnapjára / Kozmács, István [Zostavovateľ, editor] ; Csernicskó, István [Zostavovateľ, editor] ; Heltai, János Imre [Recenzent] ; Sándor, Klára [Recenzent]. – 1. vyd. – Nitra (Slovensko) : Univerzita Konštantína Filozofa v Nitre. Fakulta stredoeurópskych štúdií, 2021. – (Europica varietas ; 152). – ISBN 978-80-558-1737-8, s. 295-307 [tlačená forma] </t>
  </si>
  <si>
    <t xml:space="preserve">Kinematická analýza premetu bokom v gymnastike / Domčeková, Andrea [Autor, 50%] ; Horička, Pavol [Autor, UKFPFAKTV, 50%]. – text. – [slovenčina]. – [OV 210]. – [príspevok] In: Šport a rekreácia 2020 (Recenzovaný nekonferenčný zborník vedecko-výskumných a odborných prác, zameraný na prezentáciu poznatkov v oblasti športu, telesnej výchovy, diagnostiky, zdravia, rekreácie, cestovného ruchu, regenerácie, manažmentu, atď.) [textový dokument (print)] [elektronický dokument] : zborník vedeckých prác / Broďáni, Jaroslav [Zostavovateľ, editor] ; Czaková, Monika [Zostavovateľ, editor] ; Halmová, Nora [Recenzent] ; Lenková, Rút [Recenzent] ; Nemček, Dagmar [Recenzent] ; Kanásová, Janka [Recenzent] ; Šutka, Vladimír [Recenzent] ; Rozim, Robert [Recenzent] ; Buková, Alena [Recenzent] ; Krčmárová, Bohumila [Recenzent] ; Horbacz, Agata [Recenzent] ; Luptáková, Martina [Recenzent] ; Kraček, Stanislav [Recenzent] ; Dzugas, Dalibor [Recenzent] ; Žiška, Peter [Recenzent] ; Czaková, Natália [Recenzent] ; Bartolčičová, Barbora [Recenzent] ; Krčmár, Matúš [Recenzent] ; Važan, Róbert [Recenzent]. – 1. vyd. – Nitra (Slovensko) : Univerzita Konštantína Filozofa v Nitre. Pedagogická fakulta UKF. Katedra telesnej výchovy a športu, 2020. – ISBN 978-80-558-1541-1, s. 188-196 [tlačená forma] [online] </t>
  </si>
  <si>
    <t xml:space="preserve">Klasifikácia atletického desaťboja prostredníctvom metód hierarchickej zhlukovej analýzy / Broďáni, Jaroslav [Autor, UKFPFAKTV, 34%] ; Kováčová, Natália [Autor, UKFPFAKTV, 33%] ; Czaková, Monika [Autor, UKFPFAKTV, 33%]. – text. – [slovenčina]. – [OV 210]. – [príspevok] In: Šport a rekreácia 2020 (Recenzovaný nekonferenčný zborník vedecko-výskumných a odborných prác, zameraný na prezentáciu poznatkov v oblasti športu, telesnej výchovy, diagnostiky, zdravia, rekreácie, cestovného ruchu, regenerácie, manažmentu, atď.) [textový dokument (print)] [elektronický dokument] : zborník vedeckých prác / Broďáni, Jaroslav [Zostavovateľ, editor] ; Czaková, Monika [Zostavovateľ, editor] ; Halmová, Nora [Recenzent] ; Lenková, Rút [Recenzent] ; Nemček, Dagmar [Recenzent] ; Kanásová, Janka [Recenzent] ; Šutka, Vladimír [Recenzent] ; Rozim, Robert [Recenzent] ; Buková, Alena [Recenzent] ; Krčmárová, Bohumila [Recenzent] ; Horbacz, Agata [Recenzent] ; Luptáková, Martina [Recenzent] ; Kraček, Stanislav [Recenzent] ; Dzugas, Dalibor [Recenzent] ; Žiška, Peter [Recenzent] ; Czaková, Natália [Recenzent] ; Bartolčičová, Barbora [Recenzent] ; Krčmár, Matúš [Recenzent] ; Važan, Róbert [Recenzent]. – 1. vyd. – Nitra (Slovensko) : Univerzita Konštantína Filozofa v Nitre. Pedagogická fakulta UKF. Katedra telesnej výchovy a športu, 2020. – ISBN 978-80-558-1541-1, s. 14-22 [tlačená forma] [online] </t>
  </si>
  <si>
    <t xml:space="preserve">Klasifikácia pracovných činností manažéra vzdelávania dospelých / Temiaková, Dominika [Autor, UKFPFAKPE, 100%]. – text. – [slovenčina]. – [OV 010]. – [príspevok] In: Andragogické štúdie 2018 [textový dokument (print)] / Krystoň, Miroslav [Zostavovateľ, editor] ; Kariková, Soňa [Recenzent] ; Prusáková, Viera [Recenzent]. – 1. vyd. – Banská Bystrica (Slovensko) : Univerzita Mateja Bela v Banskej Bystrici. Vydavateľstvo Univerzity Mateja Bela v Banskej Bystrici - Belianum, 2018. – ISBN 978-80-557-1500-1, s. 139-146 [tlačená forma] </t>
  </si>
  <si>
    <t xml:space="preserve">Kódváltások - nyelvek, irodalmak és tudományágak között / Benyovszky, Kristian [Autor, UKFFSSUML, 100%]. – text. – [maďarčina]. – [OV 010]. – [príspevok] In: Kétnyelvűség – oktatás – nyelvmenedzselés [textový dokument (print)] : írások, tanulmányok Vančo Ildikó születésnapjára / Kozmács, István [Zostavovateľ, editor] ; Csernicskó, István [Zostavovateľ, editor] ; Heltai, János Imre [Recenzent] ; Sándor, Klára [Recenzent]. – 1. vyd. – Nitra (Slovensko) : Univerzita Konštantína Filozofa v Nitre. Fakulta stredoeurópskych štúdií, 2021. – (Europica varietas ; 152). – ISBN 978-80-558-1737-8, s. 41-51 [tlačená forma] </t>
  </si>
  <si>
    <t xml:space="preserve">Kognitívna reštrukturalizácia a práca s myšlienkami / Šlepecký, Miloš [Autor, UKFFSVKPV, 50%] ; Zaťková, Marta [Autor, UKFFSVKPV, 50%] ; Štefarová, Iveta [Recenzent] ; Jurišová, Erika [Recenzent]. – text. – [slovenčina]. – [OV 060]. – [kapitola] In: Princípy a metódy kognitívno behaviorálnej terapie [textový dokument (print)] / Praško Pavlov, Ján [Autor]. – 1. vyd. – Nitra (Slovensko) : Univerzita Konštantína Filozofa v Nitre, 2018. – ISBN 978-80-558-1348-6, s. 139-155 </t>
  </si>
  <si>
    <t xml:space="preserve">Kognitívna terapia u detí a adolescentov / Šlepecký, Miloš [Autor, UKFFSVKPV, 40%] ; Piačková, Katarína [Autor, 20%] ; Kotianová, Antónia [Autor, UKFFSVKPV, 40%] ; Štefarová, Iveta [Recenzent] ; Jurišová, Erika [Recenzent]. – text. – [slovenčina]. – [OV 060]. – [kapitola] In: Princípy a metódy kognitívno behaviorálnej terapie [textový dokument (print)] / Praško Pavlov, Ján [Autor]. – 1. vyd. – Nitra (Slovensko) : Univerzita Konštantína Filozofa v Nitre, 2018. – ISBN 978-80-558-1348-6, s. 287-291 </t>
  </si>
  <si>
    <t xml:space="preserve">Kognitívny prístup ako nástroj výučby cudzích jazykov / Kozárová, Zuzana [Autor, UKFFFAJZC, 100%] ; Šenkár, Patrik [Recenzent] ; Dudová, Katarína [Recenzent]. – [slovenčina]. – [OV 020]. – [príspevok] In: Moderné jazyky v súčasnej Európe [textový dokument (print)] / Zelenická, Elena [Zostavovateľ, editor]. – 1. vyd. – Nitra (Slovensko) : Univerzita Konštantína Filozofa v Nitre, 2018. – ISBN 978-80-558-1359-2, s. 108-115 [tlačená forma] </t>
  </si>
  <si>
    <t xml:space="preserve">Koháry István és a kuruc költészet / Brutovszky, Gabriella [Autor, UKFFSSUML, 100%]. – text. – [maďarčina]. – [OV 020]. – [príspevok] In: A Koháry és a Coburg család emlékezete Barstól Gömörig [textový dokument (print)] / Agócs, Attila [Zostavovateľ, editor] ; Komjáti, Zoltán Igor [Zostavovateľ, editor]. – 1. vyd. – Fiľakovo (Slovensko) : Mestské vlastivedné múzeum, 2018. – ISBN 978-80-971885-4-2, s. 119-129 </t>
  </si>
  <si>
    <t xml:space="preserve">Kompetencie sestier pre ošetrovateľskú diagnostiku / Ondrišová, Nikola [Autor, 50%] ; Vörösová, Gabriela [Autor, UKFFSVKOS, 50%] ; Koprdová, Ľubica [Recenzent] ; Szakács, Róbert [Recenzent]. – text. – [slovenčina]. – [OV 160]. – [príspevok] In: Optima Opus 2017 [textový dokument (print)] / Rosinský, Rastislav [Zostavovateľ, editor]. – 1. vyd. – Nitra (Slovensko) : Univerzita Konštantína Filozofa v Nitre, 2018. – ISBN 978-80-558-1262-5, s. 163-194 [tlačená forma] </t>
  </si>
  <si>
    <t xml:space="preserve">Kompetencie sestier v zariadeniach ústavnej zdravotnej starostlivosti / Spáčilová, Zuzana [Autor, UKFFSVKOS, 33.334%] ; Mesárošová, Jozefína [Autor, UKFFSVKOS, 33.333%] ; Gostíková, Miroslava [Autor, 33.333%]. – text. – [slovenčina]. – [OV 180]. – [príspevok] In: Sestry: hlas v popredí - ošetrovateľstvom ku globálnemu zdraviu [elektronický dokument] : recenzovaný vedecký zborník vydaný pri príležitosti Medzinárodného dňa sestier 2020 / Spáčilová, Zuzana [Zostavovateľ, editor] ; Hlinková, Edita [Recenzent] ; Zrubcová, Dana [Recenzent]. – 1. vyd. – Nitra (Slovensko) : Univerzita Konštantína Filozofa v Nitre, 2020. – ISBN 978-80-558-1596-1, s. 127-139 [CD-ROM] </t>
  </si>
  <si>
    <t xml:space="preserve">Komunikácia v krízových situáciách / Brázdilová, Dana [Autor, UKFFSVKUM, 70%] ; Zelinková, Barbora [Autor, 30%]. – text. – [čeština]. – [OV 180]. – [príspevok] In: Sestry : hlas v popredí - zdravie pre všetkých [elektronický dokument] : recenzovaný vedecký zborník vydaný pri príležitosti Medzinárodného dňa sestier 2019 / Spáčilová, Zuzana [Zostavovateľ, editor] ; Libová, Ľubica [Recenzent] ; Haluzíková, Jana [Recenzent] ; Pavelová, Ľuboslava [Recenzent]. – 1. vyd. – Nitra (Slovensko) : Univerzita Konštantína Filozofa v Nitre, 2019. – ISBN 978-80-558-1418-6, s. 17-23 [CD-ROM] </t>
  </si>
  <si>
    <t xml:space="preserve">Komunitný projekt. Tvorba komunitného projektu pre začiatočníkov / Rusnáková, Jurina [Autor, UKFFSVURS, 100%]. – text. – [slovenčina]. – [OV 060]. – [príspevok] In: Model komunitnej práce v komunitných centrách [elektronický dokument] / Holíková, Soňa [Zostavovateľ, editor]. – 1. vyd. – Bratislava (Slovensko) : Implementačná agentúra Ministerstva práce, sociálnych vecí a rodiny Slovenskej republiky, 2020. – ISBN 978-80-89837-59-5, s. 1-21 [online] </t>
  </si>
  <si>
    <t xml:space="preserve">Kontexty postfaktuálnej éry v tieni mediálnej manipulácie a propagandy / Moravčíková, Erika [Autor, UKFFFAKKU, 100%]. – text. – [slovenčina]. – [OV 060]. – [príspevok] In: Charakter a vývoj nezávislej kultúry a umenia na Slovensku po roku 1989 [textový dokument (print)] / Fuják, Július [Zostavovateľ, editor] ; Mistrík, Erich [Recenzent] ; Javorská, Andrea [Recenzent]. – 1. vyd. – Nitra (Slovensko) : Univerzita Konštantína Filozofa v Nitre, 2020. – ISBN 978-80-558-1565-7, s. 309-328 [tlačená forma] </t>
  </si>
  <si>
    <t xml:space="preserve">Konzumácia alkoholu u adolescentov / Spáčilová, Zuzana [Autor, UKFFSVKOS, 34%] ; Líšková, Miroslava [Autor, UKFFSVKOS, 33%] ; Archalousová, Alexandra [Autor, UKFFSVKOS, 33%]. – text. – [čeština]. – [OV 180]. – [príspevok] In: Sestry : hlas v popredí - zdravie pre všetkých [elektronický dokument] : recenzovaný vedecký zborník vydaný pri príležitosti Medzinárodného dňa sestier 2019 / Spáčilová, Zuzana [Zostavovateľ, editor] ; Libová, Ľubica [Recenzent] ; Haluzíková, Jana [Recenzent] ; Pavelová, Ľuboslava [Recenzent]. – 1. vyd. – Nitra (Slovensko) : Univerzita Konštantína Filozofa v Nitre, 2019. – ISBN 978-80-558-1418-6, s. 149-157 [CD-ROM] </t>
  </si>
  <si>
    <t xml:space="preserve">Kritické myslenie u stredoškolákov a vysokoškolákov : úroveň a vzťah k rizikovému správaniu a viere v nepodložené presvedčenia / Ballová Mikušková, Eva [Autor, UKFPFAKAP, 100%]. – text. – [slovenčina]. – [OV 060]. – [príspevok] In: Psychologica [textový dokument (print)] [elektronický dokument] / Sabová, Lucia [Zostavovateľ, editor] ; Taročková, Tatiana [Recenzent] ; Hajdúk, Michal [Recenzent] ; Jakubek, Martin [Recenzent] ; Ludrovská, Katarína [Recenzent] ; Cviková, Viera [Recenzent] ; Rajčáni, Jakub [Recenzent] ; Soláriková, Petra [Recenzent] ; Uhláriková, Jana [Recenzent]. – 1. vyd. – č. 51. – Bratislava (Slovensko) : Univerzita Komenského v Bratislave. Filozofická fakulta UK. Stimul, 2020. – ISBN 978-80-8127-278-3. – ISBN (online) 978-80-8127-279-0, s. 5-13 [online] [tlačená forma] </t>
  </si>
  <si>
    <t xml:space="preserve">Krízová komunikácia ako súčasť PR a analýza konkrétneho príkladu komunikácie v kríze / Szabóová, Veronika [Autor, UKFFFAKMR, 100%]. – [slovenčina]. – [OV 020]. – [príspevok]. – [recenzované] In: Študentská vedecká, odborná a umelecká činnosť [elektronický dokument] : Zborník vedeckých prác / Hetényi, Martin [Zostavovateľ, editor]. – 1. vyd. – Nitra (Slovensko) : Univerzita Konštantína Filozofa v Nitre, 2018. – ISBN 978-80-558-1370-7, s. 317-340 [CD-ROM] </t>
  </si>
  <si>
    <t xml:space="preserve">Kultúrno-spoločenský život a lokálne kultúrne dedičstvo / Jágerová, Margita [Autor, UKFFFAKEF, 50%] ; Koštialová, Katarína [Autor, UMBFF19, 50%]. – text, fotogr. – [slovenčina]. – [OV 030]. – [ŠO 7115]. – [príspevok] In: Dobré miesto pre život [textový dokument (print)] [elektronický dokument] : Dediny roka na Slovensku / Luther, Daniel [Zostavovateľ, editor] ; Danglová, Oľga [Recenzent] ; Slavkovský, Peter [Recenzent]. – 1. vyd. – Bratislava (Slovensko) : Slovenská akadémia vied, 2021. – ISBN 978-80-569-0924-9, s. 223-249 [tlačená forma] [online] </t>
  </si>
  <si>
    <t xml:space="preserve">Kvalita ošetrovateľskej starostlivosti v intraoperačnom období / Zito, Peter [Autor, 20%] ; Pavelová, Ľuboslava [Autor, UKFFSVKOS, 80%]. – text. – [čeština]. – [OV 180]. – [príspevok] In: Sestry : hlas v popredí - zdravie pre všetkých [elektronický dokument] : recenzovaný vedecký zborník vydaný pri príležitosti Medzinárodného dňa sestier 2019 / Spáčilová, Zuzana [Zostavovateľ, editor] ; Libová, Ľubica [Recenzent] ; Haluzíková, Jana [Recenzent] ; Pavelová, Ľuboslava [Recenzent]. – 1. vyd. – Nitra (Slovensko) : Univerzita Konštantína Filozofa v Nitre, 2019. – ISBN 978-80-558-1418-6, s. 179-186 [CD-ROM] </t>
  </si>
  <si>
    <t xml:space="preserve">Kvalita života pacientov pri ochoreniach štítnej žlazy = Quality of life in patients with thyroid gland diseases / Vörösová, Gabriela [Autor, UKFFSVKOS, 25%] ; Zrubcová, Dana [Autor, UKFFSVKOS, 25%] ; Solgajová, Andrea [Autor, UKFFSVKOS, 25%] ; Bosáková, Zuzana [Autor, 25%]. – [slovenčina]. – [OV 180]. – [príspevok]. – TUAD PC018084 In: Sestry: hlas v popredí - vízia pre budúcnosť zdravotnej starostlivosti [elektronický dokument] : recenzovaný vedecký zborník vydaný pri príležitosti Medzinárodného dňa sestier 2021 / Spáčilová, Zuzana [Zostavovateľ, editor] ; Libová, Ľubica [Recenzent] ; Zrubcová, Dana [Recenzent]. – 1. vyd. – Nitra (Slovensko) : Univerzita Konštantína Filozofa v Nitre, 2021. – ISBN 978-80-558-1728-6, s. 163-171 [CD-ROM] </t>
  </si>
  <si>
    <t xml:space="preserve">Ľanový olej - vedomosti a skúsenosti s konzumom vo vybranom súbore dospelých osôb = Linseed oil - knowledge and experience with consumption in the selected file of adults / Schwarzová, Marianna [Autor, SPUFAP16, 40%] ; Fatrcová Šramková, Katarína [Autor, SPUFAP16, 40%] ; Antal, Matej [Autor, 10%] ; Juríková, Tünde [Autor, UKFFSSUVP, 10%]. – [slovenčina]. – [OV 190, 010]. – [príspevok] In: Výživa - človek - zdravie 2019 [elektronický dokument] : recenzovaný zborník vedeckých prác Katedry výživy ľudí FAPZ SPU v Nitre / Gažarová, Martina [Zostavovateľ, editor] ; Capcarová, Marcela [Recenzent] ; Šimko, Milan [Recenzent]. – 1. vyd. – Nitra (Slovensko) : Slovenská poľnohospodárska univerzita v Nitre, 2019. – ISBN 978-80-552-2073-4, s. 229-237 [online] </t>
  </si>
  <si>
    <t xml:space="preserve">Leistung der DaF-Lernenden im Leseverstehen an den slowakischen Mittelschulen / Ficzere, Anikó [Autor, UKFFSSKCR, 50%] ; Szabó, Erzsébet [Autor, UKFFFAKGE, 50%]. – text. – [nemčina]. – [OV 010, 020]. – [príspevok] In: Sprache - Diskurs - Kontext (1) [textový dokument (print)] [elektronický dokument] : Auslandsgermanistik im 21. Jahrhundert Komorner Germanistische Beiträge / Braxatorisová, Anita [Zostavovateľ, editor] ; Drahota-Szabó, Erzsébet [Zostavovateľ, editor] ; Mészáros, Attila [Zostavovateľ, editor] ; V. Szabó, László [Zostavovateľ, editor] ; Čonková, Andrea [Recenzent] ; Wróbel, Aleksandra [Recenzent] ; Zsigmond, Anikó [Recenzent]. – 1. vyd. – Komárno (Slovensko) : Univerzita J. Selyeho, 2020. – ISBN 978-80-8122-369-3, s. 150-166 [tlačená forma] [online] </t>
  </si>
  <si>
    <t xml:space="preserve">Lexikálne a iné špecifiká prekladu titulkov k vybranému audiovizuálnemu dielu / Ukušová, Jana [Autor, UKFFFAKTR, 100%]. – text. – [slovenčina]. – [OV 020]. – [príspevok] In: Prekladateľské listy [textový dokument (print)] : teória, kritika a prax prekladu / Kabát, Marián [Zostavovateľ, editor] ; Podlucká, Lucia [Zostavovateľ, editor] ; Tandlichová, Eva [Recenzent] ; Keníž, Alojz [Recenzent]. – 1. vyd. – č. 9. – Bratislava (Slovensko) : Univerzita Komenského v Bratislave, 2020. – ISBN 978-80-223-4936-9, s. 106-120 [tlačená forma] </t>
  </si>
  <si>
    <t xml:space="preserve">Linguistic Gleaning among the Hungarian-Slovak Place-names of the Lučenec District / Angyal, Ladislav [Autor, UKFFSSUML, 100%]. – text. – [angličtina]. – [OV 020]. – [príspevok] In: Kétnyelvűség – oktatás – nyelvmenedzselés [textový dokument (print)] : írások, tanulmányok Vančo Ildikó születésnapjára / Kozmács, István [Zostavovateľ, editor] ; Csernicskó, István [Zostavovateľ, editor] ; Heltai, János Imre [Recenzent] ; Sándor, Klára [Recenzent]. – 1. vyd. – Nitra (Slovensko) : Univerzita Konštantína Filozofa v Nitre. Fakulta stredoeurópskych štúdií, 2021. – (Europica varietas ; 152). – ISBN 978-80-558-1737-8, s. 11-21 [tlačená forma] </t>
  </si>
  <si>
    <t xml:space="preserve">Literárnokritické a interpretačné prieniky k publikovanej poézii Jána Motulka v ponovembrovej slobode / Brunclík, Jozef [Autor, UKFFFASJL, 100%]. – text. – [slovenčina]. – [OV 020]. – [príspevok] In: Za nekonečnom svitá II [textový dokument (print)] : puknutý hlas / Motulko, Ján [Autor] ; Brunclík, Jozef [Zostavovateľ, editor] ; Gallik, Ján [Recenzent] ; Gavura, Ján [Recenzent]. – 1. vyd. – Fintice (Slovensko) : FACE - Fórum alternatívnej kultúry a vzdelávania, 2021. – ISBN 978-80-89763-71-9, s. 6-44 [tlačená forma] </t>
  </si>
  <si>
    <t xml:space="preserve">Literárnokritické a literárnohistorické prieniky v poézii Jána Motulka / Brunclík, Jozef [Autor, UKFFFASJL, 100%]. – text. – [slovenčina]. – [OV 020]. – [kapitola] In: Za nekonečnom svitá I [textový dokument (print)] : v mimózach vietor / Motulko, Ján [Autor] ; Brunclík, Jozef [Zostavovateľ, editor] ; Gallik, Ján [Recenzent] ; Gavura, Ján [Recenzent]. – 1. vyd. – Fintice (Slovensko) : FACE - Fórum alternatívnej kultúry a vzdelávania, 2019. – ISBN 978-80-89763-46-7, s. 8-46 [tlačená forma] </t>
  </si>
  <si>
    <t xml:space="preserve">Lokálne spoločenstvo a partnerstvá / Bitušíková, Alexandra [Autor, UMBFF19, 50%] ; Beňušková, Zuzana [Autor, UKFFFAKEF, 50%]. – text, fotogr. – [slovenčina]. – [OV 030]. – [príspevok] In: Dobré miesto pre život [textový dokument (print)] [elektronický dokument] : Dediny roka na Slovensku / Luther, Daniel [Zostavovateľ, editor] ; Danglová, Oľga [Recenzent] ; Slavkovský, Peter [Recenzent]. – 1. vyd. – Bratislava (Slovensko) : Slovenská akadémia vied, 2021. – ISBN 978-80-569-0924-9, s. 104-128 [tlačená forma] [online] </t>
  </si>
  <si>
    <t xml:space="preserve">Long-eared owls roosted in the forest, still hunted in open land [Myšiarky ušaté zimovali v lese, stále lovili v otvorenej krajine] / Tulis, Filip [Autor, UKFFPVKEE, 33.334%] ; Ševčík, Michal [Autor, UKFFPVKEE, 33.333%] ; Obuch, Ján [Autor, UKOCSBZ, 33.333%]. – text, mapy, graf., tab. – [angličtina]. – [OV 130]. – [príspevok]. – [recenzované]. – DOI 10.2478/srj-2019-0003. – SCO In: Raptor Journal [elektronický dokument] : formerly known as Slovak Raptor Journal - Ochrana dravcov na Slovensku (2007 - 2018) / [bez zostavovateľa] [Zostavovateľ, editor]. – 1. vyd. – Roč. 13, č. 1. – Bratislava (Slovensko) : De Gruyter, 2019. – ISSN (online) 2644-5247, s. 105-119 [online] </t>
  </si>
  <si>
    <t xml:space="preserve">Love story as a potential grief story (The conflict of ideality and reality in prose thematising the loss of a partner) / Zeleňáková, Hana [Autor, UKFFFAULK, 100%]. – [angličtina]. – [OV 020]. – [príspevok] In: The iconization of suffering in literary and interdisciplinary perspectives [textový dokument (print)] / Hricková, Mária [Zostavovateľ, editor] ; Klimková, Simona [Zostavovateľ, editor] ; Chalupský, Petr [Recenzent] ; Waldnerová, Jana [Recenzent]. – 1. vyd. – Nitra (Slovensko) : Univerzita Konštantína Filozofa v Nitre, 2019. – ISBN 978-80-558-1467-4, s. 133-144 [tlačená forma] </t>
  </si>
  <si>
    <t xml:space="preserve">Lovecraft Country - The Fantastic Landscape of Massachusetts, USA / Pevčíková, Jozefa [Autor, UKFFFAULK, 100%]. – text, fotogr. – [angličtina]. – [OV 020]. – [príspevok] In: Faces of urban cultural landscape [textový dokument (print)] : an anthology / Pecníková, Jana [Zostavovateľ, editor] ; Lacková, Marta [Recenzent] ; Reichwalderová, Eva [Recenzent]. – 1. vyd. – Banská Bystrica (Slovensko) : Koprint, 2021. – ISBN 978-80-969837-8-0, s. 82-103 [tlačená forma] </t>
  </si>
  <si>
    <t xml:space="preserve">Maďarské dokumenty Nežnej revolúcie a prvé programy maďarských strán a hnutí / Öllös, László [Autor, UKFFFAKPO, 100%]. – text. – [slovenčina]. – [OV 060]. – [príspevok] In: 1989 – 2019: 30 rokov zmien. Kam kráčaš demokracia [textový dokument (print)] : Košické politologické dialógy / Šutajová, Jana [Zostavovateľ, editor] ; Eštok, Gabriel [Zostavovateľ, editor] ; Onufrák, Alexander [Zostavovateľ, editor] ; Jesenko, Michal [Recenzent] ; Pekník, Miroslav [Recenzent]. – 1. vyd. – Košice (Slovensko) : Univerzita Pavla Jozefa Šafárika v Košiciach. Celouniverzitné pracovisko UPJŠ. Vydavateľstvo ŠafárikPress UPJŠ, 2021. – (Acta Facultatis Philosophicae Universitatis Šafarikianae ; Politický zborník 10). – ISBN 978-80-8152-990-0. – sign UPJS FSEP 011673. – SAF F 140665, s. 151-162 [tlačená forma] </t>
  </si>
  <si>
    <t xml:space="preserve">Manifest Trnavskej skupiny o prekladaní poézie: „Poéziu nech prekladajú len básnici“ / Ukušová, Jana [Autor, UKFFFAKTR, 100%] ; Tandlichová, Eva [Recenzent] ; Keníž, Alojz [Recenzent]. – text. – [slovenčina]. – [OV 020]. – [príspevok] In: Prekladateľské listy [textový dokument (print)] : teória, kritika a prax prekladu / Kabát, Marián [Zostavovateľ, editor] ; Paulínyová, Lucia [Zostavovateľ, editor]. – 1. vyd. – Roč. 7. – Bratislava (Slovensko) : Univerzita Komenského v Bratislave, 2018. – ISBN 978-80-223-4515-6. – SIGN-UKO FI 1/18 AA, s. 75-83 [tlačená forma] </t>
  </si>
  <si>
    <t xml:space="preserve">Martin Rázus - politik so srdcom básnika / Móri, Tomáš [Autor, UKFFSSUSJ, 100%] ; Zelenka, Miloš [Recenzent] ; Magalová, Gabriela [Recenzent]. – text. – [slovenčina]. – [OV 020]. – [príspevok] In: Kultúra a súčasnosť 17 [textový dokument (print)] / Gallik, Ján [Zostavovateľ, editor] ; Jozek, Milan [Zostavovateľ, editor]. – 1. vyd. – Nitra (Slovensko) : Univerzita Konštantína Filozofa v Nitre, 2018. – ISBN 978-80-558-1296-0, s. 33-42 [tlačená forma] </t>
  </si>
  <si>
    <t xml:space="preserve">Matematika ako súčasť ekonomických analýz / Papcunová, Viera [Autor, UKFFPVUMI, 50%] ; Hudáková, Jarmila [Autor, UKFFPVUMI, 50%]. – [slovenčina]. – [OV 060]. – [príspevok] In: Univerzitné matematické vzdelávanie ako základ pre inovácie vo vede a technike [elektronický dokument] : recenzovaný vedecký zborník v elektronickej forme / Országhová, Dana [Zostavovateľ, editor] ; Ivanková, Tatiana [Zostavovateľ, editor] ; Andrejovská, Alena [Recenzent] ; Balková, Milada [Recenzent] ; Božiková, Monika [Recenzent]. – 1. vyd. – Nitra (Slovensko) : Slovenská poľnohospodárska univerzita v Nitre, 2019. – ISBN 978-80-552-2028-4, s. 51-59 [online] </t>
  </si>
  <si>
    <t xml:space="preserve">Medzigeneračná edukácia v kontexte sekundárnej profylaxie agresívneho správania / Jedličková, Petra [Autor, UKFPFAKPE, 100%]. – text. – [slovenčina]. – [OV 010]. – [príspevok] In: Zborník vedeckovýskumných prác Katedry pedagogiky [textový dokument (print)] / Danek, Ján [Recenzent] ; Bělík, Václav [Recenzent]. – 1 vyd. – Roč. 15. – Banská Bystrica (Slovensko) : Univerzita Mateja Bela v Banskej Bystrici. Vydavateľstvo Univerzity Mateja Bela v Banskej Bystrici - Belianum, 2019. – ISBN 978-80-557-1599-5, s. 230-241 [tlačená forma] </t>
  </si>
  <si>
    <t xml:space="preserve">Medzníky slovenských a československých dejín na známkach z filatelistickej zbierky Slovenského národného múzea / Palárik, Miroslav [Autor, UKFFFAKHI, 50%] ; Hasarová, Zuzana [Autor, UKFFFAKHI, 50%] ; Hetényi, Martin [Recenzent] ; Tišliar, Pavol [Recenzent]. – text. – [slovenčina]. – [OV 030]. – [príspevok] In: Míľniky 20. storočia v regióne Nitrianskeho kraja [textový dokument (print)] / Palárik, Miroslav [Zostavovateľ, editor] ; Belej, Milan [Zostavovateľ, editor] ; Keresteš, Peter [Zostavovateľ, editor]. – 1. vyd. – Nitra (Slovensko) : Štátny archív v Nitre, 2018. – ISBN 978-80-973263-0-2, s. 111-119 [tlačená forma] </t>
  </si>
  <si>
    <t xml:space="preserve">Mentálny obraz „vlastného“ a „cudzieho“ v uličnom názvosloví mesta Nitry / Tkáč-Zabáková, Lenka [Autor, UKFFSSUSJ, 100%] ; Gbúr, Ján [Recenzent] ; Kučera, Petr [Recenzent]. – text. – [slovenčina]. – [OV 020]. – [príspevok] In: Imagológia ako výskum obrazov kultúry [textový dokument (print)] : (k reflexii etnických stereotypov krajín V4) / Zelenka, Miloš [Zostavovateľ, editor] ; Tkáč-Zabáková, Lenka [Zostavovateľ, editor]. – 1. vyd. – Nitra (Slovensko) : Univerzita Konštantína Filozofa v Nitre, 2018. – ISBN 978-80-558-1294-6, s. 135-143 [tlačená forma] </t>
  </si>
  <si>
    <t xml:space="preserve">Mestské hrady = Town Castles / Bóna, Martin [Autor, 35%] ; Štefánik, Martin [Autor, 20%] ; Maliniak, Pavol [Autor, UMBFF02, 15%] ; Šimkovic, Michal [Autor, 15%] ; Beljak Pažinová, Noémi [Autor, UKFFFAKAR, 15%]. – text. – [slovenčina]. – [OV 030]. – [príspevok] In: Stredoveké hrady na strednom Pohroní [textový dokument (print)] / Beljak Pažinová, Noémi [Zostavovateľ, editor] ; Mordovin, Maxim [Recenzent] ; Labuda, Jozef [Recenzent]. – 1. vyd. – Nitra (Slovensko) : Slovenská akadémia vied. Pracoviská SAV. Archeologický ústav, 2021. – ISBN 978-80-8196-052-9, s. 199-236 [tlačená forma] </t>
  </si>
  <si>
    <t xml:space="preserve">Metamorfózy mediálnej krajiny v ére postfaktuálnej : (kulturologická sondáž) / Moravčíková, Erika [Autor, UKFFFAKKU, 100%]. – text. – [slovenčina]. – [OV 020]. – [príspevok]. – [recenzované] In: Culturologica Slovaca [elektronický dokument] : internetový kulturologický časopis / Ballay, Miroslav [Zostavovateľ, editor]. – 1. vyd. – Roč. 3. – Nitra (Slovensko) : Univerzita Konštantína Filozofa v Nitre, 2018. – ISSN 2453-9740, s. 40-52 [online] </t>
  </si>
  <si>
    <t xml:space="preserve">Miera asertívneho sebapresadenia žiakov stredných škôl / Majerská, Alexandra [Autor, 50%] ; Juhásová, Andrea [Autor, UKFPFAKAP, 50%]. – text. – [slovenčina]. – [OV 010]. – [príspevok] In: Konvergencie vedeckej činnosti študentov a učiteľov 2 [textový dokument (print)] / Verešová, Marcela [Zostavovateľ, editor] ; Pavelová, Ľuba [Recenzent] ; Valihorová, Marta [Recenzent]. – 1. vyd. – Nitra (Slovensko) : Univerzita Konštantína Filozofa v Nitre, 2021. – ISBN 978-80-558-1732-3, s. 54-71 [tlačená forma] </t>
  </si>
  <si>
    <t xml:space="preserve">Miesto aplikovanej etiky v edukácii budúcich ekonómov / Pechočiaková Svitačová, Eva [Autor, SPUFEM10, 50%] ; Lomnický, Igor [Autor, UKFFFAKAE 06.2022, 50%]. – [slovenčina]. – [OV 020]. – [príspevok] In: Edukácia orientovaná na študenta VŠ (adaptácia študentov na vysokoškolské štúdium a národný trh práce) [elektronický dokument] : Vedecký medzinárodný recenzovaný zborník / Hrehová, Daniela [Zostavovateľ, editor] ; Seňová, Andrea [Zostavovateľ, editor] ; Liška, Václav [Recenzent] ; Gallo, Peter [Recenzent]. – 1. vyd. – Košice (Slovensko) : Technická univerzita v Košiciach, 2021. – ISBN (online) 978-80-553-3959-7. – SIGN-TUKE 232817, s. 128-136 [CD-ROM] </t>
  </si>
  <si>
    <t xml:space="preserve">Miesto človeka v dejinách (s dôrazom na obdobie antiky a stredoveku) / Palitefka, Jozef [Autor, UKFFFAKKU, 100%]. – [slovenčina]. – [OV 060]. – [príspevok] In: Culturologica Slovaca [elektronický dokument] / Palitefka, Jozef [Zostavovateľ, editor]. – 1. vyd. – Roč. 4. – Nitra (Slovensko) : Univerzita Konštantína Filozofa v Nitre, 2019. – ISSN 2453-9740, s. 53-65 [online] </t>
  </si>
  <si>
    <t xml:space="preserve">Migrant Crisis and its Implications into Sworn Interpreting and Police Practice / Ukušová, Jana [Autor, UKFFFAKTR, 90%] ; Kopecký, Peter [Autor, UKFFFAKTR, 10%]. – text. – [angličtina]. – [OV 020]. – [príspevok] In: Translatologia [elektronický dokument] / Hodáková, Soňa [Zostavovateľ, editor]. – 1. vyd. – Roč. 3, č. 1. – Nitra (Slovensko) : Univerzita Konštantína Filozofa v Nitre, 2019. – ISSN (online) 2453-9899, s. 23-41 [online] </t>
  </si>
  <si>
    <t xml:space="preserve">Mocenské premeny autonómneho Slovenska v regióne Horná Nitra / Arpáš, Róbert [Autor, UKFFFAKHI, 100%]. – text. – [slovenčina]. – [OV 030]. – [príspevok] In: Od demokracie k autoritárstvu. Ponitrie v období autonómie (1938 – 1939) [textový dokument (print)] [elektronický dokument] / Arpáš, Róbert [Zostavovateľ, editor] ; Ruman, Ladislav [Recenzent] ; Mičko, Peter [Recenzent]. – 1. vyd. – Nitra (Slovensko) : Univerzita Konštantína Filozofa v Nitre, 2021. – ISBN 978-80-558-1672-2, s. 11-38 [tlačená forma] [online] </t>
  </si>
  <si>
    <t xml:space="preserve">Monitoring of effectiveness of bird flight diverters in preventing bird mortality from powerline collisions in Slovakia / Gális, Marek [Autor, 50%] ; Ševčík, Michal [Autor, UKFFPVKEE, 50%]. – text. – [slovenčina, angličtina]. – [OV 100, 130]. – [príspevok]. – DOI 10.2478/srj-2019-0005 In: Raptor Journal [elektronický dokument] : formerly known as Slovak Raptor Journal - Ochrana dravcov na Slovensku (2007 - 2018) / [bez zostavovateľa] [Zostavovateľ, editor]. – 1. vyd. – Roč. 13, č. 1. – Bratislava (Slovensko) : De Gruyter, 2019. – ISSN (online) 2644-5247, s. 45-59 [online] </t>
  </si>
  <si>
    <t xml:space="preserve">Monitorovanie stereotypu dýchania u vybraných skupín populácie / Spevár, Jakub [Autor, 20%] ; Kanásová, Janka [Autor, UKFPFAKTV, 40%] ; Czaková, Natália [Autor, UKFPFAKTV, 40%]. – text. – [slovenčina]. – [OV 210]. – [príspevok] In: Šport a rekreácia 2021 (Recenzovaný nekonferenčný zborník vedecko-výskumných a odborných prác,  zameraný na prezentáciu poznatkov v oblasti športu, telesnej výchovy,  diagnostiky, zdravia, rekreácie, cestovného ruchu, regenerácie, manažmentu,  atď.) [textový dokument (print)] [elektronický dokument] : zborník vedeckých prác / Broďáni, Jaroslav [Zostavovateľ, editor] ; Czaková, Monika [Zostavovateľ, editor] ; Dvořáčková, Natália [Zostavovateľ, editor] ; Boržíková, Iveta [Recenzent] ; Chovanová, Erika [Recenzent] ; Halmová, Nora [Recenzent] ; Kanásová, Janka [Recenzent] ; Labudová, Jana [Recenzent] ; Šutka, Vladimír [Recenzent] ; Uher, Ivan [Recenzent] ; Michal, Jíro [Recenzent] ; Rozim, Robert [Recenzent] ; Kutlík, Dušan [Recenzent] ; Adamčák, Štefan [Recenzent] ; Broďáni, Jaroslav [Recenzent] ; Grznár, Ľuboš [Recenzent] ; Divinec, Lenka [Recenzent] ; Marko, Michal [Recenzent] ; Kraček, Stanislav [Recenzent] ; Leütterová, Daniela [Recenzent] ; Horička, Pavol [Recenzent]. – 1. vyd. – Nitra (Slovensko) : Univerzita Konštantína Filozofa v Nitre. Pedagogická fakulta UKF. Katedra telesnej výchovy a športu, 2021. – ISBN 978-80-558-1726-2, s. 88-94 [tlačená forma] [online] </t>
  </si>
  <si>
    <t xml:space="preserve">Morálny vývin detí v staršom školskom veku - sociokultúrna komparácia / Čerešníková, Miroslava [Autor, UKFFSVURS, 50%] ; Golská, Tatiana [Autor, 50%]. – text. – [slovenčina]. – [OV 060]. – [príspevok] In: Optima Opus 2018 [textový dokument (print)] / Rosinský, Rastislav [Zostavovateľ, editor]. – 1. vyd. – Nitra (Slovensko) : Univerzita Konštantína Filozofa v Nitre, 2019. – ISBN 978-80-558-1377-6, s. 7-36 [tlačená forma] </t>
  </si>
  <si>
    <t xml:space="preserve">Motivácia a regulácia správania sa žiakov nižšieho sekundárneho vzdelávania / Dojčánová, Vanesa [Autor, 50%] ; Juhásová, Andrea [Autor, UKFPFAKAP, 50%]. – text. – [slovenčina]. – [OV 010]. – [príspevok] In: Konvergencie vedeckej činnosti študentov a učiteľov 2 [textový dokument (print)] / Verešová, Marcela [Zostavovateľ, editor] ; Pavelová, Ľuba [Recenzent] ; Valihorová, Marta [Recenzent]. – 1. vyd. – Nitra (Slovensko) : Univerzita Konštantína Filozofa v Nitre, 2021. – ISBN 978-80-558-1732-3, s. 41-53 [tlačená forma] </t>
  </si>
  <si>
    <t xml:space="preserve">Motivácia voľby učiteľského povolania a interakčný štýl učiteľov / Rapsová, Lucia [Autor, UKFPFAKPE, 50%] ; Hečková, Ivana [Autor, 50%]. – text. – [slovenčina]. – [OV 010]. – [príspevok] In: Konvergencie vedeckej činnosti študentov a učiteľov [textový dokument (print)] / Verešová, Marcela [Zostavovateľ, editor] ; Pavelová, Ľuba [Recenzent] ; Valihorová, Marta [Recenzent]. – 1. vyd. – Nitra (Slovensko) : Univerzita Konštantína Filozofa v Nitre, 2020. – ISBN 978-80-558-1543-5, s. 147-156 [tlačená forma] </t>
  </si>
  <si>
    <t xml:space="preserve">Motivácia voľby učiteľského povolania a vnímanie statusu učiteľskej profesie u budúcich učiteľov / Boriková, Lenka [Autor, 50%] ; Verešová, Marcela [Autor, UKFPFAKAP, 50%]. – text. – [slovenčina]. – [OV 060]. – [príspevok] In: Konvergencie vedeckej činnosti študentov a učiteľov [textový dokument (print)] / Verešová, Marcela [Zostavovateľ, editor] ; Pavelová, Ľuba [Recenzent] ; Valihorová, Marta [Recenzent]. – 1. vyd. – Nitra (Slovensko) : Univerzita Konštantína Filozofa v Nitre, 2020. – ISBN 978-80-558-1543-5, s. 132-146 [tlačená forma] </t>
  </si>
  <si>
    <t xml:space="preserve">Motivácia z pohľadu sebadeterminačnej teórie u športovcov / Romanová, Martina [Autor, UKFFSVUAP, 50%] ; Sollár, Tomáš [Autor, UKFFSVUAP, 50%] ; Lenková, Rút [Recenzent] ; Novotná, Nadežda [Recenzent]. – text. – [slovenčina]. – [OV 210]. – [príspevok] In: Šport a rekreácia 2018 [textový dokument (print)] : zborník vedeckých prác / Broďáni, Jaroslav [Zostavovateľ, editor]. – 1. vyd. – Nitra (Slovensko) : Univerzita Konštantína Filozofa v Nitre, 2018. – ISBN 978-80-558-1301-1, s. 120-126 [tlačená forma] </t>
  </si>
  <si>
    <t xml:space="preserve">Motivačné faktory v práci sestry / Krištofová, Erika [Autor, UKFFSVKOS, 50%] ; Pavelová, Ľuboslava [Autor, UKFFSVKOS, 50%]. – text. – [čeština]. – [OV 180]. – [príspevok] In: Sestry : hlas v popredí - zdravie pre všetkých [elektronický dokument] : recenzovaný vedecký zborník vydaný pri príležitosti Medzinárodného dňa sestier 2019 / Spáčilová, Zuzana [Zostavovateľ, editor] ; Libová, Ľubica [Recenzent] ; Haluzíková, Jana [Recenzent] ; Pavelová, Ľuboslava [Recenzent]. – 1. vyd. – Nitra (Slovensko) : Univerzita Konštantína Filozofa v Nitre, 2019. – ISBN 978-80-558-1418-6, s. 48-54 [CD-ROM] </t>
  </si>
  <si>
    <t xml:space="preserve">Možnosť a potreba kritiky / Öllös, László [Autor, UKFFFAKPO, 100%]. – text. – [slovenčina]. – [OV 060]. – [príspevok] In: Občianska spoločnosť. Kam kráčaš demokracia [textový dokument (print)] : košické politologické dialógy / Dobiaš, Daniel [Zostavovateľ, editor] ; Eštok, Gabriel [Zostavovateľ, editor] ; Dobiašová, Soňa [Zostavovateľ, editor] ; Gbúrová, Marcela [Recenzent] ; Horváth, Peter [Recenzent]. – 1. vyd. – Košice (Slovensko) : Univerzita Pavla Jozefa Šafárika v Košiciach, 2018. – ISBN 978-80-8152-655-8. – sign UPJS FSEP 009796. – SAF F 137275, s. 77-87 [tlačená forma] </t>
  </si>
  <si>
    <t xml:space="preserve">Možnosti a niektoré špecifiká inštitucionálnej edukácie detí s Downovým syndrómom v materskej škole = Possibilities and some specifications of institutional education of a child with a Down syndrome in kindergarten / Balážová, Jana [Autor, UKFPFAKPE, 100%]. – text. – [slovenčina]. – [OV 010]. – [ŠO 7605]. – [príspevok] In: Formovanie učiaceho sa spoločenstva v inkluzívnej škole [elektronický dokument] : zborník vedeckých štúdií / Janoško, Pavol [Zostavovateľ, editor] ; Majzlanová, Katarína [Recenzent] ; Zubal, Pavol [Recenzent] ; Kušnírová, Veronika [Recenzent]. – 1. vyd. – Bratislava (Slovensko) : Univerzita Komenského v Bratislave, 2021. – ISBN 978-80-223-5336-6. – SIGN-UKO PD LP/21, s. 123-135 [CD-ROM] </t>
  </si>
  <si>
    <t xml:space="preserve">Možnosti ďalšieho profesijného vzdelávania a rozvoja pracovníkov v zariadeniach sociálnych služieb / Debnáriková, Miroslava [Autor, UKFPFAKPE, 100%]. – text. – [slovenčina]. – [OV 010]. – [príspevok] In: Teória a prax edukácie dospelých [elektronický dokument] : andragogické vedecké štúdie / Mayer, Katarína [Zostavovateľ, editor] ; Frk, Vladimír [Recenzent] ; Hangoni, Tomáš [Recenzent]. – 1. vyd. – Prešov (Slovensko) : Prešovská univerzita v Prešove, 2019. – ISBN 978-80-555-2218-0. – SIGN-PU FHPV-19 18/19, s. 244-252 [online] </t>
  </si>
  <si>
    <t xml:space="preserve">Možnosti demokracie a islamizmus / Szentandrási, Tibor [Autor, UKFFFAKPO, 100%] ; Gbúrová, Marcela [Recenzent] ; Horváth, Peter [Recenzent]. – text. – [slovenčina]. – [OV 060]. – [príspevok] In: Občianska spoločnosť. Kam kráčaš demokracia [textový dokument (print)] : košické politologické dialógy / Dobiaš, Daniel [Zostavovateľ, editor] ; Eštok, Gabriel [Zostavovateľ, editor] ; Dobiašová, Soňa [Zostavovateľ, editor]. – 1. vyd. – Košice (Slovensko) : Univerzita Pavla Jozefa Šafárika v Košiciach, 2018. – ISBN 978-80-8152-655-8. – sign UPJS FSEP 009796. – SAF F 137275, s. 265-275 [tlačená forma] </t>
  </si>
  <si>
    <t xml:space="preserve">Možnosti implementácie lesnej pedagogiky do ďaľšieho vzdelávania učiteľov materských škôl / Pupíková, Eva [Autor, UKFPFAKPE, 40%] ; Kollárová, Dana [Autor, UKFPFAKPE, 60%]. – text. – [slovenčina]. – [OV 010]. – [príspevok] In: Pedagogica actualis 11 [textový dokument (print)] : spoločnosť a výchova / Sirotová, Mariana [Zostavovateľ, editor] ; Michvocíková, Veronika [Zostavovateľ, editor] ; Lenovský, Ladislav [Recenzent] ; Žáková, Martina [Recenzent]. – 1. vyd. – Trnava (Slovensko) : Univerzita sv. Cyrila a Metoda v Trnave, 2020. – ISBN 978-80-572-0045-1, s. 1-6 [tlačená forma] </t>
  </si>
  <si>
    <t xml:space="preserve">Možnosti ovplyvňovania plochonohosti u žiakov základných škôl / Kanásová, Janka [Autor, UKFPFAKTV, 40%] ; Czaková, Natália [Autor, UKFPFAKTV, 40%] ; Remža, Ivan [Autor, 20%] ; Pach, Martin [Recenzent] ; Žídek, Jaroslav [Recenzent]. – text. – [slovenčina]. – [OV 210]. – [príspevok] In: Technika a metodika zimných a letných športov v prírode 2018 [elektronický dokument] : zborník vedeckých a odborných prác / Chovanec, Lukáš [Zostavovateľ, editor]. – 1. vyd. – Bratislava (Slovensko) : Univerzita Komenského v Bratislave. Fakulta telesnej výchovy a športu UK, 2018. – ISBN 978-80-223-4643-6. – SIGN-UKO TV ak19/257, s. 100-109 [online] </t>
  </si>
  <si>
    <t xml:space="preserve">Možnosti rozvoja sociability predškolákov / Chudivániová, Nikoleta [Autor, 50%] ; Gatial, Viktor [Autor, UKFPFAKAP, 50%]. – text. – [slovenčina]. – [OV 010]. – [príspevok] In: Konvergencie vedeckej činnosti študentov a učiteľov 2 [textový dokument (print)] / Verešová, Marcela [Zostavovateľ, editor] ; Pavelová, Ľuba [Recenzent] ; Valihorová, Marta [Recenzent]. – 1. vyd. – Nitra (Slovensko) : Univerzita Konštantína Filozofa v Nitre, 2021. – ISBN 978-80-558-1732-3, s. 7-22 [tlačená forma] </t>
  </si>
  <si>
    <t xml:space="preserve">Možnosti sociálneho pracovníka v práci s týraným, zneužívaným a zanedbávaným dieťaťom / Gažiková, Elena [Autor, UKFFSVKSP, 50%] ; Pintešová, Sabina [Autor, 50%]. – text. – [slovenčina]. – [OV 060]. – [príspevok] In: Optima Opus 2018 [textový dokument (print)] / Rosinský, Rastislav [Zostavovateľ, editor]. – 1. vyd. – Nitra (Slovensko) : Univerzita Konštantína Filozofa v Nitre, 2019. – ISBN 978-80-558-1377-6, s. 37-63 [tlačená forma] </t>
  </si>
  <si>
    <t xml:space="preserve">Možnosti testovania plaveckých zručností v zdokonaľovanom plaveckom výcviku / Dvořáčková, Natália [Autor, UKFPFAKTV, 90%] ; Broďáni, Jaroslav [Autor, UKFPFAKTV, 5%] ; Czaková, Monika [Autor, UKFPFAKTV, 5%]. – text. – [slovenčina]. – [OV 210]. – [príspevok] In: Vysokoškolská telesná výchova a šport, pohybová aktivita a zdravý životný štýl 2021 [elektronický dokument] : recenzovaný zborník vedeckých prác / Vojtaško, Ľuboš [Zostavovateľ, editor] ; Hlaváčová, Jana [Zostavovateľ, editor] ; Timkovič, Matej [Zostavovateľ, editor]. – 1. vyd. – Roč. 3. – Košice (Slovensko) : Technická univerzita v Košiciach, 2021. – ISBN 978-80-553-3860-6. – SIGN-TUKE 228307, s. 237-242 [DVD] [online] </t>
  </si>
  <si>
    <t xml:space="preserve">Možnosti zisťovania fyzickej zdatnosti a pohybových schopností žiakov v primárnom stupni vzdelávania / Micsinaiová, Jana [Autor, 40%] ; Šutka, Vladimír [Autor, UKFPFAKTV, 60%]. – text. – [slovenčina]. – [OV 210]. – [príspevok] In: Šport a rekreácia 2019 (Recenzovaný nekonferenčný zborník vedecko-výskumných a odborných prác, zameraný na prezentáciu poznatkov v oblasti športu, telesnej výchovy, diagnostiky, zdravia, rekreácie, cestovného ruchu, regenerácie, manažmentu, atď.) [textový dokument (print)] [elektronický dokument] : zborník vedeckých prác / Broďáni, Jaroslav [Zostavovateľ, editor] ; Kováčová, Natália [Zostavovateľ, editor] ; Kampmiller, Tomáš [Recenzent] ; Bartík, Pavol [Recenzent] ; Michal, Jiří [Recenzent] ; Šutka, Vladimír [Recenzent] ; Halmová, Nora [Recenzent] ; Kanásová, Janka [Recenzent] ; Ružbarská, Ingrid [Recenzent] ; Mandzáková, Martina [Recenzent] ; Rošková, Miroslava [Recenzent] ; Rozim, Robert [Recenzent] ; Doležajová, Ladislava [Recenzent] ; Kraček, Stanislav [Recenzent] ; Luptáková, Martina [Recenzent] ; Nemček, Dagmar [Recenzent] ; Šmela, Pavel [Recenzent] ; Czaková, Natália [Recenzent] ; Hrnčár, Roman [Recenzent]. – 1. vyd. – Nitra (Slovensko) : Univerzita Konštantína Filozofa v Nitre. Pedagogická fakulta UKF. Katedra telesnej výchovy a športu, 2019. – ISBN 978-80-558-1415-5, s. 139-144 [tlačená forma] [online] </t>
  </si>
  <si>
    <t xml:space="preserve">Možnosti zvládnutia globálnych problémov liberálnodemokratickými systémami / Szentandrási, Tibor [Autor, UKFFFAKPO, 100%]. – text. – [slovenčina]. – [OV 060]. – [príspevok] In: 1989 – 2019: 30 rokov zmien. Kam kráčaš demokracia [textový dokument (print)] : Košické politologické dialógy / Šutajová, Jana [Zostavovateľ, editor] ; Eštok, Gabriel [Zostavovateľ, editor] ; Onufrák, Alexander [Zostavovateľ, editor] ; Jesenko, Michal [Recenzent] ; Pekník, Miroslav [Recenzent]. – 1. vyd. – Košice (Slovensko) : Univerzita Pavla Jozefa Šafárika v Košiciach. Celouniverzitné pracovisko UPJŠ. Vydavateľstvo ŠafárikPress UPJŠ, 2021. – (Acta Facultatis Philosophicae Universitatis Šafarikianae ; Politický zborník 10). – ISBN 978-80-8152-990-0. – sign UPJS FSEP 011673. – SAF F 140665, s. 97-105 [tlačená forma] </t>
  </si>
  <si>
    <t xml:space="preserve">Mravcovité (hymenoptera, formicidae)  južnej časti Stredného Slovenska / Langraf, Vladimír [Autor, UKFFPVKEE, 50%] ; Petrovičová, Kornélia [Autor, 30%] ; David, Stanislav [Autor, UKFFPVKEE, 9%] ; Schlarmannová, Janka [Autor, UKFFPVKZA, 9%] ; Drexlerová, Martina [Autor, 2%]. – text. – [slovenčina]. – [OV 130]. – [príspevok] In: Zborník Slovenského národného múzea. Prírodné vedy [Acta Rerum Naturalium Musei Nationalis Slovaci ] [textový dokument (print)] / Kautman, Ján [Zostavovateľ, editor] ; Ďurišová, Anna [Zostavovateľ, editor]. – 1. vyd. – Roč. LXI. – Bratislava (Slovensko) : Slovenské národné múzeum, 2021. – ISBN 978-80-8060-507-0. – ISSN 0139-5424, s. 63-74 </t>
  </si>
  <si>
    <t xml:space="preserve">Mravcovité (hymenoptera, formicidae) južnej časti Stredného Slovenska / Langraf, Vladimír [Autor, UKFFPVKZA, 50%] ; Petrovičová, Kornélia [Autor, SPUFAP26, 30%] ; David, Stanislav [Autor, UKFFPVKEE, 9%] ; Schlarmannová, Janka [Autor, UKFFPVKZA, 9%] ; Drexlerová, Martina [Autor, 2%]. – [slovenčina]. – [OV 190, 130]. – [príspevok]. – [recenzované] In: Zborník Slovenského národného múzea : Acta rerum naturalium musei Nationalis Slovaci Bratislava / Voleková, Bronislava [Zostavovateľ, editor]. – 1 vyd. – Bratislava (Slovensko) : Prírodovedné múzeum (Bratislava, Slovensko), 2020. – ISBN 978-80-8060-507-0. – ISSN 0139-5424, s. 63-74 </t>
  </si>
  <si>
    <t xml:space="preserve">Múzejná sieť na Slovensku v období I. Československej republiky - predstavy a realita / Palárik, Miroslav [Autor, UKFFFAKHI, 100%]. – text. – [slovenčina]. – [OV 030]. – [príspevok] In: Dokumentácia "osmičkových" výročí v slovenských a českých múzeách [textový dokument (print)] : rok 1918 a tie ostatné / Hupko, Daniel [Zostavovateľ, editor] ; Beneš, Luděk [Zostavovateľ, editor] ; Gogová, Stanislava [Recenzent] ; Veselská, Dana [Recenzent]. – 1. vyd. – Banská Bystrica (Slovensko) : Zväz múzeí na Slovensku, 2018. – ISBN 978-80-971748-7-3, s. 84-106 [tlačená forma] </t>
  </si>
  <si>
    <t xml:space="preserve">Náboženská a etická neutralita štátu, tolerancia a spory o homosexualitu / Korený, Peter [Autor, UKFFFAKAE 06.2022, 100%]. – text. – [slovenčina]. – [OV 020]. – [príspevok] In: Kontextuálna analýza princípu náboženskej a etickej neutrality štátu [textový dokument (print)] / Korený, Peter [Zostavovateľ, editor] ; Plašienková, Zlatica [Recenzent] ; Diatka, Cyril [Recenzent]. – 1. vyd. – Nitra (Slovensko) : Univerzita Konštantína Filozofa v Nitre, 2019. – ISBN 978-80-558-1495-7, s. 13-44 </t>
  </si>
  <si>
    <t xml:space="preserve">Náboženské kompetencie z pohľadu filozofie výchovy k cnosti / Blaščíková, Andrea [Autor, UKFFFAKNS, 100%]. – text. – [slovenčina]. – [OV 020]. – [príspevok] In: Edukácia [elektronický dokument] / [bez zostavovateľa] [Zostavovateľ, editor]. – 1. vyd. – Roč. 4, č. 1. – Košice (Slovensko) : Univerzita Pavla Jozefa Šafárika v Košiciach, 2021. – ISSN (online) 1339-8725, s. 14-23 [online] </t>
  </si>
  <si>
    <t xml:space="preserve">Nácvik sociálnych spôsobilostí, asertivita a komunikácia / Popelková, Marta [Autor, UKFFSVKPV, 100%] ; Štefarová, Iveta [Recenzent] ; Jurišová, Erika [Recenzent]. – text. – [slovenčina]. – [OV 060]. – [kapitola] In: Princípy a metódy kognitívno behaviorálnej terapie [textový dokument (print)] / Praško Pavlov, Ján [Autor]. – 1. vyd. – Nitra (Slovensko) : Univerzita Konštantína Filozofa v Nitre, 2018. – ISBN 978-80-558-1348-6, s. 255-260 </t>
  </si>
  <si>
    <t xml:space="preserve">Náčrt možností zakomponovania školskej integrácie/inkluzívnej edukácie do koncepcie rozvoja materskej školy = Draft of the possible incorporation of school integration/ inclusive education into the concept of preschool development / Balážová, Jana [Autor, UKFPFAKPE, 60%] ; Mináriková, Silvia [Autor, 40%]. – text. – [slovenčina]. – [OV 010]. – [ŠO 7605]. – [príspevok] In: Formovanie učiaceho sa spoločenstva v inkluzívnej škole [elektronický dokument] : zborník vedeckých štúdií / Janoško, Pavol [Zostavovateľ, editor] ; Majzlanová, Katarína [Recenzent] ; Zubal, Pavol [Recenzent] ; Kušnírová, Veronika [Recenzent]. – 1. vyd. – Bratislava (Slovensko) : Univerzita Komenského v Bratislave, 2021. – ISBN 978-80-223-5336-6. – SIGN-UKO PD LP/21, s. 99-108 [CD-ROM] </t>
  </si>
  <si>
    <t xml:space="preserve">Nad rámec tradičnej žurnalistiky : Reflexia vplyvu nových médií na participačné ambície publika so zameraním na kontext slovenskej mediálnej scény / Olejárová, Andrea [Autor, UKFFFAKKU, 100%]. – text. – [slovenčina]. – [OV 060]. – [príspevok] In: Culturologica Slovaca [elektronický dokument] / Palitefka, Jozef [Zostavovateľ, editor]. – 1. vyd. – Roč. 4. – Nitra (Slovensko) : Univerzita Konštantína Filozofa v Nitre, 2019. – ISSN 2453-9740, s. 113-129 [online] </t>
  </si>
  <si>
    <t xml:space="preserve">Nadčasovosť tvorby Martina Rázusa / Gallik, Ján [Autor, UKFFSSUSJ, 100%] ; Zelenka, Miloš [Recenzent] ; Magalová, Gabriela [Recenzent]. – text. – [slovenčina]. – [OV 020]. – [príspevok] In: Kultúra a súčasnosť 17 [textový dokument (print)] / Gallik, Ján [Zostavovateľ, editor] ; Jozek, Milan [Zostavovateľ, editor]. – 1. vyd. – Nitra (Slovensko) : Univerzita Konštantína Filozofa v Nitre, 2018. – ISBN 978-80-558-1296-0, s. 15-22 [tlačená forma] </t>
  </si>
  <si>
    <t xml:space="preserve">Náhodný nález džbánku s brázdeným vpichom typu Bajč-Retz v obci Jarok = Zufallsfund eines kleinen Kruges mit Furchenstichverzierung in Jarok / Beljak Pažinová, Noémi [Autor, UKFFFAKAR, 50%] ; Melo, Matúš [Autor, 50%]. – text. – [slovenčina]. – [OV 030]. – [príspevok] In: Archeologické výskumy a nálezy na Slovensku v roku 2015 [textový dokument (print)] / Cheben, Ivan [Zostavovateľ, editor] ; Daňová, Klaudia [Zostavovateľ, editor] ; Vojteček, Marek [Zostavovateľ, editor] ; Elschek, Kristián [Recenzent] ; Bartík, Juraj [Recenzent]. – 1. vyd. – Nitra (Slovensko) : Slovenská akadémia vied, 2020. – ISBN 978-80-8196-045-1. – ISSN 0231-925X, s. 34-36 [tlačená forma] </t>
  </si>
  <si>
    <t xml:space="preserve">Nálezy z doby laténskej a doby rímskej = Finds from the La Tène period and the Roman period / Repka, Dominik [Autor, UKFFFAKAR, 100%]. – text. – [slovenčina]. – [OV 030]. – [príspevok] In: Archeologický výskum v polohe Hozelec-Dubina [textový dokument (print)] / [bez zostavovateľa] [Zostavovateľ, editor] ; Bátora, Jozef [Recenzent] ; Borzová, Zuzana [Recenzent] ; Uličný, Marián [Recenzent]. – 1. vyd. – Spišská Nová Ves (Slovensko) : Múzeum Spiša v Spišskej Novej Vsi, 2019. – ISBN 978-80-85173-32-1, s. 57-59 [tlačená forma] </t>
  </si>
  <si>
    <t xml:space="preserve">Narrative Journalism Works as a Teaching Tool at the Lessons of English for Journalists / Csalová, Oľga [Autor, UKFFFAJZC, 100%] ; Šenkár, Patrik [Recenzent] ; Dudová, Katarína [Recenzent]. – text. – [angličtina]. – [OV 020]. – [príspevok] In: Moderné jazyky v súčasnej Európe [textový dokument (print)] / Zelenická, Elena [Zostavovateľ, editor]. – 1. vyd. – Nitra (Slovensko) : Univerzita Konštantína Filozofa v Nitre, 2018. – ISBN 978-80-558-1359-2, s. 44-51 [tlačená forma] </t>
  </si>
  <si>
    <t xml:space="preserve">Návrhy a odporúčania ďalšieho využívania krajiny / Piscová, Veronika [Autor, 50%] ; Hreško, Juraj [Autor, UKFFPVKEE, 50%] ; Kolejka, Jaromír [Recenzent] ; Petrovič, František [Recenzent]. – [slovenčina]. – [OV 100]. – [kapitola] In: Využívanie vysokohorskej krajiny a jeho dôsledky na zmenu prostredia [textový dokument (print)] : na príklade Tatier a Nízkych Tatier / Piscová, Veronika [Autor]. – 1. vyd. – Bratislava (Slovensko) : Slovenská akadémia vied. Veda, vydavateľstvo Slovenskej akadémie vied, 2018. – ISBN 978-80-224-1585-9, s. 227-228 [tlačená forma] </t>
  </si>
  <si>
    <t xml:space="preserve">Názory verejnosti na striedavú osobnú starostlivosť / Gažiková, Elena [Autor, UKFFSVKSP, 50%] ; Štiglincová, Veronika [Autor, 50%]. – text. – [slovenčina]. – [OV 060]. – [príspevok] In: Optima Opus 2018 [textový dokument (print)] / Rosinský, Rastislav [Zostavovateľ, editor]. – 1. vyd. – Nitra (Slovensko) : Univerzita Konštantína Filozofa v Nitre, 2019. – ISBN 978-80-558-1377-6, s. 64-97 [tlačená forma] </t>
  </si>
  <si>
    <t xml:space="preserve">Nedeštruktívny geofyzikálny prieskum zaniknutého Kostola Najsvätejšej Trojice v Petrovciach / Botoš, Alexander [Autor, 33.334%] ; Bešina, Daniel [Autor, UKFFFAKAR, 33.333%] ; Tirpák, Ján [Autor, UKFFPVGMU, 33.333%]. – text, fotogr. – [slovenčina]. – [OV 030, 092]. – [príspevok] In: Gemer-Malohont (16) [textový dokument (print)] : zborník Gemersko-malohontského múzea / Bodorová, Oľga [Zostavovateľ, editor] ; Furmánek, Václav [Recenzent] ; Sokolovský, Leon [Recenzent] ; Ferklová, Daša [Recenzent]. – 1. vyd. – Roč. 16. – Rimavská Sobota (Slovensko) : Gemersko-malohontské múzeum, 2020. – ISBN 978-80-85134-61-2, s. 44-51 [tlačená forma] </t>
  </si>
  <si>
    <t xml:space="preserve">Néhány észrevétel a nyelvjárások stilisztikai és fordítási kérdéseiről / Sándorová, Anna [Autor, UKFFSSUML, 100%]. – [maďarčina]. – [OV 020]. – [príspevok] In: Nyelv, identitás, oktatás [textový dokument (print)] : köszöntȍ könyv Zeman László nyelvész, egyetemi oktató 90. születésnapja tiszteletére / Misadová, Katarína [Zostavovateľ, editor] ; Vörös, Ottó [Recenzent] ; Sebők, Szilárd [Recenzent]. – 1. vyd. – Bratislava (Slovensko) : Združenie Alberta Szenci Molnára, 2019. – ISBN 978-80-971983-9-8, s. 90-103 [tlačená forma] </t>
  </si>
  <si>
    <t xml:space="preserve">Několik poznámek k metodologii hodnocení a interpretaci literárních jevů (se zřetelem k „hledisku hodnocení“) / Mikulášek, Alexej [Autor, UKFFSSUSJ, 100%] ; Zelenka, Miloš [Recenzent] ; Magalová, Gabriela [Recenzent]. – text. – [slovenčina]. – [OV 020]. – [príspevok] In: Kultúra a súčasnosť 17 [textový dokument (print)] / Gallik, Ján [Zostavovateľ, editor] ; Jozek, Milan [Zostavovateľ, editor]. – 1. vyd. – Nitra (Slovensko) : Univerzita Konštantína Filozofa v Nitre, 2018. – ISBN 978-80-558-1296-0, s. 107-118 [tlačená forma] </t>
  </si>
  <si>
    <t xml:space="preserve">Nemravná mládež? : Inštitucionálna starostlivosť o problémovú mládež na Slovensku v ére prvej Československej republiky / Rigová, Viktória [Autor, UKFFFAKHI, 100%]. – text, ilustr. – [slovenčina]. – [OV 030]. – [príspevok] In: Moc sexu [textový dokument (print)] : sex a sexualita v moderných dejinách Slovenska / Nešťáková, Denisa [Zostavovateľ, editor] ; Kmeť, Miroslav [Recenzent] ; Mičko, Peter [Recenzent]. – 1. vyd. – Bratislava (Slovensko) : Paradigma Publishing, 2021. – ISBN 978-80-973678-1-7, s. 137-159 [tlačená forma] </t>
  </si>
  <si>
    <t xml:space="preserve">Neurologické ochorenia a akútna zmätenosť / Vörösová, Gabriela [Autor, UKFFSVKOS, 40%] ; Semanišinová, Mária [Autor, UKFFSVKOS, 40%] ; Félisová, Andrea [Autor, 20%]. – text. – [čeština]. – [OV 180]. – [príspevok] In: Sestry : hlas v popredí - zdravie pre všetkých [elektronický dokument] : recenzovaný vedecký zborník vydaný pri príležitosti Medzinárodného dňa sestier 2019 / Spáčilová, Zuzana [Zostavovateľ, editor] ; Libová, Ľubica [Recenzent] ; Haluzíková, Jana [Recenzent] ; Pavelová, Ľuboslava [Recenzent]. – 1. vyd. – Nitra (Slovensko) : Univerzita Konštantína Filozofa v Nitre, 2019. – ISBN 978-80-558-1418-6, s. 168-178 [CD-ROM] </t>
  </si>
  <si>
    <t xml:space="preserve">Nezávislé kultúrne centrum Stanica Žilina-Záriečie / Kováčiková, Petra [Autor, UKFFFAKKU, 100%]. – text. – [slovenčina]. – [OV 060]. – [príspevok] In: Nezávislé kultúrne centrá na Slovensku [textový dokument (print)] [elektronický dokument] / Fuják, Július [Zostavovateľ, editor] ; Ballay, Miroslav [Recenzent] ; Malíček, Juraj [Recenzent]. – 1. vyd. – Nitra (Slovensko) : Univerzita Konštantína Filozofa v Nitre, 2021. – ISBN 978-80-558-1674-6, s. 37-62 [tlačená forma] [online] </t>
  </si>
  <si>
    <t xml:space="preserve">Niekoľko reflexií k výučbe cudzích jazykov / Zelenická, Elena [Autor, UKFFFAJZC, 100%] ; Šenkár, Patrik [Recenzent] ; Dudová, Katarína [Recenzent]. – text. – [slovenčina]. – [OV 020]. – [príspevok] In: Moderné jazyky v súčasnej Európe [textový dokument (print)] / Zelenická, Elena [Zostavovateľ, editor]. – 1. vyd. – Nitra (Slovensko) : Univerzita Konštantína Filozofa v Nitre, 2018. – ISBN 978-80-558-1359-2, s. 174-179 [tlačená forma] </t>
  </si>
  <si>
    <t xml:space="preserve">Niektoré aspekty národnej identity slovenských Maďarov podľa vekových skupín / Mészárosová, Zuzana [Autor, UKFFFAKPO, 100%]. – [slovenčina]. – [OV 060]. – [príspevok] In: Fórum spoločenskovedná revue 2018 : Zborník štúdií výskumníkov a výskumníčok Fórum inštitútu pre výskum menšín / Lamplová, Zuzana [Zostavovateľ, editor] ; Kočnerová, Mária [Recenzent] ; Szarka, László [Recenzent]. – 1. vyd. – Šamorín (Slovensko) : Fórum inštitút pre výskum menšín, 2018. – ISBN 978-80-89978-02-1, s. 63-83 [tlačená forma] </t>
  </si>
  <si>
    <t xml:space="preserve">Niektoré dilemy supervízie organizácie / Gabura, Ján [Autor, UKFFSVKSP, 50%] ; Gažiková, Elena [Autor, UKFFSVKSP, 50%]. – [slovenčina]. – [OV 060]. – [príspevok] In: Vedecké odpovede na aktuálne otázky supervízie v sociálnej práci [elektronický dokument] : zborník vedeckých štúdií / Vaska, Ladislav [Zostavovateľ, editor] ; Vrťová, Jana [Zostavovateľ, editor] ; Hudecová, Anna [Recenzent] ; Mojžíšová, Adéla [Recenzent]. – 1. vyd. – Banská Bystrica (Slovensko) : Univerzita Mateja Bela v Banskej Bystrici. Vydavateľstvo Univerzity Mateja Bela v Banskej Bystrici - Belianum, 2020. – ISBN 978-80-557-1762-3, s. 182-184 [online] </t>
  </si>
  <si>
    <t xml:space="preserve">Nitrianski biskupi Pavol Abstemius a Štefan Fejérkövy očami Mateja Bela / Rácová, Katarína [Autor, UKFFFAKHI, 100%] ; Tkáčik, Ladislav [Recenzent] ; Ambrúžová Poriezová, Miriam [Recenzent]. – text. – [slovenčina]. – [OV 030]. – [príspevok] In: Sambucus 13 [textový dokument (print)] : práce z klasickej filológie, latinskej medievalistiky a neolatinistiky / Juríková, Erika [Zostavovateľ, editor] ; Sipekiová, Nicol [Zostavovateľ, editor]. – 1. vyd. – Trnava (Slovensko) : Trnavská univerzita v Trnave, 2018. – ISBN 978-80-568-0182-6. – ISSN 2453-7284. – TUT ID E075042, s. 117-124 [tlačená forma] </t>
  </si>
  <si>
    <t xml:space="preserve">Nové prístupy vo výchove k zdraviu na školách / Juríková, Tünde [Autor, UKFFSSUVP, 20%] ; Viczayová, Ildikó [Autor, UKFFSSUVP, 20%] ; Fatrcová Šramková, Katarína [Autor, SPUFAP16, 20%] ; Schwarzová, Marianna [Autor, SPUFAP16, 20%] ; Balla, Štefan [Autor, UKFFSSUVP, 20%]. – [slovenčina]. – [OV 190]. – [príspevok] In: Príprava učiteľov prírodovedných, poľnohospodárskych a príbuzných odborov v meniacich sa požiadavkách praxe [elektronický dokument] / Sandanusová, Anna [Zostavovateľ, editor] ; Dytrtová, Radmila [Zostavovateľ, editor] ; Morovič, Martin [Recenzent] ; Švecová, Milada [Recenzent]. – 1 vyd. – Nitra (Slovensko) : Univerzita Konštantína Filozofa v Nitre, 2019. – ISBN 978-80-558-1393-6, s. 29-36 [CD-ROM] </t>
  </si>
  <si>
    <t xml:space="preserve">Nové výzvy pre voľnočasovú edukáciu ľudí v preseniorskom veku / Koricina, Michal [Autor, UKFPFAKPE, 100%]. – text. – [slovenčina]. – [OV 010]. – [príspevok] In: Pedagogica actualis 11 [textový dokument (print)] : spoločnosť a výchova / Sirotová, Mariana [Zostavovateľ, editor] ; Michvocíková, Veronika [Zostavovateľ, editor] ; Lenovský, Ladislav [Recenzent] ; Žáková, Martina [Recenzent]. – 1. vyd. – Trnava (Slovensko) : Univerzita sv. Cyrila a Metoda v Trnave, 2020. – ISBN 978-80-572-0045-1, s. 125-135 [tlačená forma] </t>
  </si>
  <si>
    <t xml:space="preserve">Nové výzvy v akademickej komunikácii po Brexite = New Challenges in Academic Communication After Brexit / Burcl, Pavol [Autor, UKFFFAJZC, 100%] ; Šenkár, Patrik [Recenzent] ; Dudová, Katarína [Recenzent]. – text. – [slovenčina]. – [OV 020]. – [príspevok] In: Moderné jazyky v súčasnej Európe [textový dokument (print)] / Zelenická, Elena [Zostavovateľ, editor]. – 1. vyd. – Nitra (Slovensko) : Univerzita Konštantína Filozofa v Nitre, 2018. – ISBN 978-80-558-1359-2, s. 34-43 [tlačená forma] </t>
  </si>
  <si>
    <t xml:space="preserve">Novinové titulky ako učebná pomôcka / Kálaziová, Ingrid [Autor, UKFFFAKAA, 100%] ; Šenkár, Patrik [Recenzent] ; Dudová, Katarína [Recenzent]. – text. – [slovenčina]. – [OV 010]. – [príspevok] In: Moderné jazyky v súčasnej Európe [textový dokument (print)] / Zelenická, Elena [Zostavovateľ, editor]. – 1. vyd. – Nitra (Slovensko) : Univerzita Konštantína Filozofa v Nitre, 2018. – ISBN 978-80-558-1359-2, s. 93-99 [tlačená forma] </t>
  </si>
  <si>
    <t xml:space="preserve">Nový erb Baziliky sv. Benedikta v Hronskom Beňadiku / Glejtek, Miroslav [Autor, UKFFFAKHI, 100%]. – text. – [slovenčina]. – [OV 030]. – [príspevok] In: Historica [textový dokument (print)] : zborník k 70. narodeninám profesora Leona Sokolovského / Šedivý, Juraj [Zostavovateľ, editor] ; Baďurík, Jozef [Recenzent] ; Homza, Martin [Recenzent] ; Nemeš, Jaroslav [Recenzent]. – 1. vyd. – Roč. 51. – Bratislava (Slovensko) : Univerzita Komenského v Bratislave, 2020. – (Zborník Filozofickej fakulty Univerzity Komenského). – ISBN 978-80-223-4989-5, s. 58-64 [tlačená forma] </t>
  </si>
  <si>
    <t xml:space="preserve">O esejistickom štýle z kvantitatívneho hľadiska alebo o možnostiach využitia korpusov v širšom humanitnom výskume / Debnár, Marek [Autor, UKFFFAKAE 06.2022, 100%] ; Bujalková, Mária [Recenzent] ; Hoffmanová, Jana [Recenzent]. – text. – [slovenčina]. – [OV 020]. – [príspevok] In: Dynamické javy v súčasnej slovenčine a jej výskume [textový dokument (print)] / Šimková, Mária [Zostavovateľ, editor] ; Debnár, Marek [Zostavovateľ, editor] ; Levická, Jana [Zostavovateľ, editor]. – 1. vyd. – Bratislava (Slovensko) : Slovenská akadémia vied, 2018. – ISBN 978-80-224-1679-5, s. 165-192 [tlačená forma] </t>
  </si>
  <si>
    <t xml:space="preserve">O hodnotách Rázusovho Maroška / Hrašková, Mariana [Autor, UKFFFASJL, 100%] ; Zelenka, Miloš [Recenzent] ; Magalová, Gabriela [Recenzent]. – text. – [slovenčina]. – [OV 020]. – [príspevok] In: Kultúra a súčasnosť 17 [textový dokument (print)] / Gallik, Ján [Zostavovateľ, editor] ; Jozek, Milan [Zostavovateľ, editor]. – 1. vyd. – Nitra (Slovensko) : Univerzita Konštantína Filozofa v Nitre, 2018. – ISBN 978-80-558-1296-0, s. 23-32 [tlačená forma] </t>
  </si>
  <si>
    <t xml:space="preserve">Oblasti kvality života determinujúce pohybovú aktivitu žiakov primárneho vzdelávania / Broďáni, Jaroslav [Autor, UKFPFAKTV, 25%] ; Czaková, Monika [Autor, UKFPFAKTV, 25%] ; Kováčová, Natália [Autor, UKFPFAKTV, 25%] ; Šutka, Vladimír [Autor, UKFPFAKTV, 25%]. – text. – [slovenčina]. – [OV 210]. – [príspevok] In: Šport a rekreácia 2020 (Recenzovaný nekonferenčný zborník vedecko-výskumných a odborných prác, zameraný na prezentáciu poznatkov v oblasti športu, telesnej výchovy, diagnostiky, zdravia, rekreácie, cestovného ruchu, regenerácie, manažmentu, atď.) [textový dokument (print)] [elektronický dokument] : zborník vedeckých prác / Broďáni, Jaroslav [Zostavovateľ, editor] ; Czaková, Monika [Zostavovateľ, editor] ; Halmová, Nora [Recenzent] ; Lenková, Rút [Recenzent] ; Nemček, Dagmar [Recenzent] ; Kanásová, Janka [Recenzent] ; Šutka, Vladimír [Recenzent] ; Rozim, Robert [Recenzent] ; Buková, Alena [Recenzent] ; Krčmárová, Bohumila [Recenzent] ; Horbacz, Agata [Recenzent] ; Luptáková, Martina [Recenzent] ; Kraček, Stanislav [Recenzent] ; Dzugas, Dalibor [Recenzent] ; Žiška, Peter [Recenzent] ; Czaková, Natália [Recenzent] ; Bartolčičová, Barbora [Recenzent] ; Krčmár, Matúš [Recenzent] ; Važan, Róbert [Recenzent]. – 1. vyd. – Nitra (Slovensko) : Univerzita Konštantína Filozofa v Nitre. Pedagogická fakulta UKF. Katedra telesnej výchovy a športu, 2020. – ISBN 978-80-558-1541-1, s. 239-247 [tlačená forma] [online] </t>
  </si>
  <si>
    <t xml:space="preserve">Obraz židovskej menšiny v slovenskej kinematografii / Timko, Štefan [Autor, UKFFSSUSJ, 100%] ; Gbúr, Ján [Recenzent] ; Kučera, Petr [Recenzent]. – text. – [slovenčina]. – [OV 020]. – [príspevok] In: Imagológia ako výskum obrazov kultúry [textový dokument (print)] : (k reflexii etnických stereotypov krajín V4) / Zelenka, Miloš [Zostavovateľ, editor] ; Tkáč-Zabáková, Lenka [Zostavovateľ, editor]. – 1. vyd. – Nitra (Slovensko) : Univerzita Konštantína Filozofa v Nitre, 2018. – ISBN 978-80-558-1294-6, s. 87-96 [tlačená forma] </t>
  </si>
  <si>
    <t xml:space="preserve">Obyvateľstvo v súčasnosti / Dubcová, Alena [Autor, UKFFPVKGR, 100%] ; Bátovská, Jarmila [Recenzent] ; Vincze, Ladislav [Recenzent]. – text. – [slovenčina]. – [OV 092]. – [kapitola] In: Lehota [textový dokument (print)] : príroda, história, pamiatky, tradície, súčasnosť / Keresteš, Peter [Zostavovateľ, editor]. – 1. vyd. – Nitra (Slovensko) : EN ARS, 2018. – ISBN 978-80-973164-0-2. – TUT ID E073351, s. 191-198 [tlačená forma] </t>
  </si>
  <si>
    <t xml:space="preserve">Organizácia a plánovanie času / Praško Pavlov, Ján [Autor, UKFFSVKPV, 50%] ; Popelková, Marta [Autor, UKFFSVKPV, 50%] ; Štefarová, Iveta [Recenzent] ; Jurišová, Erika [Recenzent]. – text. – [slovenčina]. – [OV 060]. – [kapitola] In: Princípy a metódy kognitívno behaviorálnej terapie [textový dokument (print)] / Praško Pavlov, Ján [Autor]. – 1. vyd. – Nitra (Slovensko) : Univerzita Konštantína Filozofa v Nitre, 2018. – ISBN 978-80-558-1348-6, s. 180-187 </t>
  </si>
  <si>
    <t xml:space="preserve">Osobnostné predpoklady na zvládanie záťaže u študentov ošetrovateľstva / Loneková, Jana [Autor, 50%] ; Zrubcová, Dana [Autor, UKFFSVKOS, 50%]. – text. – [slovenčina]. – [OV 180]. – [príspevok] In: Optima Opus 2019 [textový dokument (print)] / Rosinský, Rastislav [Zostavovateľ, editor] ; Koleják, Kamil [Recenzent] ; Gabura, Ján [Recenzent]. – 1. vyd. – Nitra (Slovensko) : Univerzita Konštantína Filozofa v Nitre, 2020. – ISBN 978-80-558-1497-1, s. 31-51 [tlačená forma] </t>
  </si>
  <si>
    <t xml:space="preserve">Ošetrovateľská diagnóza akútna bolesť v pooperačnej starostlivosti / Mesárošová, Jozefína [Autor, UKFFSVKOS, 100%]. – text. – [čeština]. – [OV 180]. – [príspevok] In: Sestry : hlas v popredí - zdravie pre všetkých [elektronický dokument] : recenzovaný vedecký zborník vydaný pri príležitosti Medzinárodného dňa sestier 2019 / Spáčilová, Zuzana [Zostavovateľ, editor] ; Libová, Ľubica [Recenzent] ; Haluzíková, Jana [Recenzent] ; Pavelová, Ľuboslava [Recenzent]. – 1. vyd. – Nitra (Slovensko) : Univerzita Konštantína Filozofa v Nitre, 2019. – ISBN 978-80-558-1418-6, s. 73-79 [CD-ROM] </t>
  </si>
  <si>
    <t xml:space="preserve">Ošetrovateľské intervencie a ošetrovateľské výsledky pri podvýžive seniorov / Poledníková, Ľubica [Autor, UKFFSVKOS, 40%] ; Brázdilová, Dana [Autor, UKFFSVKUM, 40%] ; Hutníková, Simona [Autor, 20%]. – text. – [čeština]. – [OV 180]. – [príspevok] In: Sestry : hlas v popredí - zdravie pre všetkých [elektronický dokument] : recenzovaný vedecký zborník vydaný pri príležitosti Medzinárodného dňa sestier 2019 / Spáčilová, Zuzana [Zostavovateľ, editor] ; Libová, Ľubica [Recenzent] ; Haluzíková, Jana [Recenzent] ; Pavelová, Ľuboslava [Recenzent]. – 1. vyd. – Nitra (Slovensko) : Univerzita Konštantína Filozofa v Nitre, 2019. – ISBN 978-80-558-1418-6, s. 89-102 [CD-ROM] </t>
  </si>
  <si>
    <t xml:space="preserve">Ošetrovateľské intervencie pri chronickej bolesti v paliatívnej starostlivosti = Nursing interventions for chronic pain in palliative care / Slamková, Alica [Autor, UKFFSVKOS, 50%] ; Poledníková, Ľubica [Autor, UKFFSVKOS, 50%] ; Botíková, Andrea [Recenzent] ; Kober, Lukáš [Recenzent]. – text. – [čeština]. – [OV 180]. – [príspevok] In: Sestry : hlas v popredí - zdravie je ľudské právo [textový dokument (print)] : recenzovaný vedecký zborník vydaný pri príležitosti Medzinárodného dňa sestier 2018 / Spáčilová, Zuzana [Zostavovateľ, editor]. – 1. vyd. – Nitra (Slovensko) : Univerzita Konštantína Filozofa v Nitre, 2018. – ISBN 978-80-558-1293-9, s. 94-105 [tlačená forma] </t>
  </si>
  <si>
    <t xml:space="preserve">Ošetrovateľské intervencie pri prevencii dekubitov = Nursing interventions for pressure ulcer prevention / Poledníková, Ľubica [Autor, UKFFSVKOS, 45%] ; Slamková, Alica [Autor, UKFFSVKOS, 45%] ; Horáková, Romana [Autor, 10%] ; Botíková, Andrea [Recenzent] ; Kober, Lukáš [Recenzent]. – text. – [čeština]. – [OV 180]. – [príspevok] In: Sestry : hlas v popredí - zdravie je ľudské právo [textový dokument (print)] : recenzovaný vedecký zborník vydaný pri príležitosti Medzinárodného dňa sestier 2018 / Spáčilová, Zuzana [Zostavovateľ, editor]. – 1. vyd. – Nitra (Slovensko) : Univerzita Konštantína Filozofa v Nitre, 2018. – ISBN 978-80-558-1293-9, s. 72-85 [tlačená forma] </t>
  </si>
  <si>
    <t xml:space="preserve">Ošetrovateľské intervencie u pacientov s cievnym chirurgickým ochorením = Nursing interventions in patients with vascular surgical disease / Mesárošová, Jozefína [Autor, UKFFSVKOS, 50%] ; Archalousová, Alexandra [Autor, UKFFSVKOS, 50%] ; Botíková, Andrea [Recenzent] ; Kober, Lukáš [Recenzent]. – text. – [čeština]. – [OV 180]. – [príspevok] In: Sestry : hlas v popredí - zdravie je ľudské právo [textový dokument (print)] : recenzovaný vedecký zborník vydaný pri príležitosti Medzinárodného dňa sestier 2018 / Spáčilová, Zuzana [Zostavovateľ, editor]. – 1. vyd. – Nitra (Slovensko) : Univerzita Konštantína Filozofa v Nitre, 2018. – ISBN 978-80-558-1293-9, s. 58-63 [tlačená forma] </t>
  </si>
  <si>
    <t xml:space="preserve">Ovplyvňovanie funkčných porúch pohybového systému u plavcov / Divinec, Lenka [Autor, UKFPFAKTV, 50%] ; Špániková, Andrea [Autor, 50%]. – text. – [slovenčina]. – [OV 210]. – [príspevok] In: Šport a rekreácia 2020 (Recenzovaný nekonferenčný zborník vedecko-výskumných a odborných prác, zameraný na prezentáciu poznatkov v oblasti športu, telesnej výchovy, diagnostiky, zdravia, rekreácie, cestovného ruchu, regenerácie, manažmentu, atď.) [textový dokument (print)] [elektronický dokument] : zborník vedeckých prác / Broďáni, Jaroslav [Zostavovateľ, editor] ; Czaková, Monika [Zostavovateľ, editor] ; Halmová, Nora [Recenzent] ; Lenková, Rút [Recenzent] ; Nemček, Dagmar [Recenzent] ; Kanásová, Janka [Recenzent] ; Šutka, Vladimír [Recenzent] ; Rozim, Robert [Recenzent] ; Buková, Alena [Recenzent] ; Krčmárová, Bohumila [Recenzent] ; Horbacz, Agata [Recenzent] ; Luptáková, Martina [Recenzent] ; Kraček, Stanislav [Recenzent] ; Dzugas, Dalibor [Recenzent] ; Žiška, Peter [Recenzent] ; Czaková, Natália [Recenzent] ; Bartolčičová, Barbora [Recenzent] ; Krčmár, Matúš [Recenzent] ; Važan, Róbert [Recenzent]. – 1. vyd. – Nitra (Slovensko) : Univerzita Konštantína Filozofa v Nitre. Pedagogická fakulta UKF. Katedra telesnej výchovy a športu, 2020. – ISBN 978-80-558-1541-1, s. 221-231 [tlačená forma] [online] </t>
  </si>
  <si>
    <t xml:space="preserve">Ovplyvňovanie posturálnych a fázických svalov u cyklistov / Divinec, Lenka [Autor, UKFPFAKTV, 45%] ; Mihaľ, Jakub [Autor, 10%] ; Czaková, Natália [Autor, UKFPFAKTV, 45%]. – text. – [slovenčina]. – [OV 210]. – [príspevok] In: Šport a rekreácia 2021 (Recenzovaný nekonferenčný zborník vedecko-výskumných a odborných prác,  zameraný na prezentáciu poznatkov v oblasti športu, telesnej výchovy,  diagnostiky, zdravia, rekreácie, cestovného ruchu, regenerácie, manažmentu,  atď.) [textový dokument (print)] [elektronický dokument] : zborník vedeckých prác / Broďáni, Jaroslav [Zostavovateľ, editor] ; Czaková, Monika [Zostavovateľ, editor] ; Dvořáčková, Natália [Zostavovateľ, editor] ; Boržíková, Iveta [Recenzent] ; Chovanová, Erika [Recenzent] ; Halmová, Nora [Recenzent] ; Kanásová, Janka [Recenzent] ; Labudová, Jana [Recenzent] ; Šutka, Vladimír [Recenzent] ; Uher, Ivan [Recenzent] ; Michal, Jíro [Recenzent] ; Rozim, Robert [Recenzent] ; Kutlík, Dušan [Recenzent] ; Adamčák, Štefan [Recenzent] ; Broďáni, Jaroslav [Recenzent] ; Grznár, Ľuboš [Recenzent] ; Divinec, Lenka [Recenzent] ; Marko, Michal [Recenzent] ; Kraček, Stanislav [Recenzent] ; Leütterová, Daniela [Recenzent] ; Horička, Pavol [Recenzent]. – 1. vyd. – Nitra (Slovensko) : Univerzita Konštantína Filozofa v Nitre. Pedagogická fakulta UKF. Katedra telesnej výchovy a športu, 2021. – ISBN 978-80-558-1726-2, s. 95-101 [tlačená forma] [online] </t>
  </si>
  <si>
    <t xml:space="preserve">Pacient v paliatívnej starostlivosti a ľudská dôstojnosť / Slamková, Alica [Autor, UKFFSVKOS, 33.334%] ; Poledníková, Ľubica [Autor, UKFFSVKOS, 33.333%] ; Slašťanová, Natália [Autor, 33.333%]. – text. – [slovenčina]. – [OV 180]. – [príspevok] In: Sestry: hlas v popredí - ošetrovateľstvom ku globálnemu zdraviu [elektronický dokument] : recenzovaný vedecký zborník vydaný pri príležitosti Medzinárodného dňa sestier 2020 / Spáčilová, Zuzana [Zostavovateľ, editor] ; Hlinková, Edita [Recenzent] ; Zrubcová, Dana [Recenzent]. – 1. vyd. – Nitra (Slovensko) : Univerzita Konštantína Filozofa v Nitre, 2020. – ISBN 978-80-558-1596-1, s. 108-116 [CD-ROM] </t>
  </si>
  <si>
    <t xml:space="preserve">Participácia slovenskej etnolingvistiky na medzinárodných výskumoch európskeho jazykového obrazu sveta / Dudová, Katarína [Autor, UKFFFASJL, 100%]. – text. – [angličtina]. – [OV 020]. – [príspevok] In: Etnolingvistický výskum na Slovensku [textový dokument (print)] [elektronický dokument] : súčasný stav a perspektívy / Žeňuchová, Katarína [Zostavovateľ, editor] ; Dobríková, Mária [Recenzent] ; Skladaná, Jana [Recenzent]. – 1. vyd. – Bratislava (Slovensko) : Slovenská akadémia vied, 2020. – ISBN 978-80-89489-47-3. – ISBN (online) 978-80-89489-48-0, s. 28-40 [tlačená forma] [online] </t>
  </si>
  <si>
    <t xml:space="preserve">Patrocíniá uniatskych chrámov Užskej stolice : sonda do problematiky / Žeňuch, Vavrinec [Autor, UKFFFAKRU, 100%] ; Adam, Ján [Recenzent] ; Gyulai, Éva [Recenzent]. – [slovenčina]. – [OV 030]. – [príspevok] In: Historica Carpatica 49 [textový dokument (print)] / Gašas, Dárus [Zostavovateľ, editor]. – 1. vyd. – Košice (Slovensko) : Východoslovenské múzeum v Košiciach, 2018. – ISBN 978-80-89093-52-6, s. 51-64 </t>
  </si>
  <si>
    <t xml:space="preserve">Pedagogika ako perspektívny odbor v 21. storočí / Židová, Monika [Autor, UKFPFAKPE, 100%]. – text. – [slovenčina]. – [OV 010]. – [príspevok] In: Aktuálne problémy vo výskumoch pedagogiky [elektronický dokument] / Pasternáková, Lenka [Zostavovateľ, editor] ; Balogová, Beáta [Recenzent] ; Uberman, Marta [Recenzent]. – 1. vyd. – Prešov (Slovensko) : Prešovská univerzita v Prešove. Fakulta humanitných a prírodných vied, 2020. – ISBN (online) 978-80-555-2508-2. – SIGN-PU FHPV-20 15/20, s. 47-55 [CD-ROM] </t>
  </si>
  <si>
    <t xml:space="preserve">Plán komunitného centra : metodická príručka pre komunitné centrá / Rusnáková, Jurina [Autor, UKFFSVURS, 100%]. – text. – [slovenčina]. – [OV 060]. – [príspevok] In: Model komunitnej práce v komunitných centrách [elektronický dokument] / Holíková, Soňa [Zostavovateľ, editor]. – 1. vyd. – Bratislava (Slovensko) : Implementačná agentúra Ministerstva práce, sociálnych vecí a rodiny Slovenskej republiky, 2020. – ISBN 978-80-89837-59-5, s. 1-13 [online] </t>
  </si>
  <si>
    <t xml:space="preserve">Playing (for) life, suffering (in) the game: On the iconization of "torture games" in the Cube film series and the Saw franchise / Boszorád, Martin [Autor, UKFFFAULK, 100%]. – text. – [angličtina]. – [OV 020]. – [príspevok] In: The iconization of suffering in literary and interdisciplinary perspectives [textový dokument (print)] / Hricková, Mária [Zostavovateľ, editor] ; Klimková, Simona [Zostavovateľ, editor] ; Chalupský, Petr [Recenzent] ; Waldnerová, Jana [Recenzent]. – 1. vyd. – Nitra (Slovensko) : Univerzita Konštantína Filozofa v Nitre, 2019. – ISBN 978-80-558-1467-4, s. 12-21 [tlačená forma] </t>
  </si>
  <si>
    <t xml:space="preserve">Podiel atletických disciplín na priemernom výkone desaťboja mužov s hodnotou 8282,75 boda = Share of atletic disciplines on average performancein decathlon of men with a value of 8282.74 points / Broďáni, Jaroslav [Autor, UKFPFAKTV, 33.334%] ; Czaková, Monika [Autor, UKFPFAKTV, 33.333%] ; Kováčová, Natália [Autor, UKFPFAKTV, 33.333%]. – text. – [slovenčina]. – [OV 010, 210]. – [príspevok] In: Aktuálne problémy telesnej výchovy a športu IX [elektronický dokument] : zborník vedeckých prác / Šiška, Ľuboslav [Zostavovateľ, editor] ; Šutka, Vladimír [Recenzent] ; Kalinková, Mária [Recenzent]. – 1. vyd. – Roč. 9. – Ružomberok (Slovensko) : Katolícka univerzita v Ružomberku. VERBUM - vydavateľstvo KU, 2020. – ISBN 978-80-561-0757-7. – SIGN-KU EIZ-343, s. 7-15 [CD-ROM] </t>
  </si>
  <si>
    <t xml:space="preserve">Podiel silových parametrov v tlaku a príťahu činky na vodorovnej lavici na športovom výkone v disciplínach kajaku = The ratio of strength parameters in the barbell bench press and pull on a horizontal bench to explain the sports performance in kayak disciplines / Broďáni, Jaroslav [Autor, UKFPFAKTV, 20%] ; Kováčová, Natália [Autor, UKFPFAKTV, 20%] ; Czaková, Monika [Autor, UKFPFAKTV, 20%] ; Malík, Zdenek [Autor, 20%] ; Lopata, Peter [Autor, 20%]. – text. – [slovenčina]. – [OV 010, 210]. – [príspevok]. – SIGN-UKO TV In: Aktuálne problémy telesnej výchovy a športu IX [elektronický dokument] : zborník vedeckých prác / Šiška, Ľuboslav [Zostavovateľ, editor] ; Šutka, Vladimír [Recenzent] ; Kalinková, Mária [Recenzent]. – 1. vyd. – Roč. 9. – Ružomberok (Slovensko) : Katolícka univerzita v Ružomberku. VERBUM - vydavateľstvo KU, 2020. – ISBN 978-80-561-0757-7. – SIGN-KU EIZ-343, s. 48-56 [CD-ROM] </t>
  </si>
  <si>
    <t xml:space="preserve">Podoby a charakter novovznikajúcich nezávislých kultúrnych iniciatív / Kočiš, Michal [Autor, UKFFFAKKU, 100%]. – text. – [slovenčina]. – [OV 060]. – [príspevok] In: Charakter a vývoj nezávislej kultúry a umenia na Slovensku po roku 1989 [textový dokument (print)] / Fuják, Július [Zostavovateľ, editor] ; Mistrík, Erich [Recenzent] ; Javorská, Andrea [Recenzent]. – 1. vyd. – Nitra (Slovensko) : Univerzita Konštantína Filozofa v Nitre, 2020. – ISBN 978-80-558-1565-7, s. 252-256 [tlačená forma] </t>
  </si>
  <si>
    <t xml:space="preserve">Poetické algoritmy Teofila Klasa / Gallik, Ján [Autor, UKFFSSUSJ, 100%]. – text. – [slovenčina]. – [OV 020]. – [príspevok] In: Algoritmické zratúvanie [textový dokument (print)] : verše z rokov 2017 až 2020 / Klas, Teofil [Zostavovateľ, editor] ; Bielik, Miroslav [Recenzent] ; Belák, Blažej [Recenzent]. – 1. vyd. – Bratislava (Slovensko) : Spolok Slovenských spisovateľov, 2020. – ISBN 978-80-8194-134-4, s. 211-215 </t>
  </si>
  <si>
    <t xml:space="preserve">Pohyb ako determinant kvality života žiakov stredných škôl / Broďáni, Jaroslav [Autor, UKFPFAKTV, 34%] ; Kováčová, Natália [Autor, UKFPFAKTV, 33%] ; Czaková, Monika [Autor, UKFPFAKTV, 33%]. – [slovenčina]. – [OV 210]. – [príspevok] In: Žiak, pohyb, edukácia [elektronický dokument] : vedecký zborník 2019 = scientific proceedings 2019 / Merica, Marián [Zostavovateľ, editor] ; Skrypko, Anatol [Recenzent] ; Görner, Karol [Recenzent] ; Merica, Marián [Recenzent]. – 1. vyd. – Bratislava (Slovensko) : Univerzita Komenského v Bratislave, 2019. – ISBN 978-80-223-4796-9, s. 65-75 [CD-ROM] </t>
  </si>
  <si>
    <t xml:space="preserve">Pohybová aktivita a interakcia radosti z pohybových aktivít k jednotlivým oblastiam kvality života adolescentov / Bárta, Martin [Autor, 25%] ; Kanásová, Janka [Autor, UKFPFAKTV, 25%] ; Kalinková, Mária [Autor, UKFPFAKTV, 25%] ; Šiška, Ľuboslav [Autor, UKFPFAKTV, 25%] ; Novotná, Nadežda [Recenzent] ; Lenková, Rút [Recenzent]. – text. – [slovenčina]. – [OV 210]. – [príspevok] In: Šport a rekreácia 2018 [textový dokument (print)] : zborník vedeckých prác / Broďáni, Jaroslav [Zostavovateľ, editor]. – 1. vyd. – Nitra (Slovensko) : Univerzita Konštantína Filozofa v Nitre, 2018. – ISBN 978-80-558-1301-1, s. 203-212 [tlačená forma] </t>
  </si>
  <si>
    <t xml:space="preserve">Pohybová aktivita ako indikátor úrovne kvality života detí vo veku 10 - 12 rokov / Pospišová, Marianna [Autor, 34%] ; Broďáni, Jaroslav [Autor, UKFPFAKTV, 33%] ; Czaková, Monika [Autor, UKFPFAKTV, 33%]. – text. – [slovenčina]. – [OV 210]. – [príspevok] In: Šport a rekreácia 2021 (Recenzovaný nekonferenčný zborník vedecko-výskumných a odborných prác,  zameraný na prezentáciu poznatkov v oblasti športu, telesnej výchovy,  diagnostiky, zdravia, rekreácie, cestovného ruchu, regenerácie, manažmentu,  atď.) [textový dokument (print)] [elektronický dokument] : zborník vedeckých prác / Broďáni, Jaroslav [Zostavovateľ, editor] ; Czaková, Monika [Zostavovateľ, editor] ; Dvořáčková, Natália [Zostavovateľ, editor] ; Boržíková, Iveta [Recenzent] ; Chovanová, Erika [Recenzent] ; Halmová, Nora [Recenzent] ; Kanásová, Janka [Recenzent] ; Labudová, Jana [Recenzent] ; Šutka, Vladimír [Recenzent] ; Uher, Ivan [Recenzent] ; Michal, Jíro [Recenzent] ; Rozim, Robert [Recenzent] ; Kutlík, Dušan [Recenzent] ; Adamčák, Štefan [Recenzent] ; Broďáni, Jaroslav [Recenzent] ; Grznár, Ľuboš [Recenzent] ; Divinec, Lenka [Recenzent] ; Marko, Michal [Recenzent] ; Kraček, Stanislav [Recenzent] ; Leütterová, Daniela [Recenzent] ; Horička, Pavol [Recenzent]. – 1. vyd. – Nitra (Slovensko) : Univerzita Konštantína Filozofa v Nitre. Pedagogická fakulta UKF. Katedra telesnej výchovy a športu, 2021. – ISBN 978-80-558-1726-2, s. 41-50 [tlačená forma] [online] </t>
  </si>
  <si>
    <t xml:space="preserve">Pohybová aktivita ako súčasť zdravého životného štýlu u dospelej populácie / Halmová, Nora [Autor, UKFPFAKTV, 80%] ; Korimová, Libuša [Autor, 20%]. – [slovenčina]. – [OV 210]. – [príspevok] In: Šport a rekreácia 2021 (Recenzovaný nekonferenčný zborník vedecko-výskumných a odborných prác,  zameraný na prezentáciu poznatkov v oblasti športu, telesnej výchovy,  diagnostiky, zdravia, rekreácie, cestovného ruchu, regenerácie, manažmentu,  atď.) [textový dokument (print)] [elektronický dokument] : zborník vedeckých prác / Broďáni, Jaroslav [Zostavovateľ, editor] ; Czaková, Monika [Zostavovateľ, editor] ; Dvořáčková, Natália [Zostavovateľ, editor] ; Boržíková, Iveta [Recenzent] ; Chovanová, Erika [Recenzent] ; Halmová, Nora [Recenzent] ; Kanásová, Janka [Recenzent] ; Labudová, Jana [Recenzent] ; Šutka, Vladimír [Recenzent] ; Uher, Ivan [Recenzent] ; Michal, Jíro [Recenzent] ; Rozim, Robert [Recenzent] ; Kutlík, Dušan [Recenzent] ; Adamčák, Štefan [Recenzent] ; Broďáni, Jaroslav [Recenzent] ; Grznár, Ľuboš [Recenzent] ; Divinec, Lenka [Recenzent] ; Marko, Michal [Recenzent] ; Kraček, Stanislav [Recenzent] ; Leütterová, Daniela [Recenzent] ; Horička, Pavol [Recenzent]. – 1. vyd. – Nitra (Slovensko) : Univerzita Konštantína Filozofa v Nitre. Pedagogická fakulta UKF. Katedra telesnej výchovy a športu, 2021. – ISBN 978-80-558-1726-2, s. 175-182 [tlačená forma] [online] </t>
  </si>
  <si>
    <t xml:space="preserve">Pohybová aktivita, radosť z pohybu a kvalita života žiakov stredných škôl / Broďáni, Jaroslav [Autor, UKFPFAKTV, 20%] ; Šiška, Ľuboslav [Autor, UKFPFAKTV, 20%] ; Kalinková, Mária [Autor, UKFPFAKTV, 20%] ; Paška, Ľubomír [Autor, UKFPFAKTV, 20%] ; Šutka, Vladimír [Autor, UKFPFAKTV, 20%]. – text. – [slovenčina]. – [OV 210]. – [príspevok] In: Pohybová aktivita a kvalita života žiakov stredných škôl [textový dokument (print)] / Kalinková, Mária [Zostavovateľ, editor] ; Rozim, Robert [Recenzent] ; Kompan, Jaroslav [Recenzent]. – 1. vyd. – Nitra (Slovensko) : Univerzita Konštantína Filozofa v Nitre, 2018. – ISBN 978-80-558-1368-4, s. 16-26 [tlačená forma] </t>
  </si>
  <si>
    <t xml:space="preserve">Pohybová aktivita, radosť z pohybu ako determinanty kvality života 10 ročných detí / Kováčová, Natália [Autor, UKFPFAKTV, 50%] ; Broďáni, Jaroslav [Autor, UKFPFAKTV, 50%]. – text. – [slovenčina]. – [OV 010, 210]. – [príspevok] In: Aktuálne problémy telesnej výchovy a športu 8 [elektronický dokument] : zborník vedeckých prác / Tepličancová, Mária [Zostavovateľ, editor] ; Koštial, Ján [Recenzent] ; Krška, Peter [Recenzent]. – 1. vyd. – Ružomberok (Slovensko) : Katolícka univerzita v Ružomberku. VERBUM - vydavateľstvo KU, 2019. – ISBN 978-80-561-0669-3, s. 6-13 [CD-ROM] </t>
  </si>
  <si>
    <t xml:space="preserve">Pohybová výkonnosť lyžiarov klubu LK Opalisko Závažná Poruba v mladšom školskom veku / Rázus, Martin [Autor, UKFPFAKTV, 100%]. – text. – [slovenčina]. – [OV 210]. – [príspevok] In: Šport a rekreácia 2021 (Recenzovaný nekonferenčný zborník vedecko-výskumných a odborných prác,  zameraný na prezentáciu poznatkov v oblasti športu, telesnej výchovy,  diagnostiky, zdravia, rekreácie, cestovného ruchu, regenerácie, manažmentu,  atď.) [textový dokument (print)] [elektronický dokument] : zborník vedeckých prác / Broďáni, Jaroslav [Zostavovateľ, editor] ; Czaková, Monika [Zostavovateľ, editor] ; Dvořáčková, Natália [Zostavovateľ, editor] ; Boržíková, Iveta [Recenzent] ; Chovanová, Erika [Recenzent] ; Halmová, Nora [Recenzent] ; Kanásová, Janka [Recenzent] ; Labudová, Jana [Recenzent] ; Šutka, Vladimír [Recenzent] ; Uher, Ivan [Recenzent] ; Michal, Jíro [Recenzent] ; Rozim, Robert [Recenzent] ; Kutlík, Dušan [Recenzent] ; Adamčák, Štefan [Recenzent] ; Broďáni, Jaroslav [Recenzent] ; Grznár, Ľuboš [Recenzent] ; Divinec, Lenka [Recenzent] ; Marko, Michal [Recenzent] ; Kraček, Stanislav [Recenzent] ; Leütterová, Daniela [Recenzent] ; Horička, Pavol [Recenzent]. – 1. vyd. – Nitra (Slovensko) : Univerzita Konštantína Filozofa v Nitre. Pedagogická fakulta UKF. Katedra telesnej výchovy a športu, 2021. – ISBN 978-80-558-1726-2, s. 212-223 [tlačená forma] [online] </t>
  </si>
  <si>
    <t xml:space="preserve">Pohybové aktivity a životospráva ako indikátory životného štýlu adolescentov / Kováčová, Natália [Autor, 50%] ; Broďáni, Jaroslav [Autor, UKFPFAKTV, 48%] ; Šimová, Petra [Autor, 2%] ; Novotná, Nadežda [Recenzent] ; Lenková, Rút [Recenzent]. – text. – [slovenčina]. – [OV 210]. – [príspevok] In: Šport a rekreácia 2018 [textový dokument (print)] : zborník vedeckých prác / Broďáni, Jaroslav [Zostavovateľ, editor]. – 1. vyd. – Nitra (Slovensko) : Univerzita Konštantína Filozofa v Nitre, 2018. – ISBN 978-80-558-1301-1, s. 59-68 [tlačená forma] </t>
  </si>
  <si>
    <t xml:space="preserve">Pojem práva v kontexte sexuálnych a reprodukčných práv / Kocina, Petr [Autor, UKFFFAKAE 06.2022, 100%]. – text. – [slovenčina]. – [OV 020]. – [príspevok]. – [recenzované] In: Culturologica Slovaca [elektronický dokument] : internetový kulturologický časopis / Ballay, Miroslav [Zostavovateľ, editor]. – 1. vyd. – Roč. 3. – Nitra (Slovensko) : Univerzita Konštantína Filozofa v Nitre, 2018. – ISSN 2453-9740, s. 111-120 [online] </t>
  </si>
  <si>
    <t xml:space="preserve">Poloha a prírodné pomery / Kramáreková, Hilda [Autor, UKFFPVKGR, 100%] ; Bátovská, Jarmila [Recenzent] ; Vincze, Ladislav [Recenzent]. – text. – [slovenčina]. – [OV 092]. – [kapitola] In: Lehota [textový dokument (print)] : príroda, história, pamiatky, tradície, súčasnosť / Keresteš, Peter [Zostavovateľ, editor]. – 1. vyd. – Nitra (Slovensko) : EN ARS, 2018. – ISBN 978-80-973164-0-2. – TUT ID E073351, s. 7-20 [tlačená forma] </t>
  </si>
  <si>
    <t xml:space="preserve">Porovnanie antropometrických parametrov podľa hráčskych postov / Šimonek, Jaromír [Autor, UKFPFAKTV, 50%] ; Michalík, Tomáš [Autor, 50%]. – [slovenčina]. – [OV 210]. – [príspevok] In: Žiak, pohyb, edukácia [elektronický dokument] : vedecký zborník 2020 = scientific proceedings 2020 / Merica, Marián [Zostavovateľ, editor] ; Skrypko, Anatol [Recenzent] ; Görner, Karol [Recenzent] ; Merica, Marián [Recenzent]. – 1. vyd. – Bratislava (Slovensko) : Univerzita Komenského v Bratislave, 2020. – ISBN 978-80-223-5013-6. – SIGN-UKO PD PP/20, s. 446-457 [CD-ROM] </t>
  </si>
  <si>
    <t xml:space="preserve">Porovnanie vplyvu rodiny na preferencie pohybovej aktivity žiakov základnej školy na Slovensku a v Česku / Pešek, Zbyněk [Autor, 40%] ; Šimonek, Jaromír [Autor, UKFPFAKTV, 60%]. – text. – [slovenčina]. – [OV 210]. – [príspevok] In: Šport a rekreácia 2019 (Recenzovaný nekonferenčný zborník vedecko-výskumných a odborných prác, zameraný na prezentáciu poznatkov v oblasti športu, telesnej výchovy, diagnostiky, zdravia, rekreácie, cestovného ruchu, regenerácie, manažmentu, atď.) [textový dokument (print)] [elektronický dokument] : zborník vedeckých prác / Broďáni, Jaroslav [Zostavovateľ, editor] ; Kováčová, Natália [Zostavovateľ, editor] ; Kampmiller, Tomáš [Recenzent] ; Bartík, Pavol [Recenzent] ; Michal, Jiří [Recenzent] ; Šutka, Vladimír [Recenzent] ; Halmová, Nora [Recenzent] ; Kanásová, Janka [Recenzent] ; Ružbarská, Ingrid [Recenzent] ; Mandzáková, Martina [Recenzent] ; Rošková, Miroslava [Recenzent] ; Rozim, Robert [Recenzent] ; Doležajová, Ladislava [Recenzent] ; Kraček, Stanislav [Recenzent] ; Luptáková, Martina [Recenzent] ; Nemček, Dagmar [Recenzent] ; Šmela, Pavel [Recenzent] ; Czaková, Natália [Recenzent] ; Hrnčár, Roman [Recenzent]. – 1. vyd. – Nitra (Slovensko) : Univerzita Konštantína Filozofa v Nitre. Pedagogická fakulta UKF. Katedra telesnej výchovy a športu, 2019. – ISBN 978-80-558-1415-5, s. 69-79 [tlačená forma] [online] </t>
  </si>
  <si>
    <t xml:space="preserve">Postavenie mentora v intraoperačnej starostlivosti = The position of mentor in intraoperative care / Zito, Peter [Autor, 50%] ; Pavelová, Ľuboslava [Autor, UKFFSVKOS, 50%]. – [slovenčina]. – [OV 180]. – [príspevok]. – TUAD PC018084 In: Sestry: hlas v popredí - vízia pre budúcnosť zdravotnej starostlivosti [elektronický dokument] : recenzovaný vedecký zborník vydaný pri príležitosti Medzinárodného dňa sestier 2021 / Spáčilová, Zuzana [Zostavovateľ, editor] ; Libová, Ľubica [Recenzent] ; Zrubcová, Dana [Recenzent]. – 1. vyd. – Nitra (Slovensko) : Univerzita Konštantína Filozofa v Nitre, 2021. – ISBN 978-80-558-1728-6, s. 172-180 [CD-ROM] </t>
  </si>
  <si>
    <t xml:space="preserve">Postkoloniálny román / Žilka, Tibor [Autor, UKFFSSUSJ, 100%] ; Zelenka, Miloš [Recenzent] ; Magalová, Gabriela [Recenzent]. – text. – [slovenčina]. – [OV 020]. – [príspevok] In: Kultúra a súčasnosť 17 [textový dokument (print)] / Gallik, Ján [Zostavovateľ, editor] ; Jozek, Milan [Zostavovateľ, editor]. – 1. vyd. – Nitra (Slovensko) : Univerzita Konštantína Filozofa v Nitre, 2018. – ISBN 978-80-558-1296-0, s. 151-168 [tlačená forma] </t>
  </si>
  <si>
    <t xml:space="preserve">Postoje pohybovo nadpriemerných a podpriemerných žiakov k pohybovej aktivite / Zákopčanová, Lucia [Autor, 40%] ; Šimonek, Jaromír [Autor, UKFPFAKTV, 60%]. – text. – [slovenčina]. – [OV 210]. – [príspevok] In: Šport a rekreácia 2019 (Recenzovaný nekonferenčný zborník vedecko-výskumných a odborných prác, zameraný na prezentáciu poznatkov v oblasti športu, telesnej výchovy, diagnostiky, zdravia, rekreácie, cestovného ruchu, regenerácie, manažmentu, atď.) [textový dokument (print)] [elektronický dokument] : zborník vedeckých prác / Broďáni, Jaroslav [Zostavovateľ, editor] ; Kováčová, Natália [Zostavovateľ, editor] ; Kampmiller, Tomáš [Recenzent] ; Bartík, Pavol [Recenzent] ; Michal, Jiří [Recenzent] ; Šutka, Vladimír [Recenzent] ; Halmová, Nora [Recenzent] ; Kanásová, Janka [Recenzent] ; Ružbarská, Ingrid [Recenzent] ; Mandzáková, Martina [Recenzent] ; Rošková, Miroslava [Recenzent] ; Rozim, Robert [Recenzent] ; Doležajová, Ladislava [Recenzent] ; Kraček, Stanislav [Recenzent] ; Luptáková, Martina [Recenzent] ; Nemček, Dagmar [Recenzent] ; Šmela, Pavel [Recenzent] ; Czaková, Natália [Recenzent] ; Hrnčár, Roman [Recenzent]. – 1. vyd. – Nitra (Slovensko) : Univerzita Konštantína Filozofa v Nitre. Pedagogická fakulta UKF. Katedra telesnej výchovy a športu, 2019. – ISBN 978-80-558-1415-5, s. 28-39 [tlačená forma] [online] </t>
  </si>
  <si>
    <t xml:space="preserve">Postpravda, náboženská pravda a digitálnymi médiami podnecovaná individualizácia náboženstva u jednotlivca / Skačan, Juraj [Autor, UKFFFAKFI, 100%]. – text. – [slovenčina]. – [OV 060]. – [príspevok] In: Charakter a vývoj nezávislej kultúry a umenia na Slovensku po roku 1989 [textový dokument (print)] / Fuják, Július [Zostavovateľ, editor] ; Mistrík, Erich [Recenzent] ; Javorská, Andrea [Recenzent]. – 1. vyd. – Nitra (Slovensko) : Univerzita Konštantína Filozofa v Nitre, 2020. – ISBN 978-80-558-1565-7, s. 329-344 [tlačená forma] </t>
  </si>
  <si>
    <t xml:space="preserve">Postraumatický rozvoj po prekonaní závažného ochorenia / Ptáčniková, Lucia [Autor, UKFFSVKPV, 50%] ; Turzáková, Jana [Autor, UKFFSVUAP, 50%]. – text. – [slovenčina]. – [OV 020]. – [príspevok] In: Optima Opus 2020 [textový dokument (print)] / Rosinský, Rastislav [Zostavovateľ, editor] ; Solgajová, Andrea [Recenzent] ; Hudák, Marián [Recenzent] ; Šlepecký, Miloš [Recenzent] ; Sollár, Tomáš [Recenzent] ; Kozubík, Michal [Recenzent] ; Jašeková, Nina [Recenzent]. – 1. vyd. – Nitra (Slovensko) : Univerzita Konštantína Filozofa v Nitre, 2020. – ISBN 978-80-558-1601-2, s. 94-100 [tlačená forma] </t>
  </si>
  <si>
    <t xml:space="preserve">Posudzovanie výskytu úzkosti a depresie u pacientov s glaukómom / Zrubcová, Dana [Autor, UKFFSVKOS, 33.334%] ; Solgajová, Andrea [Autor, UKFFSVKOS, 33.333%] ; Spáčilová, Zuzana [Autor, UKFFSVKOS, 33.333%]. – text. – [slovenčina]. – [OV 180]. – [príspevok] In: Sestry: hlas v popredí - ošetrovateľstvom ku globálnemu zdraviu [elektronický dokument] : recenzovaný vedecký zborník vydaný pri príležitosti Medzinárodného dňa sestier 2020 / Spáčilová, Zuzana [Zostavovateľ, editor] ; Hlinková, Edita [Recenzent] ; Zrubcová, Dana [Recenzent]. – 1. vyd. – Nitra (Slovensko) : Univerzita Konštantína Filozofa v Nitre, 2020. – ISBN 978-80-558-1596-1, s. 167-175 [CD-ROM] </t>
  </si>
  <si>
    <t xml:space="preserve">Potenciál sestier v oblasti transkultúrnych kompetencií v starostlivosti o migrantov = Potential of nurses in the field of cultural competencies in the care of migrants / Pavelová, Ľuboslava [Autor, UKFFSVKOS, 35%] ; Krištofová, Erika [Autor, UKFFSVKOS, 35%] ; Páleníková, Kitti [Autor, UKFFPVKMA, 30%]. – [slovenčina]. – [OV 180]. – [príspevok]. – TUAD PC018084 In: Sestry: hlas v popredí - vízia pre budúcnosť zdravotnej starostlivosti [elektronický dokument] : recenzovaný vedecký zborník vydaný pri príležitosti Medzinárodného dňa sestier 2021 / Spáčilová, Zuzana [Zostavovateľ, editor] ; Libová, Ľubica [Recenzent] ; Zrubcová, Dana [Recenzent]. – 1. vyd. – Nitra (Slovensko) : Univerzita Konštantína Filozofa v Nitre, 2021. – ISBN 978-80-558-1728-6, s. 113-119 [CD-ROM] </t>
  </si>
  <si>
    <t xml:space="preserve">Potenciál študentov nelekárskych študijných odborov v oblasti kultúrnych kompetencií v starostlivosti o migrantov / Pavelová, Ľuboslava [Autor, UKFFSVKOS, 33.334%] ; Krištofová, Erika [Autor, UKFFSVKOS, 33.333%] ; Páleníková, Kitti [Autor, UKFFPVKMA, 33.333%]. – text. – [slovenčina]. – [OV 180, 240]. – [príspevok] In: Sestry: hlas v popredí - ošetrovateľstvom ku globálnemu zdraviu [elektronický dokument] : recenzovaný vedecký zborník vydaný pri príležitosti Medzinárodného dňa sestier 2020 / Spáčilová, Zuzana [Zostavovateľ, editor] ; Hlinková, Edita [Recenzent] ; Zrubcová, Dana [Recenzent]. – 1. vyd. – Nitra (Slovensko) : Univerzita Konštantína Filozofa v Nitre, 2020. – ISBN 978-80-558-1596-1, s. 75-82 [CD-ROM] </t>
  </si>
  <si>
    <t xml:space="preserve">Potravinové preferencie mäsa, mäsových výrobkov a rýb v gravidite v komparácii s prekoncepčným obdobím = Food preferences of meat, meat products, and fish in pregnancy in comparison with preconception period / Fatrcová Šramková, Katarína [Autor, SPUFAP16, 25%] ; Schwarzová, Marianna [Autor, SPUFAP16, 25%] ; Cabadajová, Mária [Autor, 25%] ; Juríková, Tünde [Autor, UKFFSSUVP, 25%]. – [slovenčina]. – [OV 190, 010]. – [príspevok] In: Recenzovaný zborník vedeckých prác Slovenskej spoločnosti pre poľnohospodárske, lesnícke, potravinárske a veterinárske vedy pri Slovenskej akadémii vied, pobočka Nitra [textový dokument (print)] / Gálik, Branislav [Zostavovateľ, editor] ; Zelinková, Gabriela [Zostavovateľ, editor] ; Bíro, Daniel [Recenzent] ; Britaňák, Norbert [Recenzent]. – 1 vyd. – Nitra (Slovensko) : Slovenská poľnohospodárska univerzita v Nitre, 2018. – ISBN 978-80-552-1921-9, s. 70-82 [tlačená forma] </t>
  </si>
  <si>
    <t xml:space="preserve">Použitie biofeedbackových a neurofeedbackových postupov v KBT / Kotianová, Antónia [Autor, UKFFSVKPV, 20%] ; Šlepecký, Miloš [Autor, UKFFSVKPV, 30%] ; Majerčák, Ivan [Autor, 5%] ; Zaťková, Marta [Autor, UKFFSVKPV, 20%] ; Popelková, Marta [Autor, UKFFSVKPV, 20%] ; Kotian, Michal [Autor, 5%] ; Štefarová, Iveta [Recenzent] ; Jurišová, Erika [Recenzent]. – [slovenčina]. – [OV 060]. – [kapitola] In: Princípy a metódy kognitívno behaviorálnej terapie [textový dokument (print)] / Praško Pavlov, Ján [Autor]. – 1. vyd. – Nitra (Slovensko) : Univerzita Konštantína Filozofa v Nitre, 2018. – ISBN 978-80-558-1348-6, s. 156-167 </t>
  </si>
  <si>
    <t xml:space="preserve">Používanie vnútornej reči, sebainštruktáž / Šlepecký, Miloš [Autor, UKFFSVKPV, 50%] ; Praško Pavlov, Ján [Autor, UKFFSVKPV, 50%] ; Štefarová, Iveta [Recenzent] ; Jurišová, Erika [Recenzent]. – text. – [slovenčina]. – [OV 060]. – [kapitola] In: Princípy a metódy kognitívno behaviorálnej terapie [textový dokument (print)] / Praško Pavlov, Ján [Autor]. – 1. vyd. – Nitra (Slovensko) : Univerzita Konštantína Filozofa v Nitre, 2018. – ISBN 978-80-558-1348-6, s. 137-138 </t>
  </si>
  <si>
    <t xml:space="preserve">Poznámky k jednému z archetypov existenciálnej problémovej situácie / Čechová, Mariana [Autor, UKFFFAULK, 100%] ; Kusá, Mária [Recenzent] ; Pokrivčák, Anton [Recenzent]. – text. – [slovenčina]. – [OV 020]. – [príspevok] In: Poetika textu a poetika udalosti [textový dokument (print)] / Bílik, René [Zostavovateľ, editor] ; Zajac, Peter [Zostavovateľ, editor]. – 1. vyd. – Trnava (Slovensko) : Trnavská univerzita v Trnave. Typi Universitatis Tyrnaviensis, spoločné pracovisko Trnavskej univerzity v Trnave a Vedy, vydavateľstva Slovenskej akadémie vied, 2018. – ISBN 978-80-568-0147-5. – ISBN (chybné) 978-80-224-0147-5. – TUTPFSJL signatúra E072977, s. 122-133 [tlačená forma] </t>
  </si>
  <si>
    <t xml:space="preserve">Poznávanie jedovatých a nebezpečných živočíchov na 2. stupni základnej školy / Schlarmannová, Janka [Autor, UKFFPVKZA, 25%] ; Šlosárová, Mária [Autor, 25%] ; Sandanusová, Anna [Autor, UKFFPVKZA, 25%] ; Matejovičová, Barbora [Autor, UKFFPVKZA, 25%]. – text. – [slovenčina]. – [OV 010, 130]. – [príspevok] In: Príprava učiteľov prírodovedných, poľnohospodárskych a príbuzných odborov v meniacich sa požiadavkách praxe [elektronický dokument] / Sandanusová, Anna [Zostavovateľ, editor] ; Dytrtová, Radmila [Zostavovateľ, editor] ; Morovič, Martin [Recenzent] ; Švecová, Milada [Recenzent]. – 1 vyd. – Nitra (Slovensko) : Univerzita Konštantína Filozofa v Nitre, 2019. – ISBN 978-80-558-1393-6, s. 116-122 [CD-ROM] </t>
  </si>
  <si>
    <t xml:space="preserve">Práca s hlbšími postojmi / Praško Pavlov, Ján [Autor, UKFFSVKPV, 34%] ; Šlepecký, Miloš [Autor, UKFFSVKPV, 33%] ; Zaťková, Marta [Autor, UKFFSVKPV, 33%] ; Štefarová, Iveta [Recenzent] ; Jurišová, Erika [Recenzent]. – text. – [slovenčina]. – [OV 060]. – [kapitola] In: Princípy a metódy kognitívno behaviorálnej terapie [textový dokument (print)] / Praško Pavlov, Ján [Autor]. – 1. vyd. – Nitra (Slovensko) : Univerzita Konštantína Filozofa v Nitre, 2018. – ISBN 978-80-558-1348-6, s. 227-236 </t>
  </si>
  <si>
    <t xml:space="preserve">Pragmatické dosahy rezidenčných umeleckých pobytov na vidieku (Autopsia z konkrétneho pobytu ako prípadová sondáž) / Ballay, Miroslav [Autor, UKFFFAKKU, 100%]. – text. – [slovenčina]. – [OV 060]. – [príspevok] In: Charakter a vývoj nezávislej kultúry a umenia na Slovensku po roku 1989 [textový dokument (print)] / Fuják, Július [Zostavovateľ, editor] ; Mistrík, Erich [Recenzent] ; Javorská, Andrea [Recenzent]. – 1. vyd. – Nitra (Slovensko) : Univerzita Konštantína Filozofa v Nitre, 2020. – ISBN 978-80-558-1565-7, s. 159-177 [tlačená forma] </t>
  </si>
  <si>
    <t xml:space="preserve">Praktické aplikácie Vygotského vývinovej teórie v predškolskom vzdelávaní / Bruchatá, Barbora [Autor, 50%] ; Gatial, Viktor [Autor, UKFPFAKAP, 50%]. – text. – [slovenčina]. – [OV 060]. – [príspevok] In: Konvergencie vedeckej činnosti študentov a učiteľov [textový dokument (print)] / Verešová, Marcela [Zostavovateľ, editor] ; Pavelová, Ľuba [Recenzent] ; Valihorová, Marta [Recenzent]. – 1. vyd. – Nitra (Slovensko) : Univerzita Konštantína Filozofa v Nitre, 2020. – ISBN 978-80-558-1543-5, s. 157-182 [tlačená forma] </t>
  </si>
  <si>
    <t xml:space="preserve">Pramenný materiál k Študentskému hnutiu počas Novembra '89 na Slovensku / Kralovič, Tomáš [Autor, UKFFFAKHI, 100%] ; Hetényi, Martin [Recenzent] ; Tišliar, Pavol [Recenzent]. – text. – [slovenčina]. – [OV 030]. – [príspevok] In: Míľniky 20. storočia v regióne Nitrianskeho kraja [textový dokument (print)] / Palárik, Miroslav [Zostavovateľ, editor] ; Belej, Milan [Zostavovateľ, editor] ; Keresteš, Peter [Zostavovateľ, editor]. – 1. vyd. – Nitra (Slovensko) : Štátny archív v Nitre, 2018. – ISBN 978-80-973263-0-2, s. 203-213 [tlačená forma] </t>
  </si>
  <si>
    <t xml:space="preserve">Práva a povinnosti stredovekých uhorských arcibiskupov a biskupov pri správe arcidiecéz a diecéz z pohľadu kánonického práva / Glejtek, Miroslav [Autor, UKFFFAKHI, 100%]. – text. – [slovenčina]. – [OV 030]. – [príspevok] In: Arcibiskupi a biskupi Uhorska [textový dokument (print)] : moc prelátov a jej prejavy v stredoveku / Glejtek, Miroslav [Zostavovateľ, editor] ; Maliniak, Pavol [Recenzent] ; Šedivý, Juraj [Recenzent]. – 1. vyd. – Bratislava (Slovensko) : Post Scriptum, 2020. – ISBN 978-80-8218-016-2, s. 71-92 [tlačená forma] </t>
  </si>
  <si>
    <t xml:space="preserve">Praveké osídlenie v katastri obce Kiarov = Urzeitliche Besiedlung im Kataster der Gemeinde Kiarov / Beljak, Ján [Autor, 30%] ; Beljak Pažinová, Noémi [Autor, UKFFFAKAR, 40%] ; Levente, Samu [Autor, 30%]. – text. – [slovenčina]. – [OV 030]. – [príspevok] In: Archeologické výskumy a nálezy na Slovensku v roku 2013 [textový dokument (print)] [elektronický dokument] / Cheben, Ivan [Zostavovateľ, editor] ; Daňová, Klaudia [Zostavovateľ, editor] ; Vojteček, Marek [Zostavovateľ, editor] ; Bistáková, Alena [Recenzent] ; Papáková, Kateřina [Recenzent]. – 1. vyd. – Nitra (Slovensko) : Slovenská akadémia vied. Pracoviská SAV. Archeologický ústav, 2018. – ISSN 0231-925X, s. 26-28 [tlačená forma] [online] </t>
  </si>
  <si>
    <t xml:space="preserve">Pregraduálna príprava študentov študijného programu predškolská a elementárna pedagogika a učiteľstva pre primárne vzdelávanie na spoluprácu s rodinou / Zelená, Hana [Autor, UKFPFAKPE, 50%] ; Mendelová, Eleonóra [Autor, UKFPFAKPE, 50%]. – text. – [slovenčina]. – [OV 010]. – [príspevok]. – DOI 10.33542/EDU2021-1-0 In: Edukácia [elektronický dokument] / [bez zostavovateľa] [Zostavovateľ, editor]. – 1. vyd. – Roč. 4, č. 1. – Košice (Slovensko) : Univerzita Pavla Jozefa Šafárika v Košiciach, 2021. – ISSN (online) 1339-8725, s. 91-100 [online] </t>
  </si>
  <si>
    <t xml:space="preserve">Preklad a kultúra v translatologickej reflexii / Gromová, Edita [Autor, UKFFFAKTR, 100%] ; Cviková, Jana [Recenzent] ; Žitný, Milan [Recenzent]. – [slovenčina]. – [OV 020]. – [príspevok] In: Snímanie závojov z priestorov, miest a faktov [textový dokument (print)] : zborník k jubileu a personálna bibliografia Libuše Vajdovej / Görözdi, Judit [Zostavovateľ, editor] ; Pucherová, Dobrota [Zostavovateľ, editor]. – 1. vyd. – Bratislava (Slovensko) : Slovenská akadémia vied. Pracoviská SAV. Ústav svetovej literatúry, 2018. – ISBN 978-80-88815-23-5, s. 83-100 [tlačená forma] </t>
  </si>
  <si>
    <t xml:space="preserve">Preklad ako forma uchovávania kolektívnej pamäti / Šavelová, Monika [Autor, UKFFFAKRO, 100%]. – text. – [slovenčina]. – [OV 020]. – [ŠO 7320]. – [príspevok] In: Codex historico-Critica 2021 [elektronický dokument] : noetické východiská v kontexte interdisciplinárnych prístupov k histórii, literatúre, jazyku a umeniam / Šteflová, Lucia [Zostavovateľ, editor] ; Markovič, Pavol [Zostavovateľ, editor] ; Kollárová, Nina [Recenzent] ; Makky, Lukáš [Recenzent]. – 1. vyd. – Prešov (Slovensko) : Prešovská univerzita v Prešove, 2021. – ISBN (online) 978-80-555-2843-4. – SIGN-PU FF-21 399/21, s. 87-98 [online] </t>
  </si>
  <si>
    <t xml:space="preserve">Premeny školstva v Topoľčanoch v medzivojnovom období / Kičková, Adriana [Autor, UKFFFAKHI, 100%] ; Hetényi, Martin [Recenzent] ; Tišliar, Pavol [Recenzent]. – text. – [slovenčina]. – [OV 030]. – [príspevok] In: Míľniky 20. storočia v regióne Nitrianskeho kraja [textový dokument (print)] / Palárik, Miroslav [Zostavovateľ, editor] ; Belej, Milan [Zostavovateľ, editor] ; Keresteš, Peter [Zostavovateľ, editor]. – 1. vyd. – Nitra (Slovensko) : Štátny archív v Nitre, 2018. – ISBN 978-80-973263-0-2, s. 59-69 [tlačená forma] </t>
  </si>
  <si>
    <t xml:space="preserve">Prevencia extrémizmu v prostredí strednej školy / Sedláčková, Lucia [Autor, 50%] ; Juhásová, Andrea [Autor, UKFPFAKAP, 50%]. – text. – [slovenčina]. – [OV 010]. – [príspevok] In: Konvergencie vedeckej činnosti študentov a učiteľov [textový dokument (print)] / Verešová, Marcela [Zostavovateľ, editor] ; Pavelová, Ľuba [Recenzent] ; Valihorová, Marta [Recenzent]. – 1. vyd. – Nitra (Slovensko) : Univerzita Konštantína Filozofa v Nitre, 2020. – ISBN 978-80-558-1543-5, s. 213-223 [tlačená forma] </t>
  </si>
  <si>
    <t xml:space="preserve">Prevencia pádu v ošetrovateľských intervenciách / Poledníková, Ľubica [Autor, UKFFSVKOS, 33.334%] ; Slamková, Alica [Autor, UKFFSVKOS, 33.333%] ; Minárová, Jana [Autor, 33.333%]. – text. – [slovenčina]. – [OV 180]. – [príspevok] In: Sestry: hlas v popredí - ošetrovateľstvom ku globálnemu zdraviu [elektronický dokument] : recenzovaný vedecký zborník vydaný pri príležitosti Medzinárodného dňa sestier 2020 / Spáčilová, Zuzana [Zostavovateľ, editor] ; Hlinková, Edita [Recenzent] ; Zrubcová, Dana [Recenzent]. – 1. vyd. – Nitra (Slovensko) : Univerzita Konštantína Filozofa v Nitre, 2020. – ISBN 978-80-558-1596-1, s. 83-96 [CD-ROM] </t>
  </si>
  <si>
    <t xml:space="preserve">Prežívaná osamelosť u adolescentov a dimenzie ich rodinného systému / Križanová, Simona [Autor, 50%] ; Verešová, Marcela [Autor, UKFPFAKAP, 50%]. – text. – [slovenčina]. – [OV 060]. – [príspevok] In: Konvergencie vedeckej činnosti študentov a učiteľov [textový dokument (print)] / Verešová, Marcela [Zostavovateľ, editor] ; Pavelová, Ľuba [Recenzent] ; Valihorová, Marta [Recenzent]. – 1. vyd. – Nitra (Slovensko) : Univerzita Konštantína Filozofa v Nitre, 2020. – ISBN 978-80-558-1543-5, s. 79-89 [tlačená forma] </t>
  </si>
  <si>
    <t xml:space="preserve">Pri pohľade do budúcnosti som opatrná optimistka / Rusnáková, Jurina [Autor, UKFFSVURS, 100%]. – text. – [slovenčina]. – [OV 060]. – [príspevok] In: Rómovia 30 rokov po revolúcii [textový dokument (print)] : úvahy a reflexie na ceste za slobodou / Rafael, Vlado [Zostavovateľ, editor] ; Rosinský, Rastislav [Recenzent] ; Pavlov, Ivan [Recenzent]. – 1. vyd. – Bratislava (Slovensko) : eduRoma - Roma education project, 2020. – ISBN 978-80-972680-7-7, s. 91-96 [tlačená forma] </t>
  </si>
  <si>
    <t xml:space="preserve">Príčiny a dôsledky pohybovej inaktivity na základnej škole / Halmová, Nora [Autor, UKFPFAKTV, 80%] ; Tomková, Janka [Autor, 20%]. – text. – [slovenčina]. – [OV 210]. – [príspevok] In: Šport a rekreácia 2020 (Recenzovaný nekonferenčný zborník vedecko-výskumných a odborných prác, zameraný na prezentáciu poznatkov v oblasti športu, telesnej výchovy, diagnostiky, zdravia, rekreácie, cestovného ruchu, regenerácie, manažmentu, atď.) [textový dokument (print)] [elektronický dokument] : zborník vedeckých prác / Broďáni, Jaroslav [Zostavovateľ, editor] ; Czaková, Monika [Zostavovateľ, editor] ; Halmová, Nora [Recenzent] ; Lenková, Rút [Recenzent] ; Nemček, Dagmar [Recenzent] ; Kanásová, Janka [Recenzent] ; Šutka, Vladimír [Recenzent] ; Rozim, Robert [Recenzent] ; Buková, Alena [Recenzent] ; Krčmárová, Bohumila [Recenzent] ; Horbacz, Agata [Recenzent] ; Luptáková, Martina [Recenzent] ; Kraček, Stanislav [Recenzent] ; Dzugas, Dalibor [Recenzent] ; Žiška, Peter [Recenzent] ; Czaková, Natália [Recenzent] ; Bartolčičová, Barbora [Recenzent] ; Krčmár, Matúš [Recenzent] ; Važan, Róbert [Recenzent]. – 1. vyd. – Nitra (Slovensko) : Univerzita Konštantína Filozofa v Nitre. Pedagogická fakulta UKF. Katedra telesnej výchovy a športu, 2020. – ISBN 978-80-558-1541-1, s. 264-269 [tlačená forma] [online] </t>
  </si>
  <si>
    <t xml:space="preserve">Primárne výsledky prieskumu o národnej identite Maďarov na Slovensku v roku 2018 / Mészárosová, Zuzana [Autor, UKFFFAKPO, 100%]. – text. – [maďarčina]. – [OV 060]. – [príspevok] In: Fórum spoločenskovedná revue 2019 [textový dokument (print)] : súbor štúdií výskumníkov a výskumníčok Fórum inštitút pre výskum menšín / Mészárosová, Zuzana [Zostavovateľ, editor]. – 1. vyd. – Šamorín (Slovensko) : Fórum inštitút pre výskum menšín, 2019. – ISBN 978-80-89978-10-6, s. 57-79 [tlačená forma] </t>
  </si>
  <si>
    <t xml:space="preserve">Prínos etiky k rozvoju udržateľnej ekonomiky = The contribution of ethics to the development of a sustainable economy / Pechočiaková Svitačová, Eva [Autor, SPUFEM10, 50%] ; Lomnický, Igor [Autor, UKFFFAKAE 06.2022, 50%]. – text. – [slovenčina]. – [OV 020]. – [príspevok] In: Vzdelávaním k perspektívnemu uplatneniu (kompetencie, internacionalizácia, interdisciplinarita a inovácia vysokoškolského vzdelávania) (2. časť) [elektronický dokument] : vedecký medzinárodný recenzovaný zborník / Hrehová, Daniela [Zostavovateľ, editor] ; Liška, Václav [Recenzent] ; Gallo, Peter [Recenzent]. – 1. vyd. – Košice (Slovensko) : Technická univerzita v Košiciach, 2020. – ISBN 978-80-553-3653-4. – SIGN-TUKE 222532, s. 69-77 [CD-ROM] </t>
  </si>
  <si>
    <t xml:space="preserve">Prínos zavedenia dramatickej výchovy/tvorivej dramatiky do systému vzdelávania / Kollárová, Dana [Autor, UKFPFAKPE, 100%] ; Felix, Belo [Recenzent] ; Provazník, Jaroslav [Recenzent]. – text. – [slovenčina]. – [OV 020]. – [príspevok] In: Dramatická edukácia na Slovensku [textový dokument (print)] : zborník príspevkov o východiskách dramatickej edukácie na Slovensku / Inštitorisová, Dagmar [Zostavovateľ, editor] ; Evjáková, Daniela [Zostavovateľ, editor] ; Hyža, Ján [Zostavovateľ, editor]. – 1. vyd. – Senica (Slovensko) : Iniciatíva EDUdrama , 2018. – ISBN 978-80-971188-1-5, s. 50-69 [tlačená forma] </t>
  </si>
  <si>
    <t xml:space="preserve">Príprava na starnutie, starobu a vstup do dôchodku, ako jedna z kľúčových životných výziev každého človeka / Ivančíková, Monika [Autor, UKFPFAKPE, 100%]. – text. – [slovenčina]. – [OV 010]. – [príspevok] In: Pedagogica actualis 11 [textový dokument (print)] : spoločnosť a výchova / Sirotová, Mariana [Zostavovateľ, editor] ; Michvocíková, Veronika [Zostavovateľ, editor] ; Lenovský, Ladislav [Recenzent] ; Žáková, Martina [Recenzent]. – 1. vyd. – Trnava (Slovensko) : Univerzita sv. Cyrila a Metoda v Trnave, 2020. – ISBN 978-80-572-0045-1, s. 157-163 [tlačená forma] </t>
  </si>
  <si>
    <t xml:space="preserve">Príprava rekreačného bežca na maratón s využitím meracieho zariadenia Polar / Horička, Pavol [Autor, UKFPFAKTV, 34%] ; Paška, Ľubomír [Autor, UKFPFAKTV, 33%] ; Krajčovič, Jaroslav [Autor, UKFPFAKTV, 33%]. – text. – [slovenčina]. – [OV 210]. – [príspevok] In: Šport a rekreácia 2019 (Recenzovaný nekonferenčný zborník vedecko-výskumných a odborných prác, zameraný na prezentáciu poznatkov v oblasti športu, telesnej výchovy, diagnostiky, zdravia, rekreácie, cestovného ruchu, regenerácie, manažmentu, atď.) [textový dokument (print)] [elektronický dokument] : zborník vedeckých prác / Broďáni, Jaroslav [Zostavovateľ, editor] ; Kováčová, Natália [Zostavovateľ, editor] ; Kampmiller, Tomáš [Recenzent] ; Bartík, Pavol [Recenzent] ; Michal, Jiří [Recenzent] ; Šutka, Vladimír [Recenzent] ; Halmová, Nora [Recenzent] ; Kanásová, Janka [Recenzent] ; Ružbarská, Ingrid [Recenzent] ; Mandzáková, Martina [Recenzent] ; Rošková, Miroslava [Recenzent] ; Rozim, Robert [Recenzent] ; Doležajová, Ladislava [Recenzent] ; Kraček, Stanislav [Recenzent] ; Luptáková, Martina [Recenzent] ; Nemček, Dagmar [Recenzent] ; Šmela, Pavel [Recenzent] ; Czaková, Natália [Recenzent] ; Hrnčár, Roman [Recenzent]. – 1. vyd. – Nitra (Slovensko) : Univerzita Konštantína Filozofa v Nitre. Pedagogická fakulta UKF. Katedra telesnej výchovy a športu, 2019. – ISBN 978-80-558-1415-5, s. 91-108 [tlačená forma] [online] </t>
  </si>
  <si>
    <t xml:space="preserve">Pripravenosť materských škôl na edukáciu detí s Downovým syndrómom a Slovensku / Balážová, Jana [Autor, UKFPFAKPE, 80%] ; Vojtušová, Lucia [Autor, 20%]. – text. – [slovenčina]. – [OV 010]. – [ŠO 7605]. – [príspevok] In: Výchova a vzdelávanie v materskej škole: aktuálne otázky a odpovede [elektronický dokument] : nekonferenčný recenzovaný zborník vedeckých a odborných prác = non-conference peer rewieved book of proceedings of scientific and professional papers / Miňová, Monika [Zostavovateľ, editor] ; Slováček, Matej [Zostavovateľ, editor] ; Fojtíková Roubalová, Marcela [Recenzent] ; Hafičová, Hedviga [Recenzent]. – 1. vyd. – Prešov (Slovensko) : Rokus, 2021. – ISBN (online) 978-80-8238-005-0. – SIGN-PU PF-21 150/21, s. 22-29 [DVD] </t>
  </si>
  <si>
    <t xml:space="preserve">Pripútanie sa k rodičom a rovesníkom a prežívaná osamelosť u adolescentov / Križanová, Simona [Autor, 50%] ; Verešová, Marcela [Autor, UKFPFAKAP, 50%]. – text. – [slovenčina]. – [OV 060]. – [príspevok] In: Konvergencie vedeckej činnosti študentov a učiteľov [textový dokument (print)] / Verešová, Marcela [Zostavovateľ, editor] ; Pavelová, Ľuba [Recenzent] ; Valihorová, Marta [Recenzent]. – 1. vyd. – Nitra (Slovensko) : Univerzita Konštantína Filozofa v Nitre, 2020. – ISBN 978-80-558-1543-5, s. 79-89 [tlačená forma] </t>
  </si>
  <si>
    <t xml:space="preserve">Príspevok k floristickému a vegetačnému poznaniu krivína (Psiare-Krásna skala) v Slovenskej bráne (Štiavnické vrchy, Slovensko) = Contribution to the floristic and vegetation knowledge of the Krivín hill (Psiare-Krásna skala hill) in the Slovak Gate (Štiavnické vrchy Mts., Slovak Republic). / David, Stanislav [Autor, UKFFPVKEE, 50%] ; Lukovičová, Monika [Autor, UKFFPVKEE, 50%]. – text. – [slovenčina]. – [OV 100]. – [príspevok] In: Acta Musei Tekovensis Levice 12 [elektronický dokument] [textový dokument (print)] : Zborník Tekovského múzea v Leviciach / Smetana, Vladimír [Zostavovateľ, editor] ; Belej, Milan [Recenzent] ; Bešinová, Eva [Recenzent]. – 1. vyd. – Levice (Slovensko) : Tekovské múzeum, 2020. – ISBN 9788088831242, s. 21-40 [tlačená forma] [CD-ROM] </t>
  </si>
  <si>
    <t xml:space="preserve">Príspevok Nancy Frankenberry k Vattimovej a Rortyho filozofii náboženstva / Vašek, Martin [Autor, UKFFFAKFI, 100%] ; Andreanský, Eugen [Recenzent] ; Tholt, Pavol [Recenzent]. – text. – [slovenčina]. – [OV 020]. – [príspevok] In: Kríza tradičnej metafyziky [textový dokument (print)] : niekoľko otázok / [bez zostavovateľa] [Zostavovateľ, editor]. – 1. vyd. – Košice (Slovensko) : Univerzita Pavla Jozefa Šafárika v Košiciach, 2018. – ISBN 978-80-8152-691-6, s. 35-67 [tlačená forma] </t>
  </si>
  <si>
    <t xml:space="preserve">Prístupy guerilla marketingu v edukácii / Balážiová, Iveta [Autor, UKFFFAKMR, 50%] ; Spálová, Lucia [Autor, UKFFFAKMR, 50%]. – text. – [slovenčina]. – [OV 010, 060]. – [príspevok] In: Aktuálne spoločenské témy v edukačnej praxi [textový dokument (print)] : zborník vedeckých štúdií / Kaliský, Ján [Zostavovateľ, editor] ; Korim, Vojtech [Zostavovateľ, editor] ; Poláková, Eva [Recenzent] ; Fichnová, Katarína [Recenzent] ; Krystoň, Miroslav [Recenzent]. – 1. vyd. – Banská Bystrica (Slovensko) : Univerzita Mateja Bela v Banskej Bystrici. Vydavateľstvo Univerzity Mateja Bela v Banskej Bystrici - Belianum, 2018. – ISBN 978-80-557-1445-5, s. 151-158 [tlačená forma] </t>
  </si>
  <si>
    <t xml:space="preserve">Problém únavy u pacientov s pľúcnou embóliou = Fatigue problem in patients with pulmonary embolia / Líšková, Miroslava [Autor, UKFFSVKOS, 50%] ; Spáčilová, Zuzana [Autor, UKFFSVKOS, 50%]. – text. – [slovenčina]. – [OV 180]. – [príspevok]. – TUAD PC018084 In: Sestry: hlas v popredí - vízia pre budúcnosť zdravotnej starostlivosti [elektronický dokument] : recenzovaný vedecký zborník vydaný pri príležitosti Medzinárodného dňa sestier 2021 / Spáčilová, Zuzana [Zostavovateľ, editor] ; Libová, Ľubica [Recenzent] ; Zrubcová, Dana [Recenzent]. – 1. vyd. – Nitra (Slovensko) : Univerzita Konštantína Filozofa v Nitre, 2021. – ISBN 978-80-558-1728-6, s. 99-112 [CD-ROM] </t>
  </si>
  <si>
    <t xml:space="preserve">Problematika mravne vadnej mládeže v medzivojnovom Československu / / Rigová, Viktória [Autor, UKFFFAKHI, 100%]. – text. – [slovenčina]. – [OV 030]. – [príspevok] In: Acheron [elektronický dokument] : študentský historický časopis [Acta Historica et Orientalia Neosoliensia] / [bez zostavovateľa] [Zostavovateľ, editor]. – 1. vyd. – Roč. 8, č. 14. – Banská Bystrica (Slovensko) : Univerzita Mateja Bela v Banskej Bystrici, 2018. – ISSN (online) 1339-6870, s. 17-22 </t>
  </si>
  <si>
    <t xml:space="preserve">Proces školskej prevencie a intervencie sociálno-patologických javov v stredných školách / Pisoňová, Mária [Autor, UKFPFAKPE, 100%]. – [slovenčina]. – [OV 060]. – [príspevok] In: Zborník vedeckovýskumných prác Katedry pedagogiky [textový dokument (print)] / Danek, Ján [Recenzent] ; Bělík, Václav [Recenzent]. – 1. vyd. – Roč. 14. – Banská Bystrica (Slovensko) : Univerzita Mateja Bela v Banskej Bystrici. Vydavateľstvo Univerzity Mateja Bela v Banskej Bystrici - Belianum, 2018. – ISBN 978-80-557-1468-4, s. 149-157 [tlačená forma] </t>
  </si>
  <si>
    <t xml:space="preserve">Proti spomienkovému optimizmu : rekonštruovanie kultúrnej pamäti v románe Silvestra Lavríka Nedeľné šachy s Tisom / Zeleňáková, Hana [Autor, UKFFFAULK, 100%]. – text. – [slovenčina]. – [OV 020]. – [príspevok] In: Obrazy citlivých miest slovenskej histórie. Reinterpretácia kultúrnej pamäti v umení [textový dokument (print)] / Kapsová, Eva [Zostavovateľ, editor] ; Šabík, Vincent [Recenzent] ; Hochel, Igor [Recenzent]. – 1. vyd. – Nitra (Slovensko) : Univerzita Konštantína Filozofa v Nitre, 2018. – ISBN 978-80-558-1354-7, s. 131-160 [tlačená forma] </t>
  </si>
  <si>
    <t xml:space="preserve">Protiturecké vartovky v okolí Levíc, Pukanca a Hronského Beňadika / Martinák, Matúš [Autor, UKFFFAKMU, 100%]. – text. – [slovenčina]. – [OV 030]. – [kapitola] In: História cisárskej pevnosti Vráble [textový dokument (print)] / Csuthy, András [Recenzent] ; Eliáš, Miroslav [Recenzent]. – 1 vyd. – Vráble (Slovensko) : FONTIS, 2019. – ISBN 978-80-970401-5-4, s. 96-112 [tlačená forma] </t>
  </si>
  <si>
    <t xml:space="preserve">Psychometrické overenie škály nepodložených tvrdení a mýtov o LGBT+ / Lenghart, Daniel [Autor, UKFPFAKAP, 50%] ; Verešová, Marcela [Autor, UKFPFAKAP, 50%]. – text. – [slovenčina]. – [OV 010]. – [príspevok] In: Konvergencie vedeckej činnosti študentov a učiteľov 2 [textový dokument (print)] / Verešová, Marcela [Zostavovateľ, editor] ; Pavelová, Ľuba [Recenzent] ; Valihorová, Marta [Recenzent]. – 1. vyd. – Nitra (Slovensko) : Univerzita Konštantína Filozofa v Nitre, 2021. – ISBN 978-80-558-1732-3, s. 210-227 [tlačená forma] </t>
  </si>
  <si>
    <t xml:space="preserve">Pustý hrad vo Zvolene = Deserted Castle in Zvolen / Beljak, Ján [Autor, 31%] ; Beljak Pažinová, Noémi [Autor, UKFFFAKAR, 40%] ; Maliniak, Pavol [Autor, UMBFF02, 10%] ; Šimkovic, Michal [Autor, 10%] ; Čierny, Miloš [Autor, 4%] ; Šimunková, Katarína [Autor, UKFFFAKAR, 5%]. – text. – [slovenčina]. – [OV 030]. – [príspevok] In: Stredoveké hrady na strednom Pohroní [textový dokument (print)] / Beljak Pažinová, Noémi [Zostavovateľ, editor] ; Mordovin, Maxim [Recenzent] ; Labuda, Jozef [Recenzent]. – 1. vyd. – Nitra (Slovensko) : Slovenská akadémia vied. Pracoviská SAV. Archeologický ústav, 2021. – ISBN 978-80-8196-052-9, s. 137-168 [tlačená forma] </t>
  </si>
  <si>
    <t xml:space="preserve">Radosť z pohybu ako determinant pohybovej aktivity a kvality života 10 ročných detí / Kováčová, Natália [Autor, UKFPFAKTV, 50%] ; Broďáni, Jaroslav [Autor, UKFPFAKTV, 50%]. – [slovenčina]. – [OV 210]. – [príspevok] In: Vysokoškolská telesná výchova a šport, pohybová aktivita a zdravý životný štýl 2019 (2. Pri príležitosti 100. výročia univerzitného športu na Slovensku) [textový dokument (print)] [elektronický dokument] : recenzovaný zborník vedeckých prác / Vojtaško, Ľuboš [Zostavovateľ, editor] ; Hlaváčová, Jana [Zostavovateľ, editor] ; Timkovič, Matej [Zostavovateľ, editor] ; Novotná, Nadežda [Recenzent] ; Kokinda, Marek [Recenzent] ; Chovanová, Erika [Recenzent]. – 1. vyd. – Roč. 2. – Košice (Slovensko) : Technická univerzita v Košiciach, 2019. – ISBN 978-80-553-3306-9. – ISBN (online) 978-80-553-2720-4. – SIGN-TUKE 205551, s. 68-75 [tlačená forma] [CD-ROM] </t>
  </si>
  <si>
    <t xml:space="preserve">Reakčná agilita vzhľadom k postu v ženskom volejbale / Šimonek, Jaromír [Autor, UKFPFAKTV, 50%] ; Simonová, Diana [Autor, 50%]. – text. – [slovenčina]. – [OV 210]. – [príspevok] In: Šport a rekreácia 2020 (Recenzovaný nekonferenčný zborník vedecko-výskumných a odborných prác, zameraný na prezentáciu poznatkov v oblasti športu, telesnej výchovy, diagnostiky, zdravia, rekreácie, cestovného ruchu, regenerácie, manažmentu, atď.) [textový dokument (print)] [elektronický dokument] : zborník vedeckých prác / Broďáni, Jaroslav [Zostavovateľ, editor] ; Czaková, Monika [Zostavovateľ, editor] ; Halmová, Nora [Recenzent] ; Lenková, Rút [Recenzent] ; Nemček, Dagmar [Recenzent] ; Kanásová, Janka [Recenzent] ; Šutka, Vladimír [Recenzent] ; Rozim, Robert [Recenzent] ; Buková, Alena [Recenzent] ; Krčmárová, Bohumila [Recenzent] ; Horbacz, Agata [Recenzent] ; Luptáková, Martina [Recenzent] ; Kraček, Stanislav [Recenzent] ; Dzugas, Dalibor [Recenzent] ; Žiška, Peter [Recenzent] ; Czaková, Natália [Recenzent] ; Bartolčičová, Barbora [Recenzent] ; Krčmár, Matúš [Recenzent] ; Važan, Róbert [Recenzent]. – 1. vyd. – Nitra (Slovensko) : Univerzita Konštantína Filozofa v Nitre. Pedagogická fakulta UKF. Katedra telesnej výchovy a športu, 2020. – ISBN 978-80-558-1541-1, s. 278-286 [tlačená forma] [online] </t>
  </si>
  <si>
    <t xml:space="preserve">Realizované pohybové kompetencie na základných školách / Pospišová, Marianna [Autor, 34%] ; Broďáni, Jaroslav [Autor, UKFPFAKTV, 33%] ; Kováčová, Natália [Autor, UKFPFAKTV, 33%]. – text. – [slovenčina]. – [OV 210]. – [príspevok] In: Šport a rekreácia 2019 (Recenzovaný nekonferenčný zborník vedecko-výskumných a odborných prác, zameraný na prezentáciu poznatkov v oblasti športu, telesnej výchovy, diagnostiky, zdravia, rekreácie, cestovného ruchu, regenerácie, manažmentu, atď.) [textový dokument (print)] [elektronický dokument] : zborník vedeckých prác / Broďáni, Jaroslav [Zostavovateľ, editor] ; Kováčová, Natália [Zostavovateľ, editor] ; Kampmiller, Tomáš [Recenzent] ; Bartík, Pavol [Recenzent] ; Michal, Jiří [Recenzent] ; Šutka, Vladimír [Recenzent] ; Halmová, Nora [Recenzent] ; Kanásová, Janka [Recenzent] ; Ružbarská, Ingrid [Recenzent] ; Mandzáková, Martina [Recenzent] ; Rošková, Miroslava [Recenzent] ; Rozim, Robert [Recenzent] ; Doležajová, Ladislava [Recenzent] ; Kraček, Stanislav [Recenzent] ; Luptáková, Martina [Recenzent] ; Nemček, Dagmar [Recenzent] ; Šmela, Pavel [Recenzent] ; Czaková, Natália [Recenzent] ; Hrnčár, Roman [Recenzent]. – 1. vyd. – Nitra (Slovensko) : Univerzita Konštantína Filozofa v Nitre. Pedagogická fakulta UKF. Katedra telesnej výchovy a športu, 2019. – ISBN 978-80-558-1415-5, s. 60-68 [tlačená forma] [online] </t>
  </si>
  <si>
    <t xml:space="preserve">Reflexia encykliky Grade munus a ďakovnej púte Slovanov do Ríma v slovenských a českých katolíckych kruhoch v 19. storočí / Hetényi, Martin [Autor, UKFFFAUKD, 50%] ; Ivanič, Peter [Autor, UKFFFAUKD, 50%]. – text. – [slovenčina]. – [OV 030]. – [príspevok] In: Cyrilo-metodská tradícia ako spájajúci fenomén [textový dokument (print)] / Letz, Róbert [Zostavovateľ, editor] ; Judák, Viliam [Zostavovateľ, editor] ; Zubko, Peter [Recenzent] ; Coranič, Jaroslav [Recenzent]. – 1. vyd. – Nitra (Slovensko) : Kňazský seminár sv. Gorazda, 2020. – (Studia Theologica Nitriensia ; 18). – ISBN 978-80-89481-57-6. – SIGN-UKO RK 62/10. – SIGN-UKO PD HI/20, s. 61-82 [tlačená forma] </t>
  </si>
  <si>
    <t xml:space="preserve">Reflexia vybraných aspektov nových médií so zameraním na platformu YouTube / Olejárová, Andrea [Autor, UKFFFAKKU, 100%]. – text. – [slovenčina]. – [OV 060]. – [príspevok]. – [recenzované] In: Culturologica Slovaca [elektronický dokument] : internetový kulturologický časopis / Ballay, Miroslav [Zostavovateľ, editor]. – 1. vyd. – Roč. 3. – Nitra (Slovensko) : Univerzita Konštantína Filozofa v Nitre, 2018. – ISSN 2453-9740, s. 178-189 [online] </t>
  </si>
  <si>
    <t xml:space="preserve">Relaxácia / Šlepecký, Miloš [Autor, UKFFSVKPV, 50%] ; Popelková, Marta [Autor, UKFFSVKPV, 50%] ; Štefarová, Iveta [Recenzent] ; Jurišová, Erika [Recenzent]. – text. – [slovenčina]. – [OV 060]. – [kapitola] In: Princípy a metódy kognitívno behaviorálnej terapie [textový dokument (print)] / Praško Pavlov, Ján [Autor]. – 1. vyd. – Nitra (Slovensko) : Univerzita Konštantína Filozofa v Nitre, 2018. – ISBN 978-80-558-1348-6, s. 201-216 </t>
  </si>
  <si>
    <t xml:space="preserve">Resuscitácia obrazov kultúrnej pamäti : teórie, formy a stratégie v súčasnom konceptuálnom umení / Vilím, Erik [Autor, UKFFFAULK, 100%]. – text. – [slovenčina]. – [OV 020]. – [príspevok] In: Obrazy citlivých miest slovenskej histórie. Reinterpretácia kultúrnej pamäti v umení [textový dokument (print)] / Kapsová, Eva [Zostavovateľ, editor] ; Šabík, Vincent [Recenzent] ; Hochel, Igor [Recenzent]. – 1. vyd. – Nitra (Slovensko) : Univerzita Konštantína Filozofa v Nitre, 2018. – ISBN 978-80-558-1354-7, s. 57-80 [tlačená forma] </t>
  </si>
  <si>
    <t xml:space="preserve">Riešenie otvorených matematických problémov v tímoch: matematický B-deň / Bulková, Kristína [Autor, UKFFPVKMA, 50%] ; Čeretková, Soňa [Autor, UKFFPVKMA, 50%]. – text. – [slovenčina]. – [OV 010, 240]. – [príspevok] In: Príprava učiteľov prírodovedných, poľnohospodárskych a príbuzných odborov v meniacich sa požiadavkách praxe [elektronický dokument] / Sandanusová, Anna [Zostavovateľ, editor] ; Dytrtová, Radmila [Zostavovateľ, editor] ; Morovič, Martin [Recenzent] ; Švecová, Milada [Recenzent]. – 1 vyd. – Nitra (Slovensko) : Univerzita Konštantína Filozofa v Nitre, 2019. – ISBN 978-80-558-1393-6, s. 109-115 [CD-ROM] </t>
  </si>
  <si>
    <t xml:space="preserve">Riešenie problémov / Praško Pavlov, Ján [Autor, UKFFSVKPV, 50%] ; Šlepecký, Miloš [Autor, UKFFSVKPV, 50%] ; Štefarová, Iveta [Recenzent] ; Jurišová, Erika [Recenzent]. – text. – [slovenčina]. – [OV 060]. – [kapitola] In: Princípy a metódy kognitívno behaviorálnej terapie [textový dokument (print)] / Praško Pavlov, Ján [Autor]. – 1. vyd. – Nitra (Slovensko) : Univerzita Konštantína Filozofa v Nitre, 2018. – ISBN 978-80-558-1348-6, s. 261-263 </t>
  </si>
  <si>
    <t xml:space="preserve">Rizikové správanie a úzkostlivosť dospievajúcich / Pastieriková, Nina [Autor, 50%] ; Krause, Robert [Autor, UKFPFAKAP, 50%]. – text. – [slovenčina]. – [OV 060]. – [príspevok] In: Konvergencie vedeckej činnosti študentov a učiteľov [textový dokument (print)] / Verešová, Marcela [Zostavovateľ, editor] ; Pavelová, Ľuba [Recenzent] ; Valihorová, Marta [Recenzent]. – 1. vyd. – Nitra (Slovensko) : Univerzita Konštantína Filozofa v Nitre, 2020. – ISBN 978-80-558-1543-5, s. 20-32 [tlačená forma] </t>
  </si>
  <si>
    <t xml:space="preserve">Rizikové správanie adolescentov z hľadiska prevládajúceho výchovného štýlu v rodine / Minarčíková, Natália [Autor, 50%] ; Verešová, Marcela [Autor, UKFPFAKAP, 50%]. – text. – [slovenčina]. – [OV 060]. – [príspevok] In: Konvergencie vedeckej činnosti študentov a učiteľov [textový dokument (print)] / Verešová, Marcela [Zostavovateľ, editor] ; Pavelová, Ľuba [Recenzent] ; Valihorová, Marta [Recenzent]. – 1. vyd. – Nitra (Slovensko) : Univerzita Konštantína Filozofa v Nitre, 2020. – ISBN 978-80-558-1543-5, s. 66-78 [tlačená forma] </t>
  </si>
  <si>
    <t xml:space="preserve">Rodičia a deti z aspektu prežívanej úzkosti / Chrapanová, Mária [Autor, 50%] ; Krause, Robert [Autor, UKFPFAKAP, 50%]. – text. – [slovenčina]. – [OV 010]. – [príspevok] In: Konvergencie vedeckej činnosti študentov a učiteľov 2 [textový dokument (print)] / Verešová, Marcela [Zostavovateľ, editor] ; Pavelová, Ľuba [Recenzent] ; Valihorová, Marta [Recenzent]. – 1. vyd. – Nitra (Slovensko) : Univerzita Konštantína Filozofa v Nitre, 2021. – ISBN 978-80-558-1732-3, s. 162-181 [tlačená forma] </t>
  </si>
  <si>
    <t xml:space="preserve">Röntgenová fluorescenčná analýza predmetov z pohrebiska z obdobia avarského kaganátu v Obide / Tirpák, Ján [Autor, UKFFPVGMU, 50%] ; Tirpáková, Anna [Autor, UKFFPVKMA, 50%]. – [slovenčina]. – [OV 030]. – [kapitola] In: Pohrebisko z obdobia avarského kaganátu Obid [textový dokument (print)] / Zábojník, Jozef [Autor] ; Kouřil, Pavel [Recenzent] ; Macháček, Jiří [Recenzent]. – 1. vyd. – Bratislava (Slovensko) : Slovenská akadémia vied, 2019. – ISBN 978-80-224-1739-6, s. 291-334 [tlačená forma] </t>
  </si>
  <si>
    <t xml:space="preserve">Rozdiely v motivácii k fyzickej aktivite u študentov stredných a vysokých škôl / Sollár, Tomáš [Autor, UKFFSVUAP, 50%] ; Romanová, Martina [Autor, UKFFSVUAP, 50%]. – text. – [slovenčina]. – [OV 210, 060]. – [príspevok] In: Pohybová aktivita a kvalita života žiakov stredných škôl [textový dokument (print)] / Kalinková, Mária [Zostavovateľ, editor] ; Rozim, Robert [Recenzent] ; Kompan, Jaroslav [Recenzent]. – 1. vyd. – Nitra (Slovensko) : Univerzita Konštantína Filozofa v Nitre, 2018. – ISBN 978-80-558-1368-4, s. 89-96 [tlačená forma] </t>
  </si>
  <si>
    <t xml:space="preserve">Rozdiely v pohybovej aktivite ľudí s kardiovakulárnym ochorením pred a po diagnostikovaní ochorenia / Ráczová, Linda [Autor, 40%] ; Sollár, Tomáš [Autor, UKFFSVUAP, 60%]. – text. – [slovenčina]. – [OV 180, 060]. – [príspevok] In: Optima Opus 2019 [textový dokument (print)] / Rosinský, Rastislav [Zostavovateľ, editor] ; Koleják, Kamil [Recenzent] ; Gabura, Ján [Recenzent]. – 1. vyd. – Nitra (Slovensko) : Univerzita Konštantína Filozofa v Nitre, 2020. – ISBN 978-80-558-1497-1, s. 53-71 [tlačená forma] </t>
  </si>
  <si>
    <t xml:space="preserve">Rozdiely v ponímaní dôležitosti a spokojnosti kvality života adolescentov / Kalinková, Mária [Autor, UKFPFAKTV, 25%] ; Broďáni, Jaroslav [Autor, UKFPFAKTV, 25%] ; Šiška, Ľuboslav [Autor, UKFPFAKTV, 25%] ; Slúka, Daniel [Autor, 25%]. – text. – [slovenčina]. – [OV 210, 060]. – [príspevok] In: Pohybová aktivita a kvalita života žiakov stredných škôl [textový dokument (print)] / Kalinková, Mária [Zostavovateľ, editor] ; Rozim, Robert [Recenzent] ; Kompan, Jaroslav [Recenzent]. – 1. vyd. – Nitra (Slovensko) : Univerzita Konštantína Filozofa v Nitre, 2018. – ISBN 978-80-558-1368-4, s. 97-116 [tlačená forma] </t>
  </si>
  <si>
    <t xml:space="preserve">Rozdiely v prežívanom šťastí a životnej zmysluplnosti medzi štyrmi generáciami počas pandémie covid -19 / Benedeková, Stanislava [Autor, 50%] ; Verešová, Marcela [Autor, UKFPFAKAP, 50%]. – text. – [slovenčina]. – [OV 010]. – [príspevok] In: Konvergencie vedeckej činnosti študentov a učiteľov 2 [textový dokument (print)] / Verešová, Marcela [Zostavovateľ, editor] ; Pavelová, Ľuba [Recenzent] ; Valihorová, Marta [Recenzent]. – 1. vyd. – Nitra (Slovensko) : Univerzita Konštantína Filozofa v Nitre, 2021. – ISBN 978-80-558-1732-3, s. 123-135 [tlačená forma] </t>
  </si>
  <si>
    <t xml:space="preserve">Rozdiely vo  vnímaní  kvality života seniorov v zariadeniach  pre seniorov na východnom Slovensku / Halmová, Nora [Autor, UKFPFAKTV, 60%] ; Siska, Marek [Autor, 20%] ; Gujdanová, Monika [Autor, 20%] ; Novotná, Nadežda [Recenzent] ; Lenková, Rút [Recenzent]. – text. – [slovenčina]. – [OV 210]. – [príspevok] In: Šport a rekreácia 2018 [textový dokument (print)] : zborník vedeckých prác / Broďáni, Jaroslav [Zostavovateľ, editor]. – 1. vyd. – Nitra (Slovensko) : Univerzita Konštantína Filozofa v Nitre, 2018. – ISBN 978-80-558-1301-1, s. 171-176 [tlačená forma] </t>
  </si>
  <si>
    <t xml:space="preserve">Rozšírenie, ekológia a ochrana kotúľky štíhlej (Anisus vorticulus) na Slovensku / Čejka, Tomáš [Autor, 34%] ; Černecký, Ján [Autor, UKFFPVKEE, 33%] ; Ďuricová, Viktória [Autor, 33%]. – text. – [slovenčina]. – [OV 100]. – [príspevok]. – [recenzované] In: Malacologica Bohemoslovaca [elektronický dokument] / Juřičková, Lucie [Zostavovateľ, editor]. – 1. vyd. – Roč. 19. – Bratislava (Slovensko) : Slovenská akadémia vied. Pracoviská SAV. Ústav zoológie, 2020. – ISSN (online) 1336-6939, s. 9-19 </t>
  </si>
  <si>
    <t xml:space="preserve">Rozvoj obce / Kramáreková, Hilda [Autor, UKFFPVKGR, 100%] ; Bátovská, Jarmila [Recenzent] ; Vincze, Ladislav [Recenzent]. – text. – [slovenčina]. – [OV 092]. – [kapitola] In: Lehota [textový dokument (print)] : príroda, história, pamiatky, tradície, súčasnosť / Keresteš, Peter [Zostavovateľ, editor]. – 1. vyd. – Nitra (Slovensko) : EN ARS, 2018. – ISBN 978-80-973164-0-2. – TUT ID E073351, s. 249-252 [tlačená forma] </t>
  </si>
  <si>
    <t xml:space="preserve">Rozvoj obce [Močenok] / Kramáreková, Hilda [Autor, UKFFPVKGR, 100%]. – text. – [slovenčina]. – [OV 092]. – [príspevok] In: Močenok [textový dokument (print)] : monografia obce / Keresteš, Peter [Zostavovateľ, editor] ; Meliš, Jozef [Recenzent] ; Nemčíková, Magdaléna [Recenzent]. – 1. vyd. – Nitra (Slovensko) : EN ARS, 2020. – ISBN 978-80-973164-5-7, s. 412-414 [tlačená forma] </t>
  </si>
  <si>
    <t xml:space="preserve">Rozvoj sociálnych kompetencií v predprimárnom vzdelávaní / Radosová, Terézia [Autor, 50%] ; Juhásová, Andrea [Autor, UKFPFAKAP, 50%]. – text. – [slovenčina]. – [OV 060]. – [príspevok] In: Konvergencie vedeckej činnosti študentov a učiteľov [textový dokument (print)] / Verešová, Marcela [Zostavovateľ, editor] ; Pavelová, Ľuba [Recenzent] ; Valihorová, Marta [Recenzent]. – 1. vyd. – Nitra (Slovensko) : Univerzita Konštantína Filozofa v Nitre, 2020. – ISBN 978-80-558-1543-5, s. 183-193 [tlačená forma] </t>
  </si>
  <si>
    <t xml:space="preserve">Rozvoj subjektívnej teórie začínajúceho učiteľa / Feranská, Margita [Autor, UKFPFAKPE, 100%] ; Krystoň, Miroslav [Recenzent] ; Petrasová, Alica [Recenzent]. – text. – [slovenčina]. – [OV 010]. – [príspevok] In: Kontexty podpory profesijného rozvoja učiteľstva [textový dokument (print)] : 2.časť / Pavlov, Ivan [Zostavovateľ, editor]. – 1. vyd. – Banská Bystrica (Slovensko) : Univerzita Mateja Bela v Banskej Bystrici. Vydavateľstvo Univerzity Mateja Bela v Banskej Bystrici - Belianum, 2018. – ISBN 978-80-557-1501-8, s. 56-62 [tlačená forma] </t>
  </si>
  <si>
    <t xml:space="preserve">Rozvoj subjektívnej teórie začínajúceho učiteľa z hľadiska jeho profesijných fáz / Feranská, Margita [Autor, UKFPFAKPE, 100%]. – [slovenčina]. – [OV 010]. – [príspevok] In: Teória a prax edukácie dospelých [elektronický dokument] : andragogické vedecké štúdie / Mayer, Katarína [Zostavovateľ, editor] ; Frk, Vladimír [Recenzent] ; Hangoni, Tomáš [Recenzent]. – 1. vyd. – Prešov (Slovensko) : Prešovská univerzita v Prešove, 2019. – ISBN 978-80-555-2218-0. – SIGN-PU FHPV-19 18/19, s. 224-231 [online] </t>
  </si>
  <si>
    <t xml:space="preserve">Rozvoj vybraných pohybových schopností pomocou bosu v Ľadovom hokeji / Stankovič, Patrik [Autor, 50%] ; Czaková, Natália [Autor, UKFPFAKTV, 50%]. – text. – [slovenčina]. – [OV 210]. – [príspevok] In: Šport a rekreácia 2020 (Recenzovaný nekonferenčný zborník vedecko-výskumných a odborných prác, zameraný na prezentáciu poznatkov v oblasti športu, telesnej výchovy, diagnostiky, zdravia, rekreácie, cestovného ruchu, regenerácie, manažmentu, atď.) [textový dokument (print)] [elektronický dokument] : zborník vedeckých prác / Broďáni, Jaroslav [Zostavovateľ, editor] ; Czaková, Monika [Zostavovateľ, editor] ; Halmová, Nora [Recenzent] ; Lenková, Rút [Recenzent] ; Nemček, Dagmar [Recenzent] ; Kanásová, Janka [Recenzent] ; Šutka, Vladimír [Recenzent] ; Rozim, Robert [Recenzent] ; Buková, Alena [Recenzent] ; Krčmárová, Bohumila [Recenzent] ; Horbacz, Agata [Recenzent] ; Luptáková, Martina [Recenzent] ; Kraček, Stanislav [Recenzent] ; Dzugas, Dalibor [Recenzent] ; Žiška, Peter [Recenzent] ; Czaková, Natália [Recenzent] ; Bartolčičová, Barbora [Recenzent] ; Krčmár, Matúš [Recenzent] ; Važan, Róbert [Recenzent]. – 1. vyd. – Nitra (Slovensko) : Univerzita Konštantína Filozofa v Nitre. Pedagogická fakulta UKF. Katedra telesnej výchovy a športu, 2020. – ISBN 978-80-558-1541-1, s. 287-295 [tlačená forma] [online] </t>
  </si>
  <si>
    <t xml:space="preserve">Rozvoj vybraných ukazovateľov všeobecnej a špeciálnej výkonnosti vo volejbalovom družstve dievčat / Paška, Ľubomír [Autor, UKFPFAKTV, 25%] ; Krajčovič, Jaroslav [Autor, UKFPFAKTV, 25%] ; Horička, Pavol [Autor, UKFPFAKTV, 25%] ; Karaffová, Pavla [Autor, 25%]. – text. – [slovenčina]. – [OV 210]. – [príspevok] In: Šport a rekreácia 2020 (Recenzovaný nekonferenčný zborník vedecko-výskumných a odborných prác, zameraný na prezentáciu poznatkov v oblasti športu, telesnej výchovy, diagnostiky, zdravia, rekreácie, cestovného ruchu, regenerácie, manažmentu, atď.) [textový dokument (print)] [elektronický dokument] : zborník vedeckých prác / Broďáni, Jaroslav [Zostavovateľ, editor] ; Czaková, Monika [Zostavovateľ, editor] ; Halmová, Nora [Recenzent] ; Lenková, Rút [Recenzent] ; Nemček, Dagmar [Recenzent] ; Kanásová, Janka [Recenzent] ; Šutka, Vladimír [Recenzent] ; Rozim, Robert [Recenzent] ; Buková, Alena [Recenzent] ; Krčmárová, Bohumila [Recenzent] ; Horbacz, Agata [Recenzent] ; Luptáková, Martina [Recenzent] ; Kraček, Stanislav [Recenzent] ; Dzugas, Dalibor [Recenzent] ; Žiška, Peter [Recenzent] ; Czaková, Natália [Recenzent] ; Bartolčičová, Barbora [Recenzent] ; Krčmár, Matúš [Recenzent] ; Važan, Róbert [Recenzent]. – 1. vyd. – Nitra (Slovensko) : Univerzita Konštantína Filozofa v Nitre. Pedagogická fakulta UKF. Katedra telesnej výchovy a športu, 2020. – ISBN 978-80-558-1541-1, s. 248-256 [tlačená forma] [online] </t>
  </si>
  <si>
    <t xml:space="preserve">Rôznorodosť ponímania možnosti zbožštenia - arabská filozofia a kresťanský svet / Šavelová, Monika [Autor, UKFFFAKRO, 100%]. – text. – [slovenčina]. – [OV 030, 020]. – [príspevok] In: Codex historico-critica 2020 [elektronický dokument] : noetické východiská v kontexte interdisciplinárnych prístupov k histórii, literatúre, jazyku a umeniam / Šteflová, Lucia [Zostavovateľ, editor] ; Makky, Lukáš [Zostavovateľ, editor] ; Murin, Gabriela [Recenzent] ; Kovaľ, Peter [Recenzent]. – 1. vyd. – Prešov (Slovensko) : Prešovská univerzita v Prešove, 2020. – ISBN (online) 978-80-555-2544-0. – SIGN-PU FF-20 350/20, s. 6-29 [online] </t>
  </si>
  <si>
    <t xml:space="preserve">Screening plochých nôh u detí s mentálnym postihnutím / Kanásová, Janka [Autor, UKFPFAKTV, 70%] ; Haluza, Jakub [Autor, 30%] ; Novotná, Nadežda [Recenzent] ; Lenková, Rút [Recenzent]. – text. – [slovenčina]. – [OV 210]. – [príspevok] In: Šport a rekreácia 2018 [textový dokument (print)] : zborník vedeckých prác / Broďáni, Jaroslav [Zostavovateľ, editor]. – 1. vyd. – Nitra (Slovensko) : Univerzita Konštantína Filozofa v Nitre, 2018. – ISBN 978-80-558-1301-1, s. 171-176 [tlačená forma] </t>
  </si>
  <si>
    <t xml:space="preserve">Sedavý spôsob života seniorov / Poledníková, Ľubica [Autor, UKFFSVKOS, 40%] ; Slamková, Alica [Autor, UKFFSVKOS, 40%] ; Glevaňáková, Júlia [Autor, 20%]. – text. – [čeština]. – [OV 180]. – [príspevok] In: Sestry : hlas v popredí - zdravie pre všetkých [elektronický dokument] : recenzovaný vedecký zborník vydaný pri príležitosti Medzinárodného dňa sestier 2019 / Spáčilová, Zuzana [Zostavovateľ, editor] ; Libová, Ľubica [Recenzent] ; Haluzíková, Jana [Recenzent] ; Pavelová, Ľuboslava [Recenzent]. – 1. vyd. – Nitra (Slovensko) : Univerzita Konštantína Filozofa v Nitre, 2019. – ISBN 978-80-558-1418-6, s. 103-111 [CD-ROM] </t>
  </si>
  <si>
    <t xml:space="preserve">Self-koncept a kvalita interpersonálnych vzťahov adolescenta / Balážová, Miroslava [Autor, UKFFSVKPV, 50%] ; Popelková, Marta [Autor, UKFFSVKPV, 50%] ; Rošková, Eva [Recenzent] ; Taročková, Tatiana [Recenzent]. – text. – [slovenčina]. – [OV 060]. – [príspevok] In: Psychologica [elektronický dokument] / Sabová, Lucia [Zostavovateľ, editor]. – 1. vyd. – č. 48. – Bratislava (Slovensko) : Univerzita Komenského v Bratislave. Filozofická fakulta UK. Stimul, 2018. – ISBN 978-80-8127-220-2. – SIGN-UKO FI 11/18 PS, s. 4-11 [online] </t>
  </si>
  <si>
    <t xml:space="preserve">Seniori a stravovacie návyky z aspektu konzumu vybraných potravín rastlinného pôvodu = Seniors and eating habits in regard to consumption of selected foodstuffs of plant origin / Schwarzová, Marianna [Autor, SPUFAP16, 25%] ; Fatrcová Šramková, Katarína [Autor, SPUFAP16, 25%] ; Búzková, Lenka [Autor, 25%] ; Juríková, Tünde [Autor, UKFFSSUVP, 25%]. – [slovenčina]. – [OV 190]. – [príspevok] In: Recenzovaný zborník vedeckých prác Slovenskej spoločnosti pre poľnohospodárske, lesnícke, potravinárske a veterinárske vedy pri Slovenskej akadémii vied, pobočka Nitra [textový dokument (print)] / Gálik, Branislav [Zostavovateľ, editor] ; Zelinková, Gabriela [Zostavovateľ, editor] ; Bíro, Daniel [Recenzent] ; Britaňák, Norbert [Recenzent]. – 1 vyd. – Nitra (Slovensko) : Slovenská poľnohospodárska univerzita v Nitre, 2018. – ISBN 978-80-552-1921-9, s. 319-333 [tlačená forma] </t>
  </si>
  <si>
    <t xml:space="preserve">Seniori a stravovacie zvyklosti z aspektu konzumu vybraných potravín živočíšneho pôvodu = Seniors and eating habits in regard to consumption of selected animal origin foods / Fatrcová Šramková, Katarína [Autor, SPUFAP16, 25%] ; Schwarzová, Marianna [Autor, SPUFAP16, 25%] ; Búzková, Lenka [Autor, 25%] ; Juríková, Tünde [Autor, UKFFSSUVP, 25%]. – [slovenčina]. – [OV 190]. – [príspevok] In: Výživa - človek - zdravie 2018 [elektronický dokument] : recenzovaný zborník vedeckých prác Katedry výživy ľudí FAPZ SPU v Nitre / Gažarová, Martina [Zostavovateľ, editor] ; Chlebová, Zuzana [Zostavovateľ, editor] ; Holovičová, Mária [Zostavovateľ, editor] ; Capcarová, Marcela [Recenzent] ; Candráková, Eva [Recenzent]. – 1. vyd. – Nitra (Slovensko) : Slovenská poľnohospodárska univerzita v Nitre, 2018. – ISBN 978-80-552-1902-8, s. 21-32 [CD-ROM] </t>
  </si>
  <si>
    <t xml:space="preserve">Schématerapia / Praško Pavlov, Ján [Autor, UKFFSVKPV, 34%] ; Šlepecký, Miloš [Autor, UKFFSVKPV, 33%] ; Zaťková, Marta [Autor, UKFFSVKPV, 33%] ; Štefarová, Iveta [Recenzent] ; Jurišová, Erika [Recenzent]. – text. – [slovenčina]. – [OV 060]. – [kapitola] In: Princípy a metódy kognitívno behaviorálnej terapie [textový dokument (print)] / Praško Pavlov, Ján [Autor]. – 1. vyd. – Nitra (Slovensko) : Univerzita Konštantína Filozofa v Nitre, 2018. – ISBN 978-80-558-1348-6, s. 264-273 </t>
  </si>
  <si>
    <t xml:space="preserve">Sídlisko z obdobia stredoveku / Repka, Dominik [Autor, UKFFFAKAR, 100%]. – [slovenčina]. – [OV 030]. – [kapitola] In: Chotín 7 (7) [textový dokument (print)] : Sídlisko z doby halštatskej, rímskej a stredoveku / Romsauer, Peter [Autor] ; Hečková, Janka [Autor] ; Repka, Dominik [Autor] ; Březinová, Gertrúda [Autor] ; Kuzmová, Klára [Autor] ; Miroššayová, Elena [Recenzent] ; Rajtár, Ján [Recenzent] ; Borzová, Zuzana [Recenzent]. – 1. vyd. – Nitra (Slovensko) : Univerzita Konštantína Filozofa v Nitre, 2019. – ISBN 978-80-558-1403-2, s. 143-155 [tlačená forma] </t>
  </si>
  <si>
    <t xml:space="preserve">Sklo ako náhrada v stredovekých kresťanských symboloch / Illášová, Ľudmila [Autor, UKFFPVGMU, 50%] ; Štubňa, Ján [Autor, UKFFPVGMU, 45%] ; Turnovec, Ivan [Autor, 5%] ; Černá, Eva [Recenzent] ; Plško, Alfonz [Recenzent]. – text. – [slovenčina]. – [OV 092]. – [príspevok] In: Historické sklo [textový dokument (print)] : multidisciplinárne o historickom skle 3 / Staššíková-Štukovská, Danica [Zostavovateľ, editor]. – 1. vyd. – Roč. 3. – Bratislava (Slovensko) : Slovenská akadémia vied, 2018. – ISBN 978-80-570-0399-1, s. 295-298 [tlačená forma] </t>
  </si>
  <si>
    <t xml:space="preserve">Skúsenosť cudzoty v románe Katariny Durica Milovať po slovensky / Petres Csizmadia, Gabriela [Autor, UKFFSSUML, 100%] ; Gbúr, Ján [Recenzent] ; Kučera, Petr [Recenzent]. – text. – [slovenčina]. – [OV 020]. – [príspevok] In: Imagológia ako výskum obrazov kultúry [textový dokument (print)] : (k reflexii etnických stereotypov krajín V4) / Zelenka, Miloš [Zostavovateľ, editor] ; Tkáč-Zabáková, Lenka [Zostavovateľ, editor]. – 1. vyd. – Nitra (Slovensko) : Univerzita Konštantína Filozofa v Nitre, 2018. – ISBN 978-80-558-1294-6, s. 61-72 [tlačená forma] </t>
  </si>
  <si>
    <t xml:space="preserve">Sloboda a jazyková sloboda / Öllös, László [Autor, UKFFFAKPO, 100%]. – text. – [slovenčina]. – [OV 060]. – [príspevok] In: Fórum spoločenskovedná revue 2019 [textový dokument (print)] : súbor štúdií výskumníkov a výskumníčok Fórum inštitút pre výskum menšín / Mészárosová, Zuzana [Zostavovateľ, editor]. – 1. vyd. – Šamorín (Slovensko) : Fórum inštitút pre výskum menšín, 2019. – ISBN 978-80-89978-10-6, s. 99-114 [tlačená forma] </t>
  </si>
  <si>
    <t xml:space="preserve">Sloboda a transcendencia: k zabudnutému významu náboženstva ako cnosti / Blaščíková, Andrea [Autor, UKFFFAKNS, 100%]. – [slovenčina]. – [OV 020]. – [príspevok]. – [recenzované] In: Culturologica Slovaca [elektronický dokument] / Palitefka, Jozef [Zostavovateľ, editor]. – 1. vyd. – Roč. 4. – Nitra (Slovensko) : Univerzita Konštantína Filozofa v Nitre, 2019. – ISSN 2453-9740, s. 5-18 [online] </t>
  </si>
  <si>
    <t xml:space="preserve">Sloboda v tvorbe - tvorba v slobode : marginálie k 15. ročníku festivalu Dotyky a spojenia / Ballay, Miroslav [Autor, UKFFFAKKU, 100%]. – text. – [slovenčina]. – [OV 020]. – [príspevok] In: Culturologica Slovaca [elektronický dokument] / Palitefka, Jozef [Zostavovateľ, editor]. – 1. vyd. – Roč. 4. – Nitra (Slovensko) : Univerzita Konštantína Filozofa v Nitre, 2019. – ISSN 2453-9740, s. 66-78 [online] </t>
  </si>
  <si>
    <t xml:space="preserve">Slovenské školstvo v čase autonómie. Osudy pedagógov topoľčianskeho regiónu / Kičková, Adriana [Autor, UKFFFAKHI, 100%]. – text. – [slovenčina]. – [OV 030, 010]. – [príspevok] In: Od demokracie k autoritárstvu. Ponitrie v období autonómie (1938 – 1939) [textový dokument (print)] [elektronický dokument] / Arpáš, Róbert [Zostavovateľ, editor] ; Ruman, Ladislav [Recenzent] ; Mičko, Peter [Recenzent]. – 1. vyd. – Nitra (Slovensko) : Univerzita Konštantína Filozofa v Nitre, 2021. – ISBN 978-80-558-1672-2, s. 127-148 [tlačená forma] [online] </t>
  </si>
  <si>
    <t xml:space="preserve">Slovensko na križovatke dejín alebo na krížovej ceste? : (niekoľko poznámok k rozdeleniu Československa a dobe po ňom) / Ruman, Ladislav [Autor, UKFFFAKHI, 100%] ; Hetényi, Martin [Recenzent] ; Tišliar, Pavol [Recenzent]. – text. – [slovenčina]. – [OV 030]. – [príspevok] In: Míľniky 20. storočia v regióne Nitrianskeho kraja [textový dokument (print)] / Palárik, Miroslav [Zostavovateľ, editor] ; Belej, Milan [Zostavovateľ, editor] ; Keresteš, Peter [Zostavovateľ, editor]. – 1. vyd. – Nitra (Slovensko) : Štátny archív v Nitre, 2018. – ISBN 978-80-973263-0-2, s. 228-242 [tlačená forma] </t>
  </si>
  <si>
    <t xml:space="preserve">Sociálna opora, rodičovská opora a radosť z pohybovej aktivity v období adolescencie / Sollár, Tomáš [Autor, UKFFSVUAP, 50%] ; Romanová, Martina [Autor, UKFFSVUAP, 50%]. – text. – [slovenčina]. – [OV 210, 060]. – [príspevok] In: Pohybová aktivita a kvalita života žiakov stredných škôl [textový dokument (print)] / Kalinková, Mária [Zostavovateľ, editor] ; Rozim, Robert [Recenzent] ; Kompan, Jaroslav [Recenzent]. – 1. vyd. – Nitra (Slovensko) : Univerzita Konštantína Filozofa v Nitre, 2018. – ISBN 978-80-558-1368-4, s. 134-141 [tlačená forma] </t>
  </si>
  <si>
    <t xml:space="preserve">Sociálne služby poskytované osamelým matkám s deťmi bez domova / Rác, Ivan [Autor, UKFFSVURS, 100%]. – text. – [slovenčina]. – [OV 060]. – [príspevok] In: Optima Opus 2018 [textový dokument (print)] / Rosinský, Rastislav [Zostavovateľ, editor]. – 1. vyd. – Nitra (Slovensko) : Univerzita Konštantína Filozofa v Nitre, 2019. – ISBN 978-80-558-1377-6, s. 151-180 [tlačená forma] </t>
  </si>
  <si>
    <t xml:space="preserve">Sociálny pedagóg a jeho pomoc národnostne zmiešaným rodinám / Selická, Denisa [Autor, UKFFFAKSO, 100%]. – text. – [slovenčina]. – [OV 010, 060]. – [príspevok] In: Zborník vedeckovýskumných prác Katedry pedagogiky [textový dokument (print)] / Danek, Ján [Recenzent] ; Bělík, Václav [Recenzent]. – 1 vyd. – Roč. 15. – Banská Bystrica (Slovensko) : Univerzita Mateja Bela v Banskej Bystrici. Vydavateľstvo Univerzity Mateja Bela v Banskej Bystrici - Belianum, 2019. – ISBN 978-80-557-1599-5, s. 207-218 [tlačená forma] </t>
  </si>
  <si>
    <t xml:space="preserve">Sociologický obrat / Martinkovič, Matej [Autor, UKFFFAKTR, 100%]. – text. – [slovenčina]. – [OV 020]. – [príspevok] In: Prekladateľské listy [textový dokument (print)] : teória, kritika a prax prekladu  : zborník štúdií a študentských prác z 25. ročníka prekladateľskej univerziády / Kabát, Marián [Zostavovateľ, editor] ; Podlucká, Lucia [Zostavovateľ, editor] ; Lančarič, Daniel [Recenzent] ; Smiešková, Alena [Recenzent]. – 1. vyd. – Roč. 10. – Bratislava (Slovensko) : Univerzita Komenského v Bratislave, 2021. – ISBN 978-80-223-5096-9, s. 52-63 [tlačená forma] </t>
  </si>
  <si>
    <t xml:space="preserve">Sonda do sociálnej starostlivosti o mládež v Československu so zreteľom na mládež zanedbanú (1918-1938) / Rigová, Viktória [Autor, UKFFFAKHI, 100%]. – text. – [slovenčina]. – [OV 030]. – [príspevok] In: Študentská vedecká, odborná a umelecká činnosť [elektronický dokument] : zborník vedeckých prác / Hetényi, Martin [Zostavovateľ, editor]. – 1. vyd. – Nitra (Slovensko) : Univerzita Konštantína Filozofa v Nitre, 2019. – ISBN 978-80-558-1506-0, s. 230-246 [CD-ROM] </t>
  </si>
  <si>
    <t xml:space="preserve">Spánok ako prostriedok duševnej hygieny u študentov nelekárskych študijných odborov / Pavelová, Ľuboslava [Autor, UKFFSVKOS, 90%] ; Vrabčeniak, Daniela [Autor, 10%]. – text. – [slovenčina]. – [OV 060]. – [príspevok] In: Optima Opus 2020 [textový dokument (print)] / Rosinský, Rastislav [Zostavovateľ, editor] ; Solgajová, Andrea [Recenzent] ; Hudák, Marián [Recenzent] ; Šlepecký, Miloš [Recenzent] ; Sollár, Tomáš [Recenzent] ; Kozubík, Michal [Recenzent] ; Jašeková, Nina [Recenzent]. – 1. vyd. – Nitra (Slovensko) : Univerzita Konštantína Filozofa v Nitre, 2020. – ISBN 978-80-558-1601-2, s. 7-39 [tlačená forma] </t>
  </si>
  <si>
    <t xml:space="preserve">Spiritualita v tvorbe Márie Bátorovej / Gallik, Ján [Autor, UKFFSSUSJ, 100%]. – text. – [slovenčina]. – [OV 060]. – [príspevok] In: Komplexnosť tvorivosti [textový dokument (print)] : zborník príspevkov k jubileu Márie Bátorovej / Bojničanová, Renáta [Zostavovateľ, editor] ; Šimončíková Heribanová, Tamara [Zostavovateľ, editor] ; Žemberová, Viera [Recenzent] ; Hockicková, Beáta [Recenzent]. – 1. vyd. – Bratislava (Slovensko) : Slovenská akadémia vied. Veda, vydavateľstvo Slovenskej akadémie vied, 2020. – ISBN 978-80-224-1837-9. – SIGN-UKO PD RJ/20, s. 155-158 [tlačená forma] </t>
  </si>
  <si>
    <t xml:space="preserve">Spojenie hudby a tanca na rôznych stupňoch tanečného vzdelávania / Hubinská, Zuzana [Autor, UKFPFAKHU, 100%]. – text. – [slovenčina]. – [OV 020, 010]. – [príspevok] In: Ars et Educatio 5. [elektronický dokument] : CD-zborník vedeckých príspevkov / Procházková, Martina [Zostavovateľ, editor] ; Pekarčík, Peter [Zostavovateľ, editor] ; Zahradníková, Zuzana [Recenzent] ; Valachová, Daniela [Recenzent]. – 1. vyd. – Ružomberok (Slovensko) : Katolícka univerzita v Ružomberku. VERBUM - vydavateľstvo KU, 2019. – ISBN 978-80-561-0692-1, s. 26-33 [CD-ROM] </t>
  </si>
  <si>
    <t xml:space="preserve">Spotrebiteľské preferencie a správanie spotrebiteľov pri nákupe potravín / Danielová, Katarína [Autor, UKOPRZRG, 50%] ; Trembošová, Miroslava [Autor, UKFFPVKGR, 50%]. – text, ilustr., tab. – [slovenčina]. – [OV 092]. – [príspevok]. – SIGN-UKO PR 616/20 In: Kde nakupujeme, čo nakupujeme a prečo nakupujeme [textový dokument (print)] : lokality maloobchodu a spotreby a správanie spotrebiteľov / Križan, František [Zostavovateľ, editor] ; Dubcová, Alena [Recenzent] ; Horňák, Marcel [Recenzent]. – 1. vyd. – Bratislava (Slovensko) : Univerzita Komenského v Bratislave, 2020. – ISBN 978-80-223-4861-4. – SIGN-UKO PR 616/20, s. 115-136 [1,24 AH] [tlačená forma] </t>
  </si>
  <si>
    <t xml:space="preserve">Správa o archeologickom výskume severovýchodného objektu šľachtického sídla v Markušovciach v roku 2006 = Report about the archaeologic excavation on the northeaster building of the aristocratic residence in Markušovce in the year 2006 / Bielich, Mário [Autor, 50%] ; Čurný, Marián [Autor, 20%] ; Bielichová, Zora [Autor, 20%] ; Tirpák, Ján [Autor, UKFFPVGMU, 10%]. – [slovenčina]. – [OV 030]. – [príspevok]. – [recenzované] In: Východoslovenský pravek [textový dokument (print)] / Miroššayová, Elena [Zostavovateľ, editor]. – 1. vyd. – č. 11. – Bratislava (Slovensko) : Slovenská akadémia vied, 2018. – ISBN 978-80-89315-45-1, s. 149-170 </t>
  </si>
  <si>
    <t xml:space="preserve">Správy na hrane / Petrová, Elena [Autor, UKFFFAKZU, 100%]. – text. – [slovenčina]. – [OV 060]. – [príspevok] In: Fenomén 2020 [textový dokument (print)] : komunita v mediálnom priestore / Sámelová, Anna [Zostavovateľ, editor] ; Stanková, Mária [Zostavovateľ, editor] ; Hacek, Ján [Zostavovateľ, editor] ; Adámať, Jozef [Recenzent] ; Gazda, Imrich [Recenzent]. – 1. vyd. – Bratislava (Slovensko) : Univerzita Komenského v Bratislave, 2020. – ISBN 978-80-223-4974-1, s. 225-231 [tlačená forma] </t>
  </si>
  <si>
    <t xml:space="preserve">Stavebná kultúra, verejný priestor a environmentálne prístupy v procesoch lokálneho rozvoja / Ambrózová, Jana [Autor, UKFFFAKEF, 50%] ; Krišková, Zdena [Autor, UMBFF19, 50%]. – text. – [slovenčina]. – [OV 030]. – [príspevok] In: Dobré miesto pre život [textový dokument (print)] [elektronický dokument] : Dediny roka na Slovensku / Luther, Daniel [Zostavovateľ, editor] ; Danglová, Oľga [Recenzent] ; Slavkovský, Peter [Recenzent]. – 1. vyd. – Bratislava (Slovensko) : Slovenská akadémia vied, 2021. – ISBN 978-80-569-0924-9, s. 79-103 [tlačená forma] [online] </t>
  </si>
  <si>
    <t xml:space="preserve">Stereotyp Slováka v Poľsku koncom 19. storočia a dnes / Móri, Tomáš [Autor, UKFFSSUSJ, 100%] ; Gbúr, Ján [Recenzent] ; Kučera, Petr [Recenzent]. – text. – [slovenčina]. – [OV 020]. – [príspevok] In: Imagológia ako výskum obrazov kultúry [textový dokument (print)] : (k reflexii etnických stereotypov krajín V4) / Zelenka, Miloš [Zostavovateľ, editor] ; Tkáč-Zabáková, Lenka [Zostavovateľ, editor]. – 1. vyd. – Nitra (Slovensko) : Univerzita Konštantína Filozofa v Nitre, 2018. – ISBN 978-80-558-1294-6, s. 111-116 [tlačená forma] </t>
  </si>
  <si>
    <t xml:space="preserve">Stereotypy o sexualite v súčasnej ženskej literatúre na Slovensku : (kulturologická reflexia vybraných diel) / Valková, Lucia [Autor, UKFFFAKKU, 100%]. – [slovenčina]. – [OV 010]. – [príspevok] In: Culturologica Slovaca [elektronický dokument] / Palitefka, Jozef [Zostavovateľ, editor]. – 1. vyd. – Roč. 4. – Nitra (Slovensko) : Univerzita Konštantína Filozofa v Nitre, 2019. – ISSN 2453-9740, s. 190-204 [online] </t>
  </si>
  <si>
    <t xml:space="preserve">Stopy pamäti v obrazoch bolestivých miest národnej histórie : vizuálne figúry pamäti / Kapsová, Eva [Autor, UKFFFAULK, 100%] ; Šabík, Vincent [Recenzent] ; Hochel, Igor [Recenzent]. – text. – [slovenčina]. – [OV 020]. – [príspevok] In: Obrazy citlivých miest slovenskej histórie. Reinterpretácia kultúrnej pamäti v umení [textový dokument (print)] / Kapsová, Eva [Zostavovateľ, editor]. – 1. vyd. – Nitra (Slovensko) : Univerzita Konštantína Filozofa v Nitre, 2018. – ISBN 978-80-558-1354-7, s. 13-56 [tlačená forma] </t>
  </si>
  <si>
    <t xml:space="preserve">Strach u hospitalizovaných detí / Krištofová, Erika [Autor, UKFFSVKOS, 50%] ; Pavelová, Ľuboslava [Autor, UKFFSVKOS, 50%]. – text. – [slovenčina]. – [OV 180]. – [príspevok] In: Sestry: hlas v popredí - ošetrovateľstvom ku globálnemu zdraviu [elektronický dokument] : recenzovaný vedecký zborník vydaný pri príležitosti Medzinárodného dňa sestier 2020 / Spáčilová, Zuzana [Zostavovateľ, editor] ; Hlinková, Edita [Recenzent] ; Zrubcová, Dana [Recenzent]. – 1. vyd. – Nitra (Slovensko) : Univerzita Konštantína Filozofa v Nitre, 2020. – ISBN 978-80-558-1596-1, s. 44-51 [CD-ROM] </t>
  </si>
  <si>
    <t xml:space="preserve">Stredobody nezávislej kultúry a umenia v Nitre / Fuják, Július [Autor, UKFFFAKKU, 100%]. – text. – [slovenčina]. – [OV 060]. – [príspevok] In: Nezávislé kultúrne centrá na Slovensku [textový dokument (print)] [elektronický dokument] / Fuják, Július [Zostavovateľ, editor] ; Ballay, Miroslav [Recenzent] ; Malíček, Juraj [Recenzent]. – 1. vyd. – Nitra (Slovensko) : Univerzita Konštantína Filozofa v Nitre, 2021. – ISBN 978-80-558-1674-6, s. 111-128 [tlačená forma] [online] </t>
  </si>
  <si>
    <t xml:space="preserve">Stredoveké fortifikácie a osídlenie na strednom Pohroní = Medieval fortifications and settlements in the Central Hron region / Ragač, Radoslav [Autor, 60%] ; Beljak Pažinová, Noémi [Autor, UKFFFAKAR, 40%]. – text. – [slovenčina]. – [OV 030]. – [príspevok] In: Stredoveké hrady na strednom Pohroní [textový dokument (print)] / Beljak Pažinová, Noémi [Zostavovateľ, editor] ; Mordovin, Maxim [Recenzent] ; Labuda, Jozef [Recenzent]. – 1. vyd. – Nitra (Slovensko) : Slovenská akadémia vied. Pracoviská SAV. Archeologický ústav, 2021. – ISBN 978-80-8196-052-9, s. 7-18 [tlačená forma] </t>
  </si>
  <si>
    <t xml:space="preserve">Subjektívne hodnotenie kvality života a pohybových aktivít u 10 ročných detí / Kováčová, Natália [Autor, UKFPFAKTV, 50%] ; Broďáni, Jaroslav [Autor, UKFPFAKTV, 49%] ; Magyar, Bálint [Autor, UKFPFAKTV, 1%] ; Bendíková, Elena [Recenzent] ; Koštial, Ján [Recenzent]. – [slovenčina]. – [OV 210]. – [príspevok] In: Aktuálne problémy telesnej výchovy a športu VII [elektronický dokument] : zborník vedeckých prác / Hubinák, Andrej [Zostavovateľ, editor]. – 1. vyd. – Ružomberok (Slovensko) : Katolícka univerzita v Ružomberku. VERBUM - vydavateľstvo KU, 2018. – ISBN 978-80-561-0540-5, s. 36-47 [CD-ROM] </t>
  </si>
  <si>
    <t xml:space="preserve">Súčasná cirkevná heraldika v historickom kontexte / Glejtek, Miroslav [Autor, UKFFFAKHI, 100%] ; Galis, Tomáš [Recenzent] ; Paľa, Dušan [Recenzent]. – text. – [slovenčina]. – [OV 030]. – [príspevok] In: Communio Missio [textový dokument (print)] : internetový časopis pre novú evanjelizáciu / [bez zostavovateľa] [Zostavovateľ, editor]. – 1. vyd. – Roč. 16. – Žilina (Slovensko) : Inštitút Communio, 2018. – ISBN 978-80-971275-3-4, s. 17-27 [online] </t>
  </si>
  <si>
    <t xml:space="preserve">Suffering as one of the determinant factors in the initiation of the main protagonist in the Slovak folk tale O troch zhavranelých bratoch (About Three Brothers Who Turned into Ravens) / Danišová, Nikola [Autor, UKFFFAULK, 100%]. – text. – [angličtina]. – [OV 020]. – [príspevok] In: The iconization of suffering in literary and interdisciplinary perspectives [textový dokument (print)] / Hricková, Mária [Zostavovateľ, editor] ; Klimková, Simona [Zostavovateľ, editor] ; Chalupský, Petr [Recenzent] ; Waldnerová, Jana [Recenzent]. – 1. vyd. – Nitra (Slovensko) : Univerzita Konštantína Filozofa v Nitre, 2019. – ISBN 978-80-558-1467-4, s. 105-120 [tlačená forma] </t>
  </si>
  <si>
    <t xml:space="preserve">Sviatky a obyčaje v obci / Jágerová, Margita [Autor, UKFFFAKEF, 100%]. – text. – [slovenčina]. – [OV 030]. – [príspevok] In: Rišňovce [textový dokument (print)] : monografia obce / Hrubý, Tomáš [Zostavovateľ, editor] ; Ziburová, Helena [Zostavovateľ, editor] ; Hetényi, Martin [Recenzent] ; Hladký, Juraj [Recenzent] ; Jakubíková, Kornélia [Recenzent] ; Kramáreková, Hilda [Recenzent]. – 1. vyd. – Nitra (Slovensko) : EN ARS, 2019. – ISBN 978-80-973164-3-3, s. 434-460 [tlačená forma] </t>
  </si>
  <si>
    <t xml:space="preserve">Syntaktische Beziehungen in der maschinellen Übersetzung / Pavlová, Renáta [Autor, UKFFFAJZC, 100%]. – text. – [slovenčina]. – [OV 020]. – [príspevok] In: Moderné jazyky v súčasnej Európe [textový dokument (print)] / Zelenická, Elena [Zostavovateľ, editor] ; Šenkár, Patrik [Recenzent] ; Dudová, Katarína [Recenzent]. – 1. vyd. – Nitra (Slovensko) : Univerzita Konštantína Filozofa v Nitre, 2018. – ISBN 978-80-558-1359-2, s. 141-148 [tlačená forma] </t>
  </si>
  <si>
    <t xml:space="preserve">Šidélko ozdobné Coenagrion ornatum (Sélys, 1850) (Odonata) vzácny alebo prehliadaný druh? / David, Stanislav [Autor, UKFFPVKEE, 50%] ; Petrovičová, Kornélia [Autor, 50%]. – text. – [slovenčina]. – [OV 100]. – [príspevok] In: Acta Musei Tekovensis Levice 12 [elektronický dokument] [textový dokument (print)] : Zborník Tekovského múzea v Leviciach / Smetana, Vladimír [Zostavovateľ, editor] ; Belej, Milan [Recenzent] ; Bešinová, Eva [Recenzent]. – 1. vyd. – Levice (Slovensko) : Tekovské múzeum, 2020. – ISBN 9788088831242, s. 41-52 [tlačená forma] [CD-ROM] </t>
  </si>
  <si>
    <t xml:space="preserve">Šľachtické hudobné divadlo / Szórádová, Eva [Autor, UKFPFAKHU, 90%] ; Laslavíková, Jana [Autor, 10%]. – text. – [slovenčina]. – [OV 010]. – [kapitola] In: Hudobné dejiny Bratislavy [textový dokument (print)] : od stredoveku po rok 1918 / Bartová, Jana [Zostavovateľ, editor] ; Bugalová, Edita [Recenzent] ; Holčík, Štefan [Recenzent] ; Sehnal, Jiří [Recenzent]. – 1. vyd. – Bratislava (Slovensko) : Ars musica, 2020. – ISBN 978-80-971672-5-7, 0,91, s. 198-211 [tlačená forma] </t>
  </si>
  <si>
    <t xml:space="preserve">Špeciálna pedagogika a jej členenie v kontexte súčasnej vedy a praxe / Žovinec, Erik [Autor, UKFPFAKPE, 100%]. – text. – [slovenčina]. – [OV 010]. – [kapitola] In: Špeciálna pedagogika 2 [textový dokument (print)] : kompendium súčasnej špeciálnej pedagogiky podľa užšieho zamerania pre špeciálnych pedagógov, liečebných pedagógov a logopédov / Žovinec, Erik [Autor] ; Jedličková, Petra [Autor] ; Debnárová Grznárová, Monika [Autor] ; Duchovičová, Jana [Autor] ; Koleňáková, Rebeka Štefánia [Autor] ; Hošová, Dominika [Autor] ; Beliková, Vladimíra [Autor] ; Žovinec, Erik [Zostavovateľ, editor] ; Seidler, Peter [Recenzent] ; Lechta, Viktor [Recenzent]. – 1. vyd. – Nitra (Slovensko) : Univerzita Konštantína Filozofa v Nitre, 2019. – ISBN 978-80-558-1379-0, s. 10-16 [tlačená forma] </t>
  </si>
  <si>
    <t xml:space="preserve">Štruktúra športového výkonu v sedemboji žien na úrovni kvalifikačného limitu na svetové atletické podujatia / Broďáni, Jaroslav [Autor, UKFPFAKTV, 34%] ; Czaková, Monika [Autor, UKFPFAKTV, 33%] ; Kováčová, Natália [Autor, UKFPFAKTV, 33%]. – text. – [slovenčina]. – [OV 210]. – [príspevok] In: Šport a rekreácia 2020 (Recenzovaný nekonferenčný zborník vedecko-výskumných a odborných prác, zameraný na prezentáciu poznatkov v oblasti športu, telesnej výchovy, diagnostiky, zdravia, rekreácie, cestovného ruchu, regenerácie, manažmentu, atď.) [textový dokument (print)] [elektronický dokument] : zborník vedeckých prác / Broďáni, Jaroslav [Zostavovateľ, editor] ; Czaková, Monika [Zostavovateľ, editor] ; Halmová, Nora [Recenzent] ; Lenková, Rút [Recenzent] ; Nemček, Dagmar [Recenzent] ; Kanásová, Janka [Recenzent] ; Šutka, Vladimír [Recenzent] ; Rozim, Robert [Recenzent] ; Buková, Alena [Recenzent] ; Krčmárová, Bohumila [Recenzent] ; Horbacz, Agata [Recenzent] ; Luptáková, Martina [Recenzent] ; Kraček, Stanislav [Recenzent] ; Dzugas, Dalibor [Recenzent] ; Žiška, Peter [Recenzent] ; Czaková, Natália [Recenzent] ; Bartolčičová, Barbora [Recenzent] ; Krčmár, Matúš [Recenzent] ; Važan, Róbert [Recenzent]. – 1. vyd. – Nitra (Slovensko) : Univerzita Konštantína Filozofa v Nitre. Pedagogická fakulta UKF. Katedra telesnej výchovy a športu, 2020. – ISBN 978-80-558-1541-1, s. 37-45 [tlačená forma] [online] </t>
  </si>
  <si>
    <t xml:space="preserve">Tabačka Kulturfabrik. Od kultúry svojpomoci k nezávislému kultúrnemu centru / Kočiš, Michal [Autor, UKFFFAKKU, 100%]. – text. – [slovenčina]. – [OV 060]. – [príspevok] In: Nezávislé kultúrne centrá na Slovensku [textový dokument (print)] [elektronický dokument] / Fuják, Július [Zostavovateľ, editor] ; Ballay, Miroslav [Recenzent] ; Malíček, Juraj [Recenzent]. – 1. vyd. – Nitra (Slovensko) : Univerzita Konštantína Filozofa v Nitre, 2021. – ISBN 978-80-558-1674-6, s. 81-98 [tlačená forma] [online] </t>
  </si>
  <si>
    <t xml:space="preserve">Technika podania a príjmu slovenských reprezentantov v stolnom tenise / Kovácsová, Viktória [Autor, 50%] ; Broďáni, Jaroslav [Autor, UKFPFAKTV, 50%]. – text. – [slovenčina]. – [OV 210]. – [príspevok] In: Šport a rekreácia 2021 (Recenzovaný nekonferenčný zborník vedecko-výskumných a odborných prác,  zameraný na prezentáciu poznatkov v oblasti športu, telesnej výchovy,  diagnostiky, zdravia, rekreácie, cestovného ruchu, regenerácie, manažmentu,  atď.) [textový dokument (print)] [elektronický dokument] : zborník vedeckých prác / Broďáni, Jaroslav [Zostavovateľ, editor] ; Czaková, Monika [Zostavovateľ, editor] ; Dvořáčková, Natália [Zostavovateľ, editor] ; Boržíková, Iveta [Recenzent] ; Chovanová, Erika [Recenzent] ; Halmová, Nora [Recenzent] ; Kanásová, Janka [Recenzent] ; Labudová, Jana [Recenzent] ; Šutka, Vladimír [Recenzent] ; Uher, Ivan [Recenzent] ; Michal, Jíro [Recenzent] ; Rozim, Robert [Recenzent] ; Kutlík, Dušan [Recenzent] ; Adamčák, Štefan [Recenzent] ; Broďáni, Jaroslav [Recenzent] ; Grznár, Ľuboš [Recenzent] ; Divinec, Lenka [Recenzent] ; Marko, Michal [Recenzent] ; Kraček, Stanislav [Recenzent] ; Leütterová, Daniela [Recenzent] ; Horička, Pavol [Recenzent]. – 1. vyd. – Nitra (Slovensko) : Univerzita Konštantína Filozofa v Nitre. Pedagogická fakulta UKF. Katedra telesnej výchovy a športu, 2021. – ISBN 978-80-558-1726-2, s. 51-60 [tlačená forma] [online] </t>
  </si>
  <si>
    <t xml:space="preserve">Teleošetrovateľstvo ako vízia práce sestier v budúcnosti = Telenursing as vision of the work of nurces in the future / Líšková, Miroslava [Autor, UKFFSVKOS, 34%] ; Poledníková, Ľubica [Autor, UKFFSVKOS, 33%] ; Solgajová, Andrea [Autor, UKFFSVKOS, 33%] ; Botíková, Andrea [Recenzent] ; Kober, Lukáš [Recenzent]. – text. – [čeština]. – [OV 180]. – [príspevok] In: Sestry : hlas v popredí - zdravie je ľudské právo [textový dokument (print)] : recenzovaný vedecký zborník vydaný pri príležitosti Medzinárodného dňa sestier 2018 / Spáčilová, Zuzana [Zostavovateľ, editor]. – 1. vyd. – Nitra (Slovensko) : Univerzita Konštantína Filozofa v Nitre, 2018. – ISBN 978-80-558-1293-9, s. 41-50 [tlačená forma] </t>
  </si>
  <si>
    <t xml:space="preserve">Teoretické prístupy k štúdiu miest / Papcunová, Viera [Autor, UKFFPVUMI, 50%] ; Knežová, Jana [Autor, 50%]. – text. – [slovenčina]. – [OV 060, 080]. – [kapitola] In: Výkon kompetencií miest v SR [elektronický dokument] / Balážová, Eva [Autor] ; Papcunová, Viera [Autor] ; Pospišová, Lucia [Autor] ; Knežová, Jana [Autor] ; Rumanovská, Ľubica [Recenzent] ; Tej, Juraj [Recenzent]. – 1. vyd. – Nitra (Slovensko) : Slovenská poľnohospodárska univerzita v Nitre, 2020. – ISBN 978-80-552-2281-3, s. 5-9 [online] </t>
  </si>
  <si>
    <t xml:space="preserve">Terénna sociálna práca s dysfunkčnými rodinami vykonávaná pracovníkmi akreditovaných subjektov / Blšťák, Peter [Autor, 50%] ; Gažiková, Elena [Autor, UKFFSVKSP, 50%]. – text. – [slovenčina]. – [OV 060]. – [príspevok] In: Optima Opus 2020 [textový dokument (print)] / Rosinský, Rastislav [Zostavovateľ, editor] ; Solgajová, Andrea [Recenzent] ; Hudák, Marián [Recenzent] ; Šlepecký, Miloš [Recenzent] ; Sollár, Tomáš [Recenzent] ; Kozubík, Michal [Recenzent] ; Jašeková, Nina [Recenzent]. – 1. vyd. – Nitra (Slovensko) : Univerzita Konštantína Filozofa v Nitre, 2020. – ISBN 978-80-558-1601-2, s. 121-151 [tlačená forma] </t>
  </si>
  <si>
    <t xml:space="preserve">Terénna sociálna práca s dysfunkčnými rodinami vykonávaná pracovníkmi akreditovaných subjektov a pracovníkmi sociálnoprávnej ochrany detí / Gažiková, Elena [Autor, UKFFSVKSP, 50%] ; Bačová, Terézia [Autor, 50%]. – text. – [slovenčina]. – [OV 060]. – [príspevok] In: Optima Opus 2019 [textový dokument (print)] / Rosinský, Rastislav [Zostavovateľ, editor] ; Koleják, Kamil [Recenzent] ; Gabura, Ján [Recenzent]. – 1. vyd. – Nitra (Slovensko) : Univerzita Konštantína Filozofa v Nitre, 2020. – ISBN 978-80-558-1497-1, s. 89-131 [tlačená forma] </t>
  </si>
  <si>
    <t xml:space="preserve">Testovanie a certifikácia jazykových zručností / Zelenická, Elena [Autor, UKFFFAJZC, 50%] ; Machová, Renáta [Autor, UKFFFAJZC, 50%] ; Šenkár, Patrik [Recenzent] ; Dudová, Katarína [Recenzent]. – text. – [slovenčina]. – [OV 020]. – [príspevok] In: Moderné jazyky v súčasnej Európe [textový dokument (print)] / Zelenická, Elena [Zostavovateľ, editor]. – 1. vyd. – Nitra (Slovensko) : Univerzita Konštantína Filozofa v Nitre, 2018. – ISBN 978-80-558-1359-2, s. 7-13 [tlačená forma] </t>
  </si>
  <si>
    <t xml:space="preserve">Textologická perspektíva Ondrušovej zbierky  Prvý mesiac (1996) na príklade básne Klobúk vína (1964,1965,1996) / Taneski, Martina [Autor, UKFFFASJL, 100%]. – text. – [slovenčina]. – [OV 020]. – [príspevok] In: Textologické štúdie [textový dokument (print)] : (vedecké štúdie o problematike textových variantov / Rácová, Veronika [Zostavovateľ, editor] ; Gavura, Ján [Recenzent] ; Juhásová, Jana [Recenzent]. – 1. vyd. – Nitra (Slovensko) : Univerzita Konštantína Filozofa v Nitre, 2020. – ISBN 978-80-558-1648-7, s. 71-88 [tlačená forma] </t>
  </si>
  <si>
    <t xml:space="preserve">The Analysis of Musical Performance by the Lead Violin Player in Traditional String Bands in Slovakia: Preliminary Thoughts / Ambrózová, Jana [Autor, UKFFFAKEF, 100%]. – text. – [angličtina]. – [OV 030]. – [príspevok] In: Traditional Music and Dance in Contemporary Culture(s) [textový dokument (print)] / Ambrózová, Jana [Zostavovateľ, editor] ; Garaj, Bernard [Zostavovateľ, editor] ; Vejvoda, Zdeněk [Recenzent] ; Sliužinskas, Rimantas [Recenzent]. – 1. vyd. – Nitra (Slovensko) : Univerzita Konštantína Filozofa v Nitre, 2019. – ISBN 978-80-558-1477-3, s. 80-109 [tlačená forma] </t>
  </si>
  <si>
    <t xml:space="preserve">The Diatonic Button Accordion as a Phenomenon of Controversial Popularity in the Slovak Traditional Music / Garaj, Bernard [Autor, UKFFFAKEF, 100%]. – text. – [angličtina]. – [OV 030]. – [príspevok] In: Traditional Music and Dance in Contemporary Culture(s) [textový dokument (print)] / Ambrózová, Jana [Zostavovateľ, editor] ; Garaj, Bernard [Zostavovateľ, editor] ; Vejvoda, Zdeněk [Recenzent] ; Sliužinskas, Rimantas [Recenzent]. – 1. vyd. – Nitra (Slovensko) : Univerzita Konštantína Filozofa v Nitre, 2019. – ISBN 978-80-558-1477-3, s. 42-53 [tlačená forma] </t>
  </si>
  <si>
    <t xml:space="preserve">The iconization of suffering in literature and visual art: From implicitness to meaning / Hricková, Mária [Autor, UKFFFAKAA, 50%] ; Klimková, Simona [Autor, UKFFFAKAA, 50%]. – [angličtina]. – [OV 020]. – [príspevok] In: The iconization of suffering in literary and interdisciplinary perspectives [textový dokument (print)] / Hricková, Mária [Zostavovateľ, editor] ; Klimková, Simona [Zostavovateľ, editor] ; Chalupský, Petr [Recenzent] ; Waldnerová, Jana [Recenzent]. – 1. vyd. – Nitra (Slovensko) : Univerzita Konštantína Filozofa v Nitre, 2019. – ISBN 978-80-558-1467-4, s. 5-11 [tlačená forma] </t>
  </si>
  <si>
    <t xml:space="preserve">The iconization of the painful flow of history : (interpretative probes into a theatre work) / Ballay, Miroslav [Autor, UKFFFAKKU, 100%]. – text. – [angličtina]. – [OV 020]. – [príspevok] In: The iconization of suffering in literary and interdisciplinary perspectives [textový dokument (print)] / Hricková, Mária [Zostavovateľ, editor] ; Klimková, Simona [Zostavovateľ, editor] ; Chalupský, Petr [Recenzent] ; Waldnerová, Jana [Recenzent]. – 1. vyd. – Nitra (Slovensko) : Univerzita Konštantína Filozofa v Nitre, 2019. – ISBN 978-80-558-1467-4, s. 22-33 [tlačená forma] </t>
  </si>
  <si>
    <t xml:space="preserve">The Idea of Slavic Solidarity in Literature and Fine Arts. Critical reading and interpretation of literary and fine arts' canon : Alfons Mucha versus Jiří David / Kapsová, Eva [Autor, UKFFFAULK, 100%]. – [angličtina]. – [OV 020]. – [príspevok]. – [recenzované] In: Culturologica Slovaca [elektronický dokument] / Palitefka, Jozef [Zostavovateľ, editor]. – 1. vyd. – Roč. 4. – Nitra (Slovensko) : Univerzita Konštantína Filozofa v Nitre, 2019. – ISSN 2453-9740, s. 88-105 [online] </t>
  </si>
  <si>
    <t xml:space="preserve">The interaction of physical activity, joy of movement and quality of live of high school students at different ages / Broďáni, Jaroslav [Autor, UKFPFAKTV, 50%] ; Kováčová, Natália [Autor, UKFPFAKTV, 50%]. – text. – [slovenčina]. – [OV 210, 060]. – [príspevok] In: Pohybová aktivita a kvalita života žiakov stredných škôl [textový dokument (print)] / Kalinková, Mária [Zostavovateľ, editor] ; Rozim, Robert [Recenzent] ; Kompan, Jaroslav [Recenzent]. – 1. vyd. – Nitra (Slovensko) : Univerzita Konštantína Filozofa v Nitre, 2018. – ISBN 978-80-558-1368-4, s. 142-152 [tlačená forma] </t>
  </si>
  <si>
    <t xml:space="preserve">The princess and the pea: story reading, story-telling, and skits in teaching English as a foreign language to very young learners / Hornáčková Klapicová, Edita [Autor, UKFFFAKTR, 100%]. – [angličtina]. – [OV 010]. – [príspevok] In: Jazykovedné, literárnovedné a didaktické kolokvium L-2 [elektronický dokument] : zborník vedeckých prác a vedeckých štúdií / Lančarič, Daniel [Zostavovateľ, editor] ; Javorčíková, Jana [Recenzent] ; Šipošová, Martina [Recenzent] ; Lagerová, Viera [Recenzent]. – 1. vyd. – Bratislava (Slovensko) : Z-F LINGUA, 2019. – ISBN 978-80-8177-058-6. – SGN-UKO FI 5/19 AA, s. 31-44 [CD-ROM] </t>
  </si>
  <si>
    <t xml:space="preserve">The quest for happiness in Blake’s Illustrations of the Book of Job / Hricková, Mária [Autor, UKFFFAKAA, 50%] ; Klimková, Simona [Autor, UKFFFAKAA, 50%]. – [angličtina]. – [OV 020]. – [príspevok] In: The iconization of suffering in literary and interdisciplinary perspectives [textový dokument (print)] / Hricková, Mária [Zostavovateľ, editor] ; Klimková, Simona [Zostavovateľ, editor] ; Chalupský, Petr [Recenzent] ; Waldnerová, Jana [Recenzent]. – 1. vyd. – Nitra (Slovensko) : Univerzita Konštantína Filozofa v Nitre, 2019. – ISBN 978-80-558-1467-4, s. 92-104 [tlačená forma] </t>
  </si>
  <si>
    <t xml:space="preserve">The rise of subtitiling in dubbing Slovakia / Perez, Emília [Autor, UKFFFAKTR, 60%] ; Jánošíková, Zuzana [Autor, UKFFFAKTR, 40%]. – text. – [angličtina]. – [OV 020]. – [príspevok] In: Translatologia [elektronický dokument] / Hodáková, Soňa [Zostavovateľ, editor]. – 1. vyd. – Roč. 2, č. 1. – Nitra (Slovensko) : Univerzita Konštantína Filozofa v Nitre, 2018. – ISSN (online) 2453-9899, s. 22-32 [online] </t>
  </si>
  <si>
    <t xml:space="preserve">The Transmission and Mediation of Local Traditional Folk Songs in the School Environment / Jágerová, Margita [Autor, UKFFFAKEF, 100%]. – text. – [angličtina]. – [OV 030]. – [príspevok] In: Traditional Music and Dance in Contemporary Culture(s) [textový dokument (print)] / Ambrózová, Jana [Zostavovateľ, editor] ; Garaj, Bernard [Zostavovateľ, editor] ; Vejvoda, Zdeněk [Recenzent] ; Sliužinskas, Rimantas [Recenzent]. – 1. vyd. – Nitra (Slovensko) : Univerzita Konštantína Filozofa v Nitre, 2019. – ISBN 978-80-558-1477-3, s. 124-145 [tlačená forma] </t>
  </si>
  <si>
    <t xml:space="preserve">The United States of America and Slovakia - Cultural Specifics and Differences, Perceptions and Travel Experiences / Sándorová, Zuzana [Autor, UKFPFAKLI, 50%] ; Tarnoková, Viktória [Autor, 50%]. – text. – [angličtina]. – [OV 020]. – [príspevok] In: Humanitné a spoločenské vedy v pregraduálnom vzdelávaní [elektronický dokument] / Repka, Richard [Zostavovateľ, editor] ; Adamcová, Lívia [Recenzent] ; Lagerová, Viera [Recenzent]. – 1. vyd. – č. 3. – Bratislava (Slovensko) : Z-F LINGUA, 2021. – ISBN 978-80-8177-086-9, s. 85-94 [CD-ROM] </t>
  </si>
  <si>
    <t xml:space="preserve">Titulkovanie videohier na Slovensku / Koscelníková, Mária [Autor, UKFFFAKTR, 100%] ; Tandlichová, Eva [Recenzent] ; Keníž, Alojz [Recenzent]. – [slovenčina]. – [OV 020]. – [príspevok] In: Prekladateľské listy [textový dokument (print)] : teória, kritika a prax prekladu / Kabát, Marián [Zostavovateľ, editor] ; Paulínyová, Lucia [Zostavovateľ, editor]. – 1. vyd. – Roč. 7. – Bratislava (Slovensko) : Univerzita Komenského v Bratislave, 2018. – ISBN 978-80-223-4515-6. – SIGN-UKO FI 1/18 AA, s. 55-70 [tlačená forma] </t>
  </si>
  <si>
    <t xml:space="preserve">Tomáš Ulej: Bodaj bi! / Zumríková Kekeliaková, Monika [Autor, UKFFFASJL, 100%]. – text. – [slovenčina]. – [OV 020]. – [príspevok] In: TOP 5 - 2014 [textový dokument (print)] : (slovenská literárna a výtvarná scéna 2014 v odbornej reflexii) / Součková, Marta [Zostavovateľ, editor] ; Gavura, Ján [Zostavovateľ, editor] ; Kitta, Richard [Zostavovateľ, editor] ; Káša, Peter [Recenzent] ; Mitka, Marek [Recenzent]. – 1. vyd. – Fintice (Slovensko) : FACE - Fórum alternatívnej kultúry a vzdelávania, 2018. – ISBN 978-80-89763-28-3. – SIGN-PU FF 27/18, s. 92-107 [tlačená forma] </t>
  </si>
  <si>
    <t xml:space="preserve">Tradícia biblického príbehu o Dávidovi a Goliášovi (1 Sam 17) / Durkaj, Lukáš [Autor, UKFFFAULK, 100%] ; Tyrol, Anton [Recenzent] ; Uháľ, Martin [Recenzent]. – text. – [slovenčina]. – [OV 020]. – [príspevok] In: Studia Biblica Cassoviensis [elektronický dokument] : zborník príspevkov k Roku Božieho slova / Feník, Juraj [Zostavovateľ, editor]. – 1. vyd. – Ružomberok (Slovensko) : Katolícka univerzita v Ružomberku. VERBUM - vydavateľstvo KU, 2021. – ISBN 978-80-561-0833-8, s. 9-19 [CD-ROM] </t>
  </si>
  <si>
    <t xml:space="preserve">Tradičný ženský odev v obci Torysky / Báreková, Barbora [Autor, UKFFFAKET, 100%]. – text. – [slovenčina]. – [OV 030]. – [príspevok] In: Acta Musaei Scepusiensis 2018-2019 [textový dokument (print)] : ročenka SNM - Spišského múzea v Levoči / Novotná, Mária [Zostavovateľ, editor] ; Kováč, Peter [Zostavovateľ, editor] ; Jágerová, Margita [Recenzent] ; Labanc, Peter [Recenzent]. – 1. vyd. – Spišská Nová Ves (Slovensko) : Slovenské národné múzeum. Spišské múzem, 2021. – ISBN 978-80-8060-491-2, s. 153-165 [tlačená forma] </t>
  </si>
  <si>
    <t xml:space="preserve">Training Localization / Kabát, Marián [Autor, UKOFIAA, 50%] ; Koscelníková, Mária [Autor, UKFFFAKTR, 50%]. – text. – [angličtina]. – [OV 020]. – [príspevok] In: Translation and interpreting training in Slovakia [elektronický dokument] / Djovčoš, Martin [Zostavovateľ, editor] ; Šveda, Pavol [Zostavovateľ, editor] ; Hodáková, Soňa [Recenzent] ; Laš, Matej [Recenzent]. – 1. vyd. – Bratislava (Slovensko) : Univerzita Komenského v Bratislave. Filozofická fakulta UK. Stimul, 2021. – ISBN 978-80-8127-320-9. – ISBN 978-80-8127-321-6, s. 157-170 [online] </t>
  </si>
  <si>
    <t xml:space="preserve">Tréningové zaťaženie determinujúce športovú výkonnosť chodkyne na 50 km / Broďáni, Jaroslav [Autor, UKFPFAKTV, 34%] ; Pupiš, Martin [Autor, UMBFF09, 33%] ; Czaková, Mária [Autor, UMBFF09, 33%]. – [slovenčina]. – [OV 210]. – [príspevok] In: Žiak, pohyb, edukácia [elektronický dokument] : vedecký zborník 2020 = scientific proceedings 2020 / Merica, Marián [Zostavovateľ, editor] ; Skrypko, Anatol [Recenzent] ; Görner, Karol [Recenzent] ; Merica, Marián [Recenzent]. – 1. vyd. – Bratislava (Slovensko) : Univerzita Komenského v Bratislave, 2020. – ISBN 978-80-223-5013-6. – SIGN-UKO PD PP/20, s. 91-100 [CD-ROM] </t>
  </si>
  <si>
    <t xml:space="preserve">Tréningové zaťaženie determinujúce športovú výkonnosť olympijského víťaza v chôdzi na 50 km počas pandémie covid-19 = Training load determining sports performance of an olympic winner in 50 km race walk during the pandemic Covid 19 / Broďáni, Jaroslav [Autor, UKFPFAKTV, 25%] ; Tóth, Matej [Autor, 25%] ; Spišiak, Matej [Autor, UKFPFAKTV, 25%] ; Pupiš, Martin [Autor, UMBFF09, 25%]. – text, graf., tab. – [slovenčina]. – [OV 210]. – [príspevok] In: Vysokoškolská telesná výchova a šport, pohybová aktivita a zdravý životný štýl 2021 [elektronický dokument] : recenzovaný zborník vedeckých prác / Vojtaško, Ľuboš [Zostavovateľ, editor] ; Hlaváčová, Jana [Zostavovateľ, editor] ; Timkovič, Matej [Zostavovateľ, editor]. – 1. vyd. – Roč. 3. – Košice (Slovensko) : Technická univerzita v Košiciach, 2021. – ISBN 978-80-553-3860-6. – SIGN-TUKE 228307, s. 32-41 [DVD] [online] </t>
  </si>
  <si>
    <t xml:space="preserve">Tridsaťročnú skúšobnú dobu máme za sebou : Čo ďalej? / Havírová, Zuzana [Autor, UKFFSVURS, 100%]. – text. – [slovenčina]. – [OV 060]. – [príspevok] In: Rómovia 30 rokov po revolúcii [textový dokument (print)] : úvahy a reflexie na ceste za slobodou / Rafael, Vlado [Zostavovateľ, editor] ; Rosinský, Rastislav [Recenzent] ; Pavlov, Ivan [Recenzent]. – 1. vyd. – Bratislava (Slovensko) : eduRoma - Roma education project, 2020. – ISBN 978-80-972680-7-7, s. 175-179 [tlačená forma] </t>
  </si>
  <si>
    <t xml:space="preserve">TRX ako jeden z prostriedkov rozvoja somatických, motorických ukazovateľov a držania tela / Halmová, Nora [Autor, UKFPFAKTV, 40%] ; Kanásová, Janka [Autor, UKFPFAKTV, 30%] ; Veis, Alexandra [Autor, UKFPFAKTV, 30%] ; Görner, Karol [Recenzent] ; Lamcha, Lukasz [Recenzent]. – text. – [slovenčina]. – [OV 210]. – [príspevok] In: Žiak, pohyb, edukácia [elektronický dokument] : vedecký zborník 2018 / Merica, Marián [Zostavovateľ, editor]. – 1. vyd. – Bratislava (Slovensko) : Univerzita Komenského v Bratislave, 2018. – ISBN 978-80-223-4582-8, s. 87-92 [CD-ROM] </t>
  </si>
  <si>
    <t xml:space="preserve">Učebnice psychológie pre gymnáziá z pohľadu učiteľov / Rapsová, Lucia [Autor, UKFPFAKPE, 50%] ; Lekeš, Patrik [Autor, 50%]. – text. – [slovenčina]. – [OV 010]. – [príspevok] In: Konvergencie vedeckej činnosti študentov a učiteľov 2 [textový dokument (print)] / Verešová, Marcela [Zostavovateľ, editor] ; Pavelová, Ľuba [Recenzent] ; Valihorová, Marta [Recenzent]. – 1. vyd. – Nitra (Slovensko) : Univerzita Konštantína Filozofa v Nitre, 2021. – ISBN 978-80-558-1732-3, s. 110-122 [tlačená forma] </t>
  </si>
  <si>
    <t xml:space="preserve">Učiteľova osobná potreba štruktúry a postoje žiakov k učiteľovi a nemeckému jazyku / Stančeková, Svetlana [Autor, UKFFFAKRO, 100%]. – text. – [slovenčina]. – [OV 010]. – [príspevok]. – [recenzované] In: Edukácia [elektronický dokument] / [bez zostavovateľa] [Zostavovateľ, editor]. – 1. vyd. – Roč. 4, č. 2. – Košice (Slovensko) : Univerzita Pavla Jozefa Šafárika v Košiciach, 2021. – ISSN (online) 1339-8725, s. 89-97 [online] </t>
  </si>
  <si>
    <t xml:space="preserve">Únava ako ošetrovateľský problém v onkologickom ošetrovateľstve / Slamková, Alica [Autor, UKFFSVKOS, 40%] ; Poledníková, Ľubica [Autor, UKFFSVKOS, 40%] ; Gašparíková, Simona [Autor, 20%]. – text. – [čeština]. – [OV 180]. – [príspevok] In: Sestry : hlas v popredí - zdravie pre všetkých [elektronický dokument] : recenzovaný vedecký zborník vydaný pri príležitosti Medzinárodného dňa sestier 2019 / Spáčilová, Zuzana [Zostavovateľ, editor] ; Libová, Ľubica [Recenzent] ; Haluzíková, Jana [Recenzent] ; Pavelová, Ľuboslava [Recenzent]. – 1. vyd. – Nitra (Slovensko) : Univerzita Konštantína Filozofa v Nitre, 2019. – ISBN 978-80-558-1418-6, s. 129-138 [CD-ROM] </t>
  </si>
  <si>
    <t xml:space="preserve">Uplatnenie transkultúrnych princípov v divadelnej tvorbe (reflexia vybraných príkladov zo súčasnej inscenačnej praxe) / Puškár, Jozef [Autor, UKFFFAKKU, 100%]. – text. – [slovenčina]. – [OV 020]. – [príspevok]. – [recenzované] In: Culturologica Slovaca [elektronický dokument] : internetový kulturologický časopis / Ballay, Miroslav [Zostavovateľ, editor]. – 1. vyd. – Roč. 3. – Nitra (Slovensko) : Univerzita Konštantína Filozofa v Nitre, 2018. – ISSN 2453-9740, s. 50-65 [online] </t>
  </si>
  <si>
    <t xml:space="preserve">Uplatňovanie historizácie-modernizácie v rámci prekladovej série Proglasu / Vančo, Dominik [Autor, UKFFFASJL, 100%]. – text. – [slovenčina]. – [OV 020]. – [príspevok] In: Prekladateľské listy [textový dokument (print)] : teória, kritika a prax prekladu / Kabát, Marián [Zostavovateľ, editor] ; Podlucká, Lucia [Zostavovateľ, editor] ; Tandlichová, Eva [Recenzent] ; Keníž, Alojz [Recenzent]. – 1. vyd. – č. 9. – Bratislava (Slovensko) : Univerzita Komenského v Bratislave, 2020. – ISBN 978-80-223-4936-9, s. 140-155 [tlačená forma] </t>
  </si>
  <si>
    <t xml:space="preserve">Uplatňovanie princípu etickej neutrality v školstve / Michalík, Adrian [Autor, UKFFFAKAE 06.2022, 100%]. – [slovenčina]. – [OV 020]. – [príspevok] In: Kontextuálna analýza princípu náboženskej a etickej neutrality štátu [textový dokument (print)] / Korený, Peter [Zostavovateľ, editor] ; Plašienková, Zlatica [Recenzent] ; Diatka, Cyril [Recenzent]. – 1. vyd. – Nitra (Slovensko) : Univerzita Konštantína Filozofa v Nitre, 2019. – ISBN 978-80-558-1495-7, s. 45-64 </t>
  </si>
  <si>
    <t xml:space="preserve">Úroveň atletickej výkonnosti študentov KTVŠ PF UKF v Nitre v rokoch 1996-2016 / Broďáni, Jaroslav [Autor, UKFPFAKTV, 34%] ; Mrva, Stanislav [Autor, 33%] ; Kováčová, Natália [Autor, UKFPFAKTV, 33%]. – text. – [slovenčina]. – [OV 210]. – [príspevok] In: Šport a rekreácia 2019 (Recenzovaný nekonferenčný zborník vedecko-výskumných a odborných prác, zameraný na prezentáciu poznatkov v oblasti športu, telesnej výchovy, diagnostiky, zdravia, rekreácie, cestovného ruchu, regenerácie, manažmentu, atď.) [textový dokument (print)] [elektronický dokument] : zborník vedeckých prác / Broďáni, Jaroslav [Zostavovateľ, editor] ; Kováčová, Natália [Zostavovateľ, editor] ; Kampmiller, Tomáš [Recenzent] ; Bartík, Pavol [Recenzent] ; Michal, Jiří [Recenzent] ; Šutka, Vladimír [Recenzent] ; Halmová, Nora [Recenzent] ; Kanásová, Janka [Recenzent] ; Ružbarská, Ingrid [Recenzent] ; Mandzáková, Martina [Recenzent] ; Rošková, Miroslava [Recenzent] ; Rozim, Robert [Recenzent] ; Doležajová, Ladislava [Recenzent] ; Kraček, Stanislav [Recenzent] ; Luptáková, Martina [Recenzent] ; Nemček, Dagmar [Recenzent] ; Šmela, Pavel [Recenzent] ; Czaková, Natália [Recenzent] ; Hrnčár, Roman [Recenzent]. – 1. vyd. – Nitra (Slovensko) : Univerzita Konštantína Filozofa v Nitre. Pedagogická fakulta UKF. Katedra telesnej výchovy a športu, 2019. – ISBN 978-80-558-1415-5, s. 20-27 [tlačená forma] [online] </t>
  </si>
  <si>
    <t xml:space="preserve">Úroveň atletickej výkonnosti záujemcov o štúdium na KTVŠ PF UKF v Nitre / Broďáni, Jaroslav [Autor, UKFPFAKTV, 50%] ; Mazúch, Dávid [Autor, 50%] ; Novotná, Nadežda [Recenzent] ; Lenková, Rút [Recenzent]. – text. – [slovenčina]. – [OV 210]. – [príspevok] In: Šport a rekreácia 2018 [textový dokument (print)] : zborník vedeckých prác / Broďáni, Jaroslav [Zostavovateľ, editor]. – 1. vyd. – Nitra (Slovensko) : Univerzita Konštantína Filozofa v Nitre, 2018. – ISBN 978-80-558-1301-1, s. 13-20 [tlačená forma] </t>
  </si>
  <si>
    <t xml:space="preserve">Úroveň funkčnej zdatnosti a parametrov zloženia tela u 11-15 ročných žiakov na západnom Slovensku / Halmová, Nora [Autor, UKFPFAKTV, 70%] ; Gažúr, Roland [Autor, 30%]. – text. – [slovenčina]. – [OV 210]. – [príspevok] In: Šport a rekreácia 2019 (Recenzovaný nekonferenčný zborník vedecko-výskumných a odborných prác, zameraný na prezentáciu poznatkov v oblasti športu, telesnej výchovy, diagnostiky, zdravia, rekreácie, cestovného ruchu, regenerácie, manažmentu, atď.) [textový dokument (print)] [elektronický dokument] : zborník vedeckých prác / Broďáni, Jaroslav [Zostavovateľ, editor] ; Kováčová, Natália [Zostavovateľ, editor] ; Kampmiller, Tomáš [Recenzent] ; Bartík, Pavol [Recenzent] ; Michal, Jiří [Recenzent] ; Šutka, Vladimír [Recenzent] ; Halmová, Nora [Recenzent] ; Kanásová, Janka [Recenzent] ; Ružbarská, Ingrid [Recenzent] ; Mandzáková, Martina [Recenzent] ; Rošková, Miroslava [Recenzent] ; Rozim, Robert [Recenzent] ; Doležajová, Ladislava [Recenzent] ; Kraček, Stanislav [Recenzent] ; Luptáková, Martina [Recenzent] ; Nemček, Dagmar [Recenzent] ; Šmela, Pavel [Recenzent] ; Czaková, Natália [Recenzent] ; Hrnčár, Roman [Recenzent]. – 1. vyd. – Nitra (Slovensko) : Univerzita Konštantína Filozofa v Nitre. Pedagogická fakulta UKF. Katedra telesnej výchovy a športu, 2019. – ISBN 978-80-558-1415-5, s. 89-98 [tlačená forma] [online] </t>
  </si>
  <si>
    <t xml:space="preserve">Úroveň pohybovej výkonnosti detí v atletických prípravkách v Slovenskej republike = Level of motoric performance of children in athletic preparations in the Slovak republic / Kluvánková, Barbora [Autor, 20%] ; Broďáni, Jaroslav [Autor, UKFPFAKTV, 30%] ; Blanárová, Simona [Autor, 20%] ; Lašová, Veronika [Autor, 20%] ; Čillík, Ivan [Autor, UMBFF09, 10%]. – text. – [slovenčina]. – [OV 210]. – [príspevok] In: Šport a rekreácia 2019 (Recenzovaný nekonferenčný zborník vedecko-výskumných a odborných prác, zameraný na prezentáciu poznatkov v oblasti športu, telesnej výchovy, diagnostiky, zdravia, rekreácie, cestovného ruchu, regenerácie, manažmentu, atď.) [textový dokument (print)] [elektronický dokument] : zborník vedeckých prác / Broďáni, Jaroslav [Zostavovateľ, editor] ; Kováčová, Natália [Zostavovateľ, editor] ; Kampmiller, Tomáš [Recenzent] ; Bartík, Pavol [Recenzent] ; Michal, Jiří [Recenzent] ; Šutka, Vladimír [Recenzent] ; Halmová, Nora [Recenzent] ; Kanásová, Janka [Recenzent] ; Ružbarská, Ingrid [Recenzent] ; Mandzáková, Martina [Recenzent] ; Rošková, Miroslava [Recenzent] ; Rozim, Robert [Recenzent] ; Doležajová, Ladislava [Recenzent] ; Kraček, Stanislav [Recenzent] ; Luptáková, Martina [Recenzent] ; Nemček, Dagmar [Recenzent] ; Šmela, Pavel [Recenzent] ; Czaková, Natália [Recenzent] ; Hrnčár, Roman [Recenzent]. – 1. vyd. – Nitra (Slovensko) : Univerzita Konštantína Filozofa v Nitre. Pedagogická fakulta UKF. Katedra telesnej výchovy a športu, 2019. – ISBN 978-80-558-1415-5, s. 185-214 [tlačená forma] [online] </t>
  </si>
  <si>
    <t xml:space="preserve">Úroveň pohybovej výkonnosti rugbistov počas pandémie covid-19 / Broďáni, Jaroslav [Autor, UKFPFAKTV, 20%] ; Augustín, Jakub [Autor, 20%] ; Czaková, Monika [Autor, UKFPFAKTV, 20%] ; Dvořáčková, Natália [Autor, UKFPFAKTV, 20%] ; Domčeková, Andrea [Autor, UKFPFAKTV, 20%]. – text. – [slovenčina]. – [OV 210]. – [príspevok] In: Šport a rekreácia 2021 (Recenzovaný nekonferenčný zborník vedecko-výskumných a odborných prác,  zameraný na prezentáciu poznatkov v oblasti športu, telesnej výchovy,  diagnostiky, zdravia, rekreácie, cestovného ruchu, regenerácie, manažmentu,  atď.) [textový dokument (print)] [elektronický dokument] : zborník vedeckých prác / Broďáni, Jaroslav [Zostavovateľ, editor] ; Czaková, Monika [Zostavovateľ, editor] ; Dvořáčková, Natália [Zostavovateľ, editor] ; Boržíková, Iveta [Recenzent] ; Chovanová, Erika [Recenzent] ; Halmová, Nora [Recenzent] ; Kanásová, Janka [Recenzent] ; Labudová, Jana [Recenzent] ; Šutka, Vladimír [Recenzent] ; Uher, Ivan [Recenzent] ; Michal, Jíro [Recenzent] ; Rozim, Robert [Recenzent] ; Kutlík, Dušan [Recenzent] ; Adamčák, Štefan [Recenzent] ; Broďáni, Jaroslav [Recenzent] ; Grznár, Ľuboš [Recenzent] ; Divinec, Lenka [Recenzent] ; Marko, Michal [Recenzent] ; Kraček, Stanislav [Recenzent] ; Leütterová, Daniela [Recenzent] ; Horička, Pavol [Recenzent]. – 1. vyd. – Nitra (Slovensko) : Univerzita Konštantína Filozofa v Nitre. Pedagogická fakulta UKF. Katedra telesnej výchovy a športu, 2021. – ISBN 978-80-558-1726-2, s. 11-19 [tlačená forma] [online] </t>
  </si>
  <si>
    <t xml:space="preserve">Úroveň poznatkov žiakov primárneho vzdelávania v kontexte vzdelávacej oblasti „zdravie a pohyb“ / Kalinková, Mária [Autor, UKFPFAKTV, 70%] ; Lipovská, Ema [Autor, 30%]. – text. – [slovenčina]. – [OV 210]. – [príspevok] In: Šport a rekreácia 2019 (Recenzovaný nekonferenčný zborník vedecko-výskumných a odborných prác, zameraný na prezentáciu poznatkov v oblasti športu, telesnej výchovy, diagnostiky, zdravia, rekreácie, cestovného ruchu, regenerácie, manažmentu, atď.) [textový dokument (print)] [elektronický dokument] : zborník vedeckých prác / Broďáni, Jaroslav [Zostavovateľ, editor] ; Kováčová, Natália [Zostavovateľ, editor] ; Kampmiller, Tomáš [Recenzent] ; Bartík, Pavol [Recenzent] ; Michal, Jiří [Recenzent] ; Šutka, Vladimír [Recenzent] ; Halmová, Nora [Recenzent] ; Kanásová, Janka [Recenzent] ; Ružbarská, Ingrid [Recenzent] ; Mandzáková, Martina [Recenzent] ; Rošková, Miroslava [Recenzent] ; Rozim, Robert [Recenzent] ; Doležajová, Ladislava [Recenzent] ; Kraček, Stanislav [Recenzent] ; Luptáková, Martina [Recenzent] ; Nemček, Dagmar [Recenzent] ; Šmela, Pavel [Recenzent] ; Czaková, Natália [Recenzent] ; Hrnčár, Roman [Recenzent]. – 1. vyd. – Nitra (Slovensko) : Univerzita Konštantína Filozofa v Nitre. Pedagogická fakulta UKF. Katedra telesnej výchovy a športu, 2019. – ISBN 978-80-558-1415-5, s. 145-152 [tlačená forma] [online] </t>
  </si>
  <si>
    <t xml:space="preserve">Úroveň sily a flexibility u mladých atlétok / Czaková, Natália [Autor, UKFPFAKTV, 20%] ; Kanásová, Janka [Autor, UKFPFAKTV, 20%] ; Divinec, Lenka [Autor, UKFPFAKTV, 20%] ; Paška, Ľubomír [Autor, UKFPFAKTV, 20%] ; Hlušková, Veronika [Autor, 20%] ; Pach, Martin [Recenzent] ; Žídek, Jaroslav [Recenzent]. – text. – [slovenčina]. – [OV 210]. – [príspevok] In: Technika a metodika zimných a letných športov v prírode 2018 [elektronický dokument] : zborník vedeckých a odborných prác / Chovanec, Lukáš [Zostavovateľ, editor]. – 1. vyd. – Bratislava (Slovensko) : Univerzita Komenského v Bratislave. Fakulta telesnej výchovy a športu UK, 2018. – ISBN 978-80-223-4643-6. – SIGN-UKO TV ak19/257, s. 65-73 [online] </t>
  </si>
  <si>
    <t xml:space="preserve">Úsilie o reformu vzdelánia Ivana Dérera / Kičková, Adriana [Autor, UKFFFAKHI, 100%] ; Tvrdoňová, Daniela [Recenzent] ; Arpáš, Róbert [Recenzent]. – [slovenčina]. – [OV 030]. – [príspevok] In: Začleňovanie Slovenska do Československej republiky [textový dokument (print)] : (s dôrazom na formovanie štátnych orgánov) / Bartal, Michal [Zostavovateľ, editor] ; Kafunová, Jana [Zostavovateľ, editor] ; Púčik, Marek [Zostavovateľ, editor] ; Škutová, Martina [Zostavovateľ, editor]. – 1. vyd. – Bratislava (Slovensko) : Slovenský národný archív, 2018. – ISBN 978-80-971767-6-1. – TUTPR signatúra E076156, s. 96-101 [tlačená forma] </t>
  </si>
  <si>
    <t xml:space="preserve">Úvod do komunitnej práce pre komunitné centrá / Rusnáková, Jurina [Autor, UKFFSVURS, 100%]. – text. – [slovenčina]. – [OV 060]. – [príspevok] In: Model komunitnej práce v komunitných centrách [elektronický dokument] / Holíková, Soňa [Zostavovateľ, editor]. – 1. vyd. – Bratislava (Slovensko) : Implementačná agentúra Ministerstva práce, sociálnych vecí a rodiny Slovenskej republiky, 2020. – ISBN 978-80-89837-59-5, s. 1-15 [online] </t>
  </si>
  <si>
    <t xml:space="preserve">Úvod do problematiky [nezávislých kultúrnych centier] / Kočiš, Michal [Autor, UKFFFAKKU, 100%]. – text. – [slovenčina]. – [OV 060]. – [príspevok] In: Nezávislé kultúrne centrá na Slovensku [textový dokument (print)] [elektronický dokument] / Fuják, Július [Zostavovateľ, editor] ; Ballay, Miroslav [Recenzent] ; Malíček, Juraj [Recenzent]. – 1. vyd. – Nitra (Slovensko) : Univerzita Konštantína Filozofa v Nitre, 2021. – ISBN 978-80-558-1674-6, s. 11-35 [tlačená forma] [online] </t>
  </si>
  <si>
    <t xml:space="preserve">Úzkosť, depresia a zvládanie záťaže u pacientov po prekonaní cievnej mozgovej príhody = Anxiety, depression, coping in stroke patients / Zrubcová, Dana [Autor, UKFFSVKOS, 35%] ; Solgajová, Andrea [Autor, UKFFSVKOS, 35%] ; Vörösová, Gabriela [Autor, UKFFSVKOS, 30%]. – text. – [slovenčina]. – [OV 180]. – [príspevok]. – TUAD PC018084 In: Sestry: hlas v popredí - vízia pre budúcnosť zdravotnej starostlivosti [elektronický dokument] : recenzovaný vedecký zborník vydaný pri príležitosti Medzinárodného dňa sestier 2021 / Spáčilová, Zuzana [Zostavovateľ, editor] ; Libová, Ľubica [Recenzent] ; Zrubcová, Dana [Recenzent]. – 1. vyd. – Nitra (Slovensko) : Univerzita Konštantína Filozofa v Nitre, 2021. – ISBN 978-80-558-1728-6, s. 181-190 [CD-ROM] </t>
  </si>
  <si>
    <t xml:space="preserve">Užívanie alkoholu a pripútanie k matke a otcovi u adolescentov / Barteková, Michaela [Autor, 50%] ; Verešová, Marcela [Autor, UKFPFAKAP, 50%]. – text. – [slovenčina]. – [OV 010]. – [príspevok] In: Konvergencie vedeckej činnosti študentov a učiteľov 2 [textový dokument (print)] / Verešová, Marcela [Zostavovateľ, editor] ; Pavelová, Ľuba [Recenzent] ; Valihorová, Marta [Recenzent]. – 1. vyd. – Nitra (Slovensko) : Univerzita Konštantína Filozofa v Nitre, 2021. – ISBN 978-80-558-1732-3, s. 182-196 [tlačená forma] </t>
  </si>
  <si>
    <t xml:space="preserve">V Gorazdových siločiarach / Gallik, Ján [Autor, UKFFSSUSJ, 100%] ; Mišák, Peter [Recenzent] ; Gallik, Ján [Recenzent]. – text. – [slovenčina]. – [OV 020]. – [príspevok] In: Gorazdov odkaz [textový dokument (print)] / Klas, Teofil [Zostavovateľ, editor]. – 1. vyd. – Bratislava (Slovensko) : Spolok Slovenských spisovateľov, 2018. – ISBN 978-80-8194-057-6, s. 141-145 [tlačená forma] </t>
  </si>
  <si>
    <t xml:space="preserve">Validace vybraných ošetřovatelských intervencí v rámci kurikula sester. Oblast bariérová ošetřovatelská péče / Archalousová, Alexandra [Autor, UKFFSVKOS, 34%] ; Spáčilová, Zuzana [Autor, UKFFSVKOS, 33%] ; Vörösová, Gabriela [Autor, UKFFSVKOS, 33%]. – text. – [čeština]. – [OV 180]. – [príspevok] In: Sestry : hlas v popredí - zdravie pre všetkých [elektronický dokument] : recenzovaný vedecký zborník vydaný pri príležitosti Medzinárodného dňa sestier 2019 / Spáčilová, Zuzana [Zostavovateľ, editor] ; Libová, Ľubica [Recenzent] ; Haluzíková, Jana [Recenzent] ; Pavelová, Ľuboslava [Recenzent]. – 1. vyd. – Nitra (Slovensko) : Univerzita Konštantína Filozofa v Nitre, 2019. – ISBN 978-80-558-1418-6, s. 7-16 [CD-ROM] </t>
  </si>
  <si>
    <t xml:space="preserve">Validace vybraných ošetřovatelských intervencí v rámci kurrikula sester, oblast metodologie/ošetřovatelský proces = Validation of selected interventions in nursing within the curriculum of nurses, area of methodology/nursing process / Archalousová, Alexandra [Autor, UKFFSVKOS, 34%] ; Spáčilová, Zuzana [Autor, UKFFSVKOS, 33%] ; Vörösová, Gabriela [Autor, UKFFSVKOS, 33%] ; Botíková, Andrea [Recenzent] ; Kober, Lukáš [Recenzent]. – text. – [čeština]. – [OV 180]. – [príspevok] In: Sestry : hlas v popredí - zdravie je ľudské právo [textový dokument (print)] : recenzovaný vedecký zborník vydaný pri príležitosti Medzinárodného dňa sestier 2018 / Spáčilová, Zuzana [Zostavovateľ, editor]. – 1. vyd. – Nitra (Slovensko) : Univerzita Konštantína Filozofa v Nitre, 2018. – ISBN 978-80-558-1293-9, s. 10-17 [tlačená forma] </t>
  </si>
  <si>
    <t xml:space="preserve">Validácia ošetrovateľskej diagnózy neefektívna ochrana v kardiologickom ošetrovateľstve / Líšková, Miroslava [Autor, UKFFSVKOS, 50%] ; Spáčilová, Zuzana [Autor, UKFFSVKOS, 50%]. – text. – [čeština]. – [OV 180]. – [príspevok] In: Sestry : hlas v popredí - zdravie pre všetkých [elektronický dokument] : recenzovaný vedecký zborník vydaný pri príležitosti Medzinárodného dňa sestier 2019 / Spáčilová, Zuzana [Zostavovateľ, editor] ; Libová, Ľubica [Recenzent] ; Haluzíková, Jana [Recenzent] ; Pavelová, Ľuboslava [Recenzent]. – 1. vyd. – Nitra (Slovensko) : Univerzita Konštantína Filozofa v Nitre, 2019. – ISBN 978-80-558-1418-6, s. 62-71 [CD-ROM] </t>
  </si>
  <si>
    <t xml:space="preserve">Validácia ošetrovateľskej diagnózy neefektívne zvládanie záťaže modelom klinickej diagnostickej validity / Zrubcová, Dana [Autor, UKFFSVKOS, 34%] ; Solgajová, Andrea [Autor, UKFFSVKOS, 33%] ; Spáčilová, Zuzana [Autor, UKFFSVKOS, 33%]. – text. – [čeština]. – [OV 180]. – [príspevok] In: Sestry : hlas v popredí - zdravie pre všetkých [elektronický dokument] : recenzovaný vedecký zborník vydaný pri príležitosti Medzinárodného dňa sestier 2019 / Spáčilová, Zuzana [Zostavovateľ, editor] ; Libová, Ľubica [Recenzent] ; Haluzíková, Jana [Recenzent] ; Pavelová, Ľuboslava [Recenzent]. – 1. vyd. – Nitra (Slovensko) : Univerzita Konštantína Filozofa v Nitre, 2019. – ISBN 978-80-558-1418-6, s. 187-194 [CD-ROM] </t>
  </si>
  <si>
    <t xml:space="preserve">Validácia ošetrovateľskej diagnózy Neefektívne zvládanie záťaže modelom validity diagnostického obsahu = Validation of nursing diagnosis Ineffective coping by diagnostic content validity model / Solgajová, Andrea [Autor, UKFFSVKOS, 25%] ; Zrubcová, Dana [Autor, UKFFSVKOS, 25%] ; Vörösová, Gabriela [Autor, UKFFSVKOS, 25%] ; Semanišinová, Mária [Autor, UKFFSVKOS, 25%] ; Botíková, Andrea [Recenzent] ; Kober, Lukáš [Recenzent]. – text. – [čeština]. – [OV 180]. – [príspevok] In: Sestry : hlas v popredí - zdravie je ľudské právo [textový dokument (print)] : recenzovaný vedecký zborník vydaný pri príležitosti Medzinárodného dňa sestier 2018 / Spáčilová, Zuzana [Zostavovateľ, editor]. – 1. vyd. – Nitra (Slovensko) : Univerzita Konštantína Filozofa v Nitre, 2018. – ISBN 978-80-558-1293-9, s. 117-126 [tlačená forma] </t>
  </si>
  <si>
    <t xml:space="preserve">Validácia ošetrovateľskej diagnózy Úzkosť na pacienta zameraným modelom klinickej diagnostickej validity = Validation of nursing diagnosis Anxiety by patient-focused clinical diagnostic validity model / Zrubcová, Dana [Autor, UKFFSVKOS, 25%] ; Solgajová, Andrea [Autor, UKFFSVKOS, 25%] ; Spáčilová, Zuzana [Autor, UKFFSVKOS, 25%] ; Vörösová, Gabriela [Autor, UKFFSVKOS, 25%] ; Botíková, Andrea [Recenzent] ; Kober, Lukáš [Recenzent]. – text. – [čeština]. – [OV 180]. – [príspevok] In: Sestry : hlas v popredí - zdravie je ľudské právo [textový dokument (print)] : recenzovaný vedecký zborník vydaný pri príležitosti Medzinárodného dňa sestier 2018 / Spáčilová, Zuzana [Zostavovateľ, editor]. – 1. vyd. – Nitra (Slovensko) : Univerzita Konštantína Filozofa v Nitre, 2018. – ISBN 978-80-558-1293-9, s. 143-152 [tlačená forma] </t>
  </si>
  <si>
    <t xml:space="preserve">Validácia ošetrovateľskej diagnózy Záťaž v roli opatrovateľa / Slamková, Alica [Autor, UKFFSVKOS, 45%] ; Poledníková, Ľubica [Autor, UKFFSVKOS, 45%] ; Brejdová, Romana [Autor, 10%] ; Botíková, Andrea [Recenzent] ; Kober, Lukáš [Recenzent]. – text. – [čeština]. – [OV 180]. – [príspevok] In: Sestry : hlas v popredí - zdravie je ľudské právo [textový dokument (print)] : recenzovaný vedecký zborník vydaný pri príležitosti Medzinárodného dňa sestier 2018 / Spáčilová, Zuzana [Zostavovateľ, editor]. – 1. vyd. – Nitra (Slovensko) : Univerzita Konštantína Filozofa v Nitre, 2018. – ISBN 978-80-558-1293-9, s. 106-116 [tlačená forma] </t>
  </si>
  <si>
    <t xml:space="preserve">Validácia ošetrovateľských intervencií v starostlivosti o pacientov s cievnou mozgovou príhodou pri vybraných ošetrovateľských diagnózach / Solgajová, Andrea [Autor, UKFFSVKOS, 20%] ; Zrubcová, Dana [Autor, UKFFSVKOS, 20%] ; Vörösová, Gabriela [Autor, UKFFSVKOS, 20%] ; Semanišinová, Mária [Autor, UKFFSVKOS, 20%] ; Libová, Ľubica [Autor, 20%]. – text. – [čeština]. – [OV 180]. – [príspevok] In: Sestry : hlas v popredí - zdravie pre všetkých [elektronický dokument] : recenzovaný vedecký zborník vydaný pri príležitosti Medzinárodného dňa sestier 2019 / Spáčilová, Zuzana [Zostavovateľ, editor] ; Libová, Ľubica [Recenzent] ; Haluzíková, Jana [Recenzent] ; Pavelová, Ľuboslava [Recenzent]. – 1. vyd. – Nitra (Slovensko) : Univerzita Konštantína Filozofa v Nitre, 2019. – ISBN 978-80-558-1418-6, s. 139-148 [CD-ROM] </t>
  </si>
  <si>
    <t xml:space="preserve">Validita a reliabilita špecifického vytrvalostného zaťaženia v boxe / Šiška, Ľuboslav [Autor, UKFPFAKTV, 90%] ; Broďáni, Jaroslav [Autor, UKFPFAKTV, 10%] ; Bendíková, Elena [Recenzent] ; Koštial, Ján [Recenzent]. – [slovenčina]. – [OV 210]. – [príspevok] In: Aktuálne problémy telesnej výchovy a športu VII [elektronický dokument] : zborník vedeckých prác / Hubinák, Andrej [Zostavovateľ, editor]. – 1. vyd. – Ružomberok (Slovensko) : Katolícka univerzita v Ružomberku. VERBUM - vydavateľstvo KU, 2018. – ISBN 978-80-561-0540-5, s. 99-105 [CD-ROM] </t>
  </si>
  <si>
    <t xml:space="preserve">Vážky (odonata) pohorí Tribeč, Vtáčnik, Pohronský Inovec a kontaktnej zóny s Podunajskou pahorkatinou / Petrovičová, Kornélia [Autor, 50%] ; David, Stanislav [Autor, UKFFPVKEE, 20%] ; Langraf, Vladimír [Autor, UKFFPVKEE, 30%]. – text. – [slovenčina]. – [OV 130]. – [príspevok] In: Zborník Slovenského národného múzea. Prírodné vedy [textový dokument (print)] / Kautman, Ján [Zostavovateľ, editor] ; Ďurišová, Anna [Zostavovateľ, editor] ; Janský, Vladimír [Zostavovateľ, editor] ; Kautmanová, Ivona [Recenzent] ; Šottník, Peter [Recenzent] ; Vozárová, Marta [Recenzent]. – 1. vyd. – Roč. LXVI. – Bratislava (Slovensko) : Slovenské národné múzeum, 2020. – ISBN 978-80-8060-474-5. – ISSN 0139-5424, s. 75-90 </t>
  </si>
  <si>
    <t xml:space="preserve">Vegetácia biokoridorov na južnom Slovensku = The vegetation of biocorridors on the territory of South Slovakia / Baranec, Tibor [Autor, SPUFAP26, 25%] ; Ikrényi, Ivan [Autor, SPUFAP26, 25%] ; Soták, Ján [Autor, SPUFAP26, 25%] ; Galuščáková, Ľudmila [Autor, UKFFPVKBG, 25%]. – text. – [slovenčina]. – [OV 190]. – [príspevok] In: Adaptabilita a rastová vitalita drevín v zmenených podmienkach prostredia [textový dokument (print)] : zborník pôvodných vedeckých prác / Sarvašová, Ivana [Zostavovateľ, editor] ; Lukáčik, Ivan [Zostavovateľ, editor] ; Kucbel, Stanislav [Recenzent] ; Parobeková, Zuzana [Recenzent] ; Pittner, Ján [Recenzent] ; Sedmáková, Denisa [Recenzent] ; Vencurik, Jaroslav [Recenzent]. – 1. vyd. – Zvolen (Slovensko) : Technická univerzita vo Zvolene, 2020. – ISBN 978-80-228-3236-6, s. 39-51 [tlačená forma] </t>
  </si>
  <si>
    <t xml:space="preserve">Veľký brat v popkultúre / Malíček, Juraj [Autor, UKFFFAULK, 100%]. – text. – [slovenčina]. – [OV 020]. – [príspevok] In: Pravda a lož [textový dokument (print)] : sloboda prejavu v kontexte moderných technológií / Kasarda, Martin [Zostavovateľ, editor] ; Tušer, Andrej [Recenzent] ; Hudíková, Zora [Recenzent]. – 1. vyd. – Bratislava (Slovensko) : Paneurópska vysoká škola, 2018. – ISBN 978-80-89453-52-8. – PEVŠ 2018FAI0016, s. 84-97 [tlačená forma] </t>
  </si>
  <si>
    <t xml:space="preserve">Virtuálna prezentácia podoby mesta Rimavská Sobota z polovice 18. storočia / Bešina, Daniel [Autor, UKFFFAKAR, 100%]. – text. – [slovenčina]. – [OV 030]. – [príspevok] In: Gemer - Malohont 17 [textový dokument (print)] : zborník Gemersko - malohontského múzea / Bodorová, Oľga [Zostavovateľ, editor] ; Furmánek, Václav [Recenzent] ; Sokolovský, Leon [Recenzent]. – 1. vyd. – Rimavská Sobota (Slovensko) : Gemersko-malohontské múzeum, 2021. – ISBN 978-80-85134-65-0, s. 59-72 [tlačená forma] </t>
  </si>
  <si>
    <t xml:space="preserve">Vnímaná športová kompetencia, aktuálna norma pohybovej aktivity a radosť z pohybovej aktivity v období adolescencie / Romanová, Martina [Autor, UKFFSVUAP, 50%] ; Sollár, Tomáš [Autor, UKFFSVUAP, 50%]. – text. – [slovenčina]. – [OV 210, 060]. – [príspevok] In: Pohybová aktivita a kvalita života žiakov stredných škôl [textový dokument (print)] / Kalinková, Mária [Zostavovateľ, editor] ; Rozim, Robert [Recenzent] ; Kompan, Jaroslav [Recenzent]. – 1. vyd. – Nitra (Slovensko) : Univerzita Konštantína Filozofa v Nitre, 2018. – ISBN 978-80-558-1368-4, s. 199-208 [tlačená forma] </t>
  </si>
  <si>
    <t xml:space="preserve">Vorübungen als Bestandteil der Dolmetschdidaktik / Zahorák, Andrej [Autor, UKFFFAKTR, 100%]. – text. – [nemčina]. – [OV 020]. – [príspevok] In: Translatologia [elektronický dokument] / Hodáková, Soňa [Zostavovateľ, editor]. – 1. vyd. – Roč. 4, č. 1. – Nitra (Slovensko) : Univerzita Konštantína Filozofa v Nitre, 2020. – ISSN (online) 2453-9899, s. 131-141 [online] </t>
  </si>
  <si>
    <t xml:space="preserve">Vplyv cielených cvičení na zmeny pohybových stereotypov u futbalistov / Kanásová, Janka [Autor, UKFPFAKTV, 50%] ; Bakaľár, Igor [Autor, UKFPFAKTV, 50%]. – text. – [slovenčina]. – [OV 210]. – [príspevok] In: Šport a rekreácia 2019 (Recenzovaný nekonferenčný zborník vedecko-výskumných a odborných prác, zameraný na prezentáciu poznatkov v oblasti športu, telesnej výchovy, diagnostiky, zdravia, rekreácie, cestovného ruchu, regenerácie, manažmentu, atď.) [textový dokument (print)] [elektronický dokument] : zborník vedeckých prác / Broďáni, Jaroslav [Zostavovateľ, editor] ; Kováčová, Natália [Zostavovateľ, editor] ; Kampmiller, Tomáš [Recenzent] ; Bartík, Pavol [Recenzent] ; Michal, Jiří [Recenzent] ; Šutka, Vladimír [Recenzent] ; Halmová, Nora [Recenzent] ; Kanásová, Janka [Recenzent] ; Ružbarská, Ingrid [Recenzent] ; Mandzáková, Martina [Recenzent] ; Rošková, Miroslava [Recenzent] ; Rozim, Robert [Recenzent] ; Doležajová, Ladislava [Recenzent] ; Kraček, Stanislav [Recenzent] ; Luptáková, Martina [Recenzent] ; Nemček, Dagmar [Recenzent] ; Šmela, Pavel [Recenzent] ; Czaková, Natália [Recenzent] ; Hrnčár, Roman [Recenzent]. – 1. vyd. – Nitra (Slovensko) : Univerzita Konštantína Filozofa v Nitre. Pedagogická fakulta UKF. Katedra telesnej výchovy a športu, 2019. – ISBN 978-80-558-1415-5, s. 133-138 [tlačená forma] [online] </t>
  </si>
  <si>
    <t xml:space="preserve">Vplyv cvičení s overballmi na ohybnosť chrbtice u hádzanárok HK Slovan Duslo Šaľa / Kanásová, Janka [Autor, UKFPFAKTV, 50%] ; Veis, Alexandra [Autor, UKFPFAKTV, 30%] ; Tulipánová, Martina [Autor, 20%] ; Novotná, Nadežda [Recenzent] ; Lenková, Rút [Recenzent]. – text. – [slovenčina]. – [OV 210]. – [príspevok] In: Šport a rekreácia 2018 [textový dokument (print)] : zborník vedeckých prác / Broďáni, Jaroslav [Zostavovateľ, editor]. – 1. vyd. – Nitra (Slovensko) : Univerzita Konštantína Filozofa v Nitre, 2018. – ISBN 978-80-558-1301-1, s. 53-58 [tlačená forma] </t>
  </si>
  <si>
    <t xml:space="preserve">Vplyv detskej atletiky a atletických hier na rozvoj všeobecnej pohybovej výkonnosti u žiakov v primárnom vzdelávaní / Jakubík, Ján [Autor, 50%] ; Broďáni, Jaroslav [Autor, UKFPFAKTV, 50%]. – text. – [slovenčina]. – [OV 210]. – [príspevok] In: Šport a rekreácia 2021 (Recenzovaný nekonferenčný zborník vedecko-výskumných a odborných prác,  zameraný na prezentáciu poznatkov v oblasti športu, telesnej výchovy,  diagnostiky, zdravia, rekreácie, cestovného ruchu, regenerácie, manažmentu,  atď.) [textový dokument (print)] [elektronický dokument] : zborník vedeckých prác / Broďáni, Jaroslav [Zostavovateľ, editor] ; Czaková, Monika [Zostavovateľ, editor] ; Dvořáčková, Natália [Zostavovateľ, editor] ; Boržíková, Iveta [Recenzent] ; Chovanová, Erika [Recenzent] ; Halmová, Nora [Recenzent] ; Kanásová, Janka [Recenzent] ; Labudová, Jana [Recenzent] ; Šutka, Vladimír [Recenzent] ; Uher, Ivan [Recenzent] ; Michal, Jíro [Recenzent] ; Rozim, Robert [Recenzent] ; Kutlík, Dušan [Recenzent] ; Adamčák, Štefan [Recenzent] ; Broďáni, Jaroslav [Recenzent] ; Grznár, Ľuboš [Recenzent] ; Divinec, Lenka [Recenzent] ; Marko, Michal [Recenzent] ; Kraček, Stanislav [Recenzent] ; Leütterová, Daniela [Recenzent] ; Horička, Pavol [Recenzent]. – 1. vyd. – Nitra (Slovensko) : Univerzita Konštantína Filozofa v Nitre. Pedagogická fakulta UKF. Katedra telesnej výchovy a športu, 2021. – ISBN 978-80-558-1726-2, s. 29-40 [tlačená forma] [online] </t>
  </si>
  <si>
    <t xml:space="preserve">Vplyv mobilizačných cvičení na svalové skrátenie u futbalistov MFK Snina u13 / Kanásová, Janka [Autor, UKFPFAKTV, 34%] ; Runčáková, Jana [Autor, 33%] ; Bakaľár, Igor [Autor, UKFPFAKTV, 33%]. – text. – [slovenčina]. – [OV 210]. – [príspevok] In: Šport a rekreácia 2020 (Recenzovaný nekonferenčný zborník vedecko-výskumných a odborných prác, zameraný na prezentáciu poznatkov v oblasti športu, telesnej výchovy, diagnostiky, zdravia, rekreácie, cestovného ruchu, regenerácie, manažmentu, atď.) [textový dokument (print)] [elektronický dokument] : zborník vedeckých prác / Broďáni, Jaroslav [Zostavovateľ, editor] ; Czaková, Monika [Zostavovateľ, editor] ; Halmová, Nora [Recenzent] ; Lenková, Rút [Recenzent] ; Nemček, Dagmar [Recenzent] ; Kanásová, Janka [Recenzent] ; Šutka, Vladimír [Recenzent] ; Rozim, Robert [Recenzent] ; Buková, Alena [Recenzent] ; Krčmárová, Bohumila [Recenzent] ; Horbacz, Agata [Recenzent] ; Luptáková, Martina [Recenzent] ; Kraček, Stanislav [Recenzent] ; Dzugas, Dalibor [Recenzent] ; Žiška, Peter [Recenzent] ; Czaková, Natália [Recenzent] ; Bartolčičová, Barbora [Recenzent] ; Krčmár, Matúš [Recenzent] ; Važan, Róbert [Recenzent]. – 1. vyd. – Nitra (Slovensko) : Univerzita Konštantína Filozofa v Nitre. Pedagogická fakulta UKF. Katedra telesnej výchovy a športu, 2020. – ISBN 978-80-558-1541-1, s. 180-187 [tlačená forma] [online] </t>
  </si>
  <si>
    <t xml:space="preserve">Vplyv myslenia o (intermediálnej) hudbe na jej tvorbu / Fuják, Július [Autor, UKFFFAKKU, 100%]. – text. – [slovenčina]. – [OV 020]. – [príspevok]. – [recenzované] In: Culturologica Slovaca [elektronický dokument] : internetový kulturologický časopis / Ballay, Miroslav [Zostavovateľ, editor]. – 1. vyd. – Roč. 3. – Nitra (Slovensko) : Univerzita Konštantína Filozofa v Nitre, 2018. – ISSN 2453-9740, s. 121-134 [online] </t>
  </si>
  <si>
    <t xml:space="preserve">Vplyv pohybu na vnímanie a posúdenie jednotlivých oblastí kvality života 10-ročných žiakov ZŠ / Kalinková, Mária [Autor, UKFPFAKTV, 25%] ; Broďáni, Jaroslav [Autor, UKFPFAKTV, 25%] ; Šutka, Vladimír [Autor, UKFPFAKTV, 25%] ; Vrabcová, Mária [Autor, 25%] ; Novotná, Nadežda [Recenzent] ; Lenková, Rút [Recenzent]. – text. – [slovenčina]. – [OV 210]. – [príspevok] In: Šport a rekreácia 2018 [textový dokument (print)] : zborník vedeckých prác / Broďáni, Jaroslav [Zostavovateľ, editor]. – 1. vyd. – Nitra (Slovensko) : Univerzita Konštantína Filozofa v Nitre, 2018. – ISBN 978-80-558-1301-1, s. 164-170 [tlačená forma] </t>
  </si>
  <si>
    <t xml:space="preserve">Vplyv rodiny pri výbere pohybovej aktivity udetí na ZŠ / Halmová, Nora [Autor, UKFPFAKTV, 50%] ; Veis, Alexandra [Autor, UKFPFAKTV, 30%] ; Balážiková, Petera [Autor, 20%]. – [slovenčina]. – [OV 210]. – [príspevok] In: Šport a rekreácia 2021 (Recenzovaný nekonferenčný zborník vedecko-výskumných a odborných prác,  zameraný na prezentáciu poznatkov v oblasti športu, telesnej výchovy,  diagnostiky, zdravia, rekreácie, cestovného ruchu, regenerácie, manažmentu,  atď.) [textový dokument (print)] [elektronický dokument] : zborník vedeckých prác / Broďáni, Jaroslav [Zostavovateľ, editor] ; Czaková, Monika [Zostavovateľ, editor] ; Dvořáčková, Natália [Zostavovateľ, editor] ; Boržíková, Iveta [Recenzent] ; Chovanová, Erika [Recenzent] ; Halmová, Nora [Recenzent] ; Kanásová, Janka [Recenzent] ; Labudová, Jana [Recenzent] ; Šutka, Vladimír [Recenzent] ; Uher, Ivan [Recenzent] ; Michal, Jíro [Recenzent] ; Rozim, Robert [Recenzent] ; Kutlík, Dušan [Recenzent] ; Adamčák, Štefan [Recenzent] ; Broďáni, Jaroslav [Recenzent] ; Grznár, Ľuboš [Recenzent] ; Divinec, Lenka [Recenzent] ; Marko, Michal [Recenzent] ; Kraček, Stanislav [Recenzent] ; Leütterová, Daniela [Recenzent] ; Horička, Pavol [Recenzent]. – 1. vyd. – Nitra (Slovensko) : Univerzita Konštantína Filozofa v Nitre. Pedagogická fakulta UKF. Katedra telesnej výchovy a športu, 2021. – ISBN 978-80-558-1726-2, s. 166-174 [tlačená forma] [online] </t>
  </si>
  <si>
    <t xml:space="preserve">Vplyv špecializovaného kondičného programu na rozvoj akceleračnej rýchlosti mladých futbalistov / Rehák, Daniel [Autor, 34%] ; Broďáni, Jaroslav [Autor, UKFPFAKTV, 33%] ; Czaková, Natália [Autor, UKFPFAKTV, 33%]. – text. – [slovenčina]. – [OV 210]. – [príspevok] In: Šport a rekreácia 2019 (Recenzovaný nekonferenčný zborník vedecko-výskumných a odborných prác, zameraný na prezentáciu poznatkov v oblasti športu, telesnej výchovy, diagnostiky, zdravia, rekreácie, cestovného ruchu, regenerácie, manažmentu, atď.) [textový dokument (print)] [elektronický dokument] : zborník vedeckých prác / Broďáni, Jaroslav [Zostavovateľ, editor] ; Kováčová, Natália [Zostavovateľ, editor] ; Kampmiller, Tomáš [Recenzent] ; Bartík, Pavol [Recenzent] ; Michal, Jiří [Recenzent] ; Šutka, Vladimír [Recenzent] ; Halmová, Nora [Recenzent] ; Kanásová, Janka [Recenzent] ; Ružbarská, Ingrid [Recenzent] ; Mandzáková, Martina [Recenzent] ; Rošková, Miroslava [Recenzent] ; Rozim, Robert [Recenzent] ; Doležajová, Ladislava [Recenzent] ; Kraček, Stanislav [Recenzent] ; Luptáková, Martina [Recenzent] ; Nemček, Dagmar [Recenzent] ; Šmela, Pavel [Recenzent] ; Czaková, Natália [Recenzent] ; Hrnčár, Roman [Recenzent]. – 1. vyd. – Nitra (Slovensko) : Univerzita Konštantína Filozofa v Nitre. Pedagogická fakulta UKF. Katedra telesnej výchovy a športu, 2019. – ISBN 978-80-558-1415-5, s. 80-88 [tlačená forma] [online] </t>
  </si>
  <si>
    <t xml:space="preserve">Vplyv špeciálneho plaveckého programu na efektivitu základného plaveckého výcviku / Kováčová, Natália [Autor, UKFPFAKTV, 100%]. – text. – [slovenčina]. – [OV 210]. – [príspevok] In: ŠVUK 2018 [elektronický dokument] : celoslovenské kolo študentskej vedeckej a umeleckej činnosti vo vednom odbore Vedy o športe, zborník vedeckých prác / Rošková, Miroslava [Zostavovateľ, editor] ; Šimonek, Jaromír [Recenzent] ; Čillík, Ivan [Recenzent] ; Adamčák, Štefan [Recenzent] ; Nemec, Miroslav [Recenzent] ; Pupiš, Martin [Recenzent] ; Novotná, Nadežda [Recenzent] ; Doležajová, Ladislava [Recenzent] ; Horička, Pavol [Recenzent] ; Sližik, Miroslav [Recenzent] ; Mandzák, Peter [Recenzent] ; Kompán, Jaroslav [Recenzent] ; Tlučáková, Lenka [Recenzent] ; Čierna, Dušana [Recenzent] ; Čech, Pavol [Recenzent]. – 1. vyd. – Banská Bystrica (Slovensko) : Univerzita Mateja Bela v Banskej Bystrici. Vydavateľstvo Univerzity Mateja Bela v Banskej Bystrici - Belianum, 2018. – ISBN 978-80-557-1496-7, s. 95-101 [CD-ROM] </t>
  </si>
  <si>
    <t xml:space="preserve">Vplyv tanca na kvalitu života senioriek / Krčmárová, Bohumila [Autor, UKFPFAKTV, 33.334%] ; Ivaničová, Dominika [Autor, 33.333%] ; Krčmár, Matúš [Autor, UKFPFAKTV, 33.333%]. – text. – [slovenčina]. – [OV 210]. – [príspevok] In: Šport a rekreácia 2020 (Recenzovaný nekonferenčný zborník vedecko-výskumných a odborných prác, zameraný na prezentáciu poznatkov v oblasti športu, telesnej výchovy, diagnostiky, zdravia, rekreácie, cestovného ruchu, regenerácie, manažmentu, atď.) [textový dokument (print)] [elektronický dokument] : zborník vedeckých prác / Broďáni, Jaroslav [Zostavovateľ, editor] ; Czaková, Monika [Zostavovateľ, editor] ; Halmová, Nora [Recenzent] ; Lenková, Rút [Recenzent] ; Nemček, Dagmar [Recenzent] ; Kanásová, Janka [Recenzent] ; Šutka, Vladimír [Recenzent] ; Rozim, Robert [Recenzent] ; Buková, Alena [Recenzent] ; Krčmárová, Bohumila [Recenzent] ; Horbacz, Agata [Recenzent] ; Luptáková, Martina [Recenzent] ; Kraček, Stanislav [Recenzent] ; Dzugas, Dalibor [Recenzent] ; Žiška, Peter [Recenzent] ; Czaková, Natália [Recenzent] ; Bartolčičová, Barbora [Recenzent] ; Krčmár, Matúš [Recenzent] ; Važan, Róbert [Recenzent]. – 1. vyd. – Nitra (Slovensko) : Univerzita Konštantína Filozofa v Nitre. Pedagogická fakulta UKF. Katedra telesnej výchovy a športu, 2020. – ISBN 978-80-558-1541-1, s. 101-108 [tlačená forma] [online] </t>
  </si>
  <si>
    <t xml:space="preserve">Vplyv tréningových prostriedkov na úroveň vybraných ukazovateľov pohybových schopností vo volejbale / Krajčovič, Jaroslav [Autor, UKFPFAKTV, 40%] ; Paška, Ľubomír [Autor, UKFPFAKTV, 40%] ; Kráľová, Ľubica [Autor, 20%]. – text. – [slovenčina]. – [OV 210]. – [príspevok] In: Šport a rekreácia 2021 (Recenzovaný nekonferenčný zborník vedecko-výskumných a odborných prác,  zameraný na prezentáciu poznatkov v oblasti športu, telesnej výchovy,  diagnostiky, zdravia, rekreácie, cestovného ruchu, regenerácie, manažmentu,  atď.) [textový dokument (print)] [elektronický dokument] : zborník vedeckých prác / Broďáni, Jaroslav [Zostavovateľ, editor] ; Czaková, Monika [Zostavovateľ, editor] ; Dvořáčková, Natália [Zostavovateľ, editor] ; Boržíková, Iveta [Recenzent] ; Chovanová, Erika [Recenzent] ; Halmová, Nora [Recenzent] ; Kanásová, Janka [Recenzent] ; Labudová, Jana [Recenzent] ; Šutka, Vladimír [Recenzent] ; Uher, Ivan [Recenzent] ; Michal, Jíro [Recenzent] ; Rozim, Robert [Recenzent] ; Kutlík, Dušan [Recenzent] ; Adamčák, Štefan [Recenzent] ; Broďáni, Jaroslav [Recenzent] ; Grznár, Ľuboš [Recenzent] ; Divinec, Lenka [Recenzent] ; Marko, Michal [Recenzent] ; Kraček, Stanislav [Recenzent] ; Leütterová, Daniela [Recenzent] ; Horička, Pavol [Recenzent]. – 1. vyd. – Nitra (Slovensko) : Univerzita Konštantína Filozofa v Nitre. Pedagogická fakulta UKF. Katedra telesnej výchovy a športu, 2021. – ISBN 978-80-558-1726-2, s. 231-239 [tlačená forma] [online] </t>
  </si>
  <si>
    <t xml:space="preserve">Vplyv výcvikového programu na sebahodnotenie budúcich učiteľov / Rapsová, Lucia [Autor, UKFPFAKPE, 50%] ; Šmelková, Timea [Autor, 50%]. – text. – [slovenčina]. – [OV 060]. – [príspevok] In: Konvergencie vedeckej činnosti študentov a učiteľov 2 [textový dokument (print)] / Verešová, Marcela [Zostavovateľ, editor] ; Pavelová, Ľuba [Recenzent] ; Valihorová, Marta [Recenzent]. – 1. vyd. – Nitra (Slovensko) : Univerzita Konštantína Filozofa v Nitre, 2021. – ISBN 978-80-558-1732-3, s. 98-109 [tlačená forma] </t>
  </si>
  <si>
    <t xml:space="preserve">Vplyv žĺtkového riedidla na ejakulát moriakov pri teplote 41°C v podmienkach in vitro / Miškeje, Michal [Autor, SPUPRA15, 25%] ; Slanina, Tomáš [Autor, SPUFBP03, 25%] ; Petrovičová, Ida [Autor, UKFFPVKZA, 25%] ; Massanyi, Peter [Autor, SPUFBP03, 25%]. – [slovenčina]. – [OV 190]. – [príspevok] In: Podpora výskumných aktivít vo VC ABT [textový dokument (print)] : recenzovaný zborník vedeckých prác v oblasti potravinárskych technológií / Gabríny, Lucia [Zostavovateľ, editor] ; Lackóová, Lenka [Zostavovateľ, editor] ; Fialková, Veronika [Zostavovateľ, editor] ; Bilčíková, Jana [Zostavovateľ, editor] ; Gálová, Zdenka [Recenzent] ; Musilová, Janette [Recenzent]. – 1 vyd. – Nitra (Slovensko) : Slovenská poľnohospodárska univerzita v Nitre, 2019. – ISBN 978-80-552-2125-0, s. 83-89 [tlačená forma] </t>
  </si>
  <si>
    <t xml:space="preserve">Všeobecné princípy zmeny a kognitívno behaviorálna terapia / Šlepecký, Miloš [Autor, UKFFSVKPV, 30%] ; Majerčák, Ivan [Autor, 10%] ; Zaťková, Marta [Autor, UKFFSVKPV, 30%] ; Kotianová, Antónia [Autor, UKFFSVKPV, 30%] ; Štefarová, Iveta [Recenzent] ; Jurišová, Erika [Recenzent]. – [slovenčina]. – [OV 060]. – [kapitola] In: Princípy a metódy kognitívno behaviorálnej terapie [textový dokument (print)] / Praško Pavlov, Ján [Autor]. – 1. vyd. – Nitra (Slovensko) : Univerzita Konštantína Filozofa v Nitre, 2018. – ISBN 978-80-558-1348-6, s. 274-286 </t>
  </si>
  <si>
    <t xml:space="preserve">Vybrané aspekty stravovacích a životných návykov u gravidných žien a komparácia s prekoncepčným obdobím = Selected aspects on nutrition and life habits in pregnant females and comparison with preconception period / Schwarzová, Marianna [Autor, SPUFAP16, 25%] ; Fatrcová Šramková, Katarína [Autor, SPUFAP16, 25%] ; Cabadajová, Mária [Autor, 25%] ; Juríková, Tünde [Autor, UKFFSSUVP, 25%]. – [slovenčina]. – [OV 190]. – [príspevok] In: Výživa - človek - zdravie 2018 [elektronický dokument] : recenzovaný zborník vedeckých prác Katedry výživy ľudí FAPZ SPU v Nitre / Gažarová, Martina [Zostavovateľ, editor] ; Chlebová, Zuzana [Zostavovateľ, editor] ; Holovičová, Mária [Zostavovateľ, editor] ; Capcarová, Marcela [Recenzent] ; Candráková, Eva [Recenzent]. – 1. vyd. – Nitra (Slovensko) : Slovenská poľnohospodárska univerzita v Nitre, 2018. – ISBN 978-80-552-1902-8, s. 173-184 [CD-ROM] </t>
  </si>
  <si>
    <t xml:space="preserve">Vybrané atribúty individuálneho začlenenia žiakov / Hlaváčová, Nikoleta [Autor, 50%] ; Gatial, Viktor [Autor, UKFPFAKAP, 50%]. – text. – [slovenčina]. – [OV 010]. – [príspevok] In: Konvergencie vedeckej činnosti študentov a učiteľov 2 [textový dokument (print)] / Verešová, Marcela [Zostavovateľ, editor] ; Pavelová, Ľuba [Recenzent] ; Valihorová, Marta [Recenzent]. – 1. vyd. – Nitra (Slovensko) : Univerzita Konštantína Filozofa v Nitre, 2021. – ISBN 978-80-558-1732-3, s. 23-40 [tlačená forma] </t>
  </si>
  <si>
    <t xml:space="preserve">Vybrané židovské stereotypy v strednej Európe / Hrbáček, Magdaléna [Autor, UKFFSSUSJ, 100%] ; Gbúr, Ján [Recenzent] ; Kučera, Petr [Recenzent]. – text. – [slovenčina]. – [OV 020]. – [príspevok] In: Imagológia ako výskum obrazov kultúry [textový dokument (print)] : (k reflexii etnických stereotypov krajín V4) / Zelenka, Miloš [Zostavovateľ, editor] ; Tkáč-Zabáková, Lenka [Zostavovateľ, editor]. – 1. vyd. – Nitra (Slovensko) : Univerzita Konštantína Filozofa v Nitre, 2018. – ISBN 978-80-558-1294-6, s. 97-104 [tlačená forma] </t>
  </si>
  <si>
    <t xml:space="preserve">Výbušnosť dolných končatín a dynamická rovnováha ako faktory determinujúce korčuliarsky výkon v ľadovom hokeji / Blanár, Michal [Autor, UMBFF09, 60%] ; Broďáni, Jaroslav [Autor, UKFPFAKTV, 10%] ; Kováčová, Natália [Autor, UKFPFAKTV, 10%] ; Czaková, Natália [Autor, UKFPFAKTV, 10%] ; Šiška, Ľuboslav [Autor, UKFPFAKTV, 10%]. – [slovenčina]. – [OV 210]. – [príspevok] In: Vysokoškolská telesná výchova a šport, pohybová aktivita a zdravý životný štýl 2019 (2. Pri príležitosti 100. výročia univerzitného športu na Slovensku) [textový dokument (print)] [elektronický dokument] : recenzovaný zborník vedeckých prác / Vojtaško, Ľuboš [Zostavovateľ, editor] ; Hlaváčová, Jana [Zostavovateľ, editor] ; Timkovič, Matej [Zostavovateľ, editor] ; Novotná, Nadežda [Recenzent] ; Kokinda, Marek [Recenzent] ; Chovanová, Erika [Recenzent]. – 1. vyd. – Roč. 2. – Košice (Slovensko) : Technická univerzita v Košiciach, 2019. – ISBN 978-80-553-3306-9. – ISBN (online) 978-80-553-2720-4. – SIGN-TUKE 205551, s. 24-31 [tlačená forma] [CD-ROM] </t>
  </si>
  <si>
    <t xml:space="preserve">Východiská a tradície výučby prekladu a tlmočenia na Slovensku / Gromová, Edita [Autor, UKFFFAKTR, 50%] ; Müglová, Daniela [Autor, UKFFFAKTR, 50%]. – text. – [slovenčina]. – [OV 020]. – [príspevok] In: Didaktika prekladu a tlmočenia na Slovensku [textový dokument (print)] / Djovčoš, Martin [Zostavovateľ, editor] ; Šveda, Pavol [Zostavovateľ, editor] ; Rakšányiová, Jana [Recenzent] ; Kusá, Mária [Recenzent] ; Čeňková, Ivana [Recenzent]. – 1. vyd. – Bratislava (Slovensko) : Univerzita Komenského v Bratislave, 2018. – ISBN 978-80-223-4469-2, s. 11-46 [tlačená forma] </t>
  </si>
  <si>
    <t xml:space="preserve">Výchovný štýl matky a otca vo vzťahu k subjektívnej pohode v období vynárajúcej sa dospelosti / Lorincová, Dominika [Autor, 50%] ; Šeboková, Gabriela [Autor, UKFFSVKPV, 50%]. – text. – [slovenčina]. – [OV 060]. – [príspevok] In: Optima Opus 2018 [textový dokument (print)] / Rosinský, Rastislav [Zostavovateľ, editor]. – 1. vyd. – Nitra (Slovensko) : Univerzita Konštantína Filozofa v Nitre, 2019. – ISBN 978-80-558-1377-6, s. 181-204 [tlačená forma] </t>
  </si>
  <si>
    <t xml:space="preserve">Vymedzenie modelových území / Piscová, Veronika [Autor, 20%] ; Hrnčiarová, Tatiana [Autor, 16%] ; Kenderessy, Pavol [Autor, 16%] ; Špulerová, Jana [Autor, 16%] ; Dobrovodská, Marta [Autor, 16%] ; Hreško, Juraj [Autor, UKFFPVKEE, 16%] ; Kolejka, Jaromír [Recenzent] ; Petrovič, František [Recenzent]. – [slovenčina]. – [OV 100]. – [kapitola] In: Využívanie vysokohorskej krajiny a jeho dôsledky na zmenu prostredia [textový dokument (print)] : na príklade Tatier a Nízkych Tatier / Piscová, Veronika [Autor]. – 1. vyd. – Bratislava (Slovensko) : Slovenská akadémia vied. Veda, vydavateľstvo Slovenskej akadémie vied, 2018. – ISBN 978-80-224-1585-9, s. 21-26 [tlačená forma] </t>
  </si>
  <si>
    <t xml:space="preserve">Výskum Kostolianskej kotliny = The research of the Kostoľany basin / Borzová, Zuzana [Autor, UKFFFAKAR, 50%] ; Bisták, Peter [Autor, 50%]. – text, fotogr. – [slovenčina]. – [OV 030]. – [príspevok] In: S Licenciou 007 [textový dokument (print)] [elektronický dokument] : zborník príspevkov k 70. narodeninám Petra Baxu / Bisták, Peter [Zostavovateľ, editor] ; Maříková-Kubková, Jana [Zostavovateľ, editor] ; Valová, Katarína [Zostavovateľ, editor] ; Nipčová, Daniela [Recenzent] ; Kmeťová, Petra [Recenzent] ; Vrtel, Andrej [Recenzent]. – 1. vyd. – Bratislava (Slovensko) : Pamiatkový úrad Slovenskej republiky ; Praha (Česko) : Akademie věd České republiky. Archeologický ústav AV ČR, 2020. – ISBN 978-80-89175-91-8, s. 28-54 [tlačená forma] [online] </t>
  </si>
  <si>
    <t xml:space="preserve">Výskum redakčnej praxe na Slovensku / Martinkovič, Matej [Autor, UKFFFAKTR, 100%]. – text. – [slovenčina]. – [OV 020]. – [príspevok] In: Prekladateľské listy [textový dokument (print)] : teória, kritika a prax prekladu / Kabát, Marián [Zostavovateľ, editor] ; Podlucká, Lucia [Zostavovateľ, editor] ; Tandlichová, Eva [Recenzent] ; Keníž, Alojz [Recenzent]. – 1. vyd. – č. 9. – Bratislava (Slovensko) : Univerzita Komenského v Bratislave, 2020. – ISBN 978-80-223-4936-9, s. 68-79 [tlačená forma] </t>
  </si>
  <si>
    <t xml:space="preserve">Výskyt anglicizmov v kontexte slovenských publicistických textov = Occurrence of English loanwords in Slovak publicistic texts / Welnitzová, Katarína [Autor, UKFFFAKTR, 100%]. – [slovenčina]. – [OV 020]. – [príspevok] In: Lingvistika a literatúra vo výskume anglistov [elektronický dokument] : zborník k životnému jubileu docenta Pavla Kvetka, mimoriadneho profesora / Hudcovičová, Marianna [Zostavovateľ, editor] ; Petrášová, Božena [Zostavovateľ, editor] ; Tárnyiková, Jarmila [Recenzent] ; Kolář, Pavel [Recenzent]. – 1. vyd. – Trnava (Slovensko) : Univerzita sv. Cyrila a Metoda v Trnave, 2021. – ISBN (online) 978-80-572-0125-0, s. 71-79 [CD-ROM] </t>
  </si>
  <si>
    <t xml:space="preserve">Výskyt funkčných porúch pohybového systému u futbalistov / Divinec, Lenka [Autor, UKFPFAKTV, 80%] ; Ivanka, Marek [Autor, 20%]. – text. – [slovenčina]. – [OV 210]. – [príspevok] In: Šport a rekreácia 2019 (Recenzovaný nekonferenčný zborník vedecko-výskumných a odborných prác, zameraný na prezentáciu poznatkov v oblasti športu, telesnej výchovy, diagnostiky, zdravia, rekreácie, cestovného ruchu, regenerácie, manažmentu, atď.) [textový dokument (print)] [elektronický dokument] : zborník vedeckých prác / Broďáni, Jaroslav [Zostavovateľ, editor] ; Kováčová, Natália [Zostavovateľ, editor] ; Kampmiller, Tomáš [Recenzent] ; Bartík, Pavol [Recenzent] ; Michal, Jiří [Recenzent] ; Šutka, Vladimír [Recenzent] ; Halmová, Nora [Recenzent] ; Kanásová, Janka [Recenzent] ; Ružbarská, Ingrid [Recenzent] ; Mandzáková, Martina [Recenzent] ; Rošková, Miroslava [Recenzent] ; Rozim, Robert [Recenzent] ; Doležajová, Ladislava [Recenzent] ; Kraček, Stanislav [Recenzent] ; Luptáková, Martina [Recenzent] ; Nemček, Dagmar [Recenzent] ; Šmela, Pavel [Recenzent] ; Czaková, Natália [Recenzent] ; Hrnčár, Roman [Recenzent]. – 1. vyd. – Nitra (Slovensko) : Univerzita Konštantína Filozofa v Nitre. Pedagogická fakulta UKF. Katedra telesnej výchovy a športu, 2019. – ISBN 978-80-558-1415-5, s. 128-132 [tlačená forma] [online] </t>
  </si>
  <si>
    <t xml:space="preserve">Výsledky spektroskopických analýz historických sklenených korálikov / Stegmann-Rajtár, Susanne [Autor, 20%] ; Mirroššayová, Elena [Autor, 20%] ; Benediková, Lucia [Autor, 20%] ; Illášová, Ľudmila [Autor, UKFFPVGMU, 20%] ; Štubňa, Ján [Autor, UKFFPVGMU, 20%] ; Černá, Eva [Recenzent] ; Plško, Alfonz [Recenzent]. – text. – [slovenčina]. – [OV 092]. – [príspevok] In: Historické sklo [textový dokument (print)] : multidisciplinárne o historickom skle 3 / Staššíková-Štukovská, Danica [Zostavovateľ, editor]. – 1. vyd. – Roč. 3. – Bratislava (Slovensko) : Slovenská akadémia vied, 2018. – ISBN 978-80-570-0399-1, s. 71-78 [tlačená forma] </t>
  </si>
  <si>
    <t xml:space="preserve">Výučba anglického jazyka v kontexte tradičnej kultúry regiónov Slovenska a turizmu / Záhumenská, Lucia [Autor, UKFFFAKMK, 100%]. – text. – [slovenčina]. – [OV 010]. – [príspevok] In: Jazyk a manažment [elektronický dokument] : ročenka Katedry interkultúrnej komunikácie FM PU v Prešove / Dančišinová, Lucia [Zostavovateľ, editor] ; Kozárová, Irina [Zostavovateľ, editor] ; Butoracová Šindleryová, Ivana [Recenzent] ; Maťková, Svetlana [Recenzent]. – 1. vyd. – Prešov (Slovensko) : Prešovská univerzita v Prešove, 2021. – ISBN (online) 978-80-555-2769-7. – SIGN-PU FM-21 140/21, s. 36-48 [online] </t>
  </si>
  <si>
    <t xml:space="preserve">Výučba audiovizuálneho prekladu na Slovensku / Perez, Emília [Autor, UKFFFAKTR, 50%] ; Paulínyová, Lucia [Autor, UKOFIAA, 50%]. – text. – [slovenčina]. – [OV 020]. – [príspevok] In: Didaktika prekladu a tlmočenia na Slovensku [textový dokument (print)] / Djovčoš, Martin [Zostavovateľ, editor] ; Šveda, Pavol [Zostavovateľ, editor] ; Rakšányiová, Jana [Recenzent] ; Kusá, Mária [Recenzent] ; Čeňková, Ivana [Recenzent]. – 1. vyd. – Bratislava (Slovensko) : Univerzita Komenského v Bratislave, 2018. – ISBN 978-80-223-4469-2, s. 178-201 [1,56 AH] [tlačená forma] </t>
  </si>
  <si>
    <t xml:space="preserve">Využitie všímavosti ("mindfulness") v KBT / Zaťková, Marta [Autor, UKFFSVKPV, 25%] ; Popelková, Marta [Autor, UKFFSVKPV, 25%] ; Šlepecký, Miloš [Autor, UKFFSVKPV, 25%] ; Praško Pavlov, Ján [Autor, UKFFSVKPV, 25%] ; Štefarová, Iveta [Recenzent] ; Jurišová, Erika [Recenzent]. – text. – [slovenčina]. – [OV 060]. – [kapitola] In: Princípy a metódy kognitívno behaviorálnej terapie [textový dokument (print)] / Praško Pavlov, Ján [Autor]. – 1. vyd. – Nitra (Slovensko) : Univerzita Konštantína Filozofa v Nitre, 2018. – ISBN 978-80-558-1348-6, s. 168-179 </t>
  </si>
  <si>
    <t xml:space="preserve">Využívanie audiovizuálnych pomôcok vo vyučovaní prírodovedných predmetov na základných a stredných školách / Štubňa, Ján [Autor, UKFFPVGMU, 60%] ; Hroncová, Silvia [Autor, 40%]. – text. – [slovenčina]. – [OV 010, 130]. – [príspevok] In: Príprava učiteľov prírodovedných, poľnohospodárskych a príbuzných odborov v meniacich sa požiadavkách praxe [elektronický dokument] / Sandanusová, Anna [Zostavovateľ, editor] ; Dytrtová, Radmila [Zostavovateľ, editor] ; Morovič, Martin [Recenzent] ; Švecová, Milada [Recenzent]. – 1 vyd. – Nitra (Slovensko) : Univerzita Konštantína Filozofa v Nitre, 2019. – ISBN 978-80-558-1393-6, s. 72-77 [CD-ROM] </t>
  </si>
  <si>
    <t xml:space="preserve">Využívanie meracích nástrojov a hodnotiacich škál v pregraduálnej príprave sestier = Using measurement tools and assessment scales in undergraduate nursing training / Spáčilová, Zuzana [Autor, UKFFSVKOS, 45%] ; Slamková, Alica [Autor, UKFFSVKOS, 45%] ; Lédlová, Simona [Autor, 10%]. – text. – [slovenčina]. – [OV 180]. – [príspevok]. – TUAD PC018084 In: Sestry: hlas v popredí - vízia pre budúcnosť zdravotnej starostlivosti [elektronický dokument] : recenzovaný vedecký zborník vydaný pri príležitosti Medzinárodného dňa sestier 2021 / Spáčilová, Zuzana [Zostavovateľ, editor] ; Libová, Ľubica [Recenzent] ; Zrubcová, Dana [Recenzent]. – 1. vyd. – Nitra (Slovensko) : Univerzita Konštantína Filozofa v Nitre, 2021. – ISBN 978-80-558-1728-6, s. 127-135 [CD-ROM] </t>
  </si>
  <si>
    <t xml:space="preserve">Vývoj obchodu na Slovensku / Trembošová, Miroslava [Autor, UKFFPVKGR, 100%]. – text. – [slovenčina]. – [OV 092]. – [príspevok] In: Kde nakupujeme, čo nakupujeme a prečo nakupujeme [textový dokument (print)] : lokality maloobchodu a spotreby a správanie spotrebiteľov / Križan, František [Zostavovateľ, editor] ; Dubcová, Alena [Recenzent] ; Horňák, Marcel [Recenzent]. – 1. vyd. – Bratislava (Slovensko) : Univerzita Komenského v Bratislave, 2020. – ISBN 978-80-223-4861-4. – SIGN-UKO PR 616/20, s. 7-47 [tlačená forma] </t>
  </si>
  <si>
    <t xml:space="preserve">Vývojové a hodnotové predpoklady čínskej zahraničnej politiky / Krno, Svetozár [Autor, UKFFFAKPO, 100%]. – text. – [slovenčina]. – [OV 060]. – [kapitola] In: Čína v súčasných medzinárodných vzťahoch [textový dokument (print)] / Krno, Svetozár [Autor] ; Juza, Peter [Autor] ; Práznovská, Monika [Autor] ; Čajková, Andrea [Zostavovateľ, editor] ; Terem, Peter [Recenzent] ; Tökölyová, Tatiana [Recenzent]. – 1. vyd. – Trnava (Slovensko) : Univerzita sv. Cyrila a Metoda v Trnave, 2021. – ISBN 978-80-572-0114-4. – sign UPJS FSEP 012282, s. 56-82 [2,33 AH] [tlačená forma] </t>
  </si>
  <si>
    <t xml:space="preserve">Význam a úlohy andragogiky v 21. storočí / Silberg, Slavka [Autor, UKFPFAKPE, 100%]. – text. – [slovenčina]. – [OV 010]. – [príspevok] In: Pedagogika a andragogika (1. (vedy o výchove a vzdelávaní)) [elektronický dokument] / Bakošová, Zlatica [Zostavovateľ, editor] ; Ťupeková Dončevová, Silvia [Zostavovateľ, editor] ; Duchovičová, Jana [Recenzent] ; Hudecová, Anna [Recenzent] ; Vališová, Alena [Recenzent]. – 1. vyd. – Bratislava (Slovensko) : Univerzita Komenského v Bratislave, 2021. – ISBN (online) 978-80-223-5146-1, s. 293-303 [CD-ROM] </t>
  </si>
  <si>
    <t xml:space="preserve">Význam dialógu vo výchove a uplatnenie filozofického dialógu v neformálnej edukácii / Borisová, Simona [Autor, UKFPFAKPE, 50%] ; Pintes, Gábor [Autor, UKFPFAKPE, 50%]. – text. – [slovenčina]. – [OV 010]. – [príspevok] In: Edukácia [elektronický dokument] / [bez zostavovateľa] [Zostavovateľ, editor]. – 1. vyd. – Roč. 4, č. 1. – Košice (Slovensko) : Univerzita Pavla Jozefa Šafárika v Košiciach, 2021. – ISSN (online) 1339-8725, s. 24-30 [online] </t>
  </si>
  <si>
    <t xml:space="preserve">Významové a výrazové špecifiká v preklade poviedky V. Tokarevovej Pri jazere / Zahorák, Andrej [Autor, UKFFFAKTR, 100%]. – text. – [slovenčina]. – [OV 020]. – [príspevok] In: Ruská poviedkárka Viktória Tokarevová v slovenskej kultúre (translačné reflexie) [textový dokument (print)] / Muránska, Natália [Zostavovateľ, editor] ; Pulčár, Vlastimil [Zostavovateľ, editor] ; Müglová, Daniela [Recenzent] ; Golikova, Larisa [Recenzent]. – 1. vyd. – Nitra (Slovensko) : Univerzita Konštantína Filozofa v Nitre, 2019. – ISBN 978-80-558-1446-9, s. 50-62 [tlačená forma] </t>
  </si>
  <si>
    <t xml:space="preserve">Výzvy pre tvorbu strategických dokumentov a verejnú politiku / Filčák, Richard [Autor, 16.67%] ; Chrenko, Milan [Autor, 16.666%] ; Viestová, Eva [Autor, 16.666%] ; Kadlečík, Ján [Autor, 16.666%] ; Považan, Radoslav [Autor, 16.666%] ; Mederly, Peter [Autor, UKFFPVKEE, 16.666%]. – text. – [slovenčina]. – [OV 100]. – [príspevok] In: Scenáre pre prírodu Slovenska do roku 2050 [textový dokument (print)] [elektronický dokument] : príroda a biodiverzita Slovenska do roku 2050: alternatívne scenáre a implikácie pre verejné politiky / Považan, Radoslav [Zostavovateľ, editor] ; Filčák, Richard [Zostavovateľ, editor] ; Olah, Branislav [Recenzent] ; Škobla, Daniel [Recenzent]. – 1. vyd. – Bratislava (Slovensko) : Ministerstvo životného prostredia Slovenskej republiky, 2020. – ISBN 978-80-8213-012-9. – ISBN (online) 978-80-8213-013-6, s. 88-92 [tlačená forma] [online] </t>
  </si>
  <si>
    <t xml:space="preserve">Vzdelanie ako základné východisko pre rolu a prácu sestry špecialistky v komunitnom ošetrovateľstve / Pavelová, Ľuboslava [Autor, UKFFSVKOS, 50%] ; Krištofová, Erika [Autor, UKFFSVKOS, 50%]. – text. – [čeština]. – [OV 180]. – [príspevok] In: Sestry : hlas v popredí - zdravie pre všetkých [elektronický dokument] : recenzovaný vedecký zborník vydaný pri príležitosti Medzinárodného dňa sestier 2019 / Spáčilová, Zuzana [Zostavovateľ, editor] ; Libová, Ľubica [Recenzent] ; Haluzíková, Jana [Recenzent] ; Pavelová, Ľuboslava [Recenzent]. – 1. vyd. – Nitra (Slovensko) : Univerzita Konštantína Filozofa v Nitre, 2019. – ISBN 978-80-558-1418-6, s. 80-88 [CD-ROM] </t>
  </si>
  <si>
    <t xml:space="preserve">Vznik Československa a politické strany na Slovensku / Krno, Svetozár [Autor, UKFFFAKPO, 100%]. – text. – [slovenčina]. – [OV 060]. – [príspevok] In: Republika Česko-Slovensko (II. časť) [textový dokument (print)] : od monarchie k vlastnému štátu : ilúzie verzus realita / Pekník, Miroslav [Zostavovateľ, editor] ; Liďák, Jan [Recenzent] ; Škvrnda, František [Recenzent] ; Juza, Peter [Recenzent]. – 1. vyd. – Bratislava (Slovensko) : Slovenská akadémia vied. Veda, vydavateľstvo Slovenskej akadémie vied ; Slovenská akadémia vied. Pracoviská SAV. Ústav politických vied, 2021. – (Monografie a štúdie ; 32). – ISBN 978-80-224-1891-1, s. 10-28 [tlačená forma] </t>
  </si>
  <si>
    <t xml:space="preserve">Vzťah k hudbe, dôsledky počúvaného žánru hudby na prežívanie a školská úspešnosť adolescentov / Kovářová, Martina [Autor, 50%] ; Verešová, Marcela [Autor, UKFPFAKAP, 50%]. – text. – [slovenčina]. – [OV 010]. – [príspevok] In: Konvergencie vedeckej činnosti študentov a učiteľov 2 [textový dokument (print)] / Verešová, Marcela [Zostavovateľ, editor] ; Pavelová, Ľuba [Recenzent] ; Valihorová, Marta [Recenzent]. – 1. vyd. – Nitra (Slovensko) : Univerzita Konštantína Filozofa v Nitre, 2021. – ISBN 978-80-558-1732-3, s. 84-97 [tlačená forma] </t>
  </si>
  <si>
    <t xml:space="preserve">Vzťah kritického myslenia a nepodložených presvedčení u dospelých / Kollárová, Nikoleta [Autor, 50%] ; Ballová Mikušková, Eva [Autor, UKFPFAKAP, 50%]. – text. – [slovenčina]. – [OV 010]. – [príspevok] In: Konvergencie vedeckej činnosti študentov a učiteľov 2 [textový dokument (print)] / Verešová, Marcela [Zostavovateľ, editor] ; Pavelová, Ľuba [Recenzent] ; Valihorová, Marta [Recenzent]. – 1. vyd. – Nitra (Slovensko) : Univerzita Konštantína Filozofa v Nitre, 2021. – ISBN 978-80-558-1732-3, s. 151-161 [tlačená forma] </t>
  </si>
  <si>
    <t xml:space="preserve">Vzťah matematickej a čitateľskej gramotnosti a epistemicky nepodložených presvedčení / Ďurdíková, Alexandra [Autor, 50%] ; Ballová Mikušková, Eva [Autor, UKFPFAKAP, 50%]. – text. – [slovenčina]. – [OV 010]. – [príspevok] In: Konvergencie vedeckej činnosti študentov a učiteľov 2 [textový dokument (print)] / Verešová, Marcela [Zostavovateľ, editor] ; Pavelová, Ľuba [Recenzent] ; Valihorová, Marta [Recenzent]. – 1. vyd. – Nitra (Slovensko) : Univerzita Konštantína Filozofa v Nitre, 2021. – ISBN 978-80-558-1732-3, s. 71-83 [tlačená forma] </t>
  </si>
  <si>
    <t xml:space="preserve">Vzťah nepodložených tvrdení a mýtov o LGBT a rovesníckeho vplyvu k homonegativite, binegativite a transnegativite u slovenských adolescentov / Lenghart, Daniel [Autor, 50%] ; Verešová, Marcela [Autor, UKFPFAKAP, 50%]. – text. – [slovenčina]. – [OV 060]. – [príspevok] In: Konvergencie vedeckej činnosti študentov a učiteľov [textový dokument (print)] / Verešová, Marcela [Zostavovateľ, editor] ; Pavelová, Ľuba [Recenzent] ; Valihorová, Marta [Recenzent]. – 1. vyd. – Nitra (Slovensko) : Univerzita Konštantína Filozofa v Nitre, 2020. – ISBN 978-80-558-1543-5, s. 194-212 [tlačená forma] </t>
  </si>
  <si>
    <t xml:space="preserve">Vzťah preferencie myslenia a časovej perspektívy k motivácii výkonu / Ballová Mikušková, Eva [Autor, UKFPFAKAP, 50%] ; Čergeťová, Katarína [Autor, 50%]. – text. – [slovenčina]. – [OV 060]. – [príspevok] In: Konvergencie vedeckej činnosti študentov a učiteľov [textový dokument (print)] / Verešová, Marcela [Zostavovateľ, editor] ; Pavelová, Ľuba [Recenzent] ; Valihorová, Marta [Recenzent]. – 1. vyd. – Nitra (Slovensko) : Univerzita Konštantína Filozofa v Nitre, 2020. – ISBN 978-80-558-1543-5, s. 100-109 [tlačená forma] </t>
  </si>
  <si>
    <t xml:space="preserve">Vzťah raných maladaptívnych schém, zvládacích štýlov, disociácie a   fyziologických parametrov arousalu u zdravých dospelých [Relationship of early maladaptive schemas, copping styles, dissociation and physiological parameters of arousal in healthy adults] / Kotianová, Antónia [Autor, UKFFSVKPV, 11.112%] ; Šlepecký, Miloš [Autor, UKFFSVKPV, 11.111%] ; Tonhajzerová, Ingrid [Autor, UKOLJ160, 11.111%] ; Praško Pavlov, Ján [Autor, 11.111%] ; Majerčák, Ivan [Autor, 11.111%] ; Kotian, Michal [Autor, 11.111%] ; Chupáčová, Michaela [Autor, 11.111%] ; Zaťková, Marta [Autor, UKFFSVKPV, 11.111%] ; Popelková, Marta [Autor, UKFFSVKPV, 11.111%]. – text, graf., tab. – [slovenčina]. – [OV 180]. – [príspevok]. – SIGN-UKO LJ731/20 In: Psychologica [elektronický dokument] / Sabová, Lucia [Zostavovateľ, editor] ; Heretik, Anton [Recenzent] ; Schraggeová, Milica [Recenzent] ; Smitková, Hana [Recenzent]. – 1. vyd. – Roč. 50. – Bratislava (Slovensko) : Univerzita Komenského v Bratislave. Filozofická fakulta UK. Stimul, 2020. – ISBN (online) 978-80-8127-276-9. – EPUB ISBN 978-80-8127-277-6, s. 42-49 [online] </t>
  </si>
  <si>
    <t xml:space="preserve">Vzťah rizikového správania, prosociálnosti a exekutívnych funkcií / Piešťanská, Bronislava [Autor, 50%] ; Ballová Mikušková, Eva [Autor, UKFPFAKAP, 50%]. – text. – [slovenčina]. – [OV 060]. – [príspevok] In: Konvergencie vedeckej činnosti študentov a učiteľov [textový dokument (print)] / Verešová, Marcela [Zostavovateľ, editor] ; Pavelová, Ľuba [Recenzent] ; Valihorová, Marta [Recenzent]. – 1. vyd. – Nitra (Slovensko) : Univerzita Konštantína Filozofa v Nitre, 2020. – ISBN 978-80-558-1543-5, s. 7-19 [tlačená forma] </t>
  </si>
  <si>
    <t xml:space="preserve">Z učiteľa jazykov k tvorcovi Pravidiel slovenského jazyka : kariéra Henricha Barteka v medzivojnovom Československu = From Language Lecturer to Creator of Slovak Language Rules. The Career of Henrich Bartek in Czechoslovakia during the Period between the Two Wars / Arpáš, Róbert [Autor, UKFFFAKHI, 100%]. – text. – [slovenčina]. – [OV 010, 030]. – [príspevok] In: Výchova a vzdelávanie v siločiarach času [textový dokument (print)] [elektronický dokument] / Kázmerová, Ľubica [Zostavovateľ, editor] ; Kičková, Adriana [Recenzent] ; Polačková, Zuzana [Recenzent]. – 1. vyd. – Bratislava (Slovensko) : Slovenská akadémia vied. Veda, vydavateľstvo Slovenskej akadémie vied, 2020. – ISBN 978-80-224-1867-6, s. 23-43 [tlačená forma] [online] </t>
  </si>
  <si>
    <t xml:space="preserve">Záhrada – Centrum nezávislej kultúry. Nezávislá kultúra uprostred mesta / Kočiš, Michal [Autor, UKFFFAKKU, 100%]. – text. – [slovenčina]. – [OV 060]. – [príspevok] In: Nezávislé kultúrne centrá na Slovensku [textový dokument (print)] [elektronický dokument] / Fuják, Július [Zostavovateľ, editor] ; Ballay, Miroslav [Recenzent] ; Malíček, Juraj [Recenzent]. – 1. vyd. – Nitra (Slovensko) : Univerzita Konštantína Filozofa v Nitre, 2021. – ISBN 978-80-558-1674-6, s. 99-109 [tlačená forma] [online] </t>
  </si>
  <si>
    <t xml:space="preserve">Zaistenie priechodnosti dýchacích ciest / Mankovecká, Monika [Autor, UKFFSVKUM, 100%] ; Botíková, Andrea [Recenzent] ; Kober, Lukáš [Recenzent]. – text. – [čeština]. – [OV 180]. – [príspevok] In: Sestry : hlas v popredí - zdravie je ľudské právo [textový dokument (print)] : recenzovaný vedecký zborník vydaný pri príležitosti Medzinárodného dňa sestier 2018 / Spáčilová, Zuzana [Zostavovateľ, editor]. – 1. vyd. – Nitra (Slovensko) : Univerzita Konštantína Filozofa v Nitre, 2018. – ISBN 978-80-558-1293-9, s. 51-57 [tlačená forma] </t>
  </si>
  <si>
    <t xml:space="preserve">Základný scenár / Považan, Radoslav [Autor, 16.67%] ; Kadlečík, Ján [Autor, 16.666%] ; Filčák, Richard [Autor, 16.666%] ; Šťastný, Pavel [Autor, 16.666%] ; Švajda, Juraj [Autor, 16.666%] ; Černecký, Ján [Autor, UKFFPVKEE, 16.666%]. – text. – [slovenčina]. – [OV 100]. – [príspevok] In: Scenáre pre prírodu Slovenska do roku 2050 [textový dokument (print)] [elektronický dokument] : príroda a biodiverzita Slovenska do roku 2050: alternatívne scenáre a implikácie pre verejné politiky / Považan, Radoslav [Zostavovateľ, editor] ; Filčák, Richard [Zostavovateľ, editor] ; Olah, Branislav [Recenzent] ; Škobla, Daniel [Recenzent]. – 1. vyd. – Bratislava (Slovensko) : Ministerstvo životného prostredia Slovenskej republiky, 2020. – ISBN 978-80-8213-012-9. – ISBN (online) 978-80-8213-013-6, s. 19-32 [tlačená forma] [online] </t>
  </si>
  <si>
    <t xml:space="preserve">Zásahy do vydavateľskej praxe v období autonómie 1938/1939 na príklade nitrianskeho regiónu / Palárik, Miroslav [Autor, UKFFFAKHI, 50%] ; Mikulášová, Alena [Autor, UKFFFAKHI, 50%]. – text. – [slovenčina]. – [OV 030]. – [príspevok] In: 1939 - rok zlomu [textový dokument (print)] / Syrný, Marek [Zostavovateľ, editor] ; Martuliak, Pavol [Recenzent] ; Varinský, Vladimír [Recenzent]. – 1. vyd. – Banská Bystrica (Slovensko) : Múzeum Slovenského národného povstania ; Praha (Česko) : Akademie věd České republiky. Historický ústav AV ČR, 2019. – ISBN 978-80-89514-70-0, s. 434-446 [tlačená forma] </t>
  </si>
  <si>
    <t xml:space="preserve">Záujmové preferencie adolescentov o jednotlivé oblasti športových aktivít / Broďáni, Jaroslav [Autor, UKFPFAKTV, 34%] ; Šutka, Vladimír [Autor, UKFPFAKTV, 33%] ; Šiška, Ľuboslav [Autor, UKFPFAKTV, 33%]. – text. – [slovenčina]. – [OV 210, 060]. – [príspevok] In: Pohybová aktivita a kvalita života žiakov stredných škôl [textový dokument (print)] / Kalinková, Mária [Zostavovateľ, editor] ; Rozim, Robert [Recenzent] ; Kompan, Jaroslav [Recenzent]. – 1. vyd. – Nitra (Slovensko) : Univerzita Konštantína Filozofa v Nitre, 2018. – ISBN 978-80-558-1368-4, s. 190-198 [tlačená forma] </t>
  </si>
  <si>
    <t xml:space="preserve">Zdravotné a nutričné aspekty gravidných žien = Health and nutritional aspects of pregnant women / Fatrcová Šramková, Katarína [Autor, SPUFAP16, 25%] ; Schwarzová, Marianna [Autor, SPUFAP16, 25%] ; Kocianová, Erika [Autor, 25%] ; Juríková, Tünde [Autor, UKFFSSUVP, 25%]. – [slovenčina]. – [OV 190]. – [príspevok]. – DOI 10.15414/2019.9788055220734 In: Výživa - človek - zdravie 2019 [elektronický dokument] : recenzovaný zborník vedeckých prác Katedry výživy ľudí FAPZ SPU v Nitre / Gažarová, Martina [Zostavovateľ, editor] ; Capcarová, Marcela [Recenzent] ; Šimko, Milan [Recenzent]. – 1. vyd. – Nitra (Slovensko) : Slovenská poľnohospodárska univerzita v Nitre, 2019. – ISBN 978-80-552-2073-4, s. 52-60 [online] </t>
  </si>
  <si>
    <t xml:space="preserve">Zmeny v úrovni ohybnosti vplyvom strečingu v ženskom futbale / Czaková, Natália [Autor, UKFPFAKTV, 40%] ; Paška, Ľubomír [Autor, UKFPFAKTV, 30%] ; Surovková, Izabela [Autor, 30%]. – text. – [slovenčina]. – [OV 210]. – [príspevok] In: Šport a rekreácia 2019 (Recenzovaný nekonferenčný zborník vedecko-výskumných a odborných prác, zameraný na prezentáciu poznatkov v oblasti športu, telesnej výchovy, diagnostiky, zdravia, rekreácie, cestovného ruchu, regenerácie, manažmentu, atď.) [textový dokument (print)] [elektronický dokument] : zborník vedeckých prác / Broďáni, Jaroslav [Zostavovateľ, editor] ; Kováčová, Natália [Zostavovateľ, editor] ; Kampmiller, Tomáš [Recenzent] ; Bartík, Pavol [Recenzent] ; Michal, Jiří [Recenzent] ; Šutka, Vladimír [Recenzent] ; Halmová, Nora [Recenzent] ; Kanásová, Janka [Recenzent] ; Ružbarská, Ingrid [Recenzent] ; Mandzáková, Martina [Recenzent] ; Rošková, Miroslava [Recenzent] ; Rozim, Robert [Recenzent] ; Doležajová, Ladislava [Recenzent] ; Kraček, Stanislav [Recenzent] ; Luptáková, Martina [Recenzent] ; Nemček, Dagmar [Recenzent] ; Šmela, Pavel [Recenzent] ; Czaková, Natália [Recenzent] ; Hrnčár, Roman [Recenzent]. – 1. vyd. – Nitra (Slovensko) : Univerzita Konštantína Filozofa v Nitre. Pedagogická fakulta UKF. Katedra telesnej výchovy a športu, 2019. – ISBN 978-80-558-1415-5, s. 80-88 [tlačená forma] [online] </t>
  </si>
  <si>
    <t xml:space="preserve">Zmeny v úrovni vybraných pohybových schopností v karate / Czaková, Natália [Autor, UKFPFAKTV, 50%] ; Czaková, Monika [Autor, 50%] ; Novotná, Nadežda [Recenzent] ; Lenková, Rút [Recenzent]. – text. – [slovenčina]. – [OV 210]. – [príspevok] In: Šport a rekreácia 2018 [textový dokument (print)] : zborník vedeckých prác / Broďáni, Jaroslav [Zostavovateľ, editor]. – 1. vyd. – Nitra (Slovensko) : Univerzita Konštantína Filozofa v Nitre, 2018. – ISBN 978-80-558-1301-1, s. 159-163 [tlačená forma] </t>
  </si>
  <si>
    <t xml:space="preserve">Zvládanie záťaže u pacientov po prekonaní cievnej mozgovej príhody: vplyv pohlavia, veku a osobnostných charakteristík na výber stratégií zvládania záťaže / Solgajová, Andrea [Autor, UKFFSVKOS, 33.334%] ; Zrubcová, Dana [Autor, UKFFSVKOS, 33.333%] ; Vörösová, Gabriela [Autor, UKFFSVKOS, 33.333%]. – text. – [slovenčina]. – [OV 180]. – [príspevok] In: Sestry: hlas v popredí - ošetrovateľstvom ku globálnemu zdraviu [elektronický dokument] : recenzovaný vedecký zborník vydaný pri príležitosti Medzinárodného dňa sestier 2020 / Spáčilová, Zuzana [Zostavovateľ, editor] ; Hlinková, Edita [Recenzent] ; Zrubcová, Dana [Recenzent]. – 1. vyd. – Nitra (Slovensko) : Univerzita Konštantína Filozofa v Nitre, 2020. – ISBN 978-80-558-1596-1, s. 117-126 [CD-ROM] </t>
  </si>
  <si>
    <t xml:space="preserve">Zvolenský zámok = Zvolen Castle / Šimkovic, Michal [Autor, 34%] ; Maliniak, Pavol [Autor, UMBFF02, 33%] ; Beljak Pažinová, Noémi [Autor, UKFFFAKAR, 33%]. – text. – [slovenčina]. – [OV 030]. – [príspevok] In: Stredoveké hrady na strednom Pohroní [textový dokument (print)] / Beljak Pažinová, Noémi [Zostavovateľ, editor] ; Mordovin, Maxim [Recenzent] ; Labuda, Jozef [Recenzent]. – 1. vyd. – Nitra (Slovensko) : Slovenská akadémia vied. Pracoviská SAV. Archeologický ústav, 2021. – ISBN 978-80-8196-052-9, s. 169-182 [tlačená forma] </t>
  </si>
  <si>
    <t xml:space="preserve">Zvyklosti pri príprave listín a ich pečatení v prostredí stredovekých hodnoverných miest vo svetle kapitulských štatútov / Glejtek, Miroslav [Autor, UKFFFAKHI, 100%]. – text. – [slovenčina]. – [OV 030]. – [príspevok] In: Gestá, symboly, ceremónie a rituály v stredoveku [textový dokument (print)] / Bystrický, Peter [Zostavovateľ, editor] ; Dvořáková, Daniela [Recenzent] ; Kožiak, Rastislav [Recenzent]. – 1. vyd. – Bratislava (Slovensko) : Slovenská akadémia vied. Veda, vydavateľstvo Slovenskej akadémie vied, 2019. – ISBN 978-80-224-1787-7, s. 22-36 [tlačená forma] </t>
  </si>
  <si>
    <t xml:space="preserve">Ženská otázka v próze Ľudmily Podjavorinskej Žena / Florková, Janka [Autor, UKFFFASJL, 100%]. – text. – [slovenčina]. – [OV 020]. – [príspevok]. – [recenzované] In: Študentská vedecká, odborná a umelecká činnosť [elektronický dokument] : Zborník vedeckých prác / Hetényi, Martin [Zostavovateľ, editor]. – 1. vyd. – Nitra (Slovensko) : Univerzita Konštantína Filozofa v Nitre, 2018. – ISBN 978-80-558-1370-7, s. 61-67 [CD-ROM] </t>
  </si>
  <si>
    <t xml:space="preserve">Ženy v Evanjeliách, ktoré prekračujú konvencie / Durkaj, Lukáš [Autor, UKFFFAULK, 50%] ; Lapko, Róbert [Autor, KURTEST, 50%]. – text. – [slovenčina]. – [OV 020]. – [príspevok] In: Žena hrdinka [textový dokument (print)] : Zborník príspevkov / Katreničová, Anabela [Zostavovateľ, editor] ; Tomaščíková, Slávka [Recenzent] ; Šimon, František [Recenzent]. – 1. vyd. – Košice (Slovensko) : Univerzita Pavla Jozefa Šafárika v Košiciach, 2021. – ISBN 978-80-8152-987-0. – sign UPJS FSEP 011623. – SAF F 140489, s. 54-64 [tlačená forma] </t>
  </si>
  <si>
    <t xml:space="preserve">Žiarový hrob lengyelskej kultúry z Garáj, poloha Stolička : príspevok k symbolike zvierat doby kamennej / Jelínek, Pavol [Autor, 30%] ; Dörnhöferová, Michaela [Autor, 30%] ; Gdovinová, Lucia [Autor, 30%] ; Illášová, Ľudmila [Autor, UKFFPVGMU, 10%]. – text, ilustr. – [slovenčina]. – [OV 030, 092, 130]. – [príspevok]. – SIGN-UKO PR 620/20 In: Čriepky [textový dokument (print)] : zborník Martine Kušnírovej in memoriam / Jelínek, Pavol [Zostavovateľ, editor] ; Bartík, Juraj [Recenzent] ; Kozubová, Anita [Recenzent]. – 1. vyd. – Bratislava (Slovensko) : [vlastným nákladom], 2020. – ISBN 978-80-570-1700-4, s. 43-63 [tlačená forma] </t>
  </si>
  <si>
    <t xml:space="preserve">Životné prostredie [Močenok] / Oremusová, Daša [Autor, UKFFPVKGR, 100%]. – text. – [slovenčina]. – [OV 092, 100]. – [príspevok] In: Močenok [textový dokument (print)] : monografia obce / Keresteš, Peter [Zostavovateľ, editor] ; Meliš, Jozef [Recenzent] ; Nemčíková, Magdaléna [Recenzent]. – 1. vyd. – Nitra (Slovensko) : EN ARS, 2020. – ISBN 978-80-973164-5-7, s. 406-411 [tlačená forma] </t>
  </si>
  <si>
    <t xml:space="preserve">Životný štýl u ľudí so sedavým zamestnaním / Halmová, Nora [Autor, UKFPFAKTV, 80%] ; Demčák, Adam [Autor, 20%]. – text. – [slovenčina]. – [OV 210]. – [príspevok] In: Šport a rekreácia 2020 (Recenzovaný nekonferenčný zborník vedecko-výskumných a odborných prác, zameraný na prezentáciu poznatkov v oblasti športu, telesnej výchovy, diagnostiky, zdravia, rekreácie, cestovného ruchu, regenerácie, manažmentu, atď.) [textový dokument (print)] [elektronický dokument] : zborník vedeckých prác / Broďáni, Jaroslav [Zostavovateľ, editor] ; Czaková, Monika [Zostavovateľ, editor] ; Halmová, Nora [Recenzent] ; Lenková, Rút [Recenzent] ; Nemček, Dagmar [Recenzent] ; Kanásová, Janka [Recenzent] ; Šutka, Vladimír [Recenzent] ; Rozim, Robert [Recenzent] ; Buková, Alena [Recenzent] ; Krčmárová, Bohumila [Recenzent] ; Horbacz, Agata [Recenzent] ; Luptáková, Martina [Recenzent] ; Kraček, Stanislav [Recenzent] ; Dzugas, Dalibor [Recenzent] ; Žiška, Peter [Recenzent] ; Czaková, Natália [Recenzent] ; Bartolčičová, Barbora [Recenzent] ; Krčmár, Matúš [Recenzent] ; Važan, Róbert [Recenzent]. – 1. vyd. – Nitra (Slovensko) : Univerzita Konštantína Filozofa v Nitre. Pedagogická fakulta UKF. Katedra telesnej výchovy a športu, 2020. – ISBN 978-80-558-1541-1, s. 53-59 [tlačená forma] [online] </t>
  </si>
  <si>
    <t xml:space="preserve">Тeatraľnosť vyraženija. Michail Afanasjevič Bulgakov: Teatraľnoj roman / Inštitorisová, Dagmar [Autor, UKFFFAKMR, 100%]. – text. – [ruština]. – [OV 020]. – [príspevok] In: Russkij jazyk v centre Evropy 20 [textový dokument (print)] / Kollárová, Eva [Zostavovateľ, editor] ; Demijanovna Blum, Tamara [Recenzent] ; Aleksantrovna Poletaeva, Oľga [Recenzent]. – 1. vyd. – Bratislava (Slovensko) : Asociácia rusistov Slovenska, 2020. – ISBN 978-80-973769-0-1, s. 133-147 [tlačená forma] </t>
  </si>
  <si>
    <t>AEM - Abstrakty vedeckých prác v zahraničných časopisoch registrovaných v databázach Web of Science alebo SCOPUS</t>
  </si>
  <si>
    <t xml:space="preserve">Beliefs and attitudes toward supervision in CBT and competencies of the trainees in cognitive behavioral training / Praško Pavlov, Ján [Autor, UKFFSVKPV, 25%] ; Ocisková, Marie [Autor, 25%] ; Šlepecký, Miloš [Autor, UKFFSVKPV, 25%] ; Kotianová, Antónia [Autor, UKFFSVKPV, 25%]. – [angličtina]. – [OV 060]. – [abstrakt - ČL]. – WOS CC In: European Psychiatry [textový dokument (print)] [elektronický dokument] : the journal of the european psychiatric association. – Amsterdam (Holandsko) : Elsevier. – ISSN 0924-9338. – ISSN (online) 1778-3585. – Roč. 63 (2020), s. 401-401 [tlačená forma] [online] . – IF: 5,361 ; SJR: 1,84 ; CiteScore: 6,2 ; SNIP: 1,503 ; AIS: 1.745 AIS - Psychiatry - Q1 JIF - Psychiatry - Q1 Scimago - Psychiatry and mental health - Q1 </t>
  </si>
  <si>
    <t xml:space="preserve">Different effects of bee bread on cortical bone microstructure of zdf rats with dissimilar stages of diabetes / Omelka, Radoslav [Autor, UKFFPVKBG, 20%] ; Babosová, Ramona [Autor, UKFFPVKZA, 20%] ; Bábiková, Martina [Autor, UKFFPVKBG, 20%] ; Kalafová, Anna [Autor, 10%] ; Capcarová, Marcela [Autor, 10%] ; Martiniaková, Monika [Autor, UKFFPVKZA, 20%] ; World congress on osteoporosis, osteoarthritis and musculoskeletal diseases, 20 [20.08.2020-22.08.2020, Nyon, Švajčiarsko]. – text. – [angličtina]. – [OV 130, 190]. – [abstrakt - ČL]. – WOS CC In: Osteoporosis International [textový dokument (print)] [elektronický dokument] : with other metabolic bone diseases : a journal established as result of cooperation between the European Foundation for Osteoporosis and the National Osteoporosis Foundation of the USA. – ISSN 0937-941X. – ISSN (online) 1433-2965. – Roč. 31, č. SUPPL 1 (2020), s. 397-397 [tlačená forma] [online] . – IF: 4,507 ; SJR: 1,28 ; CiteScore: 7,6 ; SNIP: 1,762 ; AIS: 1.238 AIS - Endocrinology &amp; metabolism - Q2 JIF - Endocrinology &amp; metabolism - Q2 Scimago - Endocrinology, diabetes and metabolism - Q1, Medicine (miscellaneous) - Q1 </t>
  </si>
  <si>
    <t xml:space="preserve">Dissociation and therapy of depressive and anxiety disorders with or without personality disorders / Praško Pavlov, Ján [Autor, UKFFSVKPV, 25%] ; Ociskova, M. [Autor, 25%] ; Šlepecký, Miloš [Autor, UKFFSVKPV, 25%] ; Kotianová, Antónia [Autor, UKFFSVKPV, 25%] ; 25th European Congress of Psychiatry / European Psychiatry [10.04.2017, Amsterdam, Holandsko]. – text. – [angličtina]. – [OV 060]. – [abstrakt - ČL]. – WOS CC In: European Psychiatry [textový dokument (print)] [elektronický dokument] : the journal of the european psychiatric association. – Amsterdam (Holandsko) : Elsevier. – ISSN 0924-9338. – ISSN (online) 1778-3585. – Roč. 63 (2020), s. 301-302 [tlačená forma] [online] . – IF: 5,361 ; SJR: 1,84 ; CiteScore: 6,2 ; SNIP: 1,503 ; AIS: 1.745 AIS - Psychiatry - Q1 JIF - Psychiatry - Q1 Scimago - Psychiatry and mental health - Q1 </t>
  </si>
  <si>
    <t xml:space="preserve">Personality as a predictor of the illness perception / Dančová, Katarína [Autor, UKFFSVUAP, 50%] ; Sollár, Tomáš [Autor, UKFFSVUAP, 50%] ; The Official Journal of the International Society for the Study of Individual Differences [29.07.2019-02.08.2019, Florence, Taliansko]. – text. – [angličtina]. – [OV 180]. – [abstrakt - ČL]. – WOS CC In: Personality and Individual Differences [textový dokument (print)] : The Official Journal of the International Society for the Study of Individual Differences (ISSID). – Amsterdam (Holandsko) : Elsevier. – ISSN 0191-8869. – suppl., č. 157 (2020), s. 9-9 [tlačená forma] . – IF: 3.004 ; SNIP: 1.422 ; SJR: 1.328 ; CiteScore: 4,9 ; AIS: 1.032 AIS - Psychology, social - Q3 JIF - Psychology, social - Q2 Scimago - Psychology (miscellaneous) - Q1 </t>
  </si>
  <si>
    <t xml:space="preserve">Personality features, dissociation, self-stigma, hope, and the complex treatment of depressive disorder / Praško Pavlov, Ján [Autor, UKFFSVKPV, 25%] ; Ociskova, M. [Autor, 25%] ; Šlepecký, Miloš [Autor, UKFFSVKPV, 25%] ; Kotianová, Antónia [Autor, UKFFSVKPV, 25%] ; 25th European Congress of Psychiatry / European Psychiatry [10.04.2017, Amsterdam, Holandsko]. – text. – [angličtina]. – [OV 060]. – [abstrakt - ČL]. – WOS CC In: European Psychiatry [textový dokument (print)] [elektronický dokument] : the journal of the european psychiatric association. – Amsterdam (Holandsko) : Elsevier. – ISSN 0924-9338. – ISSN (online) 1778-3585. – Roč. 63 (2020), s. 342-343 [tlačená forma] [online] . – IF: 5,361 ; SJR: 1,84 ; CiteScore: 6,2 ; SNIP: 1,503 ; AIS: 1.745 AIS - Psychiatry - Q1 JIF - Psychiatry - Q1 Scimago - Psychiatry and mental health - Q1 </t>
  </si>
  <si>
    <t xml:space="preserve">Role of hope, personality, dissociation, and self-stigma in the treatment of the resistant anxiety disorders / Ociskova, M. [Autor, 25%] ; Praško Pavlov, Ján [Autor, 25%] ; Šlepecký, Miloš [Autor, UKFFSVKPV, 25%] ; Kotianová, Antónia [Autor, UKFFSVKPV, 25%] ; 25th European Congress of Psychiatry / European Psychiatry [10.04.2017, Amsterdam, Holandsko]. – text. – [angličtina]. – [OV 060]. – [abstrakt - ČL]. – WOS CC In: European Psychiatry [textový dokument (print)] [elektronický dokument] : the journal of the european psychiatric association. – Amsterdam (Holandsko) : Elsevier. – ISSN 0924-9338. – ISSN (online) 1778-3585. – Roč. 63 (2020), s. 301-301 [tlačená forma] [online] . – IF: 5,361 ; SJR: 1,84 ; CiteScore: 6,2 ; SNIP: 1,503 ; AIS: 1.745 AIS - Psychiatry - Q1 JIF - Psychiatry - Q1 Scimago - Psychiatry and mental health - Q1 </t>
  </si>
  <si>
    <t xml:space="preserve">Transeranial Doppler-detected Microembolic Signals as a Predictor of New Brain Ischemic Lesion after Elective Coronary Intervention / Herzig, Roman [Autor, 11.112%] ; Viszlayová, Daša [Autor, 11.111%] ; Skoloudik, David [Autor, 11.111%] ; Brozman, Miroslav [Autor, UKFFSVKUM, 11.111%] ; Langova, Katerina [Autor, 11.111%] ; Kurray, Peter [Autor, 11.111%] ; Patrovic, Lukas [Autor, 11.111%] ; Kiralova, Silvia [Autor, 11.111%] ; Valis, Martin [Autor, 11.111%] ; 71st Annual Meeting of the American-Academy-of-Neurology (AAN), 71 [04.05.2019-10.05.2019, Philadelphia, USA]. – text. – [angličtina]. – [OV 180]. – [abstrakt - ČL]. – WOS CC In: Neurology [textový dokument (print)] [elektronický dokument] . – Baltimore (USA) : Wolters Kluwer. – ISSN 0028-3878. – ISSN (online) 1526-632X. – Roč. 92, č. 15 (2019), s. 1-2 [tlačená forma] [online] . – SJR: 3,005 ; CiteScore: 10,4 ; SNIP: 2,336 ; IF: 8.770 JIF - Clinical neurology - Q1 Scimago - Neurology (clinical) - Q1 </t>
  </si>
  <si>
    <t>AFA - Publikované pozvané príspevky na zahraničných vedeckých konferenciách</t>
  </si>
  <si>
    <t xml:space="preserve">A magyar nyelvjárások jelene és jövője Szlovákiában / Sándorová, Anna [Autor, UKFFSSUML, 100%] ; A magyar nyelvjárások a 21. században - nyelvstratégiai megközelítésben, 21 [04.12.2019-05.12.2019, Budapest, Maďarsko]. – text. – [maďarčina]. – [OV 020, 010]. – [abstrakt z podujatia - KP] In: A magyar nyelvjárások a 21. században - nyelvstratégiai megközelítésben [textový dokument (print)] : Tanulmánykötet a Magyar Nyelvstratégiai Intézet által 2018. december 4-5-én rendezett konferencián elhangzott előadásokból / Bódi, Zoltán [Zostavovateľ, editor]. – 1. vyd. – Budapest (Maďarsko) : Magyarságkutató Intézet, 2019. – ISBN 978-615-6117-06-9, s. 87-109 </t>
  </si>
  <si>
    <t xml:space="preserve">A New Approach to Teacher Assessment: Joys and Sorrows of its Introduction : Case study / Gadušová, Zdenka [Autor, UKFFFAKAA, 40%] ; Švarbová, Eva [Autor, UKFFFAKRO, 40%] ; Sipkai, Timea [Autor, 20%] ; Gunputh, Rajendra Parsad [Recenzent] ; Altan, Mustafa Zülküf [Recenzent] ; MyRes 2018 [22.06.2018-23.06.2018, Pointe aux Piments, Maurícius]. – text. – [angličtina]. – [OV 010]. – [abstrakt z podujatia - KP] In: MyRes 2018 [textový dokument (print)] : International Conference on Multidisciplinary Research in Mauritius, Pointe aux Piments, Mauritius 22-23 June 2018 / Gunputh, Rajendra Parsad [Zostavovateľ, editor]. – 1. vyd. – Pointe aux Piments (Maurícius) : Society for Research and Knowledge Management, 2018. – ISBN 978-99949-0-384-9, s. 335-355 [tlačená forma] </t>
  </si>
  <si>
    <t xml:space="preserve">Business environment of family businesses in Slovakia / Levický, Michal [Autor, UKFFPVUMI, 50%] ; Fiľa, Milan [Autor, 50%] ; Silk Road 2019, 14 [11.10.2019-12.10.2019, Tbilisi, Gruzínsko]. – text. – [angličtina]. – [OV 060]. – [abstrakt z podujatia - KP]. – [recenzované] In: Silk Road 2019 [elektronický dokument] : Globalization: Trendsand Perspectives. 14 International Silk Roadth Conference, October 11-12, 2019 Tbilisi, Georgia / Arslan, Mustafa [Zostavovateľ, editor] ; Amaglobeli, Givi [Zostavovateľ, editor]. – 1. vyd. – Tbilisi (Gruzínsko) : International Black Sea University, 2019. – ISBN 978-9941-8-2211-7, s. 46-50 [tlačená forma] </t>
  </si>
  <si>
    <t xml:space="preserve">Cognitive metaphor in expressing time, length and distance in Slovak language / Kováčová, Zuzana [Autor, UKFFFASJL, 100%] ; SGEM 2018 [19.03.2018-21.03.2018, Viedeň, Rakúsko]. – text. – [angličtina]. – [OV 020]. – [abstrakt z podujatia - KP]. – [recenzované]. – DOI 10.5593/sgemsocial2018H/31/S10.012 In: SGEM 2018 conference proceedings (3.1. Social Sciences and Arts) [textový dokument (print)] / [bez zostavovateľa] [Zostavovateľ, editor]. – 1. vyd. – Roč. 5. – Sofia (Bulharsko) : STEF92 Technology, 2018. – ISBN 978-619-7408-32-4. – ISSN 2367-5659, s. 89-96 [tlačená forma] </t>
  </si>
  <si>
    <t xml:space="preserve">Comparison of Development of Selected Macroeconomic Indicators and Tourism in the Slovak Republic / Maroš, Milan [Autor, UKFFPVUMI, 100%] ; Silk Road 2019, 14 [11.10.2019-12.10.2019, Tbilisi, Gruzínsko]. – text. – [angličtina]. – [OV 080]. – [abstrakt z podujatia - KP]. – [recenzované] In: Silk Road 2019 [elektronický dokument] : Globalization: Trendsand Perspectives. 14 International Silk Roadth Conference, October 11-12, 2019 Tbilisi, Georgia / Arslan, Mustafa [Zostavovateľ, editor] ; Amaglobeli, Givi [Zostavovateľ, editor]. – 1. vyd. – Tbilisi (Gruzínsko) : International Black Sea University, 2019. – ISBN 978-9941-8-2211-7, s. 63-67 [tlačená forma] </t>
  </si>
  <si>
    <t xml:space="preserve">Creativity in Marketing Communications as a Subject of Scientific Research / Fichnová, Katarína [Autor, UKFFFAKMR, 100%] ; Creative strategy / strategy of creativity: Trends in creative marketing communication [25.04.2019, Praha, Česko]. – text. – [angličtina]. – [OV 060]. – [abstrakt z podujatia - KP]. – WOS CC In: Creative strategy / strategy of creativity [textový dokument (print)] : trends in creative marketing communication / Pavlů, Dušan [Zostavovateľ, editor] ; Majerik, Petr [Zostavovateľ, editor]. – Praha (Česko) : Professional Publishing ; Vysoká škola kreativní komunikace, 2019. – ISBN 978-80-88260-38-7. – ISBN 978-80-907526-5-8, s. 9-27 [tlačená forma] </t>
  </si>
  <si>
    <t xml:space="preserve">Designing combinations of physical and digital manipulatives to develop students’ visualisation / Vágová, Renáta [Autor, UKFFPVKMA, 100%] ; INSTEAD, 6 [25.06.2020-26.06.2020, Porto, Portugalsko]. – text. – [angličtina]. – [OV 010, 240]. – [abstrakt z podujatia - KP] In: Open Education Studies [elektronický dokument] : INSTEAD 6, Workshop on Innovative Teaching  Methodologies for Math Courses on Engineering Degrees, Porto, June 25th - 26 th 2020 / Bastiaens, Theo [Zostavovateľ, editor]. – 1. vyd. – Roč. 3, č. 1. – Warsaw (Poľsko) : De Gruyter, 2021. – ISSN (online) 2544-7831, s. 56-75 [online] </t>
  </si>
  <si>
    <t xml:space="preserve">Development and Current Status of Business Environment in Slovakia / Fiľa, Milan [Autor, UKFFPVUMI, 50%] ; Levický, Michal [Autor, UKFFPVUMI, 50%] ; SILKROAD 2020, 15 [09.10.2020-10.10.2020, Tbilisi, Gruzínsko]. – text. – [angličtina]. – [OV 060]. – [abstrakt z podujatia - KP] In: SILKROAD 2020 [elektronický dokument] : 15th International Silk Road Virtual Conference will be organized in Tbilisi, Georgia, October 9-10, 2020 / Mustafa, Arslan [Zostavovateľ, editor] ; Givi, Amaglobeli [Zostavovateľ, editor]. – 1. vyd. – Roč. 15. – Tbilisi (Gruzínsko) : International Black Sea University, 2020. – ISBN 978-9941-8-2892-8, s. 112-119 </t>
  </si>
  <si>
    <t xml:space="preserve">Evaluation of Teacher Competence to Design and Plan  Education Process in the Terms of the Slovak Republic / Gadušová, Zdenka [Autor, UKFFFAKAA, 25%] ; Jakubovská, Viera [Autor, UKFFFAKFI, 25%] ; Lomnický, Igor [Autor, UKFFFAKAE 06.2022, 25%] ; Predanocyová, Ľubica [Autor, UKFFFAKFI, 25%] ; International Technology, Education and Development Conference 2019, 13 [11.03.2019-13.03.2019, Valencia, Španielsko]. – text. – [angličtina]. – [OV 010]. – [abstrakt z podujatia - KP]. – [recenzované]. – WOS CC In: INTED2019 Proceedings [elektronický dokument] : 13th International Technology, Education and Development Conference / Chova, Luis Goméz [Zostavovateľ, editor] ; López Martínez, Agustín [Zostavovateľ, editor] ; Candel Torres, Ignacio [Zostavovateľ, editor]. – 1. vyd. – Valencia (Španielsko) : IATED, 2019. – (INTED Proceedings, ISSN 2340-1079). – ISBN 978-84-09-08619-1, s. 3673-3682 [CD-ROM] [USB kľúč] </t>
  </si>
  <si>
    <t xml:space="preserve">Flower meadows as a positive factor influencing the increase and protection of biodiversity in the urban landscape / Pástorová, Anna [Autor, UKFFPVKEE, 50%] ; Rózová, Zdenka [Autor, UKFFPVKEE, 50%] ; Public recreation and landscape protection - with sense hand in hand! [10.05.2021-11.05.2021, Brno, Česko]. – text. – [angličtina]. – [OV 100]. – [abstrakt z podujatia - KP]. – SCO In: Public recreation and landscape protection - with sense hand in hand! [textový dokument (print)] [elektronický dokument] : conference proceedings / Fialová, Jitka [Zostavovateľ, editor]. – st. vyd. – Brno (Česko) : Mendelova univerzita v Brně, 2021. – ISBN 978-80-7509-779-8. – ISBN (online) 978-80-7509-780-4. – ISSN 2336-6311. – ISSN (online) 2336-632X, s. 205-208 [tlačená forma] [online] </t>
  </si>
  <si>
    <t xml:space="preserve">Globalization and Development of Shared Service Centers in V4 Countries / Urbaníková, Marta [Autor, UKFFPVUMI, 50%] ; Štubňová, Michaela [Autor, UKFFPVUMI, 50%] ; Silk Road 2019, 14 [11.10.2019-12.10.2019, Tbilisi, Gruzínsko]. – text. – [angličtina]. – [OV 060]. – [abstrakt z podujatia - KP]. – [recenzované] In: Silk Road 2019 [elektronický dokument] : Globalization: Trendsand Perspectives. 14 International Silk Roadth Conference, October 11-12, 2019 Tbilisi, Georgia / Arslan, Mustafa [Zostavovateľ, editor] ; Amaglobeli, Givi [Zostavovateľ, editor]. – 1. vyd. – Tbilisi (Gruzínsko) : International Black Sea University, 2019. – ISBN 978-9941-8-2211-7, s. 32-36 [tlačená forma] </t>
  </si>
  <si>
    <t xml:space="preserve">Chronická bolesť pri gynekologicko-onkologických ochoreniach / Slamková, Alica [Autor, UKFFSVKOS, 34%] ; Poledníková, Ľubica [Autor, UKFFSVKOS, 33%] ; Archalousová, Alexandra [Autor, UKFFSVKOS, 33%] ; Cesta poznávání a vzdělávání v ošetřovatelství, 10 [07.05.2019, Plzeň, Česko]. – text. – [slovenčina]. – [OV 180]. – [abstrakt z podujatia - KP] In: Cesta poznávání a vzdělávání v ošetřovatelství X. a jarní konference ČAS Region plzeňský "Péče o pečující" [textový dokument (print)] : kongres s mezinárodními příspěvky, konaný v Plzni dne 7.5.2019 : recenzovaný sborník z kongresu s mezinárodními příspěvky / Frei, Jiří [Zostavovateľ, editor] ; Frei, Jiří [Recenzent] ; Krocová, Jitka [Recenzent] ; Hofman, Sam [Recenzent]. – 1. vyd. – Plzeň (Česko) : Západočeská univerzita v Plzni, 2019. – ISBN 978-80-261-0861-0, s. 196-211 </t>
  </si>
  <si>
    <t xml:space="preserve">Impact of Big Five Personality Traits on Academic Performance of University Students / Tomšik, Robert [Autor, UKFPFAKPE, 100%] ; Řehan, Vladimír [Recenzent] ; Lečbych, Martin [Recenzent] ; PhD existence 2018, 8 [31.01.2018-01.02.2018, Olomouc, Česko]. – text. – [slovenčina]. – [OV 060]. – [abstrakt z podujatia - KP] In: PhD Existence 2018 [elektronický dokument] : nekonečno v psychologii = sborník příspěvků / Mierová, Eva [Zostavovateľ, editor] ; Viktorová, Lucie [Zostavovateľ, editor] ; Suchá, Jaroslava [Zostavovateľ, editor] ; Dolejš, Martin [Zostavovateľ, editor]. – 1. vyd. – Olomouc (Česko) : Univerzita Palackého v Olomouci, 2018. – (Acta Iuridica Olomucensia : Sborníky). – ISBN 978-80-244-5339-2, s. 53-61 [online] </t>
  </si>
  <si>
    <t xml:space="preserve">Impact of COVID-19 on accelaration of education innovation process : every medal has its reverse and obverse / Hašková, Alena [Autor, UKFPFAKTT, 50%] ; Šebo, Miroslav [Autor, UKFPFAKTT, 50%] ; Acceleration of innovative processes in the education system [29.04.2021, Qarshi, Uzbekistan]. – [angličtina]. – [OV 010]. – [abstrakt z podujatia - KP] In: Acceleration of innovative processes in the education system [textový dokument (print)] : materials of the international scientific-practical conference on theme "Acceleration of innovative processes in the education system, Marshi, Uzbekistan,  April 29, 2021 / [bez zostavovateľa] [Zostavovateľ, editor] ; Daniyeva, Maysara [Recenzent] ; Mallayev, Amin [Recenzent]. – 1. vyd. – Qarshi (Uzbekistan) : Qarshi University, 2021. – ISBN 978-9943-18-293-6, s. 23-31 </t>
  </si>
  <si>
    <t xml:space="preserve">Importance of Beekeeping and its Current State in Slovakia / Levický, Michal [Autor, UKFFPVUMI, 100%] ; Silk Road 2019, 14 [11.10.2019-12.10.2019, Tbilisi, Gruzínsko]. – text. – [angličtina]. – [OV 060]. – [abstrakt z podujatia - KP]. – [recenzované] In: Silk Road 2019 [elektronický dokument] : Globalization: Trendsand Perspectives. 14 International Silk Roadth Conference, October 11-12, 2019 Tbilisi, Georgia / Arslan, Mustafa [Zostavovateľ, editor] ; Amaglobeli, Givi [Zostavovateľ, editor]. – 1. vyd. – Tbilisi (Gruzínsko) : International Black Sea University, 2019. – ISBN 978-9941-8-2211-7, s. 51-55 [tlačená forma] </t>
  </si>
  <si>
    <t xml:space="preserve">Instruments for Testing Reading Comprehension / Gadušová, Zdenka [Autor, UKFFFAKAA, 20%] ; Lalinská, Mária [Autor, UKFFFAKRO, 40%] ; Stranovská, Eva [Autor, UKFFFAKGE, 40%] ; Sahiner, Mehmet [Recenzent] ; Parjanadze, Nikoloz [Recenzent] ; IRCEELT 2019, 9 [03.05.2019-04.05.2019, Tbilisi, Gruzínsko]. – text. – [angličtina]. – [OV 010]. – [abstrakt z podujatia - KP] In: IRCEELT 2019 : Proceedings book from 9th International Research Conference on Education, Language and Literature, Tbilisi, 3rd to 4th May 2019 / Doghonadze, Natela [Zostavovateľ, editor]. – 1. vyd. – Roč. 9. – Tbilisi (Gruzínsko) : International Black Sea University, 2019. – ISSN 2298-0180, s. 248-259 </t>
  </si>
  <si>
    <t xml:space="preserve">Integration of science, teaching and learning in teacher training in terms of higher education / Récka, Adriana [Autor, UKFPFAKVV, 100%] ; Science, Teaching, Learning - Problems and Perspectives [25.10.2019, Užice, Srbsko]. – [angličtina]. – [OV 010]. – [abstrakt z podujatia - KP] In: Science, Teaching, Learning [textový dokument (print)] : Problems and Perspectives.Proceedings from International Conference, Užice 25th October 2019 / Marinković, Snežana [Zostavovateľ, editor] ; Bjekih, Dragana [Recenzent] ; Bojovih, Žana [Recenzent]. – 1. vyd. – Užice (Srbsko) : Faculty of Eduaction, 2019. – ISBN 978-86-6191-059-3, s. 71-80 </t>
  </si>
  <si>
    <t xml:space="preserve">Kafka’s The Metamorphosis as an „Identified Stereophonic Composition“: A Few Notes on the Radio Drama by Josef Henke (in the Context of Some Film and Television Variations) / Mikulášek, Alexej [Autor, UKFFSSUSJ, 100%] ; Silk Road 2019, 14 [11.10.2019-12.10.2019, Tbilisi, Gruzínsko]. – text. – [angličtina]. – [OV 080]. – [abstrakt z podujatia - KP]. – [recenzované] In: Silk Road 2019 [elektronický dokument] : Globalization: Trendsand Perspectives. 14 International Silk Roadth Conference, October 11-12, 2019 Tbilisi, Georgia / Arslan, Mustafa [Zostavovateľ, editor] ; Amaglobeli, Givi [Zostavovateľ, editor]. – 1. vyd. – Tbilisi (Gruzínsko) : International Black Sea University, 2019. – ISBN 978-9941-8-2211-7, s. 72-81 [tlačená forma] </t>
  </si>
  <si>
    <t xml:space="preserve">Momentul romanesc "Decembrie 1989" sau o introducere diletanta pentru un documentar la nivel amator / Kopecký, Peter [Autor, UKFFFAKTR, 100%] ; Páleníková, Jana [Recenzent] ; Oprescu, Florin [Recenzent] ; Literatura închisorilor. Diasporă. Disidență, 3 [08.06.2018-09.06.2018, Baia Mare, Rumunsko]. – [rumunčina]. – [OV 030]. – [abstrakt z podujatia - KP] In: Literatura închisorilor : diasporă - disidenţă : comunicări prezentate în cadrul Colocviilor Internaţionale Interdisciplinare "Nicolae Steinhardt" : ediţia a III-a, 8-9 iunie 2018 / Sitar-Taut, Daniela Monica [Zostavovateľ, editor] ; Dorle, Maria Alina [Zostavovateľ, editor]. – 1. vyd. – Baia Mare (Rumunsko) : Actaeon Books, 2018. – ISBN 978-606-94705-1-0, s. 257-263 </t>
  </si>
  <si>
    <t xml:space="preserve">Ošetrovateľská diagnóza zvýšený objem tekutín 00026 v kardiologickom ošetrovateľstve / Líšková, Miroslava [Autor, UKFFSVKOS, 50%] ; Mesárošová, Jozefína [Autor, UKFFSVKOS, 50%] ; Cesta poznávání a vzdělávání v ošetřovatelství, 10 [07.05.2019, Plzeň, Česko]. – text. – [slovenčina]. – [OV 180]. – [abstrakt z podujatia - KP] In: Cesta poznávání a vzdělávání v ošetřovatelství X. a jarní konference ČAS Region plzeňský "Péče o pečující" [textový dokument (print)] : kongres s mezinárodními příspěvky, konaný v Plzni dne 7.5.2019 : recenzovaný sborník z kongresu s mezinárodními příspěvky / Frei, Jiří [Zostavovateľ, editor] ; Frei, Jiří [Recenzent] ; Krocová, Jitka [Recenzent] ; Hofman, Sam [Recenzent]. – 1. vyd. – Plzeň (Česko) : Západočeská univerzita v Plzni, 2019. – ISBN 978-80-261-0861-0, s. 163-179 </t>
  </si>
  <si>
    <t xml:space="preserve">Participácia rádu svätého Jána Jeruzalemského na snahe Ondreja II. oslobodiť Svätú zem / Filo, Jozef [Autor, UKFFFAKHI, 100%] ; Pars academia 2019 [27.11.2019-28.11.2019, Ústi nad Labem, Česko]. – text. – [slovenčina]. – [OV 030]. – [abstrakt z podujatia - KP] In: Svoboda v kontextu střední Evropy / Sláma, Lukáš [Zostavovateľ, editor] ; Salavová, Mirka [Zostavovateľ, editor] ; Drška, Václav [Recenzent] ; Veselý, Martin [Recenzent]. – 1. vyd. – Ústí nad Labem (Česko) : Univerzita Jana Evangelisty Purkyně v Ústí nad Labem, 2019. – ISBN 978-80-7561-286-1, s. 150-165 [tlačená forma] </t>
  </si>
  <si>
    <t xml:space="preserve">Rizikové faktory osteoporózy v slovenskej populácii 40 a viacročných / Spáčilová, Zuzana [Autor, UKFFSVKOS, 45%] ; Zrubcová, Dana [Autor, UKFFSVKOS, 45%] ; Tináková, Simona [Autor, 10%] ; Cesta poznávání a vzdělávání v ošetřovatelství, 10 [07.05.2019, Plzeň, Česko]. – text. – [čeština]. – [OV 180]. – [abstrakt z podujatia - KP] In: Cesta poznávání a vzdělávání v ošetřovatelství X. a jarní konference ČAS Region plzeňský "Péče o pečující" [textový dokument (print)] : kongres s mezinárodními příspěvky, konaný v Plzni dne 7.5.2019 : recenzovaný sborník z kongresu s mezinárodními příspěvky / Frei, Jiří [Zostavovateľ, editor] ; Frei, Jiří [Recenzent] ; Krocová, Jitka [Recenzent] ; Hofman, Sam [Recenzent]. – 1. vyd. – Plzeň (Česko) : Západočeská univerzita v Plzni, 2019. – ISBN 978-80-261-0861-0, s. 120-137 </t>
  </si>
  <si>
    <t xml:space="preserve">Sociálno-edukačná starostlivosť sociálneho pedagóga o aktérov kyberšikanovania / Határ, Ctibor [Autor, UKFPFAKPE, 100%] ; Socialia 2016 [03.11.2016-04.11.2016, Dąbrowa Górnicza, Poľsko]. – [slovenčina]. – [OV 010]. – [abstrakt z podujatia - KP] In: SOCIALIA 2016 [textový dokument (print)] : E-świat bez granic i uprzedzeń. Pedagogika społeczna w zmieniającym się świecie. Sąsiedztwo - środowisko życia jako dialog kultur i ludzi, międzynarodowa konferencja naukowa, Dąbrowa Górnicza 3.11.2016 / Morbitzer, Janusz [Zostavovateľ, editor] ; Wrońska, Marta [Recenzent]. – 1. vyd. – Dąbrowa Górnicza (Poľsko) : Akademia WSB, 2018. – ISBN 978-83-65621-08-5, s. 173-182 [tlačená forma] </t>
  </si>
  <si>
    <t xml:space="preserve">Stylistic aspects of vocal interpretation in the context of non-art music / Štrbák Pandiová, Iveta [Autor, UKFPFAKHU, 100%] ; SGEM 2018, 5 [26.08.2018-01.09.2018, Albena, Bulharsko]. – [angličtina]. – [OV 010]. – [abstrakt z podujatia - KP]. – [recenzované] In: SGEM 2018 conference proceedings (6.2. Science and Arts : history of art, fine art, contemporary art, performing and visual art, cultural studies, literature and poetry, ethnology and folklore) [textový dokument (print)] / [bez zostavovateľa] [Zostavovateľ, editor]. – 1. vyd. – Roč. 5. – Sofia (Bulharsko) : STEF92 Technology, 2018. – ISBN 978-619-7408-61-4. – ISSN 2367-5659, s. 239-244 [tlačená forma] </t>
  </si>
  <si>
    <t xml:space="preserve">The Level of Circular Economy in Slovakia on the Basis of Selected Indicators / Levický, Michal [Autor, UKFFPVUMI, 50%] ; Fiľa, Milan [Autor, UKFFPVUMI, 50%] ; SILKROAD 2020, 15 [09.10.2020-10.10.2020, Tbilisi, Gruzínsko]. – text. – [angličtina]. – [OV 060]. – [abstrakt z podujatia - KP] In: SILKROAD 2020 [elektronický dokument] : 15th International Silk Road Virtual Conference will be organized in Tbilisi, Georgia, October 9-10, 2020 / Mustafa, Arslan [Zostavovateľ, editor] ; Givi, Amaglobeli [Zostavovateľ, editor]. – 1. vyd. – Roč. 15. – Tbilisi (Gruzínsko) : International Black Sea University, 2020. – ISBN 978-9941-8-2892-8, s. 67-73 </t>
  </si>
  <si>
    <t xml:space="preserve">Use of Artificial Neural Networks in Risk Management / Urbaníková, Marta [Autor, UKFFPVUMI, 50%] ; Štubňová, Michaela [Autor, UKFFPVUMI, 50%] ; Silk Road 2019, 14 [11.10.2019-12.10.2019, Tbilisi, Gruzínsko]. – text. – [angličtina]. – [OV 060]. – [abstrakt z podujatia - KP]. – [recenzované] In: Silk Road 2019 [elektronický dokument] : Globalization: Trendsand Perspectives. 14 International Silk Roadth Conference, October 11-12, 2019 Tbilisi, Georgia / Arslan, Mustafa [Zostavovateľ, editor] ; Amaglobeli, Givi [Zostavovateľ, editor]. – 1. vyd. – Tbilisi (Gruzínsko) : International Black Sea University, 2019. – ISBN 978-9941-8-2211-7, s. 8-13 [tlačená forma] </t>
  </si>
  <si>
    <t xml:space="preserve">Validace vybraných ošetřovatelských intervencí v rámci kurrikula sester - oblast dokumentace / Archalousová, Alexandra [Autor, UKFFSVKOS, 34%] ; Poledníková, Ľubica [Autor, UKFFSVKOS, 33%] ; Slamková, Alica [Autor, UKFFSVKOS, 33%] ; Cesta poznávání a vzdělávání v ošetřovatelství, 10 [07.05.2019, Plzeň, Česko]. – text. – [čeština]. – [OV 180]. – [abstrakt z podujatia - KP] In: Cesta poznávání a vzdělávání v ošetřovatelství X. a jarní konference ČAS Region plzeňský "Péče o pečující" [textový dokument (print)] : kongres s mezinárodními příspěvky, konaný v Plzni dne 7.5.2019 : recenzovaný sborník z kongresu s mezinárodními příspěvky / Frei, Jiří [Zostavovateľ, editor] ; Frei, Jiří [Recenzent] ; Krocová, Jitka [Recenzent] ; Hofman, Sam [Recenzent]. – 1. vyd. – Plzeň (Česko) : Západočeská univerzita v Plzni, 2019. – ISBN 978-80-261-0861-0, s. 212-228 </t>
  </si>
  <si>
    <t xml:space="preserve">Validace vybraných ošetřovatelských intervencí v rámci kurrikula sester - oblast sledování a záznamu bolesti / Archalousová, Alexandra [Autor, UKFFSVKOS, 25%] ; Frei, Jiří [Autor, 25%] ; Krištofová, Erika [Autor, UKFFSVKOS, 25%] ; Pavelová, Ľuboslava [Autor, UKFFSVKOS, 25%] ; Cesta poznávání a vzdělávání v ošetřovatelství, 10 [07.05.2019, Plzeň, Česko]. – text. – [čeština]. – [OV 180]. – [abstrakt z podujatia - KP] In: Cesta poznávání a vzdělávání v ošetřovatelství X. a jarní konference ČAS Region plzeňský "Péče o pečující" [textový dokument (print)] : kongres s mezinárodními příspěvky, konaný v Plzni dne 7.5.2019 : recenzovaný sborník z kongresu s mezinárodními příspěvky / Frei, Jiří [Zostavovateľ, editor] ; Frei, Jiří [Recenzent] ; Krocová, Jitka [Recenzent] ; Hofman, Sam [Recenzent]. – 1. vyd. – Plzeň (Česko) : Západočeská univerzita v Plzni, 2019. – ISBN 978-80-261-0861-0, s. 180-195 </t>
  </si>
  <si>
    <t xml:space="preserve">Voice Quality as a Turn-Taking Cue / Heldner, Mattias [Autor, 25%] ; Włodarczak, Marcin [Autor, 25%] ; Beňuš, Štefan [Autor, UKFFFAKAA, 25%] ; Gravano, Augustin [Autor, 25%] ; Interspeech 2019 [15.09.2019-19.09.2019, Graz, Rakúsko]. – [angličtina]. – [OV 020]. – [abstrakt z podujatia - KP]. – SCO In: Interspeech 2019 [elektronický dokument] : conference proceedings, Graz, 15-19 September 2019 / Kubin, Gemot [Zostavovateľ, editor] ; Kačič, Zdravko [Zostavovateľ, editor]. – 1. vyd. – Graz (Rakúsko) : International Science Community Association, 2019. – ISSN 1990-9772, s. 4165-4169 [online] </t>
  </si>
  <si>
    <t xml:space="preserve">Významnosť ošetrovateľských intervencií pri chronickej bolesti / Poledníková, Ľubica [Autor, UKFFSVKOS, 30%] ; Slamková, Alica [Autor, UKFFSVKOS, 30%] ; Archalousová, Alexandra [Autor, UKFFSVKOS, 30%] ; Eremiášová, Diana [Autor, 10%] ; Cesta poznávání a vzdělávání v ošetřovatelství, 10 [07.05.2019, Plzeň, Česko]. – text. – [slovenčina]. – [OV 180]. – [abstrakt z podujatia - KP] In: Cesta poznávání a vzdělávání v ošetřovatelství X. a jarní konference ČAS Region plzeňský "Péče o pečující" [textový dokument (print)] : kongres s mezinárodními příspěvky, konaný v Plzni dne 7.5.2019 : recenzovaný sborník z kongresu s mezinárodními příspěvky / Frei, Jiří [Zostavovateľ, editor] ; Frei, Jiří [Recenzent] ; Krocová, Jitka [Recenzent] ; Hofman, Sam [Recenzent]. – 1. vyd. – Plzeň (Česko) : Západočeská univerzita v Plzni, 2019. – ISBN 978-80-261-0861-0, s. 138-162 </t>
  </si>
  <si>
    <t>AFB - Publikované pozvané príspevky na domácich vedeckých konferenciách</t>
  </si>
  <si>
    <t xml:space="preserve">Aktivizujúce metódy a ich využitie pri dištančnom vzdelávaní BOZP / Tureková, Ivana [Autor, UKFPFAKTT, 60%] ; Harangozó, Jozef [Autor, 40%] ; Aktuálne otázky bezpečnosti práce, 33 [01.12.2020-02.12.2020, Košice, Slovensko]. – text. – [slovenčina, angličtina]. – [OV 010, 170]. – [abstrakt z podujatia - KP] In: Aktuálne otázky bezpečnosti práce [elektronický dokument] / [bez zostavovateľa] [Zostavovateľ, editor]. – 1. vyd. – Košice (Slovensko) : Technická univerzita v Košiciach, 2020. – ISBN (online) 978-80-553-3685-5, s. 128-135 [USB kľúč] </t>
  </si>
  <si>
    <t xml:space="preserve">Alternatívy a otázniky pri implementácii programu filozofia pre deti / Pintes, Gábor [Autor, UKFPFAKPE, 50%] ; Borisová, Simona [Autor, UKFPFAKPE, 50%] ; Kritické myslenie a filozofická reflexia v edukácii [15.01.2019, Banská Bystrica, Slovensko]. – text. – [slovenčina]. – [OV 010, 020]. – [abstrakt z podujatia - KP] In: Kritické myslenie a filozofická reflexia v edukácii [elektronický dokument] : zborník štúdií z vedeckého kolokvia / Kaliský, Ján [Zostavovateľ, editor] ; Javorská, Andrea [Recenzent] ; Platková Olejárová, Gabriela [Recenzent]. – 1. vyd. – Banská Bystrica (Slovensko) : Univerzita Mateja Bela v Banskej Bystrici. Vydavateľstvo Univerzity Mateja Bela v Banskej Bystrici - Belianum, 2020. – ISBN 978-80-557-1673-2, s. 41-52 [online] </t>
  </si>
  <si>
    <t xml:space="preserve">Deti ako filozofi: výchova charakteru a rozvoj myslenia - vzťah obsahu a procesu P4C / Pintes, Gábor [Autor, UKFPFAKPE, 50%] ; Borisová, Simona [Autor, UKFPFAKPE, 50%] ; Kultivácia charakteru a rozvoj vzdelanej mysle prostredníctvom kritického myslenia [29.04.2021, Prešov, Slovensko]. – text. – [slovenčina]. – [OV 010]. – [abstrakt z podujatia - KP] In: Kultivácia charakteru a rozvoj vzdelanej mysle prostredníctvom kritického myslenia [elektronický dokument] : zborník vedeckých štúdií z medzinárodnej vedeckej konferencie / Knapík, Ján [Zostavovateľ, editor] ; Ištvan, Imrich [Zostavovateľ, editor] ; Lapko, Róbert [Recenzent] ; Maturkanič, Patrik [Recenzent]. – 1. vyd. – Prešov (Slovensko) : Prešovská univerzita v Prešove, 2021. – ISBN 978-80-555-2772-7. – SIGN-PU FHPV-21 170/21, s. 11-17 [DVD] </t>
  </si>
  <si>
    <t xml:space="preserve">Implementácia nových prvkov do systému riadenia bezpečnosti a ochrany zdravia pri práci podľa normy ISO 45001 = Implementation of new elements into the occupational health and safety management system according to ISO 45001 / Tureková, Ivana [Autor, UKFPFAKTT, 50%] ; Marková, Iveta [Autor, ZUZFBIPŽI, 50%] ; Aktuálne otázky bezpečnosti práce 2019, 32 [04.12.2019-06.12.2019, Vysoké Tatry, Slovensko]. – text. – [slovenčina]. – [OV 170, 230, 010]. – [abstrakt z podujatia - KP] In: Aktuálne otázky bezpečnosti práce [elektronický dokument] / Gorzás, Michal [Zostavovateľ, editor]. – 1. vyd. – Košice (Slovensko) : Technická univerzita v Košiciach, 2019. – ISBN 978-80-553-3434-9, s. [1-8] [CD-ROM] </t>
  </si>
  <si>
    <t xml:space="preserve">Jazyk a asociačno-obrazné osvojovanie poznatkov / Kováčová, Zuzana [Autor, UKFFFASJL, 100%] ; Inovatívne trendy v odborových didaktikách [21.11.2018, Nitra, Slovensko]. – text. – [slovenčina]. – [OV 010]. – [abstrakt z podujatia - KP] In: Inovatívne trendy v odborových didaktikách [textový dokument (print)] : prepojenie teórie a praxe výučbových stratégií kritického a tvorivého myslenia : zborník štúdií z medzinárodnej vedeckej konferencie, Nitra 21. november 2018 / Duchovičová, Jana [Zostavovateľ, editor] ; Hošová, Dominika [Zostavovateľ, editor] ; Koleňáková, Rebeka Štefánia [Zostavovateľ, editor] ; Bílek, Martin [Recenzent] ; Komora, Juraj [Recenzent]. – 1. vyd. – Nitra (Slovensko) : Univerzita Konštantína Filozofa v Nitre, 2019. – ISBN 978-80-558-1408-7, s. 424-433 [tlačená forma] </t>
  </si>
  <si>
    <t xml:space="preserve">Kompetence k učení a technická výchova v kontextu primárního vzdělávání v České republice / Bečvářová, Ivana [Autor, 50%] ; Tomková, Viera [Autor, UKFPFAKTT, 50%] ; Lukáčová, Danka [Recenzent] ; Depešová, Jana [Recenzent] ; Vzájomná informovanosť - cesta k efektívnemu rozvoju vedecko-pedagogickej činnosti [21.06.2016, Nitra, Slovensko]. – text. – [slovenčina]. – [OV 010]. – [abstrakt z podujatia - KP] In: Vzájomná informovanosť - cesta k efektívnemu rozvoju vedecko-pedagogickej činnosti : zborník z medzinárodnej konferencie / Bánesz, Gabriel [Zostavovateľ, editor]. – 1. vyd. – Nitra (Slovensko) : Univerzita Konštantína Filozofa v Nitre, 2018. – ISBN 978-80-558-1369-1, s. 25-31 [tlačená forma] </t>
  </si>
  <si>
    <t xml:space="preserve">Magyar szülő egyenlő magyar gyermek? / Mészárosová, Zuzana [Autor, UKFFFAKPO, 100%] ; Mészáros, András [Recenzent] ; Szapuová, Mariana [Recenzent] ; Gyermekek kisebbségben [02.06.2017-03.06.2017, Šamorín, Slovensko]. – [maďarčina]. – [OV 060]. – [abstrakt z podujatia - KP] In: Gyermekek kisebbségben [textový dokument (print)] : konferenciakötet a kisebbségben (is) élő gyermekekről, Somorján 2017. június 2-3 / Bott, Lívia [Zostavovateľ, editor]. – 1. – Šamorín (Slovensko) : FutuReg, 2018. – ISBN 978-80-570-0192-8, s. 17-23 </t>
  </si>
  <si>
    <t xml:space="preserve">Monitorovanie oxidu uhličitého v školskom prostredí / Tureková, Ivana [Autor, UKFPFAKTT, 100%] ; Aktuálne otázky bezpečnosti práce, 31 [12.11.2018-14.11.2018, Štrbské Pleso, Slovensko]. – text. – [slovenčina]. – [OV 010]. – [abstrakt z podujatia - KP]. – [recenzované] In: Aktuálne otázky bezpečnosti práce : 31. medzinárodná konferencia BOZP / [bez zostavovateľa] [Zostavovateľ, editor]. – 1. vyd. – Košice (Slovensko) : Technická univerzita v Košiciach, 2018. – ISBN 978-80-553-2784-6, s. 1-7 [USB kľúč] </t>
  </si>
  <si>
    <t xml:space="preserve">Monitorovanie pšenice letnej formy ozimnej (Triticum aestivum L.) prostredníctvom diaľkového prieskumu Zeme = Monitoring of winter wheat (Triticum aestivum L.) through remote sensing of the Earth / Košánová, Svetlana [Autor, UKFFPVKEE, 100%] ; Študentská vedecká konferencia 2021 [14.04.2021, Nitra, Banská Bystrica, Slovensko]. – text. – [slovenčina]. – [OV 100]. – [abstrakt z podujatia - KP] In: Študentská vedecká konferencia 2021 Fakulty prírodných vied Univerzity Konštantína Filozofa v Nitre a Fakulty prírodných vied Univerzity Mateja Bela v Banskej Bystrici [textový dokument (print)] : zborník recenzovaných príspevkov / Francisti, Jan [Zostavovateľ, editor] ; Fodor, Kristián [Zostavovateľ, editor]. – 1. vyd. – Nitra (Slovensko) : Univerzita Konštantína Filozofa v Nitre ; Banská Bystrica (Slovensko) : Univerzita Mateja Bela v Banskej Bystrici, 2021. – (Prírodovedec ; 756). – ISBN 978-80-558-1712-5, s. 31-36 [tlačená forma] </t>
  </si>
  <si>
    <t xml:space="preserve">Puberta ako výchovný problém / Komárik, Emil [Autor, UKFPFAKAP, 100%] ; Žolnová, Jarmila [Recenzent] ; Jablonský, Tomáš [Recenzent] ; Križovatky, 9 [12.10.2017-13.10.2017, Bratislava, Slovensko]. – text. – [slovenčina]. – [OV 060]. – [abstrakt z podujatia - KP] In: Križovatky [textový dokument (print)] : vychovávajme príkladom / Hudečková, Viera [Zostavovateľ, editor] ; Bryndzák, Pavel [Zostavovateľ, editor]. – 1. vyd. – Roč. 9. – Bratislava (Slovensko) : Diagnostické centrum Záhorská Bystrica, 2018. – ISBN 978-80-972188-7-4, s. 50-54 [tlačená forma] </t>
  </si>
  <si>
    <t xml:space="preserve">Scénografie Jozefa Cillera v Českej republike / Inštitorisová, Dagmar [Autor, UKFFFAKMR, 100%] ; Česká a slovenská vzájomnosť v profesionálnom divadle po roku 1993 [05.11.2020-06.11.2020, Bratislava, Slovensko]. – [slovenčina]. – [OV 060]. – [abstrakt z podujatia - KP] In: Česká a slovenská vzájomnosť v profesionálnom divadle a tanci od roku 1993 [textový dokument (print)] : Zborník príspevkov z teatrologického kolokvia / Mišovic, Karol [Zostavovateľ, editor] ; Černá, Kamila [Recenzent] ; Godovič, Marek [Recenzent] ; Juráni, Miloslav [Recenzent]. – 1. vyd. – Bratislava (Slovensko) : Divadelný ústav, 2021. – ISBN 978-80-8190-048-8, s. 97-113 [tlačená forma] </t>
  </si>
  <si>
    <t xml:space="preserve">The BBC micro:bit in Slovakia / Kvaššayová, Nika [Autor, UKFFPVKIN, 25%] ; Mansell, Marek [Autor, 25%] ; Cápay, Martin [Autor, UKFFPVKIN, 25%] ; Bellayová, Magdaléna [Autor, 25%] ; Information and digital technologies 2021 [22.06.2021-24.06.2021, Žilina, Slovensko]. – text. – [angličtina]. – [OV 160]. – [abstrakt z podujatia - KP]. – [recenzované]. – DOI 10.1109/IDT52577.2021.9497573. – SCO In: Information and digital technologies 2021 [elektronický dokument] : proceedings of the international conference / [bez zostavovateľa] [Zostavovateľ, editor]. – 1. vyd. – Danvers (USA) : Institute of Electrical and Electronics Engineers, 2021. – ISBN 978-1-6654-3692-2, s. 359-365 </t>
  </si>
  <si>
    <t xml:space="preserve">Validace vybraných intervencí v porodní asistenci oblast péče o ženu v šestinedělí / Archalousová, Alexandra [Autor, UKFFSVKOS, 100%] ; Quo vadis zdravotníctvo IV. Nové trendy v zdravotníckych vedách, 4 [24.10.2019, Prešov, Slovensko]. – text. – [čeština]. – [OV 180]. – [abstrakt z podujatia - KP] In: Quo vadis zdravotníctvo. Nové trendy v zdravotníckych vedách (IV) [elektronický dokument] : zborník : proceedings of conference : medzinárodná vedecká konferencia / Mikuľáková, Wioletta [Zostavovateľ, editor] ; Andraščíková, Ľudmila [Zostavovateľ, editor] ; Fertaľová, Terézia [Zostavovateľ, editor] ; Kendrová, Lucia [Zostavovateľ, editor] ; Lizáková, Ľubomíra [Zostavovateľ, editor] ; Rybárová, Ľubica [Zostavovateľ, editor] ; Reľovská, Martina [Zostavovateľ, editor] ; Andraščíková, Štefánia [Recenzent] ; Derňarová, Ľubica [Recenzent]. – 1. vyd. – Prešov (Slovensko) : Prešovská univerzita v Prešove, 2019. – ISBN (online) 978-80-555-2311-8. – SIGN-PU FZ-19 115/19, s. 272-281 [online] </t>
  </si>
  <si>
    <t xml:space="preserve">Vysokoškolská estetika v kontexte metodológie Nitrianskej školy / Malíčková, Michaela [Autor, UKFFFAULK, 100%] ; Súradnice estetiky, umenia a kultúry, IV [08.11.2018-09.11.2018, Prešov, Slovensko]. – text. – [slovenčina]. – [OV 020]. – [abstrakt z podujatia - KP] In: Súradnice estetiky, umenia a kultúry IV [textový dokument (print)] : študovať estetiku: koncepcie, stratégie a súvislosti štúdia estetiky na Slovensku a v zahraničí = studying aesthetics: aesthetics studies`concepts, strategies and context in Slovakia and abroad / Kvokačka, Adrián [Zostavovateľ, editor] ; Migašová, Jana [Zostavovateľ, editor] ; Mistrík, Erich [Recenzent] ; Sošková, Jana [Recenzent]. – 1. vyd. – Prešov (Slovensko) : Prešovská univerzita v Prešove. Filozofická fakulta, 2019. – (Opera Philosophica ; 17/2019). – ISBN 978-80-555-2310-1. – SIGN-PU FF-19 340/19, s. 33-40 [tlačená forma] </t>
  </si>
  <si>
    <t xml:space="preserve">Žiak s odlišným materinským jazykom na hodinách slovenského jazyka a slovenskej literatúry / Jóbová Sziveková, Katarína [Autor, UKFFFAKSJ, 100%] ; Kolokvium mladých jazykovedcov, 27 [21.11.2018-23.11.2018, Banská Bystrica  - Šachtičky, Slovensko]. – text. – [slovenčina]. – [OV 010]. – [abstrakt z podujatia - KP] In: Varia 27 [elektronický dokument] : zborník príspevkov z 27. kolokvia mladých jazykovedcov / Molnárová, Patrícia [Zostavovateľ, editor] ; Rožai, Gabriel [Zostavovateľ, editor] ; Krško, Jaromír [Recenzent] ; David, Jaroslav [Recenzent]. – 1. vyd. – Banská Bystrica (Slovensko) : Univerzita Mateja Bela v Banskej Bystrici. Vydavateľstvo Univerzity Mateja Bela v Banskej Bystrici - Belianum, 2019. – (Filozofická fakulta). – ISBN 978-80-557-1631-2, s. 56-62 [online] </t>
  </si>
  <si>
    <t>AFC - Publikované príspevky na zahraničných vedeckých konferenciách</t>
  </si>
  <si>
    <t xml:space="preserve">"Population pressure" and development models for Southeastern Europe Interactions between German and Southeastern European economists, 1930-1945 / Innerhofer, Ian [Autor, UKFFFAKGE, 100%] ; Conference on The European People - European Concepts and Transnational Networks in the National Socialist Area of Influence (1933-1945) [04.07.2013-06.07.2013, Klagenfurt, Nemecko]. – text. – [angličtina]. – [OV 020]. – [abstrakt z podujatia - KP]. – [recenzované]. – WOS CC In: NEW NATIONALIST EUROPE UNDER HITLER: CONCEPTS OF EUROPE AND TRANSNATIONAL NETWORKS IN THE NATIONAL SOCIALIST SPHERE OF INFLUENCE, 1933-1945 / [bez zostavovateľa] [Zostavovateľ, editor]. – Oxford (Veľká Británia) : Taylor &amp; Francis Group. Routledge, 2019. – ISBN 978-1-138-07895-6. – ISBN (online) 978-1-315-11444-6, 152-175 </t>
  </si>
  <si>
    <t xml:space="preserve">"You Can't Bamboozle Anyone! It has to taste good!" : Contemporary Music-related Terminology Used Among Village Band Players in Slovakia / Ambrózová, Jana [Autor, UKFFFAKEF, 100%] ; The First Symposium of the ICTM Study Group on Music and Dance of the Slavic World, 1 [13.10.2016-15.10.2016, Ľubľana, Slovinsko]. – text. – [angličtina]. – [OV 020]. – [abstrakt z podujatia - KP] In: Tradition and Transition [textový dokument (print)] : A Selection of Articles Developed from Paper Presentations at the First and the Second Symposia of the ICTM Study Group on Music and Dance of the Slavic World [he First Symposium of the ICTM Study Group on Music [and Dance] of the Slavic World. Ljubljana, 13-15 October 2016; The Second Symposium of the ICTM Study Group on Music [and Dance] of the Slavic World. Skopje, 22-24 September 2018] / Zdravkova Djeparoska, Sonja [Zostavovateľ, editor]. – 1. vyd. – Skopje (Macedónsko) : ICTM National Committee of Macedonia, 2020. – ISBN 978-608-65721-2-9, s. 287-299 </t>
  </si>
  <si>
    <t xml:space="preserve">(Kontra)revolúcia Husákových detí / Malíček, Juraj [Autor, UKFFFAULK, 100%] ; Kultura i rewolta [21.03.2018-21.03.2018, Varšava, Poľsko]. – text. – [slovenčina]. – [OV 020]. – [abstrakt z podujatia - KP] In: Kultura i rewolta. Inteligencja w starciu z wladza: wymiar srodkowoeuropejski [textový dokument (print)] : Medzinárodná polsko-česko-slovensko-ukrajinskou vedecká konferencia, Varšava 21. 3. 2018 - 22. 3. 2018 / Getka, Joanna [Zostavovateľ, editor] ; Wispsza, Alexander [Recenzent] ; Grybowski, Jerzy [Recenzent]. – Warszawa (Poľsko) : Uniwersytet Warszawski, 2019. – ISBN 978-83-917003-7-2, s. 241-250 [tlačená forma] </t>
  </si>
  <si>
    <t xml:space="preserve">“Growing up Slavic in America” memory and silence in the Slovak American literature / Židová, Diana [Autor, UKFPFAKLI, 100%] ; QUAERE 2018, 8 [27.06.2018-29.06.2018, Hradec Králové, Česko]. – text. – [angličtina]. – [OV 020]. – [abstrakt z podujatia - KP]. – [recenzované] In: QUAERE 2018 [elektronický dokument] : recenzovaný sborník příspěvků vědecké interdisciplinární mezinárodní vědecké konference doktorandů a odborných asistentů / [bez zostavovateľa] [Zostavovateľ, editor]. – 1. vyd. – Roč. 8. – Hradec Králové (Česko) : Magnanimitas akademické sdružení, 2018. – ISBN 978-80-87952-26-9, s. 1605-1611 [CD-ROM] </t>
  </si>
  <si>
    <t xml:space="preserve">A Camp of Three Totalitarian Regimes in Slovak Memoir and Fiction / Hrešková, Sylvia [Autor, UKFFSSUSJ, 50%] ; Adamická, Monika [Autor, UKFFSSUSJ, 50%] ; QUAERE 2021, 11 [28.06.2021-30.06.2021, Hradec Králové, Česko]. – text. – [angličtina]. – [OV 020]. – [abstrakt z podujatia - KP] In: QUAERE 2021 [elektronický dokument] : recenzovaný sborník příspěvků interdisciplinární mezinárodní vědecké konference doktorandů a odborných asistentů, Hradec Králové 28.6.2021 - 30.6.2021 / [bez zostavovateľa] [Zostavovateľ, editor]. – 1. vyd. – Roč. 11. – Hradec Králové (Česko) : Magnanimitas akademické sdružení, 2021. – ISBN 978-80-87952-34-4, s. 882-890 [online] </t>
  </si>
  <si>
    <t xml:space="preserve">A didactic experiment aimed at determining the effectiveness of selected teaching methods in the teaching process of chemistry [Didaktický experiment zameraný na určenie efektivity vybraných vyučovacích metód vo vyučovacom procese chémie] / Malá, Radka [Autor, UKFFPVKCH, 20%] ; Jenisová, Zita [Autor, UKFFPVKCH, 50%] ; Tokárová, Barbora [Autor, 20%] ; Ballová, Dominika [Autor, 010220, 10%] ; ICERI 2019, 12 [11.11.2019-13.11.2019, Seville, Španielsko]. – text. – [angličtina]. – [OV 010, 240]. – [abstrakt z podujatia - KP]. – WOS CC In: ICERI2019 Proceedings [elektronický dokument] : 12th International conference of education, research and innovation / Gómez Chova, Luis [Zostavovateľ, editor] ; López Martínez, Agustín [Zostavovateľ, editor] ; Candel Torres, Ignacio [Zostavovateľ, editor]. – 1. vyd. – Valencia (Španielsko) : IATED, 2019. – ISBN 978-84-09-14755-7. – ISSN 2340-1095, s. 3238-3246 [USB kľúč] </t>
  </si>
  <si>
    <t xml:space="preserve">A hazai látogatható gyárak vizsgálata az alkalmazott turizmusmarketing technikák tükrében / Pintér, Réka [Autor, 50%] ; Csapó, János [Autor, UKFFSSKCR, 50%] ; Aubert, Antal [Recenzent] ; Bujdosó, Zoltán [Recenzent] ; Generációk a turizmusban, 1 [23.03.2018, Pécs, Maďarsko]. – [maďarčina]. – [OV 080]. – [abstrakt z podujatia - KP] In: Generációk a turizmusban : Tanulmánykötet. I. Nemzetközi Turizmusmarketing Konferencia / Csapó, János [Zostavovateľ, editor]. – 1. vyd. – Pécs (Maďarsko) : Pécsi Tudományegyetem. Közgazdaságtudományi Kar, 2018. – ISBN 978-963-429-219-7, s. 23-35 </t>
  </si>
  <si>
    <t xml:space="preserve">A hegedű szerepe Szécsi Magda és Ravasz József meséiben / Tóthová, Gizela [Autor, UKFFSSUML, 100%] ; Interdiszciplinaritás a Kárpát-medencében, 1 [06.04.2018, Debrecen, Maďarsko]. – text. – [maďarčina]. – [OV 010]. – [abstrakt z podujatia - KP]. – [recenzované] In: Interdiszciplinaritás a Kárpát-medencében I. [textový dokument (print)] : Külhoni magyar doktorandusz hallgatók konferencia-előadásaiból / Boda, Attila [Zostavovateľ, editor]. – 1. vyd. – Budapest (Maďarsko) : ELTE Márton Áron Szakkollégium, 2019. – (Concordia Regionum, ISSN 2631-1208 ; zv. 1). – ISBN 978-963-489-081-2. – ISSN 2631-1208, s. 167-181 [tlačená forma] </t>
  </si>
  <si>
    <t xml:space="preserve">A két elemű számok, kvaterniók jelentősége a gyarkolatban = The importance of dual numbers and quaternions in practice / Tóth, Attila [Autor, UKFFSSUVP, 60%] ; Csáky, Antal [Autor, UKFFSSUVP, 40%] ; MAFIOK 2019, 43 [26.08.2019-28.08.2019, Dunaújvárosi, Maďarsko]. – text. – [maďarčina]. – [OV 010]. – [abstrakt z podujatia - KP] In: MAFIOK 2019 [textový dokument (print)] : matematikát, fizikát és informatikát oktatók. 43 országos konferenciájának tanulmánykötete, Dunaújvárosi, 2019. augusztus 26-28 / Kővary, Attila [Zostavovateľ, editor] ; Katona, József [Zostavovateľ, editor] ; Nagy, Balint [Recenzent] ; Joós, Antal [Recenzent]. – Dunaújvárosi (Maďarsko) : Dunaújvárosi Egyetem, 2019. – ISBN 978-963-9915-98-5, s. 19-34 </t>
  </si>
  <si>
    <t xml:space="preserve">A legszebb hét esztendő városa és a "mezítlábas pajtások" utódainak Kodály tiszteletére / Józsa, Mónika [Autor, UKFFSSUVP, 100%] ; A magyar Kodály társaság "Pécsi úttörés" konferenciájának ünnepi hangversenye [16.10.2020, Pécs, Maďarsko]. – text. – [maďarčina]. – [OV 010]. – [abstrakt z podujatia - KP] In: A magyar Kodály társaság "Pécsi úttörés" konferenciájának ünnepi hangversenye [textový dokument (print)] : 16. október 2020 / Vas, Bence [Zostavovateľ, editor] ; Kertész, Attila [Recenzent]. – 1. vyd. – Pécs (Maďarsko) : Potenton Alapítvány, 2021. – ISBN 978-963-429-802-1, s. 11-30 [tlačená forma] </t>
  </si>
  <si>
    <t xml:space="preserve">A locus problem solving in dynamic geometry environment / Kmeťová, Mária [Autor, UKFFPVKMA, 90%] ; Kmeť, Tibor [Autor, UJSEFKMI, 10%] ; ICERI 2019, 12 [11.11.2019-13.11.2019, Seville, Španielsko]. – text. – [angličtina]. – [OV 010, 160]. – [abstrakt z podujatia - KP]. – [recenzované]. – WOS CC In: ICERI2019 Proceedings [elektronický dokument] : 12th International conference of education, research and innovation / Gómez Chova, Luis [Zostavovateľ, editor] ; López Martínez, Agustín [Zostavovateľ, editor] ; Candel Torres, Ignacio [Zostavovateľ, editor]. – 1. vyd. – Valencia (Španielsko) : IATED, 2019. – ISBN 978-84-09-14755-7. – ISSN 2340-1095, s. 5060-5066 [USB kľúč] </t>
  </si>
  <si>
    <t xml:space="preserve">A nőiesség és férfiasság titkai : Boldizsár Ildikó és Szegedi Katalin Királylány születik, Királyfi születik című gyermekirodalmi ikerkönyveinek nemi sztereotípiái / Petres Csizmadia, Gabriela [Autor, UKFFSSUML, 100%] ; A mese interdiszciplináris megközelítéseicímű nemzetközi tudományos konferencia [19.05.2020, Budapest, Maďarsko]. – text. – [maďarčina]. – [OV 010]. – [abstrakt z podujatia - KP] In: Disciplina in fabula. Közelítések a meséhez [textový dokument (print)] : A mese interdiszciplináris megközelítéseicímű nemzetközi  tudományos konferencia. A konferencia időpontja: 2018. március 22. csütörtök / Lózsi, Tamás [Zostavovateľ, editor] ; Pölcz, Ádám [Zostavovateľ, editor] ; Daróczi, Gabriella [Recenzent] ; Lo Bello, Maya Jean [Recenzent]. – 1. vyd. – Budapest (Maďarsko) : ELTE Eötvös Kiadó, 2020. – ISBN 978-963-489-199-4, s. 131-139 [tlačená forma] </t>
  </si>
  <si>
    <t xml:space="preserve">A qualitative study on the implementation of digital technology in mathematics education: the teachers’ role / Boboňová, Ivana [Autor, UKFFPVKMA, 50%] ; Čeretková, Soňa [Autor, UKFFPVKMA, 50%] ; International Technology, Education and Development Conference 2019, 13 [11.03.2019-13.03.2019, Valencia, Španielsko]. – text. – [angličtina]. – [OV 010]. – [abstrakt z podujatia - KP]. – [recenzované]. – WOS CC In: INTED2019 Proceedings [elektronický dokument] : 13th International Technology, Education and Development Conference / Chova, Luis Goméz [Zostavovateľ, editor] ; López Martínez, Agustín [Zostavovateľ, editor] ; Candel Torres, Ignacio [Zostavovateľ, editor]. – 1. vyd. – Valencia (Španielsko) : IATED, 2019. – (INTED Proceedings, ISSN 2340-1079). – ISBN 978-84-09-08619-1, s. 3647-3651 [CD-ROM] [USB kľúč] </t>
  </si>
  <si>
    <t xml:space="preserve">A Reading Comprehension Survey among Hungarian Secondary Grammar School Students in Slovakia / Kázmér, Klára [Autor, UKFFSSUML, 100%] ; EDULEARN19, 11 [01.07.2019-03.07.2019, Palma de Mallorca, Španielsko]. – text. – [angličtina]. – [OV 010]. – [abstrakt z podujatia - KP]. – WOS CC In: EDULEARN19 proceedings [elektronický dokument] : 11th annual International Conference on Education and New Learning Technologies / Gómez Chova, Luis [Zostavovateľ, editor] ; López Martínez, Agustín [Zostavovateľ, editor] ; López, Agustín [Recenzent] ; Girós, Amparo [Recenzent]. – 1. vyd. – Roč. 11. – Valencia (Španielsko) : IATED, 2019. – ISBN 978-84-09-12031-4. – ISSN 2340-1117, s. 2486-2494 [CD-ROM] </t>
  </si>
  <si>
    <t xml:space="preserve">A robotika mint a 21. századi készségek fejlesztésének eszköze / Beták, Norbert [Autor, UKFFSSKCR, 100%] ; Pedagógiai változások - a változás pedagógiája [22.11.2019, Ostrihom, Maďarsko]. – text. – [maďarčina]. – [OV 010]. – [abstrakt z podujatia - KP] In: Pedagógiai változások - a változás pedagógiája [textový dokument (print)] : konferencia, Ostrihom, 22. november 2019 / Szőke-Milinte, Enikő [Zostavovateľ, editor] ; Gombocz, Orsolya [Recenzent] ; Kaposi, József [Recenzent]. – 1. vyd. – Budapest (Maďarsko) : Pázmány Péter Katolikus Egyetem, 2019. – ISBN 978-615-5224-86-7, s. 490-497 </t>
  </si>
  <si>
    <t xml:space="preserve">A szlovákiai magyar nyelvhasználat vizsgálata középiskolákban / Gál, Angelika [Autor, UKFFSSUML, 50%] ; Kozmács, István [Autor, UKFFSSUML, 50%] ; Heltai, János Imre [Recenzent] ; Tankó, Enikő [Recenzent] ; Nyelvi tájkép, nyelvi sokszínűség [22.09.2017-23.09.2017, Csíkszereda, Rumunsko]. – [maďarčina]. – [OV 010]. – [abstrakt z podujatia - KP] In: Nyelvi tájkép, nyelvi sokszínűség (Második kötet : Nyelvhasználati terek és nyelvi sokszínűség) [textový dokument (print)] / Tódor, Erika-Mária [Zostavovateľ, editor]. – 1. vyd. – Kluž (Rumunsko) : Scientia Kiadó, 2018. – ISBN 978-606-975-019-3, s. 123-134 [tlačená forma] </t>
  </si>
  <si>
    <t xml:space="preserve">A tanítási módszerek modern értelmezése / Szőköl, István [Autor, UJSPFKPD, 50%] ; Beták, Norbert [Autor, UKFFSSKCR, 50%] ; Befogadó óvoda - befogadó iskola [13.10.2020-13.10.2020, Baja, Maďarsko]. – [maďarčina]. – [OV 010]. – [abstrakt z podujatia - KP]. – [recenzované] In: Befogadó óvoda, befogadó iskola [textový dokument (print)] [elektronický dokument] / Bíró, Violetta [Zostavovateľ, editor]. – 1. vyd. – Baja (Maďarsko) : Eötvös József Főiskola, 2020. – ISBN 978-615-5429-30-9, s. 143-151 [tlačená forma] [online] </t>
  </si>
  <si>
    <t xml:space="preserve">A térlátás képességének fejlesztése / Tóth, Attila [Autor, UKFFSSUVP, 40%] ; Csáky, Antal [Autor, UKFFSSUVP, 20%] ; Nagyová Lehocká, Zuzana [Autor, UKFFSSUVP, 40%] ; 24. Apáczai-napok [19.11.2020-19.11.2020, Győr, Maďarsko]. – text. – [maďarčina]. – [OV 010]. – [abstrakt z podujatia - KP] In: Kizökkent világ - szokatlan és különleges élethelyzetek: a nemkonvenciális, nem "normális", nem kiszámítható jelenségek korszaka [elektronický dokument] / Makkos, Anikó [Zostavovateľ, editor] ; Kecskés, Petra [Zostavovateľ, editor] ; Kövecsesné Gősi, Viktória [Zostavovateľ, editor] ; Andrássy, Katalin [Recenzent] ; Baranyiné Kóczy, Judit [Recenzent]. – 1. vyd. – Győr (Maďarsko) : Széchenyi István Egyetem, 2021. – ISBN 978-615-5837-91-3, s. 253-263 [online] </t>
  </si>
  <si>
    <t xml:space="preserve">Academic Self-Concept of Gifted Pupils / Duchovičová, Jana [Autor, UKFPFAKPE, 50%] ; Hošová, Dominika [Autor, UKFPFAKPE, 50%] ; The Future of Education, 9 [27.06.2019-28.06.2019, Florence, Taliansko]. – text. – [angličtina]. – [OV 010]. – [abstrakt z podujatia - KP]. – [recenzované]. – DOI 10.26352/D627_2384-9509_2019 In: The Future of Education [elektronický dokument] : Proceedings form 9 th International Conference, Florence, 27 - 28 June 2019 / [bez zostavovateľa] [Zostavovateľ, editor]. – 1. vyd. – Florence (Taliansko) : Filodiritto Publisher, 2019. – ISBN 978-88-85813-45-8. – ISSN 2384-9509, s. 264-268 [online] </t>
  </si>
  <si>
    <t xml:space="preserve">Acceleration of machine translation and its quality / Welnitzová, Katarína [Autor, UKFFFAKTR, 100%] ; Acceleration of innovative processes in the education system [29.04.2021, Qarshi, Uzbekistan]. – [angličtina]. – [OV 020]. – [abstrakt z podujatia - KP] In: Acceleration of innovative processes in the education system [textový dokument (print)] : materials of the international scientific-practical conference on theme "Acceleration of innovative processes in the education system, Marshi, Uzbekistan,  April 29, 2021 / [bez zostavovateľa] [Zostavovateľ, editor] ; Daniyeva, Maysara [Recenzent] ; Mallayev, Amin [Recenzent]. – 1. vyd. – Qarshi (Uzbekistan) : Qarshi University, 2021. – ISBN 978-9943-18-293-6, s. 39-44 </t>
  </si>
  <si>
    <t xml:space="preserve">Acceptance of change in relation to personality characteristics in adults = Akceptácia zmeny vo vzťahu k osobnostným vlastnostiam u dospelých / Hudáková, Miriama [Autor, UKFFSVUAP, 50%] ; Kuviková, Barbora [Autor, 50%] ; Work and Organizational Psychology 2021 [13.05.2021-14.05.2021, Olomouc, Česko]. – text. – [slovenčina]. – [OV 010]. – [abstrakt z podujatia - KP]. – WOS CC In: Work and Organizational Psychology 2021: Innovation - research and application [elektronický dokument] : The 20th International Conference Proceedings, Olomouc  May 13 - 14 2021 online / Seitl, Martin [Zostavovateľ, editor] ; Viktorová, Lucie [Zostavovateľ, editor] ; Hypšová, Petra [Zostavovateľ, editor] ; Baňasová, Katarína [Recenzent] ; Bavoľár, Jozef [Recenzent] ; Fedáková, Denisa [Recenzent]. – 1. vyd. – Olomouc (Česko) : Univerzita Palackého v Olomouci, 2021. – ISBN (online) 978-80-244-6027-7, s. 174-183 [online] </t>
  </si>
  <si>
    <t xml:space="preserve">Acoustic profiles for prosodic headedness and constituency / Reichel, Uwe D* [Autor, 34%] ; Mády, Katalin [Autor, 33%] ; Beňuš, Štefan [Autor, UKFFFAKAA, 33%] ; Klessa, Katarzyna [Recenzent] ; Bachan, Jolanta [Recenzent] ; International Conference on Speech Prosody 2018, 9 [13.06.2018-16.06.2018, Poznaň, Poľsko]. – text. – [angličtina]. – [OV 020]. – [abstrakt z podujatia - KP]. – DOI 10.21437/SpeechProsody.2018-76 In: 9th International Conference on Speech Prosody 2018 [textový dokument (print)] : Conference Proceedings / [bez zostavovateľa] [Zostavovateľ, editor]. – 1. vyd. – Bonn (Nemecko) : International Science Community Association, 2018. – ISSN 2333-2042, s. 699-703 [tlačená forma] </t>
  </si>
  <si>
    <t xml:space="preserve">Activating methods and thier use in online education / Tureková, Ivana [Autor, UKFPFAKTT, 25%] ; Hašková, Alena [Autor, UKFPFAKTT, 25%] ; Marková, Iveta [Autor, ZUZFBIPŽI, 25%] ; Bilčíková, Jana [Autor, UKFPFAKTT, 25%] ; ICERI 2020 : International Conference of Education, Research and Innovation, 13 [09.11.2020-10.11.2020, Sevilla, Španielsko]. – text. – [angličtina]. – [OV 010, 240]. – [abstrakt z podujatia - KP] In: ICERI 2020 [elektronický dokument] : 13th international conference of education, research and innovation : transforming education, transforming lives / Gómez Chova, Luis [Zostavovateľ, editor] ; Martínez, Augustín López [Zostavovateľ, editor] ; Torres, I. Candel [Zostavovateľ, editor]. – 1. vyd. – Valencia (Španielsko) : IATED, 2020. – ISBN 978-84-09-24232-0. – ISSN 2340-1095, s. 9947-9953 [USB kľúč] </t>
  </si>
  <si>
    <t xml:space="preserve">Activating methods for geography teaching in out-of-school environment / Vojtek, Matej [Autor, UKFFPVKGR, 50%] ; Vojteková, Jana [Autor, UKFFPVKGR, 50%] ; SGEM 2018, 5 [26.08.2018-01.09.2018, Albena, Bulharsko]. – text. – [angličtina]. – [OV 092]. – [abstrakt z podujatia - KP]. – [recenzované]. – DOI 10.5593/sgemsocial2018/3.4 In: SGEM 2018 conference proceedings (1.3. Modern Science : finance, economics and tourism) [elektronický dokument] / [bez zostavovateľa] [Zostavovateľ, editor]. – 1. vyd. – Roč. 5. – Albena (Bulharsko) : STEF92 Technology, 2018. – ISBN 978-619-7408-63-8. – ISSN 2367-5659, s. 25-32 [CD-ROM] </t>
  </si>
  <si>
    <t xml:space="preserve">Activating methods in geography teaching (geography by senses) / Vojteková, Jana [Autor, UKFFPVKGR, 50%] ; Žoncová, Michaela [Autor, UMBFP01, 50%] ; Lněnička, Libor [Recenzent] ; Mísařová, Darina [Recenzent] ; Useful Geography: Transfer from Research to Practice, 25 [12.10.2017-13.10.2017, Brno, Česko]. – text. – [angličtina]. – [OV 092]. – [abstrakt z podujatia - KP]. – WOS CC In: Useful Geography: Transfer from Research to Practice [textový dokument (print)] [elektronický dokument] : Proceedings of 25th Central European Conference, 12th-13th October 2017, Brno / Svobodová, Hana [Zostavovateľ, editor]. – 1. vyd. – Brno (Česko) : Masarykova univerzita, 2018. – ISBN 978-80-210-8907-5. – ISBN (online) 978-80-210-8908-2, s. 103-111 [tlačená forma] [online] </t>
  </si>
  <si>
    <t xml:space="preserve">Activities and barriers to cooperation in the territory of border regions of Poland and Slovakia / Tej, Juraj [Autor, 34%] ; Vavrek, Roman [Autor, 33%] ; Papcunová, Viera [Autor, UKFFPVUMI, 33%] ; Development anad administration of border areas of the Czech Republic and Poland [17.06.2021-18.06.2021, Ostrava, Česko]. – text. – [angličtina]. – [OV 060, 080]. – [abstrakt z podujatia - KP]. – [recenzované]. – SIGN-PU FHPV-21 154/21. – WOS CC In: Development anad administration of border areas of the Czech Republic and Poland - support for sustainable development [textový dokument (print)] [elektronický dokument] : Conference Proceedings of RASPO 2021 / Ardielli, Eva [Zostavovateľ, editor] ; Molnárová, Eva [Zostavovateľ, editor]. – 1. vyd. – Ostrava (Česko) : Vysoká škola báňská – Technická univerzita Ostrava, 2021. – ISBN 978-80-248-4526-5. – ISBN (online) 978-80-248-4527-2, s. 244-251 [tlačená forma] [online] </t>
  </si>
  <si>
    <t xml:space="preserve">Adaptation of environmental education during the covid-19 pandemic lockdown / Grežo, Henrich [Autor, UKFFPVKEE, 40%] ; Pucherová, Zuzana [Autor, UKFFPVKEE, 30%] ; Mišovičová, Regína [Autor, UKFFPVKEE, 30%] ; International Technology, Education and Development Conference 2021, 15 [08.03.2021-09.03.2021, Valencia, Španielsko]. – text. – [angličtina]. – [OV 100]. – [abstrakt z podujatia - KP]. – [recenzované]. – DOI 10.21125/inted.2021.2153 In: INTED2021 [textový dokument (print)] [elektronický dokument] : 15th International Technology, Education and Development Conference : conference proceedings / Chova, Luis Goméz [Zostavovateľ, editor] ; López Martínez, Agustín [Zostavovateľ, editor] ; Candel Torres, Ignacio [Zostavovateľ, editor]. – 1. vyd. – Valencia (Španielsko) : IATED, 2021. – (INTED Proceedings, ISSN 2340-1079). – ISBN 978-84-09-27666-0. – ISSN 2340-1079, s. 10324-10328 [online] </t>
  </si>
  <si>
    <t xml:space="preserve">Adaptive Knowledge Quality Control in E-learning Using the Ranked Algorithm / Švec, Peter [Autor, UKFFPVKIN, 50%] ; Kalmykova, Svetlana [Autor, 50%] ; CEUR Workshop, 14 [19.04.2019, Saint-Petersburg, Ruská federácia]. – text. – [angličtina]. – [OV 160]. – [abstrakt z podujatia - KP]. – [recenzované]. – SCO In: MaCS 2016 : Mathematics and Computer Science : Proceedings of the 11th Joint Conference on Mathematics and Computer Science / Vatai, Emil [Zostavovateľ, editor]. – 1. vyd. – Aachen (Nemecko) : R. Piskac c/o Redaktion Sun SITE, Informatik V, RWTH Aachen, 2018. – (CEUR Workshop Proceedings, ISSN 1613-0073, SJR: 0,166 ; CiteScore: 0,6 ; SNIP: 0,313). – ISSN (online) 1613-0073, s. 24-37 [online] </t>
  </si>
  <si>
    <t xml:space="preserve">Adrasacija zahalovkav-intertekstem v veb-medyjatekstach BelHazety / Kalechyts, Alena [Autor, UKFFFAKRU, 100%] ; Jazyk i mežkuľturnyje kommunikacii [11.11.2019-12.11.2019, Minsk, Bielorusko (predtým ako Bieloruská SSR)]. – text. – [ruština]. – [OV 020]. – [abstrakt z podujatia - KP] In: Jazyk i mežkuľturnyje kommunikacii [textový dokument (print)] : sbornik naučnych statej VII Meždunarodnoj naučnoj konferencii "Jazyk i mežkuľturnyje kommunikacii"  11 - 12 nojabrja 2019 g. v Minske / Staričonok, Vladimir [Zostavovateľ, editor] ; Rovdo, Ivan [Recenzent] ; Bessonova, Ludmila [Recenzent]. – 1. vyd. – Minsk (Bielorusko (predtým ako Bieloruská SSR)) : Belorusskij gosudarstvennyj pedagogičeskij universitet imeni Maxima Tanka, 2019. – ISBN (chybné) 973-985-541-683-9, s. 105-109 </t>
  </si>
  <si>
    <t xml:space="preserve">Agriculture Development of the Nitra Region in the Context of Slovakia after year 2004 / Némethová, Jana [Autor, UKFFPVKGR, 50%] ; Feszterová, Melánia [Autor, UKFFPVKCH, 50%] ; (Teaching) Regional Geography, 27 [17.10.2019, Brno, Česko]. – text. – [angličtina]. – [OV 092, 120]. – [abstrakt z podujatia - KP] In: (Teaching) Regional Geography [textový dokument (print)] [elektronický dokument] : Proceedings of 27th Central European Conference, Brno, 17th October 2019 / Mísařová, Darina [Zostavovateľ, editor] ; Petráková, Jana [Zostavovateľ, editor]. – 1. vyd. – Brno (Česko) : Masaryk University Press, 2020. – ISBN 978-80-210-9693-6. – ISBN (online) 978-80-210-9694-3, s. 147-162 </t>
  </si>
  <si>
    <t xml:space="preserve">Achieving Bilingualism in Very Young Learners of EFL through Real-Life Experience / Hornáčková Klapicová, Edita [Autor, UKFFFAKTR, 100%] ; Verbeke, Mark [Recenzent] ; Coleman, Hardin L. K. [Recenzent] ; The Future of Education, 9 [27.06.2019-28.06.2019, Florence, Taliansko]. – text. – [angličtina]. – [OV 010]. – [abstrakt z podujatia - KP]. – DOI 10.26352/D627_2384-9509_2019. – WOS CC In: The Future of Education [elektronický dokument] : Proceedings form 9 th International Conference, Florence, 27 - 28 June 2019 / [bez zostavovateľa] [Zostavovateľ, editor]. – 1. vyd. – Florence (Taliansko) : Filodiritto Publisher, 2019. – ISBN 978-88-85813-45-8. – ISSN 2384-9509, s. 354-358 [online] </t>
  </si>
  <si>
    <t xml:space="preserve">Akademický self-koncept ako moderátor vzťahu medzi interpersonálnymi vzťahmi adolescenta a jeho subjektívnou pohodou / Balážová, Miroslava [Autor, UKFFSVKPV, 100%] ; Andrysová, Pavla [Recenzent] ; Čech, Tomáš [Recenzent] ; Aktuální problémy pedagogiky ve výzkumech studentů doktorských studijních programů, 12 [08.11.2016-09.11.2016, Olomouc, Česko]. – text. – [slovenčina]. – [OV 060]. – [abstrakt z podujatia - KP] In: Aktuální problémy pedagogiky ve výzkumech studentů doktorských studijních programů 12 [elektronický dokument] : Odumírání lidskosti? Výchovné výzvy v současné škole : recenzovaný sborník příspěvků z mezinárodní vědecké konference konané ve dnech 8.–9. listopadu 2016 v Olomouci / Vyhnálková, Pavla [Zostavovateľ, editor] ; Plischke, Jitka [Zostavovateľ, editor]. – 1. vyd. – Roč. 12. – Olomouc (Česko) : Univerzita Palackého v Olomouci, 2018. – (Sborníky). – ISBN (online) 978-80-244-5278-4. – ISBN (online) 978-80-244-5277-7, s. 17-24 [CD-ROM] [online] </t>
  </si>
  <si>
    <t xml:space="preserve">Aktuálne legislatívno-etické trendy (2020) vo vývoji sexuálnych a reprodukčných práv na Slovensku / Kocina, Petr [Autor, UKFFFAKAE 06.2022, 34%] ; Marková, Dagmar [Autor, UKFFFAKAE 06.2022, 33%] ; Turčan, Ciprian [Autor, UKFFFAKAE 06.2022, 33%] ; 28. celostátní kongres k sexuální výchově v České republice, 28 [15.10.2020-16.10.2020, Hradec Králové, Česko]. – text. – [slovenčina]. – [OV 020, 060]. – [abstrakt z podujatia - KP] In: 28. celostátní kongres k sexuální výchově v České republice [textový dokument (print)] : sborník referátů, Hradec Králové, 15. - 16. října 2020 / Mitlöhner, Miroslav [Zostavovateľ, editor] ; Prouzová, Zuzana [Zostavovateľ, editor]. – 1. vyd. – Broumov (Česko) : Společnost pro plánování rodiny a sexuální výchovu, 2020. – ISBN 978-80-907936-0-6, s. 49-52 </t>
  </si>
  <si>
    <t xml:space="preserve">Aký je obraz cti v povedomí mladých Slovákov? : dotazníkový výskum / Dudová, Katarína [Autor, UKFFFASJL, 100%] ; Kolokvium mladých jazykovedcov, 24 [09.09.2015-11.09.2015, Praha, Česko]. – text. – [slovenčina]. – [OV 020]. – [abstrakt z podujatia - KP] In: Varia 24 [elektronický dokument] : zborník príspevkov z 24. kolokvia mladých jazykovedcov / Simeunovich-Skvortsova, Maria [Zostavovateľ, editor] ; Gajdošová, Katarína [Zostavovateľ, editor] ; Saicová Římalová, Lucie [Recenzent] ; Stranz-Nikitina, Veronika [Recenzent]. – 1. vyd. – Roč. 24. – Praha (Česko) : Univerzita Karlova v Praze, 2019. – ISBN 978-80-7308-757-9, s. 57-73 [online] </t>
  </si>
  <si>
    <t xml:space="preserve">Ali so mednarodni izrazi res razumljivi med narodi? (O Mednarodnih izrazih kot medjezikovnih homonimih na primerih iz slovaščine in slovenščine) / Ternová, Alica [Autor, UKFFFASJL, 100%] ; Stereotipat v slavianskite ezici, literaturi i kulturi [26.04.2018-28.04.2018, Sofia, Bulharsko]. – text. – [slovenčina]. – [OV 020]. – [abstrakt z podujatia - KP]. – [recenzované] In: Stereotipat v slavianskite ezici, literaturi i kulturi (Tom I. Ezikoznanie) [textový dokument (print)] [elektronický dokument] : sbornik s dokladi ot Četirinadesetite meždunarodni slavistični četenija / Avramova, Cvetanka [Zostavovateľ, editor]. – 1. vyd. – Sofia (Bulharsko) : Universitetsko Izdatelstvo Sv. Kliment Okhridski, 2019. – ISBN 978-954-07-4883-2. – ISBN (online) 978-954-07-4895-5, s. 267-275 [tlačená forma] [online] </t>
  </si>
  <si>
    <t xml:space="preserve">Állatok a kétnyelvűnévszemiotikai tájképben / Bauko, Ján [Autor, UKFFSSUML, 100%] ; Békési, Imre [Recenzent] ; Szőnyi, György Endre [Recenzent] ; Állati jelek, képek és terek konferencia [17.11.2017-18.11.2017, Szeged, Maďarsko]. – [maďarčina]. – [OV 010]. – [abstrakt z podujatia - KP] In: Állati jelek, képek és terek konferencia [textový dokument (print)] : 2. kötet. Egetemi tankönyv. Szeged, 17-18 november 2017 / Szirmai, Éva [Zostavovateľ, editor]. – Szeged (Maďarsko) : Szegedi Egyetemi Kiadó - Juhász Gyula Felsőoktatási Kiadó, 2018. – ISBN 978-615-5946-00-4, s. 207-219 </t>
  </si>
  <si>
    <t xml:space="preserve">Alternative Ways of Teaching Programming of Lowcost Control Units (ARDUINO) / Kuna, Peter [Autor, UKFPFAKTT, 35%] ; Palaj, Miloš [Autor, UKFPFAKTT, 35%] ; Hašková, Alena [Autor, UKFPFAKTT, 30%] ; EDULEARN19, 11 [01.07.2019-03.07.2019, Palma de Mallorca, Španielsko]. – text. – [angličtina]. – [OV 010]. – [abstrakt z podujatia - KP]. – WOS CC In: EDULEARN19 proceedings [elektronický dokument] : 11th annual International Conference on Education and New Learning Technologies / Gómez Chova, Luis [Zostavovateľ, editor] ; López Martínez, Agustín [Zostavovateľ, editor] ; López, Agustín [Recenzent] ; Girós, Amparo [Recenzent]. – 1. vyd. – Roč. 11. – Valencia (Španielsko) : IATED, 2019. – ISBN 978-84-09-12031-4. – ISSN 2340-1117, s. 1627-1632 [CD-ROM] </t>
  </si>
  <si>
    <t xml:space="preserve">Ambivalencia vzťahu Juraja Špitzera a Alexandra Macha : Ambivalence of the Relationship of Juraj Špitzer and Alexander Mach / Adamická, Monika [Autor, UKFFSSUSJ, 100%] ; Mezinárodní Masarykova konference pro doktorandy a mladé vědecké pracovníky 2019, 10 [16.12.2019-18.12.2019, Hradec Králové, Česko]. – text. – [angličtina]. – [OV 020]. – [abstrakt z podujatia - KP] In: MMK 2019 [elektronický dokument] : recenzovaný sborník příspěvků mezinárodní vědecké konference : Mezinárodní Masarykova konference pro doktorandy a mladé vědecké pracovníky 2019 / [bez zostavovateľa] [Zostavovateľ, editor] ; Lipowski, Jaroslav [Recenzent] ; Jaskułowski, Krzysztof [Recenzent] ; Kislingerová, Eva [Recenzent]. – 1. vyd. – Hradec Králové (Česko) : Magnanimitas akademické sdružení, 2019. – ISBN 978-80-87952-31-3, s. 1154-1163 [CD-ROM] [online] </t>
  </si>
  <si>
    <t xml:space="preserve">An analysis of social risk factors at secondary schools in Nitra region in a context of intervention possibilities of school social work / Šimonová, Veronika [Autor, UKFFSVKSP, 75%] ; Fusková, Martina [Autor, 20%] ; Tvrdoň, Miroslav [Autor, UKFFSVKSP, 5%] ; Jaskułowski, Krzysztof [Recenzent] ; Pálosi, Dániel [Recenzent] ; CER Comparative European Research Conference, 9 [28.03.2018-30.03.2018, Londýn, Veľká Británia]. – text. – [angličtina]. – [OV 060]. – [abstrakt z podujatia - KP] In: CER Comparative European research 2018 [elektronický dokument] : proceedings / research track of the 10th Biannual CER Comparative European Research Conference / McGreevy, Michael [Zostavovateľ, editor] ; Rita, Robert [Zostavovateľ, editor]. – 1. vyd. – Roč. 5, č. 2. – London (Veľká Británia) : Sciemcee. Sciemcee Publishing, 2018. – ISBN 978-0-9935191-9-2, s. 117-119 [online] </t>
  </si>
  <si>
    <t xml:space="preserve">An approach to the timely classification of students through the educational process in a specific virtual learning environment / Obonya, Juraj [Autor, UKFFPVKIN, 50%] ; Kapusta, Juraj [Autor, UKFFPVKEE, 50%] ; International Technology, Education and Development Conference 2020, 14 [02.03.2020-04.03.2020, Valencia, Španielsko]. – text. – [angličtina]. – [OV 010, 160]. – [abstrakt z podujatia - KP]. – [recenzované]. – WOS CC In: INTED2020 Proceedings [elektronický dokument] : 14th International Technology, Education and Development Conference / Chova, Luis Goméz [Zostavovateľ, editor] ; López Martínez, Agustín [Zostavovateľ, editor] ; Candel Torres, Ignacio [Zostavovateľ, editor]. – 1. vyd. – Valencia (Španielsko) : IATED, 2020. – (INTED Proceedings, ISSN 2340-1079). – ISBN 978-84-09-17939-8. – ISSN 2340-1079, s. 8158-8164 [online] </t>
  </si>
  <si>
    <t xml:space="preserve">An attention deficit and hyperactivity disorder learner and teaching English as a foreign language / Hvozdíková, Silvia [Autor, UKFFFAKAA, 100%] ; EDULEARN21 [05.07.2021-06.07.2021, Barcelona, Španielsko]. – text. – [angličtina]. – [OV 020]. – [abstrakt z podujatia - KP]. – DOI 10.21125/edulearn.2021.2450 In: EDULEARN21 [elektronický dokument] : 13th annual International Conference on Education and New Learning Technologies, Barcelona, 5th - 6th of July, 2021 / Chova, Luis Goméz [Zostavovateľ, editor] ; Martínez, Augustín López [Zostavovateľ, editor] ; Torres, I. [Zostavovateľ, editor]. – 1. vyd. – Roč. 13. – Barcelona (Španielsko) : IATED, 2021. – ISBN 978-84-09-31267-2. – ISSN 2340-1117, s. 11717-11722 [CD-ROM] [USB kľúč] </t>
  </si>
  <si>
    <t xml:space="preserve">An effort to find a balance between phonetic exercises and language skills in teaching German as a foreign language / Grežová, Ivana [Autor, SPUFEM06, 99%] ; Grežo, Henrich [Autor, UKFFPVKEE, 1%] ; International Technology, Education and Development Conference 2021, 15 [08.03.2021-09.03.2021, Valencia, Španielsko]. – text. – [angličtina]. – [OV 100]. – [abstrakt z podujatia - KP]. – [recenzované]. – DOI 10.21125/inted.2021.2155 In: INTED2021 [textový dokument (print)] [elektronický dokument] : 15th International Technology, Education and Development Conference : conference proceedings / Chova, Luis Goméz [Zostavovateľ, editor] ; López Martínez, Agustín [Zostavovateľ, editor] ; Candel Torres, Ignacio [Zostavovateľ, editor]. – 1. vyd. – Valencia (Španielsko) : IATED, 2021. – (INTED Proceedings, ISSN 2340-1079). – ISBN 978-84-09-27666-0. – ISSN 2340-1079, s. 10336-10341 [online] </t>
  </si>
  <si>
    <t xml:space="preserve">An influence of the firing temperature on elastic constants of alumina porcelain / Štubňa, Igor [Autor, 25%] ; Húlan, Tomáš [Autor, UKFFPVKFY, 25%] ; Ondruška, Ján [Autor, UKFFPVKFY, 25%] ; Trník, Anton [Autor, UKFFPVKFY, 25%] ; Central European Symposium on Thermophysics, 3 [01.09.2021-03.09.2021, Kazimierz Dolny, Poľsko]. – text. – [angličtina]. – [OV 091]. – [ŠO 1160]. – [abstrakt z podujatia - KP]. – DOI 10.1063/5.0069597. – WOS CC ; SCO In: Proceedings of the 3rd Central European Symposium on Thermophysics [elektronický dokument] / Trník, Anton [Zostavovateľ, editor] ; Suchorab, Zbigniew [Zostavovateľ, editor]. – 1. vyd. – Melville, NY (USA) : American Institute of Physics . AIP Publishing, 2021. – ISBN 978-0-7354-4139-2, s. 1-12 [online] </t>
  </si>
  <si>
    <t xml:space="preserve">An Outline of Foreign Language Anxiety Research / Kráľová, Zdena [Autor, UKFPFAKLI, 100%] ; International Conference on New Music Concepts and Inspired Education, 6 [13.04.2019-14.04.2019, Treviso, Taliansko]. – text. – [angličtina]. – [OV 010]. – [abstrakt z podujatia - KP]. – [recenzované] In: International Conference on New Music Concepts and Inspired Education [textový dokument (print)] : Proceeding Book Vol. 6, Treviso Apr 13, 2019 - Apr 14, 2019 / Ventura, Michelle Della [Zostavovateľ, editor]. – 1. vyd. – Roč. 6. – Treviso (Taliansko) : Accademia Musicale Studio Musica, 2019. – ISBN 978-88-944350-0-9, s. 135-140 [tlačená forma] </t>
  </si>
  <si>
    <t xml:space="preserve">An overview of solutions to the issue of exploring emotions using the internet of things / Francisti, Jan [Autor, UKFFPVKIN, 50%] ; Balogh, Zoltán [Autor, UKFFPVKIN, 50%] ; APSAC 2018, 3 [26.09.2018-28.09.2018, Dubrovnik, Chorvátsko]. – text. – [angličtina]. – [OV 160]. – [abstrakt z podujatia - KP]. – DOI 10.1007/978-3-030-21507-1_9. – SCO In: Applied Physics, System Science and Computers 3 [textový dokument (print)] [elektronický dokument] : Proceedings of the 3rd International Conference on Applied Physics, System Science and Computers (APSAC2018), September 26-28, 2018, Dubrovnik, Croatia / Ntalianis, Klimis [Zostavovateľ, editor]. – 1. vyd. – Cham (Švajčiarsko) : Springer Nature. Springer International Publishing AG, 2019. – (Lecture Notes in Electrical Engineering, ISSN 1876-1100, ISSN 1876-1119 ; 574, SJR: 0,138 ; CiteScore: 0,5 ; SNIP: 0,192). – ISBN 978-3-030-21506-4. – ISBN (online) 978-3-030-21507-1, s. 59-67 [tlačená forma] [online] Scimago - Industrial and manufacturing engineering - Q3 </t>
  </si>
  <si>
    <t xml:space="preserve">Analyses of availability using gis taking into consideration of real terrain / Močko, Matej [Autor, UKFFPVKEE, 25%] ; Zigová, Martina [Autor, UKFFPVKEE, 25%] ; Ševčík, Michal [Autor, UKFFPVKEE, 25%] ; Jakab, Imrich [Autor, UKFFPVKEE, 25%] ; Useful Geography: Transfer from Research to Practice, 25 [12.10.2017-13.10.2017, Brno, Česko]. – text. – [slovenčina]. – [OV 092]. – [abstrakt z podujatia - KP]. – [recenzované]. – WOS CC In: Useful Geography: Transfer from Research to Practice [textový dokument (print)] [elektronický dokument] : Proceedings of 25th Central European Conference, 12th-13th October 2017, Brno / Svobodová, Hana [Zostavovateľ, editor]. – 1. vyd. – Brno (Česko) : Masarykova univerzita, 2018. – ISBN 978-80-210-8907-5. – ISBN (online) 978-80-210-8908-2, s. 314-325 [tlačená forma] [online] </t>
  </si>
  <si>
    <t xml:space="preserve">Analysis and assessment of land cover changes and landscape stability in the Nitra river basin (Slovakia) / Vojtek, Matej [Autor, UKFFPVKGR, 100%] ; Lněnička, Libor [Recenzent] ; Mísařová, Darina [Recenzent] ; Useful Geography: Transfer from Research to Practice, 25 [12.10.2017-13.10.2017, Brno, Česko]. – text. – [angličtina]. – [OV 092]. – [abstrakt z podujatia - KP]. – DOI 10.5817/CZ.MUNI.P210-8908-2018. – WOS CC In: Useful Geography: Transfer from Research to Practice [textový dokument (print)] [elektronický dokument] : Proceedings of 25th Central European Conference, 12th-13th October 2017, Brno / Svobodová, Hana [Zostavovateľ, editor]. – 1. vyd. – Brno (Česko) : Masarykova univerzita, 2018. – ISBN 978-80-210-8907-5. – ISBN (online) 978-80-210-8908-2, s. 227-236 [tlačená forma] [online] </t>
  </si>
  <si>
    <t xml:space="preserve">Analysis and comparison of Active Ageing Policies in The United Kingdom and Slovakia / Kocina, Michal [Autor, UKFPFAKPE, 100%] ; EDULEARN20, 12 [06.07.2020-07.07.2020, Palma de Mallorca, Španielsko]. – text. – [angličtina]. – [OV 010]. – [abstrakt z podujatia - KP] In: EDULEARN20 proceedings [elektronický dokument] : 12th International Conference on Education and New Learning Technologies / Gómez Chova, Luis [Zostavovateľ, editor] ; López Martínez, Agustín [Zostavovateľ, editor]. – 1. vyd. – Roč. 12. – Valencia (Španielsko) : IATED, 2020. – ISBN 978-84-09-17979-4. – ISSN 2340-1117, s. 219-228 [USB kľúč] </t>
  </si>
  <si>
    <t xml:space="preserve">Analysis of current changes regarding head teachers' role and position in Slovakia / Hašková, Alena [Autor, UKFPFAKTT, 100%] ; ICERI 2019, 12 [11.11.2019-13.11.2019, Seville, Španielsko]. – text. – [angličtina]. – [OV 010]. – [abstrakt z podujatia - KP]. – WOS CC In: ICERI2019 Proceedings [elektronický dokument] : 12th International conference of education, research and innovation / Gómez Chova, Luis [Zostavovateľ, editor] ; López Martínez, Agustín [Zostavovateľ, editor] ; Candel Torres, Ignacio [Zostavovateľ, editor]. – 1. vyd. – Valencia (Španielsko) : IATED, 2019. – ISBN 978-84-09-14755-7. – ISSN 2340-1095, s. 11632-11639 [USB kľúč] </t>
  </si>
  <si>
    <t xml:space="preserve">Analysis of differences between teachers’ activity during their regular and constructivist lessons / Medová, Janka [Autor, UKFFPVKMA, 34%] ; Bulková, Kristína [Autor, UKFFPVKMA, 33%] ; Čeretková, Soňa [Autor, UKFFPVKMA, 33%] ; Congress of the European Society for Research inMathematics Education 2019, 11 [05.02.2019-10.02.2019, Utrecht, Holandsko]. – text. – [angličtina]. – [OV 240, 010]. – [abstrakt z podujatia - KP] In: CERME 11 [textový dokument (print)] [elektronický dokument] : Proceedings of the Eleventh Congress of the European Society for Research inMathematics Education, Utrecht, 5 - 10 February 2019 / Jankvist, Uffe Thomas [Zostavovateľ, editor] ; van den Heuvel-Panhuizen, Marja [Zostavovateľ, editor] ; Veldhuis, Michiel [Zostavovateľ, editor]. – 1. vyd. – Utrecht (Holandsko) : Utrecht University, 2020. – ISBN 978-90-73346-75-8, s. 3680-3687 [tlačená forma] [online] </t>
  </si>
  <si>
    <t xml:space="preserve">Analysis of education from various aspects in relation to the pandemic situation regarding covid-19 at selected Slovak universities / Juríková, Tünde [Autor, UKFFSSUVP, 50%] ; Fatrcová Šramková, Katarína [Autor, SPUFAP16, 50%] ; ICERI 2021, 14 [08.11.2021-09.11.2021, Seville, Španielsko]. – text. – [angličtina]. – [OV 010]. – [abstrakt z podujatia - KP]. – [recenzované] In: ICERI2021 [elektronický dokument] : 14th annual International Conference of Education, Research and Innovation / Gómez, Chova L. [Zostavovateľ, editor] ; López Martínez, Agustín [Zostavovateľ, editor] ; Candel Torres, Ignacio [Zostavovateľ, editor]. – 1. vyd. – Valencia (Španielsko) : IATED, 2021. – ISBN 978-84-09-34549-6. – ISSN 2340-1095, s. 7189-7200 [online] [USB kľúč] </t>
  </si>
  <si>
    <t xml:space="preserve">Analysis of issues of the elderly in main television news programmes / Lehoczká, Lýdia [Autor, UKFFSVURS, 50%] ; Žilová, Anna [Autor, KURPESP, 25%] ; Gergel, Milan [Autor, 25%] ; Senior in the social media space [30.06.2017, Kraków, Poľsko]. – [angličtina]. – [OV 060]. – [abstrakt z podujatia - KP] In: Senior in the social and media spaces. Examples of Visegrád group countries [textový dokument (print)] / Jagielska, Katarzyna [Zostavovateľ, editor] ; Łukasik, Joanna M. [Zostavovateľ, editor] ; Pikuła, Norbert G. [Zostavovateľ, editor] ; Bubnys, Remigijus [Recenzent]. – 1. vyd. – Kraków (Poľsko) : Impuls, 2019. – ISBN 978-83-8095-756-5, s. 45-67 [tlačená forma] </t>
  </si>
  <si>
    <t xml:space="preserve">Analysis of Media Discourse on Migration in Facebook Posts by Selected Slovak Periodicals / Štrbová, Edita [Autor, UKFFFAKMR, 34%] ; Balážiová, Iveta [Autor, UKFFFAKMR, 33%] ; Púchovská, Oľga [Autor, UKFFFAKMR, 33%] ; International Scientific Conference on Economic and Social Development, 41 [23.05.2019-24.05.2019, Belehrad, Srbsko]. – [angličtina]. – [OV 060]. – [abstrakt z podujatia - KP] In: Economic and Social Development : book of  proceedings from 41st International Scientific Conference on Economic and Social Development, Belgrade, 23-24 May 2019 / Tosovic –Stevanovic, Aleksandra [Zostavovateľ, editor] ; Trifunovic, Dragana [Zostavovateľ, editor] ; Maloletko, Aleksander [Zostavovateľ, editor]. – 1. vyd. – Varazdin (Chorvátsko) : Varazdin Development and Entrepreneurship Agency, 2019. – ISSN (online) 1849-7535, s. 89-101 [online] </t>
  </si>
  <si>
    <t xml:space="preserve">Analysis of Mentoring Situation Between Mathematics Teacher Educators During Collaborative Course for Professional Development for In-Service Mathematics Teachers / Medová, Janka [Autor, UKFFPVKMA, 25%] ; Bulková, Kristína [Autor, UKFFPVKMA, 25%] ; Šunderlík, Ján [Autor, 25%] ; Čeretková, Soňa [Autor, UKFFPVKMA, 25%] ; Teachers of Mathematics Working and Learning in Collaborative Groups, 25 [03.02.2020-07.02.2020, Lisabon, Portugalsko]. – text. – [angličtina]. – [OV 010, 240]. – [abstrakt z podujatia - KP] In: Teachers of Mathematics Working and Learning in Collaborative Groups [textový dokument (print)] : Proceedings of  Study Conference of the ICMI Study 25, Lisbon, Portugal, February 3 - 7, 2020, University of Lisbon / Borko, Hilda [Zostavovateľ, editor] ; Potari, Despina [Zostavovateľ, editor] ; Karsenty, Ronnie [Recenzent] ; Dole, Shelley [Recenzent]. – 1. vyd. – Lisabon (Portugalsko) : Universidade de Lisboa, 2020. – ISBN 978-960-466-216-6, s. 492-499 </t>
  </si>
  <si>
    <t xml:space="preserve">Analysis of press releases by pharmaceutical companies in Slovakia / Schlosserová, Zuzana [Autor, UKFFFAKMR, 100%] ; Biannual CER Comparative European Research 2019, 11 [25.03.2019-27.03.2019, Londýn, Veľká Británia]. – text. – [angličtina]. – [OV 060]. – [abstrakt z podujatia - KP]. – [recenzované] In: CER Comparative European Research 2019 [elektronický dokument] : proceedings/research track of the 11th biannual conference / McGreevy, Michael [Zostavovateľ, editor] ; Rita, Robert [Zostavovateľ, editor]. – 1 vyd. – Roč. 6, č. 1. – Londýn (Veľká Británia) : Sciemcee. Sciemcee Publishing, 2019. – ISBN 978-1-9993071-2-7, s. 8-10 [CD-ROM] [online] </t>
  </si>
  <si>
    <t xml:space="preserve">Analysis of Regional Disparities in the Slovak Republic by Examining Selected Indicators = Analýza regionálnych disparít v Slovenskej republike skúmaním vybraných indikátorov / Maroš, Milan [Autor, UKFFPVUMI, 55%] ; Hudáková, Jarmila [Autor, UKFFPVUMI, 30%] ; Levický, Michal [Autor, UKFFPVUMI, 15%] ; Mezinárodní kolokvium o regionálních vědách, 23 [17.06.2020-19.06.2020, Brno, Česko]. – text. – [slovenčina]. – [OV 060]. – [abstrakt z podujatia - KP]. – DOI 10.5817/CZ.MUNI.P210-9610-2020-4 In: 23. mezinárodní kolokvium o regionálních vědách [elektronický dokument] : sborník příspěvků, Brno, 2020 = 23rd International colloquium on regionals sciences, conference proceedings, Brno, 2020 / Klímová, Viktorie [Zostavovateľ, editor] ; Žítek, Vladimír [Zostavovateľ, editor]. – 1 vyd. – Brno (Česko) : Masarykova univerzita, 2020. – ISBN 978-80-210-9610-3, s. 33-39 [online] </t>
  </si>
  <si>
    <t xml:space="preserve">Analysis of Shared Service Centers and Business Process Outsourcing Centers in Slovak Regions / Urbaníková, Marta [Autor, UKFFPVUMI, 33.334%] ; Štubňová, Michaela [Autor, UKFFPVUMI, 33.333%] ; Levický, Michal [Autor, UKFFPVUMI, 33.333%] ; Mezinárodní kolokvium o regionálních vědách, 22 [12.06.2019-14.06.2019, Velké Bílovice, Česko]. – text. – [angličtina]. – [OV 060]. – [abstrakt z podujatia - KP]. – DOI 10.5817/CZ.MUNI.P210-9268-2019-6. – WOS CC In: 22. mezinárodní kolokvium o regionálních vědách [elektronický dokument] : sborník příspěvků / Klímová, Viktorie [Zostavovateľ, editor] ; Žítek, Vladimír [Zostavovateľ, editor] ; Žárska, Elena [Recenzent]. – 1. vyd. – Roč. 22. – Brno (Česko) : Masarykova univerzita, 2019. – ISBN 978-80-210-9268-6, s. 53-60 [online] </t>
  </si>
  <si>
    <t xml:space="preserve">Analysis of social risk factors at secondary schools / Šimonová, Veronika [Autor, UKFFSVKSP, 50%] ; Tvrdoň, Miroslav [Autor, UKFFSVKSP, 50%] ; Mezinárodní Masarykova konference pro doktorandy a mladé vědecké pracovníky 2018, 9 [17.12.2018-21.12.2018, Hradec Králové, Česko]. – text. – [slovenčina]. – [OV 010]. – [abstrakt z podujatia - KP] In: MMK 2018 [elektronický dokument] : recenzovaný sborník příspěvků mezinárodní vědecké konference : mezinárodní Masarykova konference pro doktorandy a mladé vědecké pracovníky / [bez zostavovateľa] [Zostavovateľ, editor] ; Lipowski, Jaroslav [Recenzent] ; Jaskułowski, Krzysztof [Recenzent] ; Kislingerová, Eva [Recenzent]. – 1 vyd. – Roč. 9. – Hradec Králové (Česko) : Magnanimitas akademické sdružení, 2018. – ISBN 978-80-87952-27-6, s. 639-644 [CD-ROM] </t>
  </si>
  <si>
    <t xml:space="preserve">Analysis of the chosen geometric tasks solutions / Pavlovičová, Gabriela [Autor, UKFFPVKMA, 50%] ; Bočková, Veronika [Autor, UKFFPVKMA, 50%] ; ICERI 2019, 12 [11.11.2019-13.11.2019, Seville, Španielsko]. – text. – [angličtina]. – [OV 010, 240]. – [abstrakt z podujatia - KP]. – WOS CC In: ICERI2019 Proceedings [elektronický dokument] : 12th International conference of education, research and innovation / Gómez Chova, Luis [Zostavovateľ, editor] ; López Martínez, Agustín [Zostavovateľ, editor] ; Candel Torres, Ignacio [Zostavovateľ, editor]. – 1. vyd. – Valencia (Španielsko) : IATED, 2019. – ISBN 978-84-09-14755-7. – ISSN 2340-1095, s. 2340-2345 [USB kľúč] </t>
  </si>
  <si>
    <t xml:space="preserve">Analysis of the Possibilities of Using Fuzzy Logic in Economic Practice / Štubňová, Michaela [Autor, UKFFPVUMI, 50%] ; Urbaníková, Marta [Autor, UKFFPVUMI, 50%] ; 19th RSEP International Economics, Finance &amp; Business Conference, 19 [01.12.2020-02.12.2020, Praha, Česko]. – [angličtina]. – [OV 060]. – [abstrakt z podujatia - KP] In: 19th RSEP International Economics, Finance &amp; Business Conference [elektronický dokument] : Conference Proceedings, Praha 1-2 december 2020 / [bez zostavovateľa] [Zostavovateľ, editor] ; Cosmin, Olteanu [Recenzent] ; Cebeci, Kemal [Recenzent]. – 1. vyd. – Ankara (Turecko) : BC Publishing, 2020. – ISBN (online) 978-605-06961-6-5, s. 1-6 </t>
  </si>
  <si>
    <t xml:space="preserve">Analysis of thermal operating conditions of 3D printers with printing chamber / Zaburko, Jacek [Autor, 17%] ; Urzȩdowski, Arkadiusz [Autor, 17%] ; Szylżyk-Cieplak, Joanna [Autor, 17%] ; Trník, Anton [Autor, UKFFPVKFY, 17%] ; Suchorab, Zbigniew [Autor, 16%] ; Łagód, Grzegorz [Autor, 16%] ; Central European Symposium on Thermophysics, 3 [01.09.2021-03.09.2021, Kazimierz Dolny, Poľsko]. – text. – [angličtina]. – [OV 091]. – [ŠO 1160]. – [abstrakt z podujatia - KP]. – DOI 10.1063/5.0070165. – WOS CC ; SCO In: Proceedings of the 3rd Central European Symposium on Thermophysics [elektronický dokument] / Trník, Anton [Zostavovateľ, editor] ; Suchorab, Zbigniew [Zostavovateľ, editor]. – 1. vyd. – Melville, NY (USA) : American Institute of Physics . AIP Publishing, 2021. – ISBN 978-0-7354-4139-2, s. 1-14 [online] </t>
  </si>
  <si>
    <t xml:space="preserve">Analysis of wage inequalities in the Slovak Republic at the regional level = Analýza mzdových nerovností v Slovenskej republike na úrovni regiónov / Urbaníková, Marta [Autor, UKFFPVUMI, 50%] ; Štubňová, Michaela [Autor, UKFFPVUMI, 50%] ; Mezinárodní kolokvium o regionálních vědách, 23 [17.06.2020-19.06.2020, Brno, Česko]. – text. – [angličtina]. – [OV 060]. – [abstrakt z podujatia - KP]. – DOI 10.5817/CZ.MUNI.P210-9610-2020-1 In: 23. mezinárodní kolokvium o regionálních vědách [elektronický dokument] : sborník příspěvků, Brno, 2020 = 23rd International colloquium on regionals sciences, conference proceedings, Brno, 2020 / Klímová, Viktorie [Zostavovateľ, editor] ; Žítek, Vladimír [Zostavovateľ, editor]. – 1 vyd. – Brno (Česko) : Masarykova univerzita, 2020. – ISBN 978-80-210-9610-3, s. 10-16 [online] </t>
  </si>
  <si>
    <t xml:space="preserve">Analýza reflexií v atestačných prácach učiteľov pre predprimárne vzdelávanie / Pupíková, Eva [Autor, 50%] ; Kollárová, Dana [Autor, UKFPFAKPE, 50%] ; ICOLLE 2018 [18.09.2018-19.09.2018, Křtiny, Česko]. – text. – [slovenčina]. – [OV 010]. – [abstrakt z podujatia - KP] In: Sborník z mezinárodní konference ICOLLE 2018 [elektronický dokument] / Šimáně, Michal [Zostavovateľ, editor] ; Danielová, Lenka [Zostavovateľ, editor] ; Adamec, Petr [Recenzent] ; Bendová, A. [Recenzent]. – 1. vyd. – Brno (Česko) : Mendelova univerzita v Brně, 2018. – ISBN 978-80-7509-569-5, s. 276-288 [CD-ROM] </t>
  </si>
  <si>
    <t xml:space="preserve">Analýza textu v rámci výučby anglického jazyka ako odborného cudzieho jazyka študentov nefilologických odborov / Burcl, Pavol [Autor, UKFFFAJZC, 100%] ; Trendy v jazykovém vzdělávání v terciární sféře v jazykových centrech na univerzitách v ČR a SR, 3 [20.10.2017, Olomouc, Česko]. – text. – [slovenčina]. – [OV 020, 010]. – [abstrakt z podujatia - KP] In: Trendy v jazykovém vzdělávání v terciární sféře v jazykových centrech na  univerzitách v ČR a SR 3 [elektronický dokument] : Sborník příspěvků z konference / Válková, Silvie [Zostavovateľ, editor] ; Čakányová, Michaela [Recenzent] ; Hornová, Libuše [Recenzent]. – 1. vyd. – Olomouc (Česko) : Univerzita Palackého v Olomouci, 2018. – (Sborníky). – ISBN 978-80-244-5325-5, s. 164-173 [online] </t>
  </si>
  <si>
    <t xml:space="preserve">Analyze of parental upbringing styles in social exclusion = Analýza rodičovských výchovných štýlov v sociálnom vylúčení / Čerešník, Michal [Autor, UKFPFAKAP, 50%] ; Čerešníková, Miroslava [Autor, UKFFSVURS, 50%] ; Řehan, Vladimír [Recenzent] ; Lečbych, Martin [Recenzent] ; PhD existence 2018, 8 [31.01.2018-01.02.2018, Olomouc, Česko]. – text. – [slovenčina]. – [OV 060]. – [abstrakt z podujatia - KP]. – WOS CC In: PhD Existence 2018 [elektronický dokument] : nekonečno v psychologii = sborník příspěvků / Mierová, Eva [Zostavovateľ, editor] ; Viktorová, Lucie [Zostavovateľ, editor] ; Suchá, Jaroslava [Zostavovateľ, editor] ; Dolejš, Martin [Zostavovateľ, editor]. – 1. vyd. – Olomouc (Česko) : Univerzita Palackého v Olomouci, 2018. – (Acta Iuridica Olomucensia : Sborníky). – ISBN 978-80-244-5339-2, s. 11-20 [online] </t>
  </si>
  <si>
    <t xml:space="preserve">Angažované myslenie v reflexii edukačnej praxe / Borisová, Simona [Autor, UKFPFAKPE, 100%] ; Mezinárodní Masarykova konference pro doktorandy a mladé vědecké pracovníky 2019, 10 [16.12.2019-18.12.2019, Hradec Králové, Česko]. – [slovenčina]. – [OV 010]. – [abstrakt z podujatia - KP] In: MMK 2019 [elektronický dokument] : recenzovaný sborník příspěvků mezinárodní vědecké konference : Mezinárodní Masarykova konference pro doktorandy a mladé vědecké pracovníky 2019 / [bez zostavovateľa] [Zostavovateľ, editor] ; Lipowski, Jaroslav [Recenzent] ; Jaskułowski, Krzysztof [Recenzent] ; Kislingerová, Eva [Recenzent]. – 1. vyd. – Hradec Králové (Česko) : Magnanimitas akademické sdružení, 2019. – ISBN 978-80-87952-31-3, s. 285-290 [CD-ROM] [online] </t>
  </si>
  <si>
    <t xml:space="preserve">Anglicisms in the specific vocabulary of human resource management / Klimentová, Anna [Autor, UKFPFAKPE, 50%] ; Klimentová, Katarína [Autor, SPUFEM06, 50%] ; International Technology, Education and Development Conference 2021, 15 [08.03.2021-09.03.2021, Valencia, Španielsko]. – [angličtina]. – [OV 020, 080, 010]. – [abstrakt z podujatia - KP]. – DOI 10.21125/inted.2021.1518 In: INTED2021 [textový dokument (print)] [elektronický dokument] : 15th International Technology, Education and Development Conference : conference proceedings / Chova, Luis Goméz [Zostavovateľ, editor] ; López Martínez, Agustín [Zostavovateľ, editor] ; Candel Torres, Ignacio [Zostavovateľ, editor]. – 1. vyd. – Valencia (Španielsko) : IATED, 2021. – (INTED Proceedings, ISSN 2340-1079). – ISBN 978-84-09-27666-0. – ISSN 2340-1079, s. 7553-7560 [online] </t>
  </si>
  <si>
    <t xml:space="preserve">Antisemitské nálady v spoločnosti = Anti-Semitism Mood in Society / Hrešková, Sylvia [Autor, UKFFSSUSJ, 100%] ; QUAERE 2020, 10 [22.06.2020-26.06.2020, Hradec Králové, Česko]. – text. – [slovenčina]. – [OV 020]. – [abstrakt z podujatia - KP] In: QUAERE 2020 [elektronický dokument] : recenzovaný sborník příspěvků interdisciplinární mezinárodní vědecké konference doktorandů a odborných asistentů, Hradec Králové, 22.- 26.6.2020 / [bez zostavovateľa] [Zostavovateľ, editor]. – 1. vyd. – Roč. 10. – Hradec Králové (Česko) : Magnanimitas akademické sdružení, 2020. – ISBN 978-80-87952-32-0, s. 1334-1340 [online] </t>
  </si>
  <si>
    <t xml:space="preserve">Antropocentrická a kultúrna podmienenosť somatických frazém / Rendárová, Mária [Autor, UKFFFAKSJ, 100%] ; Stereotipat v slavianskite ezici, literaturi i kulturi [26.04.2018-28.04.2018, Sofia, Bulharsko]. – text. – [slovenčina]. – [OV 020]. – [abstrakt z podujatia - KP]. – [recenzované] In: Stereotipat v slavianskite ezici, literaturi i kulturi (Tom I. Ezikoznanie) [textový dokument (print)] [elektronický dokument] : sbornik s dokladi ot Četirinadesetite meždunarodni slavistični četenija / Avramova, Cvetanka [Zostavovateľ, editor]. – 1. vyd. – Sofia (Bulharsko) : Universitetsko Izdatelstvo Sv. Kliment Okhridski, 2019. – ISBN 978-954-07-4883-2. – ISBN (online) 978-954-07-4895-5, s. 373-380 [tlačená forma] [online] </t>
  </si>
  <si>
    <t xml:space="preserve">Anyanyelvi nevelés - nyelvi tájképek a Kárpát-medencében / Dőryné Zábrádi, Orsolya [Autor, 40%] ; Lőrincz, Ildikó [Autor, 20%] ; Presinszky, Károly [Autor, UKFFSSUML, 40%] ; Pedagógusképzés a Kárpát-medencében [26.11.2019, Győr, Maďarsko]. – [maďarčina]. – [OV 010]. – [abstrakt z podujatia - KP] In: Pedagógusképzés a Kárpát-medencében [textový dokument (print)] : tananyagfejlesztési tapasztalatok, jó gyakorlatok, című konferenciára, 2019. november 26-án / Lőrincz, Ildikó [Zostavovateľ, editor] ; Fehér, Agóta [Zostavovateľ, editor]. – 1. vyd. – Győr (Maďarsko) : Széchenyi István Egyetem, 2020. – ISBN 978-615-5837-73-9, s. 24-30 [tlačená forma] </t>
  </si>
  <si>
    <t xml:space="preserve">Aplikovanie stratégie pojmového mapovania do vyučovacieho procesu / Kozárová, Nina [Autor, UKFPFAKPE, 34%] ; Petrová, Gabriela [Autor, UKFPFAKPE, 33%] ; Rybanský, Ľubomír [Autor, 33%] ; Bendová, A. [Recenzent] ; Čech, Tomáš [Recenzent] ; ICOLLE 2018 [18.09.2018-19.09.2018, Křtiny, Česko]. – [slovenčina]. – [OV 010]. – [abstrakt z podujatia - KP] In: Sborník z mezinárodní konference ICOLLE 2018 [elektronický dokument] / Šimáně, Michal [Zostavovateľ, editor] ; Danielová, Lenka [Zostavovateľ, editor]. – 1. vyd. – Brno (Česko) : Mendelova univerzita v Brně, 2018. – ISBN 978-80-7509-569-5, s. 262-275 [CD-ROM] </t>
  </si>
  <si>
    <t xml:space="preserve">App inventor vs professional application development: a comparative study / Tóth, Tomáš [Autor, UKFFPVKIN, 100%] ; ICERI 2019, 12 [11.11.2019-13.11.2019, Seville, Španielsko]. – text. – [angličtina]. – [OV 010, 160]. – [abstrakt z podujatia - KP]. – WOS CC In: ICERI2019 Proceedings [elektronický dokument] : 12th International conference of education, research and innovation / Gómez Chova, Luis [Zostavovateľ, editor] ; López Martínez, Agustín [Zostavovateľ, editor] ; Candel Torres, Ignacio [Zostavovateľ, editor]. – 1. vyd. – Valencia (Španielsko) : IATED, 2019. – ISBN 978-84-09-14755-7. – ISSN 2340-1095, s. 4447-4456 [USB kľúč] </t>
  </si>
  <si>
    <t xml:space="preserve">Apple Tree Model of Emotion-Involved Processing / Kamenická, Jana [Autor, UKFPFAKLI, 100%] ; CBU International Conference, 9 [17.03.2021, Praha, Česko]. – text. – [angličtina]. – [OV 010]. – [abstrakt z podujatia - KP] In: Proceedings of CBU in Social Sciences [textový dokument (print)] [elektronický dokument] : CBU international conference on innovations in science and education 2021 / Hajek, Petr [Zostavovateľ, editor] ; Vít, Ondřej [Zostavovateľ, editor]. – 1. vyd. – Praha (Česko) : CBU Research Institute, 2021. – (Proceedings of CBU in Social Sciences, ISSN 2695-0715, ISSN 2695-0723 ; Vol 2). – ISBN 978-80-908061-7-7. – ISBN (online) 978-80-908061-6-0, s. 184-194 [tlačená forma] [online] </t>
  </si>
  <si>
    <t xml:space="preserve">Application of Critical Thinking Strategies in Educational Practice of Lower Secondary Education / Duchovičová, Jana [Autor, UKFPFAKPE, 50%] ; Koleňáková, Rebeka Štefánia [Autor, UKFPFAKPE, 50%] ; International Conference the Future of Education, 10 [18.06.2020-19.06.2020, Florencia, Taliansko]. – text. – [angličtina]. – [OV 010]. – [abstrakt z podujatia - KP] In: 10 th International Conference the Future of Education [elektronický dokument] : International conference, Florence 18-19 June 2020 / [bez zostavovateľa] [Zostavovateľ, editor]. – 1. vyd. – Florencia (Taliansko) : Filodiritto Publisher, 2020. – ISBN (online) 978-88-85813-87-8. – ISSN (online) 2384-9509, s. 575-580 [online] </t>
  </si>
  <si>
    <t xml:space="preserve">Application of ICT Funds in the Educational Process in Slovakia / Depešová, Jana [Autor, UKFPFAKTT, 50%] ; Janíček, Patrik [Autor, UKFPFAKTT, 50%] ; ICERI 2020 : International Conference of Education, Research and Innovation, 13 [09.11.2020-10.11.2020, Sevilla, Španielsko]. – text. – [angličtina]. – [OV 010]. – [abstrakt z podujatia - KP] In: ICERI 2020 [elektronický dokument] : 13th international conference of education, research and innovation : transforming education, transforming lives / Gómez Chova, Luis [Zostavovateľ, editor] ; Martínez, Augustín López [Zostavovateľ, editor] ; Torres, I. Candel [Zostavovateľ, editor]. – 1. vyd. – Valencia (Španielsko) : IATED, 2020. – ISBN 978-84-09-24232-0. – ISSN 2340-1095, s. 6725-6730 [USB kľúč] </t>
  </si>
  <si>
    <t xml:space="preserve">Application of teacher competences in educational practice / Predanocyová, Ľubica [Autor, UKFFFAKFI, 34%] ; Jonášková, Gabriela [Autor, UKFFFAKFI, 33%] ; Feszterová, Melánia [Autor, UKFFPVKCH, 33%] ; NORDSCI [11.10.2021-13.10.2021, Sofia, Bulharsko]. – text. – [angličtina]. – [OV 010]. – [abstrakt z podujatia - KP]. – DOI 10.32008/NORDSCI2021/B1/V4/01 In: NORDSCI International Conference (Book 1 / Volume 4. Education and Educational Research, Language and Linguistic, Philosophy, Sociology and Healthcare) [textový dokument (print)] [elektronický dokument] : Conference Proceedings / [bez zostavovateľa] [Zostavovateľ, editor]. – Sofia (Bulharsko) : SAIMA Consult, 2021. – ISBN 978-619-7495-21-8. – ISSN 2603-4107, s. 15-23 [tlačená forma] [online] </t>
  </si>
  <si>
    <t xml:space="preserve">Applying strategies of higher order thinking in pre-gradual preparation of technical subject teachers / Valentová, Monika [Autor, UKFPFAKTT, 35%] ; Brečka, Peter [Autor, UKFPFAKTT, 35%] ; Hašková, Alena [Autor, UKFPFAKTT, 30%] ; International Conference on Interactive Collaborative Learning, 23 [23.09.2020-25.09.2020, Tallin, Estónsko]. – text. – [angličtina]. – [OV 010]. – [abstrakt z podujatia - KP]. – DOI 10.1007/978-3-030-68198-2_73. – SCO In: Educating Engineers for Future Industrial Revolutions (1) [textový dokument (print)] [elektronický dokument] : Proceedings of the 23rd International Conference on Interactive Collaborative Learning (ICL2020) / Auer, Michael [Zostavovateľ, editor] ; Rüütmann, Tiia [Zostavovateľ, editor]. – 1. vyd. – č. 1328. – Cham (Švajčiarsko) : Springer Verlag, 2021. – ISBN 978-3-030-68197-5. – ISBN (online) 978-3-030-68198-2, s. 775-786 </t>
  </si>
  <si>
    <t xml:space="preserve">Applying the Method of Design Thinking in Teaching ESP in the Context of Creative Tourism / Sándorová, Zuzana [Autor, UKFFSSKCR, 100%] ; Innovation in Language Learning, 11 [08.11.2018-09.11.2018, Florence, Taliansko]. – text. – [angličtina]. – [OV 080]. – [abstrakt z podujatia - KP]. – [recenzované]. – WOS CC In: Proceedings of the 11th Innovation in language learning international conference / [bez zostavovateľa] [Zostavovateľ, editor]. – Bologna (Taliansko) : Filodiritto Publisher, 2018. – ISBN 978-88-85813-21-2, 297-300 </t>
  </si>
  <si>
    <t xml:space="preserve">Appropriation of Christian Mythology in the Postcolonial Novel / Klimková, Simona [Autor, UKFFFAKAA, 100%] ; Intersection of Cultures, 5 [20.06.2019-22.06.2019, Nur-Sultan, Kazachstan]. – text. – [angličtina]. – [OV 010, 020]. – [abstrakt z podujatia - KP] In: Intersection of Cultures [textový dokument (print)] : 5th International Symposium on Asian Languages and Literatures, Nur-Sultan, Kazakhstan, 20-22 June 2019 / Pilten, Pusat [Zostavovateľ, editor]. – 1. vyd. – Ankara (Turecko) : Akhmet Yassawi International Kazakh-Turkish University, 2020. – ISBN 978-9944-237-82-6, s. 45-58 [tlačená forma] </t>
  </si>
  <si>
    <t xml:space="preserve">Archaický okraj východnej východoslovenčiny a dialekt Kyjevských listov / Diweg-Pukanec, Martin [Autor, UKFFFASJL, 100%] ; Variantnost v onymii a dialektech [18.01.2019-19.01.2019, Brno, Česko]. – text. – [slovenčina]. – [OV 020]. – [abstrakt z podujatia - KP] In: Variantnost v onymii a dialektech [textový dokument (print)] : sborník příspěvků z konference uspořádané při příležitosti životního jubilea prof. PhDr. Rudolfa Šrámka, CSc., dr.h.c., ve dnech 18.-19. 1. 2019 / Kolářová, Ivana [Zostavovateľ, editor] ; Svobodová, Hana [Zostavovateľ, editor] ; David, Jaroslav [Recenzent] ; Šipková, Milena [Recenzent]. – 1. vyd. – Brno (Česko) : Masaryk University Press, 2020. – ISBN 978-80-210-9820-6, s. 127-138 [tlačená forma] </t>
  </si>
  <si>
    <t xml:space="preserve">Archeológia pre deti v réžii Katedry archeológie FF UKF v Nitre / Borzová, Zuzana [Autor, UKFFFAKAR, 100%] ; Evropské dny archeologie [18.07.2021-20.07.2021, Praha, Česko]. – text. – [slovenčina]. – [OV 030]. – [abstrakt z podujatia - KP]. – [recenzované] In: Veřejná archeologie 6 [textový dokument (print)] : sborník z konference Evropské dny archeologie, Praha 18. - 20.7.2021 / Bureš, Michal [Zostavovateľ, editor] ; Popelka, Miroslav [Zostavovateľ, editor]. – 1. vyd. – Praha (Česko) : Univerzita Karlova v Praze. Nakladatelství Karolinum, 2021. – ISBN 978-80-246-4865-1. – ISBN 978-80-905579-4-9, s. 109-118 [tlačená forma] </t>
  </si>
  <si>
    <t xml:space="preserve">Architecture proposal for micro-learning application for learning and teaching programming courses / Skalka, Ján [Autor, UKFFPVKIN, 25%] ; Drlík, Martin [Autor, UKFFPVKIN, 25%] ; Obonya, Juraj [Autor, UKFFPVKIN, 25%] ; Cápay, Martin [Autor, UKFFPVKIN, 25%] ; IEEE Global Engineering Education Conference 2020, 11 [27.04.2020-30.04.2020, Porto, Portugalsko]. – text. – [angličtina]. – [OV 160]. – [abstrakt z podujatia - KP]. – DOI 10.1109/EDUCON45650.2020.9125407. – WOS CC ; SCO In: 2020 IEEE Global Engineering Education Conference (EDUCON) [elektronický dokument] / [bez zostavovateľa] [Zostavovateľ, editor]. – 1. vyd. – Piscataway (USA) : Institute of Electrical and Electronics Engineers, 2020. – ISBN (online) 978-1-7281-0930-5, s. 980-987 [online] </t>
  </si>
  <si>
    <t xml:space="preserve">Artificial Intelligence - a New Topic in Computer Science Curriculum at Primary and Secondary Schools: Challenges, Opportunities, Tools and Approaches / Tkáčová, Zuzana [Autor, UKFPFAKTT, 80%] ; Šnajder, Ľubomír [Autor, 10%] ; Guniš, Ján [Autor, 10%] ; MIPRO 2020, 43 [28.09.2020-02.10.2020, Opatija, Chorvátsko]. – text. – [angličtina]. – [OV 010]. – [abstrakt z podujatia - KP]. – [recenzované]. – sign UPJS SSEP 021570. – SCO In: MIPRO 2020 [elektronický dokument] : 43rd International Convention : proceedings / Skala, Karolj [Zostavovateľ, editor]. – 1. vyd. – Rijeka (Chorvátsko) : Croatian Society for Information and Communication Technology, Electronics and Microelectronics, 2020. – ISSN 1847-3946, s. 835-839 [online] </t>
  </si>
  <si>
    <t xml:space="preserve">Assessing reading comprehension skills of young learners / Vančo, Ildikó [Autor, UKFFSSUML, 50%] ; Gergelyová, Viktória [Autor, UKFFSSUML, 50%] ; EDULEARN21 [05.07.2021-06.07.2021, Barcelona, Španielsko]. – text. – [angličtina]. – [OV 010]. – [abstrakt z podujatia - KP]. – DOI 10.21125/inted.2021.0638 In: EDULEARN21 [elektronický dokument] : 13th annual International Conference on Education and New Learning Technologies, Barcelona, 5th - 6th of July, 2021 / Chova, Luis Goméz [Zostavovateľ, editor] ; Martínez, Augustín López [Zostavovateľ, editor] ; Torres, I. [Zostavovateľ, editor]. – 1. vyd. – Roč. 13. – Barcelona (Španielsko) : IATED, 2021. – ISBN 978-84-09-31267-2. – ISSN 2340-1117, s. 2990-2995 [CD-ROM] [USB kľúč] </t>
  </si>
  <si>
    <t xml:space="preserve">Assessing the quality of TTS audio in the LARA learning-by-reading platform / Akhlaghi, Elham [Autor, 16%] ; Bączkowska, Anna [Autor, 6%] ; Berthelsen, Harald [Autor, 6%] ; Bédi, Branislav [Autor, 6%] ; Chua, Cathy [Autor, 6%] ; Cucchiarini, Catia [Autor, 6%] ; Habibi, Hanieh [Autor, 6%] ; Horváthová, Ivana [Autor, UKFFFAKAA, 6%] ; Hvalsøe, Pernille [Autor, 6%] ; Lotz, Roy [Autor, 6%] ; Maizonniaux, Christéle [Autor, 6%] ; Ní Chiaráin, Neasa [Autor, 6%] ; Rayner, Manny [Autor, 6%] ; Tsourakis, Nikos [Autor, 6%] ; Yao, Chunlin [Autor, 6%] ; Call and professionalisation: Short papers from EUROCALL 2021 [26.08.2021-27.08.2021, Paris, Francúzsko]. – [angličtina]. – [OV 010]. – [abstrakt z podujatia - KP] In: Call and professionalisation: Short papers from EUROCALL 2021 [elektronický dokument] : Paris: The EUROCALL 2021 Conference, 26-27 August, 2021 / Zoghlami, Naouel [Zostavovateľ, editor]. – 1. vyd. – Paríž (Francúzsko) : Research-publishing.net, 2021. – ISBN 978-2-490057-97-9, s. 1-5 </t>
  </si>
  <si>
    <t xml:space="preserve">Assessment of the employee education: case study aimed at industrial production practice / Kuna, Peter [Autor, UKFPFAKTT, 33.334%] ; Hodál, Peter [Autor, UKFPFAKTT, 33.333%] ; Hašková, Alena [Autor, UKFPFAKTT, 33.333%] ; ICERI 2019, 12 [11.11.2019-13.11.2019, Seville, Španielsko]. – text. – [angličtina]. – [OV 010]. – [abstrakt z podujatia - KP]. – WOS CC In: ICERI2019 Proceedings [elektronický dokument] : 12th International conference of education, research and innovation / Gómez Chova, Luis [Zostavovateľ, editor] ; López Martínez, Agustín [Zostavovateľ, editor] ; Candel Torres, Ignacio [Zostavovateľ, editor]. – 1. vyd. – Valencia (Španielsko) : IATED, 2019. – ISBN 978-84-09-14755-7. – ISSN 2340-1095, s. 3006-3010 [USB kľúč] </t>
  </si>
  <si>
    <t xml:space="preserve">Assessment of vocabulary knowledge through a mobile application / Poláková, Petra [Autor, UKFPFAKLI, 80%] ; Klímova, Petra [Autor, 20%] ; International Conference on Knowledge-Based and Intelligent Information &amp; Engineering Systems, 24 [16.09.2020-18.09.2020, Verona, Taliansko]. – text. – [angličtina]. – [OV 020, 010]. – [abstrakt z podujatia - KP]. – DOI 10.1016/j.procs.2020.09.163. – SCO In: 24th International Conference on Knowledge-Based and Intelligent Information &amp; Engineering Systems [elektronický dokument] / [bez zostavovateľa] [Zostavovateľ, editor]. – 1. vyd. – Amsterdam (Holandsko) : Elsevier, 2020. – (Procedia computer science, ISSN 1877-0509 ; 176, SJR: 0,334 ; CiteScore: 3 ; SNIP: 1,035). – ISSN (online) 1877-0509, s. 1523-1530 [online] </t>
  </si>
  <si>
    <t xml:space="preserve">Audio Engineering Books as an Object of Research for Improve Curriculum of Technically Oriented Music Education / Brezina, Pavol [Autor, UKFPFAKHU, 100%] ; Sapere Aude 2019, 9 [27.05.2019-29.05.2019, Hradec Králové, Česko]. – text. – [slovenčina]. – [OV 010]. – [abstrakt z podujatia - KP] In: Sapere Aude 2019 [elektronický dokument] : společnost a profese učitele : recenzovaný sborník příspěvků vědecké konference s mezinárodní účastí / [bez zostavovateľa] [Zostavovateľ, editor]. – 1. vyd. – Roč. 9. – Hradec Králové (Česko) : Magnanimitas akademické sdružení, 2019. – ISBN 978-80-87952-29-0, s. 160-175 [online] [CD-ROM] </t>
  </si>
  <si>
    <t xml:space="preserve">Automated Assessment in Learning and Teaching Programming Languages using Virtual Learning Environment / Skalka, Ján [Autor, UKFFPVKIN, 33.334%] ; Drlík, Martin [Autor, UKFFPVKIN, 33.333%] ; Obonya, Juraj [Autor, UKFFPVKIN, 33.333%] ; IEEE Global Engineering Education Conference, 10 [09.04.2019-11.04.2019, Dubai, Spojené arabské emiráty]. – text. – [angličtina]. – [OV 160]. – [abstrakt z podujatia - KP]. – [recenzované]. – WOS CC In: 2019 IEEE Global Engineering Education Conference  (EDUCON 2019) [elektronický dokument] : Dubai, April 9-11, 2019 / [bez zostavovateľa] [Zostavovateľ, editor]. – 1. vyd. – Piscataway (USA) : Institute of Electrical and Electronics Engineers. IEEE Education Society, 2019. – ISBN 978-1-5386-9506-7, s. 721-729 [online] </t>
  </si>
  <si>
    <t xml:space="preserve">Automatic Evaluation of MT Output and Post-edited MT Output for Genealogically Related Languages / Munková, Daša [Autor, UKFFFAKTR, 25%] ; Munk, Michal [Autor, UKFFPVKIN, 25%] ; Skalka, Ján [Autor, UKFFPVKIN, 25%] ; Kasáš, Karol [Autor, 25%] ; Innovation in Information Systems and Technologies to Support Learning Research, 7 [21.11.2019-30.01.2020, Marrakech, Maroko]. – text. – [angličtina]. – [OV 160, 010]. – [abstrakt z podujatia - KP] In: Innovation in Information Systems and Technologies to Support Learning Research [elektronický dokument] [textový dokument (print)] : Proceedings of EMENA-ISTL 2019 / Serrhini, Mohhamed [Zostavovateľ, editor] ; Silva, Carla [Zostavovateľ, editor] ; Aljahdali, Sultan [Zostavovateľ, editor]. – 1. vyd. – Cham (Švajčiarsko) : Springer Verlag, 2020. – (Learning and Analytics in Intelligent Systems, ISSN 2662-3447, ISSN 2662-3455 ; 7). – ISBN 978-3-030-36777-0. – ISBN (online) 978-3-030-36778-7, s. 416-425 [online] [tlačená forma] </t>
  </si>
  <si>
    <t xml:space="preserve">Az anyanyelv és irodalom tananyag elkészítésének és pilotírozásának tapasztalatai a nyitrai és a győri tanítóképzésben / Petres Csizmadia, Gabriela [Autor, UKFFSSUML, 50%] ; Sütő, Csaba András [Autor, 50%] ; Pedagógusképzés a Kárpát-medencében [26.11.2019, Győr, Maďarsko]. – [maďarčina]. – [OV 010]. – [abstrakt z podujatia - KP] In: Pedagógusképzés a Kárpát-medencében [textový dokument (print)] : tananyagfejlesztési tapasztalatok, jó gyakorlatok, című konferenciára, 2019. november 26-án / Lőrincz, Ildikó [Zostavovateľ, editor] ; Fehér, Agóta [Zostavovateľ, editor]. – 1. vyd. – Győr (Maďarsko) : Széchenyi István Egyetem, 2020. – ISBN 978-615-5837-73-9, s. 35-45 [tlačená forma] </t>
  </si>
  <si>
    <t xml:space="preserve">Az í-zés vizsgálata csallóközi beszélők nyelvi repertoárjában / Presinszky, Károly [Autor, UKFFSSUML, 100%] ; 20. Élőnyelvi Konferencia: Nyelvi repertoárok a Kárpát-medencében és azon kívül, 20 [30.08.2018-01.09.2018, Budapešť, Maďarsko]. – text. – [maďarčina]. – [OV 010]. – [abstrakt z podujatia - KP] In: Nyelvi repertoárok a Kárpát-medencében és azon kívül [textový dokument (print)] : 20. Élőnyelvi Konferencia / Heltai, János Imre [Zostavovateľ, editor] ; Oszkó, Beatrix [Zostavovateľ, editor] ; Benő, Attila [Recenzent] ; Bodó, Csanád [Recenzent]. – 1. vyd. – Budapest (Maďarsko) : Magyar Tudományos Akadémia. Nyelvtudományi Intézet, 2020. – ISBN 978-963-9074-86-6, s. 245-258 [tlačená forma] </t>
  </si>
  <si>
    <t xml:space="preserve">Background and Current Situation of Literacy of Roma People in Slovakia / Bárcziová, Žofia [Autor, UKFFSSUML, 50%] ; Tóthová, Gizela [Autor, UKFFSSUML, 50%] ; EDULEARN19, 11 [01.07.2019-03.07.2019, Palma de Mallorca, Španielsko]. – text. – [angličtina]. – [OV 010]. – [abstrakt z podujatia - KP]. – WOS CC In: EDULEARN19 proceedings [elektronický dokument] : 11th annual International Conference on Education and New Learning Technologies / Gómez Chova, Luis [Zostavovateľ, editor] ; López Martínez, Agustín [Zostavovateľ, editor] ; López, Agustín [Recenzent] ; Girós, Amparo [Recenzent]. – 1. vyd. – Roč. 11. – Valencia (Španielsko) : IATED, 2019. – ISBN 978-84-09-12031-4. – ISSN 2340-1117, s. 6254-6259 [CD-ROM] </t>
  </si>
  <si>
    <t xml:space="preserve">Basic Problems of Education in Slovakia in The Context of Building a Knowledge Society / Králik, Roman [Autor, UKFFFAKAE 06.2022, 50%] ; Ambrozy, Marián [Autor, ISMNEKSV, 50%] ; SWS 2019, 6 [26.08.2019-01.09.2019, Albena, Bulharsko]. – text. – [angličtina]. – [OV 020]. – [abstrakt z podujatia - KP] In: SWS International Scientific Conference on Social Sciences 2019 (Education and Educational Research) [textový dokument (print)] [elektronický dokument] : conference proceeding / [bez zostavovateľa] [Zostavovateľ, editor]. – 1. vyd. – Roč. 6, č. 4. – Sofia (Bulharsko) : STEF92 Technology, 2019. – ISBN 978-619-7408-94-2. – ISSN 2682-9959, s. 55-60 [tlačená forma] [online] </t>
  </si>
  <si>
    <t xml:space="preserve">Before we start Arduino / Voštinár, Patrik [Autor, UMBFP05, 40%] ; Klimová, Nika [Autor, UKFFPVKIN, 40%] ; Škrinárová, Jarmila [Autor, UMBFP05, 20%] ; International Technology, Education and Development Conference 2019, 13 [11.03.2019-13.03.2019, Valencia, Španielsko]. – text. – [angličtina]. – [OV 160]. – [abstrakt z podujatia - KP]. – [recenzované]. – DOI 10.21125/inted.2019.1748. – WOS CC In: INTED2019 Proceedings [elektronický dokument] : 13th International Technology, Education and Development Conference / Chova, Luis Goméz [Zostavovateľ, editor] ; López Martínez, Agustín [Zostavovateľ, editor] ; Candel Torres, Ignacio [Zostavovateľ, editor]. – 1. vyd. – Valencia (Španielsko) : IATED, 2019. – (INTED Proceedings, ISSN 2340-1079). – ISBN 978-84-09-08619-1, s. 7218-7223 [CD-ROM] [USB kľúč] </t>
  </si>
  <si>
    <t xml:space="preserve">Bolivijský vidiek ako možná valorita cestovného ruchu = Bolivian countryside as a possible value of tourism / Veselovský, Ján [Autor, UKFFPVKGR, 50%] ; Chalupa, Petr [Autor, 50%] ; Aktuální problémy cestovního ruchu, 14 [27.02.2019-28.02.2019, Jihlava, Česko]. – text. – [slovenčina]. – [OV 092, 080]. – [abstrakt z podujatia - KP]. – [recenzované] In: Aktuální problémy cestovního ruchu [elektronický dokument] : „Cestovní ruch - příležitost pro venkov" : recenzovaný sborník z mezinárodní konference / Linderová, Ivica [Zostavovateľ, editor]. – 1 vyd. – Roč. 14. – Jihlava (Česko) : Vysoká škola polytechnická Jihlava, 2019. – ISBN 978-80-88064-43-5. – ISBN (online) 978-80-88064-42-8, s. 410-420 [online] [CD-ROM] </t>
  </si>
  <si>
    <t xml:space="preserve">Brain Gym Exercises as Mindful Practices in English Lessons / Kováčiková, Elena [Autor, UKFPFAKLI, 50%] ; Reid, Eva [Autor, UKFPFAKLI, 50%] ; Boettger, Heiner [Recenzent] ; Jensen, Karla [Recenzent] ; Mindful Evolution [15.07.2016, Eichstätt, Nemecko]. – [angličtina]. – [OV 010]. – [abstrakt z podujatia - KP] In: Mindful Evolution [textový dokument (print)] : Conference Proceedings, 15th July 2016,  Eichstätt, Thessaloniki / Böttger, Heiner [Zostavovateľ, editor]. – 1. vyd. – Kempten (Nemecko) : Verlag Julius Klinkhardt, 2018. – ISBN 978-3-7815-2218-3, s. 114-122 [tlačená forma] </t>
  </si>
  <si>
    <t xml:space="preserve">Budovanie značky regionálneho produktu v mikroregióne Cedron - Nitrava = Creation of regional product brand in the CEDRON – NITRAVA Microregion / Kramáreková, Hilda [Autor, UKFFPVKGR, 25%] ; Dubcová, Alena [Autor, UKFFPVKGR, 25%] ; Oremusová, Daša [Autor, 25%] ; Huslica, Kamil [Autor, 25%] ; Wokoun, René [Recenzent] ; Viturka, Milan [Recenzent] ; Mezinárodní kolokvium o regionálních vědách, 21 [13.06.2018-15.06.2018, Kurdějov, Česko]. – text. – [slovenčina]. – [OV 092]. – [abstrakt z podujatia - KP]. – DOI 10.5817/CZ.MUNI.P210-8970-2018-74 In: 21. mezinárodní kolokvium o regionálních vědách [textový dokument (print)] [elektronický dokument] : sborník příspěvků, Kurdějov 13. - 15. června 2018 = Conference Proceedings / Klímová, Viktorie [Zostavovateľ, editor] ; Žítek, Vladimír [Zostavovateľ, editor]. – 1. vyd. – Brno (Česko) : Masarykova univerzita, 2018. – ISBN 978-80-210-8969-3. – ISBN (online) 978-80-210-8970-9, s. 564-572 [tlačená forma] [online] </t>
  </si>
  <si>
    <t xml:space="preserve">Business Service Centres and their Current Challenges in European Integration / Hudáková, Jarmila [Autor, UKFFPVUMI, 100%] ; Melecký, Lukáš [Recenzent] ; Kozáková, Paulína [Recenzent] ; ICEI 2018, 4 [17.05.2018-18.05.2018, Ostrava, Česko]. – [angličtina]. – [OV 080]. – [abstrakt z podujatia - KP]. – WOS CC In: ICEI 2018 [textový dokument (print)] [elektronický dokument] : proceedings of the 4th International Scientific Conference on European Integration : May 17-18, 2018, Ostrava, Czech Republic / Staníčková, Michaela [Zostavovateľ, editor]. – 1. vyd. – Ostrava (Česko) : Vysoká škola báňská – Technická univerzita Ostrava, 2018. – ISBN 978-80-248-4169-4. – ISSN 2571-029X, s. 490-496 [tlačená forma] [CD-ROM] </t>
  </si>
  <si>
    <t xml:space="preserve">Can urgent health care students read the temperature curve of patient? (Analysis of test task solution focused on graphical literacy) / Balázsiová, Zuzana [Autor, UKOLFULFB, 80%] ; Mankovecká, Monika [Autor, UKFFSVKUM, 20%] ; ICERI 2019, 12 [11.11.2019-13.11.2019, Seville, Španielsko]. – text, graf., tab. – [angličtina]. – [OV 180]. – [abstrakt z podujatia - KP]. – [recenzované]. – SIGN-UKO LF ULFB/19. – WOS CC In: ICERI2019 Proceedings [elektronický dokument] : 12th International conference of education, research and innovation / Gómez Chova, Luis [Zostavovateľ, editor] ; López Martínez, Agustín [Zostavovateľ, editor] ; Candel Torres, Ignacio [Zostavovateľ, editor]. – 1. vyd. – Valencia (Španielsko) : IATED, 2019. – ISBN 978-84-09-14755-7. – ISSN 2340-1095, s. 3783-3786 [USB kľúč] </t>
  </si>
  <si>
    <t xml:space="preserve">Case Study in Crisis Communication from Academic Environment / Szabóová, Veronika [Autor, UKFFFAKMR, 100%] ; Creative strategy / strategy of creativity: Trends in creative marketing communication [25.04.2019, Praha, Česko]. – text. – [angličtina]. – [OV 060]. – [abstrakt z podujatia - KP]. – WOS CC In: Creative strategy / strategy of creativity [textový dokument (print)] : trends in creative marketing communication / Pavlů, Dušan [Zostavovateľ, editor] ; Majerik, Petr [Zostavovateľ, editor]. – Praha (Česko) : Professional Publishing ; Vysoká škola kreativní komunikace, 2019. – ISBN 978-80-88260-38-7. – ISBN 978-80-907526-5-8, s. 119-135 [tlačená forma] </t>
  </si>
  <si>
    <t xml:space="preserve">Citatnyje associjaciji kak dokazovateľstvo literaturnych i kuľturnych svijazej / Bilčíková, Miriama [Autor, UKFFFAKRU, 100%] ; Rusistika v XXI veke: tendencii i napravlenija razvitija [24.10.2019-25.10.2019, Jerevan, Arménsko]. – text. – [ruština]. – [OV 020]. – [abstrakt z podujatia - KP]. – [recenzované] In: Rusistika v XII veke: tendencii i napravlenija razvitija [textový dokument (print)] : meždunarodnaja naučnaja konferencija : sbornik statej / [bez zostavovateľa] [Zostavovateľ, editor]. – Jerevan (Arménsko) : Izdateľstvo JeGU, 2019. – ISBN 978-5-8084-2392-3, s. 523-527 [tlačená forma] </t>
  </si>
  <si>
    <t xml:space="preserve">Cizojazyčné lexikální elementy a jejich funkce v jazykové výstavbě románu Jaroslava Haška Osudy dobrého vojáka Švejka za světové války = The Elements of Foreign Languages and Their Functions in “multilanguage strategy” in Jaroslav Hašek ́s Novel The Good Soldier Svejk and His Fortunes in the World War / Mikulášek, Alexej [Autor, UKFFSSUSJ, 100%] ; Revitalizace hodnot, 4 [28.08.2018-13.01.2020, Brno, Česko]. – text. – [čeština]. – [OV 020]. – [abstrakt z podujatia - KP] In: Revitalizace hodnot: umění a literatura IV [textový dokument (print)] [elektronický dokument] / Dohnal, Josef [Zostavovateľ, editor] ; Eliáš, Anton [Recenzent] ; Richterek, Oldřich [Recenzent]. – 1. vyd. – Brno (Česko) : Tribun EU, 2019. – ISBN 978-80-263-1476-9. – ISBN (online) 978-80-263-1477-6, s. 93-109 [tlačená forma] [CD-ROM] </t>
  </si>
  <si>
    <t xml:space="preserve">Code notation of Miroslav Košnár / Haragová, Paulína [Autor, UKFPFAKHU, 100%] ; Mezinárodní Masarykova konference pro doktorandy a mladé vědecké pracovníky 2018, 9 [17.12.2018-21.12.2018, Hradec Králové, Česko]. – text. – [angličtina]. – [OV 010]. – [abstrakt z podujatia - KP] In: MMK 2018 [elektronický dokument] : recenzovaný sborník příspěvků mezinárodní vědecké konference : mezinárodní Masarykova konference pro doktorandy a mladé vědecké pracovníky / [bez zostavovateľa] [Zostavovateľ, editor] ; Lipowski, Jaroslav [Recenzent] ; Jaskułowski, Krzysztof [Recenzent] ; Kislingerová, Eva [Recenzent]. – 1 vyd. – Roč. 9. – Hradec Králové (Česko) : Magnanimitas akademické sdružení, 2018. – ISBN 978-80-87952-27-6, s. 478-486 [CD-ROM] </t>
  </si>
  <si>
    <t xml:space="preserve">Cognitive Structure and Foreign Language Reading Comprehension / Stranovská, Eva [Autor, UKFFFAKGE, 40%] ; Ficzere, Anikó [Autor, UKFFSSKCR, 30%] ; Gadušová, Zdenka [Autor, UKFFFAKAA, 30%] ; International Technology, Education and Development Conference 2020, 14 [02.03.2020-04.03.2020, Valencia, Španielsko]. – text. – [angličtina]. – [OV 010]. – [abstrakt z podujatia - KP]. – DOI 10.21125/inted.2020.1369. – WOS CC In: INTED2020 Proceedings [elektronický dokument] : 14th International Technology, Education and Development Conference / Chova, Luis Goméz [Zostavovateľ, editor] ; López Martínez, Agustín [Zostavovateľ, editor] ; Candel Torres, Ignacio [Zostavovateľ, editor]. – 1. vyd. – Valencia (Španielsko) : IATED, 2020. – (INTED Proceedings, ISSN 2340-1079). – ISBN 978-84-09-17939-8. – ISSN 2340-1079, s. 5010-5016 [online] </t>
  </si>
  <si>
    <t xml:space="preserve">Comparison of different types of electrodes to DC conductivity measurements at elevated temperatures / Ondruška, Ján [Autor, UKFFPVKFY, 34%] ; Štubňa, Igor [Autor, 33%] ; Vozár, Libor [Autor, UKFFPVKFY, 33%] ; Central European Symposium on Thermophysics, 3 [01.09.2021-03.09.2021, Kazimierz Dolny, Poľsko]. – text. – [angličtina]. – [OV 091]. – [ŠO 1160]. – [abstrakt z podujatia - KP]. – DOI 10.1063/5.0069610. – WOS CC ; SCO In: Proceedings of the 3rd Central European Symposium on Thermophysics [elektronický dokument] / Trník, Anton [Zostavovateľ, editor] ; Suchorab, Zbigniew [Zostavovateľ, editor]. – 1. vyd. – Melville, NY (USA) : American Institute of Physics . AIP Publishing, 2021. – ISBN 978-0-7354-4139-2, s. 1-16 [online] </t>
  </si>
  <si>
    <t xml:space="preserve">Comparison of fake and real news based on morphological analysis / Kapusta, Jozef [Autor, UKFFPVKIN, 25%] ; Hájek, Petr [Autor, 25%] ; Munk, Michal [Autor, UKFFPVKIN, 25%] ; Benko, Ľubomír [Autor, UKFFPVKIN, 25%] ; 3rd International Conference on Computing and Network Communications, 3 [18.12.2019-21.12.2019, Kerala, India]. – text. – [angličtina]. – [OV 160]. – [abstrakt z podujatia - KP]. – DOI 10.1016/j.procs.2020.04.247. – SCO In: The 11th International Conference on Ambient Systems, Networks and Technologies (ANT) / The 3rd International Conference on Emerging Data and Industry 4.0 (EDI40) / Affiliated Workshops [elektronický dokument] / Shakshuki, Elhadi [Zostavovateľ, editor] ; Yasar, Ansar [Zostavovateľ, editor]. – 1. vyd. – Amsterdam (Holandsko) : Elsevier, 2020. – (Procedia computer science, ISSN 1877-0509 ; 170, SJR: 0,334 ; CiteScore: 3 ; SNIP: 1,035). – ISSN (online) 1877-0509, 2285-2293 [online] </t>
  </si>
  <si>
    <t xml:space="preserve">Comparison of incomes from ownership of municipal property in conditions of local self-government in the Slovak Republic and in the Czech Republic = Komparácia príjmov z vlastníctva obecného majetku v podmienkach miestnych samospráv v SR a ČR / Balážová, Eva [Autor, SPUFES14, 35%] ; Papcunová, Viera [Autor, UKFFPVUMI, 35%] ; Ágh, Peter [Autor, 30%] ; Wokoun, René [Recenzent] ; Viturka, Milan [Recenzent] ; Mezinárodní kolokvium o regionálních vědách, 21 [13.06.2018-15.06.2018, Kurdějov, Česko]. – text. – [angličtina]. – [OV 080]. – [abstrakt z podujatia - KP]. – DOI 10.5817/CZ.MUNI.P210-8970-2018-55 In: 21. mezinárodní kolokvium o regionálních vědách [textový dokument (print)] [elektronický dokument] : sborník příspěvků, Kurdějov 13. - 15. června 2018 = Conference Proceedings / Klímová, Viktorie [Zostavovateľ, editor] ; Žítek, Vladimír [Zostavovateľ, editor]. – 1. vyd. – Brno (Česko) : Masarykova univerzita, 2018. – ISBN 978-80-210-8969-3. – ISBN (online) 978-80-210-8970-9, s. 650-655 [tlačená forma] [online] </t>
  </si>
  <si>
    <t xml:space="preserve">Comparison of tertiary students' home schooling during the two coronavirus waves / Šebo, Miroslav [Autor, UKFPFAKTT, 50%] ; Hašková, Alena [Autor, UKFPFAKTT, 50%] ; ICERI 2021, 14 [08.11.2021-09.11.2021, Seville, Španielsko]. – text. – [angličtina]. – [OV 010]. – [abstrakt z podujatia - KP] In: ICERI2021 [elektronický dokument] : 14th annual International Conference of Education, Research and Innovation / Gómez, Chova L. [Zostavovateľ, editor] ; López Martínez, Agustín [Zostavovateľ, editor] ; Candel Torres, Ignacio [Zostavovateľ, editor]. – 1. vyd. – Valencia (Španielsko) : IATED, 2021. – ISBN 978-84-09-34549-6. – ISSN 2340-1095, s. 3363-3370 [online] [USB kľúč] </t>
  </si>
  <si>
    <t xml:space="preserve">Comparison of Vocational Training of Teachers of Technical Subjects / Depešová, Jana [Autor, UKFPFAKTT, 50%] ; Janíček, Patrik [Autor, UKFPFAKTT, 50%] ; ICERI 2020 : International Conference of Education, Research and Innovation, 13 [09.11.2020-10.11.2020, Sevilla, Španielsko]. – text. – [angličtina]. – [OV 010]. – [abstrakt z podujatia - KP] In: ICERI 2020 [elektronický dokument] : 13th international conference of education, research and innovation : transforming education, transforming lives / Gómez Chova, Luis [Zostavovateľ, editor] ; Martínez, Augustín López [Zostavovateľ, editor] ; Torres, I. Candel [Zostavovateľ, editor]. – 1. vyd. – Valencia (Španielsko) : IATED, 2020. – ISBN 978-84-09-24232-0. – ISSN 2340-1095, s. 6746-6749 [USB kľúč] </t>
  </si>
  <si>
    <t xml:space="preserve">Competence to design and plan education and its application in school practice / Predanocyová, Ľubica [Autor, UKFFFAKFI, 50%] ; Jonášková, Gabriela [Autor, UKFFFAKFI, 50%] ; NORDSCI [11.10.2021-13.10.2021, Sofia, Bulharsko]. – text. – [angličtina]. – [OV 010]. – [abstrakt z podujatia - KP]. – DOI 10.32008/NORDSCI2021/B1/V4/03 In: NORDSCI International Conference (Book 1 / Volume 4. Education and Educational Research, Language and Linguistic, Philosophy, Sociology and Healthcare) [textový dokument (print)] [elektronický dokument] : Conference Proceedings / [bez zostavovateľa] [Zostavovateľ, editor]. – Sofia (Bulharsko) : SAIMA Consult, 2021. – ISBN 978-619-7495-21-8. – ISSN 2603-4107, s. 35-43 [tlačená forma] [online] </t>
  </si>
  <si>
    <t xml:space="preserve">Competences of Teachers for Laboratory and Field Work / Jonášková, Gabriela [Autor, UKFFFAKFI, 25%] ; Valovičová, Ľubomíra [Autor, UKFFPVKFY, 25%] ; Kramáreková, Hilda [Autor, UKFFPVKGR, 25%] ; Predanocyová, Ľubica [Autor, UKFFFAKFI, 25%] ; SGEM 2018, 5 [26.08.2018-01.09.2018, Albena, Bulharsko]. – text. – [angličtina]. – [OV 010]. – [abstrakt z podujatia - KP]. – [recenzované] In: SGEM 2018 conference proceedings (3.4. Science and Society : education and educational research) [textový dokument (print)] [elektronický dokument] / [bez zostavovateľa] [Zostavovateľ, editor]. – 1. vyd. – Roč. 5. – Albena (Bulharsko) : STEF92 Technology, 2018. – ISBN 978-619-7408-56-0. – ISSN 2367-5659, s. 131-139 [tlačená forma] [online] </t>
  </si>
  <si>
    <t xml:space="preserve">Competences of VET Teachers in Dual Education / Lukáčová, Danka [Autor, UKFPFAKTT, 33.334%] ; Bánesz, Gabriel [Autor, UKFPFAKTT, 33.333%] ; Zmeková, Dagmar [Autor, UKFPFAKTT, 33.333%] ; EDULEARN20, 12 [06.07.2020-07.07.2020, Palma de Mallorca, Španielsko]. – text. – [angličtina]. – [OV 010]. – [abstrakt z podujatia - KP] In: EDULEARN20 proceedings [elektronický dokument] : 12th International Conference on Education and New Learning Technologies / Gómez Chova, Luis [Zostavovateľ, editor] ; López Martínez, Agustín [Zostavovateľ, editor]. – 1. vyd. – Roč. 12. – Valencia (Španielsko) : IATED, 2020. – ISBN 978-84-09-17979-4. – ISSN 2340-1117, s. 1071-1077 [USB kľúč] </t>
  </si>
  <si>
    <t xml:space="preserve">Computer graphics online education during the covid-19 pandemic, observations and experiences / Tomanová, Júlia [Autor, UKFFPVKIN, 100%] ; ICERI 2021, 14 [08.11.2021-09.11.2021, Seville, Španielsko]. – text. – [angličtina]. – [OV 010, 160]. – [abstrakt z podujatia - KP] In: ICERI2021 [elektronický dokument] : 14th annual International Conference of Education, Research and Innovation / Gómez, Chova L. [Zostavovateľ, editor] ; López Martínez, Agustín [Zostavovateľ, editor] ; Candel Torres, Ignacio [Zostavovateľ, editor]. – 1. vyd. – Valencia (Španielsko) : IATED, 2021. – ISBN 978-84-09-34549-6. – ISSN 2340-1095, s. 6755-6759 [online] [USB kľúč] </t>
  </si>
  <si>
    <t xml:space="preserve">Conceptual framework of microlearning-based training mobile application for improving programming skills / Skalka, Ján [Autor, UKFFPVKIN, 50%] ; Drlík, Martin [Autor, UKFFPVKIN, 50%] ; IMCL 2017, 11 [30.11.2017-01.12.2017, Thessaloniki, Grécko]. – text. – [angličtina]. – [OV 160]. – [abstrakt z podujatia - KP]. – [recenzované]. – DOI 10.1007/978-3-319-75175-7_22. – WOS CC ; SCO In: Interactive mobile communication technologies and learning [textový dokument (print)] [elektronický dokument] : Proceedings of the 11th IMCL Conference / Auer, Michael [Zostavovateľ, editor] ; Tsiatsos, Thrasyvoulos [Zostavovateľ, editor]. – 1. vyd. – Berlín (Nemecko) : Springer Nature. Springer International Publishing AG, 2018. – (Advances in Intelligent Systems and Computing, ISSN 2194-5357, ISSN 2194-5365 ; 725, SJR: 0,174 ; CiteScore: 0,8 ; SNIP: 0,448). – ISBN 978-3-319-75174-0. – ISBN (online) 978-3-319-75175-7, s. 213-224 [tlačená forma] Scimago - Computer science (miscellaneous) - Q3, Control and systems engineering - Q4 </t>
  </si>
  <si>
    <t xml:space="preserve">Conceptual Maps as the Lucrative Way Showing Integrate Characteristic of the Energy Concept In School Environment / Jindrová, Terézia [Autor, UKFFPVKFY, 100%] ; New perspectives in science education [21.03.2019-22.03.2019, Florenze, Taliansko]. – text. – [angličtina]. – [OV 010]. – [abstrakt z podujatia - KP]. – [recenzované]. – DOI 10.26352/D321_2420-9732. – WOS CC In: New perspectives in science education [textový dokument (print)] : Conference Proceedings / Kapelari, Suzanne [Zostavovateľ, editor] ; Kummert, Börge [Zostavovateľ, editor]. – 1. vyd. – Florence (Taliansko) : Pixel, 2019. – ISBN 978-88-85813-56-4. – ISSN 2420-9732, s. 368-373 [tlačená forma] </t>
  </si>
  <si>
    <t xml:space="preserve">Conscientiousness as a predictor of intrinsic motivation for choosing teaching as a career and academic achievement = Vplyv osobnostných dimenzií na akademickú úspešnosť vysokoškolských študentov / Tomšik, Robert [Autor, UKFPFAKPE, 100%] ; Řehan, Vladimír [Recenzent] ; Lečbych, Martin [Recenzent] ; PhD existence 2018, 8 [31.01.2018-01.02.2018, Olomouc, Česko]. – text. – [slovenčina]. – [OV 060]. – [abstrakt z podujatia - KP] In: PhD Existence 2018 [elektronický dokument] : nekonečno v psychologii = sborník příspěvků / Mierová, Eva [Zostavovateľ, editor] ; Viktorová, Lucie [Zostavovateľ, editor] ; Suchá, Jaroslava [Zostavovateľ, editor] ; Dolejš, Martin [Zostavovateľ, editor]. – 1. vyd. – Olomouc (Česko) : Univerzita Palackého v Olomouci, 2018. – (Acta Iuridica Olomucensia : Sborníky). – ISBN 978-80-244-5339-2, s. 28-35 [online] </t>
  </si>
  <si>
    <t xml:space="preserve">Constructivist teaching of mathematics using a visual approach / Kmeťová, Mária [Autor, UKFFPVKMA, 100%] ; ICERI 2021, 14 [08.11.2021-09.11.2021, Seville, Španielsko]. – text. – [angličtina]. – [OV 010]. – [abstrakt z podujatia - KP] In: ICERI2021 [elektronický dokument] : 14th annual International Conference of Education, Research and Innovation / Gómez, Chova L. [Zostavovateľ, editor] ; López Martínez, Agustín [Zostavovateľ, editor] ; Candel Torres, Ignacio [Zostavovateľ, editor]. – 1. vyd. – Valencia (Španielsko) : IATED, 2021. – ISBN 978-84-09-34549-6. – ISSN 2340-1095, s. 2464-2469 [online] [USB kľúč] </t>
  </si>
  <si>
    <t xml:space="preserve">Consumer assessment of selected food commodities by Slovak women from Generation Y / Bulanda, Ivana [Autor, UKFFFAKMR, 33.334%] ; Džupina, Milan [Autor, UKFFFAKMR, 33.333%] ; Franková, Veronika [Autor, 33.333%] ; QUAERE 2018, 8 [27.06.2018-29.06.2018, Hradec Králové, Česko]. – text. – [angličtina]. – [OV 060]. – [abstrakt z podujatia - KP]. – [recenzované] In: QUAERE 2018 [elektronický dokument] : recenzovaný sborník příspěvků vědecké interdisciplinární mezinárodní vědecké konference doktorandů a odborných asistentů / [bez zostavovateľa] [Zostavovateľ, editor]. – 1. vyd. – Roč. 8. – Hradec Králové (Česko) : Magnanimitas akademické sdružení, 2018. – ISBN 978-80-87952-26-9, s. 176-184 [CD-ROM] </t>
  </si>
  <si>
    <t xml:space="preserve">Contemporary nomadism and revital of community life / Waldnerová, Jana [Autor, UKFFFAKAA, 50%] ; Jakubovská, Viera [Autor, UKFFFAKFI, 50%] ; NORDSCI International Conference on Social Sciences [19.08.2019-23.08.2019, Atény, Grécko]. – text. – [angličtina]. – [OV 020]. – [abstrakt z podujatia - KP] In: NORDSCI conference on social sciences (Book 1 / Vol. 2 : Sections Education and Educational Research, History, Language and Linguistics, Philosophy, Sociology and Healthcare) [textový dokument (print)] [elektronický dokument] : Conference Proceedings / [bez zostavovateľa] [Zostavovateľ, editor]. – Sofia (Bulharsko) : SAIMA Consult, 2019. – ISBN 978-619-7495-05-8. – ISSN 2603-4107, s. 223-228 [tlačená forma] [online] </t>
  </si>
  <si>
    <t xml:space="preserve">Content analysis of communication used by the pharmaceutical companies on Facebook / Schlosserová, Zuzana [Autor, UKFFFAKMR, 100%] ; Mezinárodní Masarykova konference pro doktorandy a mladé vědecké pracovníky 2018, 9 [17.12.2018-21.12.2018, Hradec Králové, Česko]. – text. – [slovenčina]. – [OV 020]. – [abstrakt z podujatia - KP] In: MMK 2018 [elektronický dokument] : recenzovaný sborník příspěvků mezinárodní vědecké konference : mezinárodní Masarykova konference pro doktorandy a mladé vědecké pracovníky / [bez zostavovateľa] [Zostavovateľ, editor] ; Lipowski, Jaroslav [Recenzent] ; Jaskułowski, Krzysztof [Recenzent] ; Kislingerová, Eva [Recenzent]. – 1 vyd. – Roč. 9. – Hradec Králové (Česko) : Magnanimitas akademické sdružení, 2018. – ISBN 978-80-87952-27-6, s. 155-163 [CD-ROM] </t>
  </si>
  <si>
    <t xml:space="preserve">Content analysis of selected audiovisual advertising factors in the pharmaceutical industry - Slovakia / Schlosserová, Zuzana [Autor, UKFFFAKMR, 100%] ; QUAERE 2018, 8 [27.06.2018-29.06.2018, Hradec Králové, Česko]. – text. – [angličtina]. – [OV 060]. – [abstrakt z podujatia - KP]. – [recenzované] In: QUAERE 2018 [elektronický dokument] : recenzovaný sborník příspěvků vědecké interdisciplinární mezinárodní vědecké konference doktorandů a odborných asistentů / [bez zostavovateľa] [Zostavovateľ, editor]. – 1. vyd. – Roč. 8. – Hradec Králové (Česko) : Magnanimitas akademické sdružení, 2018. – ISBN 978-80-87952-26-9, s. 62-68 [CD-ROM] </t>
  </si>
  <si>
    <t xml:space="preserve">Convergence tendencies in the conditions of regions of the Slovak Republic / Levický, Michal [Autor, UKFFPVUMI, 40%] ; Urbaníková, Marta [Autor, UKFFPVUMI, 15%] ; Hudáková, Jarmila [Autor, UKFFPVUMI, 15%] ; Maroš, Milan [Autor, UKFFPVUMI, 15%] ; Štubňová, Michaela [Autor, UKFFPVUMI, 15%] ; Mezinárodní kolokvium o regionálních vědách, 22 [12.06.2019-14.06.2019, Velké Bílovice, Česko]. – text. – [slovenčina]. – [OV 060]. – [abstrakt z podujatia - KP]. – DOI 10.5817/CZ.MUNI.P210-9268-2019-2. – WOS CC In: 22. mezinárodní kolokvium o regionálních vědách [elektronický dokument] : sborník příspěvků / Klímová, Viktorie [Zostavovateľ, editor] ; Žítek, Vladimír [Zostavovateľ, editor] ; Žárska, Elena [Recenzent]. – 1. vyd. – Roč. 22. – Brno (Česko) : Masarykova univerzita, 2019. – ISBN 978-80-210-9268-6, s. 20-27 [online] </t>
  </si>
  <si>
    <t xml:space="preserve">Corpora and their applications in linguistics and translation studies / Jakubičková, Barbara [Autor, UKFFFAKTR, 50%] ; Welnitzová, Katarína [Autor, UKFFFAKTR, 50%] ; International Technology, Education and Development Conference 2019, 13 [11.03.2019-13.03.2019, Valencia, Španielsko]. – text. – [nemčina]. – [OV 010]. – [abstrakt z podujatia - KP]. – [recenzované]. – WOS CC In: ICERI2019 Proceedings [elektronický dokument] : 12th International conference of education, research and innovation / Gómez Chova, Luis [Zostavovateľ, editor] ; López Martínez, Agustín [Zostavovateľ, editor] ; Candel Torres, Ignacio [Zostavovateľ, editor]. – 1. vyd. – Valencia (Španielsko) : IATED, 2019. – ISBN 978-84-09-14755-7. – ISSN 2340-1095, s. 3787-3792 [USB kľúč] </t>
  </si>
  <si>
    <t xml:space="preserve">Corpus literacy, aber wie? : Schwierigkeiten bei der Implementierung korpuslinguistischer Methoden in der Übersetzerausbildung / Baumann, Yannick [Autor, UKFFFAKGE, 100%] ; Industrija perevoda, 11 [13.06.2019-15.06.2019, Perm, Ruská federácia]. – text. – [nemčina]. – [OV 020]. – [abstrakt z podujatia - KP] In: Industrija perevoda [textový dokument (print)] : materijaly 11. meždunarodnoj naučnoj konferenciji, Perm 13-15 junija 2019 / Serova, Tamara Sergeevna [Zostavovateľ, editor]. – 1. vyd. – Roč. 1. – Perm (Ruská federácia) : PNIPU, 2019. – ISBN 978-5-398-02266-7, s. 115-138 [tlačená forma] </t>
  </si>
  <si>
    <t xml:space="preserve">Correlation of perceived fluency with phonetic measures of speech rate and pausing / Kleman, Peter [Autor, UKFFFAKAA, 80%] ; Beňuš, Štefan [Autor, UKFFFAKAA, 20%] ; ASCD 2019, 19 [24.06.2019-28.06.2019, Aachen, Nemecko]. – text. – [angličtina]. – [OV 020]. – [abstrakt z podujatia - KP]. – SCO In: ITAT 2019 [elektronický dokument] : proceedings of the 19th conference Information Technologies - Applications and Theory / Barančíková, Petra [Zostavovateľ, editor] ; Holeňa, Martin [Zostavovateľ, editor] ; Horváth, Tomáš [Zostavovateľ, editor] ; Pleva, Matúš [Zostavovateľ, editor] ; Rosa, Rudolf [Zostavovateľ, editor]. – 1. vyd. – [S.l] (Nemecko) : CEUR-WS, 2019. – (CEUR Workshop Proceedings, ISSN 1613-0073 ; Vol. 2473, CiteScore: 0,6 ; SJR: 0,177 ; SNIP: 0,293). – ISSN 1613-0073. – SIGN-TUKE 215782, s. 164-170 [online] </t>
  </si>
  <si>
    <t xml:space="preserve">Creating identity and its connection with corporeality in contemporary Slovak art / Waldnerová, Jana [Autor, UKFFFAKAA, 50%] ; Jakubovská, Viera [Autor, UKFFFAKFI, 50%] ; Pankratis, Georgios [Recenzent] ; Ortenburger, Dorota [Recenzent] ; NORDSCI [17.07.2018-19.07.2018, Sofia, Bulharsko]. – text. – [angličtina]. – [OV 020]. – [abstrakt z podujatia - KP]. – DOI 10.32008/NORDSCI2018/B11/V1 In: NORDSCI conference on social sciences (Book 1 / Vol. 1 : Section Antropology, Education and educational research, History, Language and Linguistics, Philosophy, Psychology and Psychiatry, Sociology and Healtcare) [textový dokument (print)] : Conference proceedings / [bez zostavovateľa] [Zostavovateľ, editor]. – 1. vyd. – Sofia (Bulharsko) : SAIMA Consult, 2018. – ISBN 978-619-7495-00-3. – ISSN 2603-4107, s. 393-398 [tlačená forma] </t>
  </si>
  <si>
    <t xml:space="preserve">Creative interpretation of Frida Kahlo’s artwork / Récka, Adriana [Autor, UKFPFAKVV, 100%] ; Frida. Introspections. International Artistic and Scientific Project [18.01.2018-19.01.2018, Nový Sacz, Poľsko]. – [angličtina]. – [OV 010]. – [abstrakt z podujatia - KP]. – [recenzované] In: Frida. Introspections. International Artistic and Scientific Project [textový dokument (print)] : Proceedings from Scientific Conference / Bugajska-Bigos, Iwona [Zostavovateľ, editor] ; Steliga, Anna [Zostavovateľ, editor]. – 1. vyd. – Nowy Sącz (Poľsko) : PWSZ, 2018. – ISBN 978-83-65575-28-9, s. 138-145 [tlačená forma] </t>
  </si>
  <si>
    <t xml:space="preserve">Creative Tourism Development in Slovakia and its Potential for Strengthening Tourism Destination Competitiveness / Palenčíková, Zuzana [Autor, UKFFSSKCR, 100%] ; Aubert, Antal [Recenzent] ; Bujdosó, Zoltán [Recenzent] ; Generációk a turizmusban, 1 [23.03.2018, Pécs, Maďarsko]. – text. – [angličtina]. – [OV 080]. – [abstrakt z podujatia - KP] In: Generációk a turizmusban : Tanulmánykötet. I. Nemzetközi Turizmusmarketing Konferencia / Csapó, János [Zostavovateľ, editor]. – 1. vyd. – Pécs (Maďarsko) : Pécsi Tudományegyetem. Közgazdaságtudományi Kar, 2018. – ISBN 978-963-429-219-7, s. 531-541 </t>
  </si>
  <si>
    <t xml:space="preserve">Creativity and spatial skills in solid geometry and plane geometry in primary schools / Kmeťová, Mária [Autor, UKFFPVKMA, 40%] ; Nagyová Lehocká, Zuzana [Autor, UKFFSSUVP, 30%] ; Szabó, Tibor [Autor, UKFFSSUVP, 30%] ; ICERI 2021, 14 [08.11.2021-09.11.2021, Seville, Španielsko]. – text. – [angličtina]. – [OV 010]. – [abstrakt z podujatia - KP] In: ICERI2021 [elektronický dokument] : 14th annual International Conference of Education, Research and Innovation / Gómez, Chova L. [Zostavovateľ, editor] ; López Martínez, Agustín [Zostavovateľ, editor] ; Candel Torres, Ignacio [Zostavovateľ, editor]. – 1. vyd. – Valencia (Španielsko) : IATED, 2021. – ISBN 978-84-09-34549-6. – ISSN 2340-1095, s. 1666-1673 [online] [USB kľúč] </t>
  </si>
  <si>
    <t xml:space="preserve">Crisis Communication in the Creative Industry / Szabóová, Veronika [Autor, UKFFFAKMR, 50%] ; Spálová, Lucia [Autor, UKFFFAKMR, 50%] ; Lyn, Martin [Recenzent] ; Bace, Edward [Recenzent] ; ARICBE/ARICPAS 2019 [18.11.2019-19.11.2019, Cambridge, Veľká Británia]. – text. – [angličtina]. – [OV 020]. – [abstrakt z podujatia - KP] In: ARICBE/ARICPAS 2019 [textový dokument (print)] : Conference Proceedings, Cambridge, United Kingdom, 18th-19th November 2019 / [bez zostavovateľa] [Zostavovateľ, editor]. – 1. vyd. – Cambridge (Veľká Británia) : Aricon, 2019. – ISBN 978-1-78972-833-0, s. 24-37 [tlačená forma] </t>
  </si>
  <si>
    <t xml:space="preserve">Critical thinking as educational challenge / Predanocyová, Ľubica [Autor, UKFFFAKFI, 50%] ; Jonášková, Gabriela [Autor, UKFFFAKFI, 50%] ; NORDSCI [12.10.2020-14.10.2020, Sofia, Bulharsko]. – text. – [angličtina]. – [OV 020]. – [abstrakt z podujatia - KP] In: NORDSCI International Conference (Book 1 / Volume 3. Education and Educational Research, Language and Linguistic, Philosophy, Sociology and Healthcare) [textový dokument (print)] [elektronický dokument] : Conference Proceedings / [bez zostavovateľa] [Zostavovateľ, editor]. – Sofia (Bulharsko) : SAIMA Consult, 2020. – ISBN 978-619-7495-11-9. – ISSN 2603-4107, s. 23-30 [tlačená forma] [online] </t>
  </si>
  <si>
    <t xml:space="preserve">Critical thinking, literacy, numeracy and epistemically suspected beliefs: comparison of pre-service teachers and the general population / Ballová Mikušková, Eva [Autor, UKFPFAKAP, 100%] ; ICERI 2021, 14 [08.11.2021-09.11.2021, Seville, Španielsko]. – text. – [angličtina]. – [OV 010]. – [abstrakt z podujatia - KP]. – DOI 10.21125/iceri.2021.0125 In: ICERI2021 [elektronický dokument] : 14th annual International Conference of Education, Research and Innovation / Gómez, Chova L. [Zostavovateľ, editor] ; López Martínez, Agustín [Zostavovateľ, editor] ; Candel Torres, Ignacio [Zostavovateľ, editor]. – 1. vyd. – Valencia (Španielsko) : IATED, 2021. – ISBN 978-84-09-34549-6. – ISSN 2340-1095, s. 1133-1140 [online] [USB kľúč] </t>
  </si>
  <si>
    <t xml:space="preserve">Cultural and religious integration of Iraqi refugees in Slovakia / Morávková, Silvia [Autor, UKFFSVKSP, 50%] ; Mojtová, Martina [Autor, UKFFSVKSP, 50%] ; IAI Academic Conference [17.09.2019, Rím, Taliansko]. – text. – [angličtina]. – [OV 060]. – [abstrakt z podujatia - KP] In: IAI International Academic Conferences [elektronický dokument] : Education and Social Sciences Conference Business and Economics Conference, Rome, 17 September 2019 / Rucheva Tasev, Hristina [Zostavovateľ, editor]. – 1. vyd. – Skopje (Macedónsko) : International Academic Institute, 2019. – ISSN 2671-3179, s. 100-108 [online] </t>
  </si>
  <si>
    <t xml:space="preserve">Cultural, philosophical and religious reflection of the aesthetics of sexuality and gender in the novels Mist by Miguel de Unamuno and the Seducer's diary of  Kierkegaard / Pavlíková, Martina [Autor, UKFFFAKZU, 50%] ; Štúr, Martin [Autor, UKFFFAKRO, 50%] ; SWS 2019 International Scientific Conference on Social Sciences [01.09.2019-26.09.2019, Albena, Bulharsko]. – text. – [angličtina]. – [OV 020]. – [abstrakt z podujatia - KP] In: SWS International Scientific Conference on Social Sciences 2019 (Education and Educational Research) [textový dokument (print)] [elektronický dokument] : conference proceeding / [bez zostavovateľa] [Zostavovateľ, editor]. – 1. vyd. – Roč. 6, č. 4. – Sofia (Bulharsko) : STEF92 Technology, 2019. – ISBN 978-619-7408-94-2. – ISSN 2682-9959, s. 489-496 [tlačená forma] [online] </t>
  </si>
  <si>
    <t xml:space="preserve">Cultural-educational activities in the conditions of the enforcement of the sentence of deprivation of liberty / Müller De Morais, Marianna [Autor, UKFPFAKPE, 34%] ; Zimanová, Radka [Autor, UKFPFAKPE, 33%] ; Rapsová, Lucia [Autor, UKFPFAKPE, 33%] ; Szarota, Zofia [Recenzent] ; Ullrich, David [Recenzent] ; Adult Education 2017, 7 [11.12.2017-12.12.2017, Praha, Česko]. – text. – [angličtina]. – [OV 010]. – [abstrakt z podujatia - KP]. – WOS CC In: Vzdělávání dospělých 2017 – v době rezonujících společenských změn [textový dokument (print)] : proceedings of the 7th International Adult Education Conference / Veteška, Jaroslav [Zostavovateľ, editor]. – 1. vyd. – Praha (Česko) : Česká andragogická společnost, 2018. – ISBN 978-80-906894-2-8, s. 221-230 [tlačená forma] </t>
  </si>
  <si>
    <t xml:space="preserve">Current challenges for social work : stereotyping as an obstacle to the integration of marginalized groups into Society / Kondrla, Peter [Autor, UKFFFAKNS, 30%] ; Tvrdoň, Miroslav [Autor, UKFFSVKSP, 30%] ; Tkáčová, Hedviga [Autor, ZUZFHVKFR, 40%] ; ICERI 2020 : International Conference of Education, Research and Innovation, 13 [09.11.2020-10.11.2020, Sevilla, Španielsko]. – text. – [angličtina]. – [OV 020, 060]. – [abstrakt z podujatia - KP]. – [recenzované] In: ICERI 2020 [elektronický dokument] : 13th international conference of education, research and innovation : transforming education, transforming lives / Gómez Chova, Luis [Zostavovateľ, editor] ; Martínez, Augustín López [Zostavovateľ, editor] ; Torres, I. Candel [Zostavovateľ, editor]. – 1. vyd. – Valencia (Španielsko) : IATED, 2020. – ISBN 978-84-09-24232-0. – ISSN 2340-1095, s. 3837-3843 [USB kľúč] </t>
  </si>
  <si>
    <t xml:space="preserve">Curricula design of teacher training in the area of didactic technological competences / Záhorec, Ján [Autor, UKOPDDPP, 34%] ; Hašková, Alena [Autor, UKFPFAKTT, 33%] ; Munk, Michal [Autor, UKFFPVKIN, 33%] ; International Conference on Interactive Collaborative Learning, 20 [27.09.2017-29.09.2017, Budapešť, Maďarsko]. – text, graf., tab. – [angličtina]. – [OV 010]. – [abstrakt z podujatia - KP]. – [recenzované]. – DOI 10.1007/978-3-319-73204-6_43. – CPCI-S ; CPCI-SSH ; WOS CC ; SCO In: Teaching and Learning in a Digital World (2. Volume) [textový dokument (print)] [elektronický dokument] : Proceedings of the 20th International Conference on Interactive Collaborative Learning / Auer, Michael [Zostavovateľ, editor] ; Guralnick, David [Zostavovateľ, editor] ; Simonics, Istvan [Zostavovateľ, editor]. – 1. vyd. – Cham (Švajčiarsko) : Springer Nature. Springer International Publishing AG, 2018. – (Advances in Intelligent Systems and Computing, ISSN 2194-5357, ISSN 2194-5365 ; 716, SJR: 0,174 ; CiteScore: 0,8 ; SNIP: 0,448). – ISBN 978-3-319-73203-9. – ISBN (online) 978-3-319-73204-6, s. 383-393 [tlačená forma] [online] Scimago - Computer science (miscellaneous) - Q3, Control and systems engineering - Q4 </t>
  </si>
  <si>
    <t xml:space="preserve">Czech And Slovak Tourism Students’ Attitudes To Cultural And Religious Diversity / Bobáková, Hanne-Lore [Autor, 40%] ; Heinz, Krystina [Autor, 40%] ; Sándorová, Zuzana [Autor, UKFPFAKLI, 15%] ; Beták, Norbert [Autor, UKFFSSKCR, 5%] ; EDULEARN21 [05.07.2021-06.07.2021, Barcelona, Španielsko]. – text. – [angličtina]. – [OV 010]. – [abstrakt z podujatia - KP] In: EDULEARN21 [elektronický dokument] : 13th annual International Conference on Education and New Learning Technologies, Barcelona, 5th - 6th of July, 2021 / Chova, Luis Goméz [Zostavovateľ, editor] ; Martínez, Augustín López [Zostavovateľ, editor] ; Torres, I. [Zostavovateľ, editor]. – 1. vyd. – Roč. 13. – Barcelona (Španielsko) : IATED, 2021. – ISBN 978-84-09-31267-2. – ISSN 2340-1117, s. 6738-6746 [CD-ROM] [USB kľúč] </t>
  </si>
  <si>
    <t xml:space="preserve">Czechoslovak television in 1970 / Schlosserová, Zuzana [Autor, UKFFFAKMR, 100%] ; QUAERE 2019 : interdisciplinární mezinárodní vědecká konference doktorandů a odborných asistentů, 9 [24.06.2019-28.06.2019, Hradec Králové, Česko]. – text. – [angličtina]. – [OV 060]. – [abstrakt z podujatia - KP]. – [recenzované] In: QUAERE 2019 [elektronický dokument] : recenzovaný sborník příspěvků interdisciplinární mezinárodní vědecké konference doktorandů a odborných asistentů = reviewed proceedings of the interdisciplinary scientific international conference for PhD students and assistants / [bez zostavovateľa] [Zostavovateľ, editor]. – 1. vyd. – Roč. 9. – Hradec Králové (Česko) : Magnanimitas akademické sdružení, 2019. – ISBN 978-80-87952-30-6, s. 1087-1094 [DVD] </t>
  </si>
  <si>
    <t xml:space="preserve">Čerpanie finančných prostriedkov pre oblasť životné prostredie v Nitrianskom samosprávnom kraji v rokoch 2014-2018 = Drawing of funds for the environment priority area in the Nitra Self-governing Region in the years 2014-2018 / Oremusová, Daša [Autor, UKFFPVKGR, 30%] ; Kramáreková, Hilda [Autor, UKFFPVKGR, 30%] ; Nemčíková, Magdaléna [Autor, UKFFPVKGR, 30%] ; Vojtek, Matej [Autor, UKFFPVKGR, 10%] ; Mezinárodní kolokvium o regionálních vědách, 23 [17.06.2020-19.06.2020, Brno, Česko]. – text. – [slovenčina]. – [OV 092]. – [abstrakt z podujatia - KP]. – DOI 10.5817/CZ.MUNI.P210-9610-2020-12 In: 23. mezinárodní kolokvium o regionálních vědách [elektronický dokument] : sborník příspěvků, Brno, 2020 = 23rd International colloquium on regionals sciences, conference proceedings, Brno, 2020 / Klímová, Viktorie [Zostavovateľ, editor] ; Žítek, Vladimír [Zostavovateľ, editor]. – 1 vyd. – Brno (Česko) : Masarykova univerzita, 2020. – ISBN 978-80-210-9610-3, s. 98-106 [online] </t>
  </si>
  <si>
    <t xml:space="preserve">Data visualization to discover the activity and changing the teachers point of view in a particular LMS system / Obonya, Juraj [Autor, UKFFPVKIN, 50%] ; Kapusta, Jozef [Autor, UKFFPVKIN, 50%] ; International Technology, Education and Development Conference 2018, 12 [05.03.2018-07.03.2018, Valencia, Španielsko]. – text. – [angličtina]. – [OV 160]. – [abstrakt z podujatia - KP]. – [recenzované]. – DOI 10.21125/inted.2018.0902. – WOS CC In: INTED2018 Proceedings [elektronický dokument] : 12th International Technology, Education and Development Conference / Chova, Luis Goméz [Zostavovateľ, editor]. – 1. vyd. – Valencia (Španielsko) : IATED, 2018. – (INTED Proceedings, ISSN 2340-1079). – ISBN 978-84-697-9480-7. – ISSN 2340-1079, s. 4608-4613 [USB kľúč] [CD-ROM] </t>
  </si>
  <si>
    <t xml:space="preserve">Design and Development of a Learning Environment for Computational Thinking: The Erasmus+ COLETTE Project / Milicic, Gregor [Autor, 20%] ; van Borkulo, Sylvia Patricia [Autor, 20%] ; Medová, Janka [Autor, UKFFPVKMA, 20%] ; Welzel, Sina [Autor, 20%] ; Ludwig, Matthias [Autor, 20%] ; EDULEARN21 [05.07.2021-06.07.2021, Barcelona, Španielsko]. – text. – [angličtina]. – [OV 240]. – [abstrakt z podujatia - KP]. – [recenzované] In: EDULEARN21 [elektronický dokument] : 13th annual International Conference on Education and New Learning Technologies, Barcelona, 5th - 6th of July, 2021 / Chova, Luis Goméz [Zostavovateľ, editor] ; Martínez, Augustín López [Zostavovateľ, editor] ; Torres, I. [Zostavovateľ, editor]. – 1. vyd. – Roč. 13. – Barcelona (Španielsko) : IATED, 2021. – ISBN 978-84-09-31267-2. – ISSN 2340-1117, s. 7376-7383 [CD-ROM] [USB kľúč] </t>
  </si>
  <si>
    <t xml:space="preserve">Design thinking and digital innovation cooperative project / Žitný, Rastislav [Autor, UKFFSSUVP, 34%] ; Szabó, Tibor [Autor, UKFFSSUVP, 33%] ; Balla, Štefan [Autor, UKFFSSUVP, 33%] ; Terdik, György [Recenzent] ; Kovásznai, Gergeli [Recenzent] ; ICAI 2017, 10 [30.01.2017-01.02.2017, Eger, Maďarsko]. – [angličtina]. – [OV 010]. – [abstrakt z podujatia - KP] In: ICAI 2017 [elektronický dokument] : Proceedings of the 10th International Conference on Applied Informatics, Eger, Hungary, January 30-February 1, 2017 / [bez zostavovateľa] [Zostavovateľ, editor]. – 1. vyd. – Roč. 10. – Eger (Maďarsko) : Eszterházy Károly Egyetem, 2018. – ISBN 978-615-5621-72-7, s. 309-315 [tlačená forma] </t>
  </si>
  <si>
    <t xml:space="preserve">Designing multiple manipulatives to explore cube cross-section / Vágová, Renáta [Autor, UKFFPVKMA, 33.334%] ; Kmeťová, Mária [Autor, UKFFPVKMA, 33.333%] ; Lavicza, Zsolt [Autor, 33.333%] ; ERME Topic Conference (ETC 10) on Mathematics Education in the Digital Age (MEDA), 10 [16.09.2020-18.09.2020, Linz, Rakúsko]. – text. – [angličtina]. – [OV 010, 240]. – [abstrakt z podujatia - KP] In: Tenth ERME Topic Conference (ETC 10) on Mathematics Education in the Digital Age (MEDA) [textový dokument (print)] : Conference Proceedings, 16-18 September 2020 in Linz / Donevska-Todorova, Ana [Zostavovateľ, editor]. – 1. vyd. – Roč. 10. – Linz (Rakúsko) : Johannes Kepler Universität Linz, 2020. – ISBN 978-3-9504630-5-7. – ISSN 1099-6702, s. 319-326 [tlačená forma] </t>
  </si>
  <si>
    <t xml:space="preserve">Detabuizálás a kortárs meseregényben = Detabuizácia v súčasných rozprávkových románoch / Petres Csizmadia, Gabriela [Autor, UKFFSSUML, 100%] ; Tabu a gyermekirodalomban [14.05.2021-15.05.2021, Szeged, Maďarsko]. – [maďarčina]. – [OV 020]. – [abstrakt z podujatia - KP] In: Tabu a gyermekirodalomban [textový dokument (print)] / Pusztai, Virág [Zostavovateľ, editor] ; Turcsányi, Enikő [Zostavovateľ, editor] ; Daróczi, Gabriella [Recenzent] ; Sándor, Csilla [Recenzent]. – 1. vyd. – Budapešť (Maďarsko) : Magyar Gyermekirodalmi Intézet, 2021. – ISBN 978-615-81305-3-0, s. 85-99 [tlačená forma] </t>
  </si>
  <si>
    <t xml:space="preserve">Determination of Real Estate Market Prices Using Artificial Neural Networks / Štubňová, Michaela [Autor, UKFFPVUMI, 50%] ; Urbaníková, Marta [Autor, UKFFPVUMI, 50%] ; DOKBAT 2019, 15 [06.11.2019-07.11.2019, Zlín, Česko]. – text. – [angličtina]. – [OV 060]. – [abstrakt z podujatia - KP]. – DOI 10.7441/dokbat.2019.104. – WOS CC In: DOKBAT 2019 [elektronický dokument] : conference proceedings : 15th Annual International Bata Conference for Ph.D. Students and Young Researchers / Ondra, Pavel [Zostavovateľ, editor]. – 1. vyd. – Zlín (Česko) : Univerzita Tomáše Bati ve Zlíně. Fakulta managementu a ekonomiky, 2019. – ISBN (online) 978-80-7454-893-2, s. 1062-1070 [online] [CD-ROM] </t>
  </si>
  <si>
    <t xml:space="preserve">Developing Competences of Teachers by Implementation of the Gifted Youth Competitions / Predanocyová, Ľubica [Autor, UKFFFAKFI, 25%] ; Kramáreková, Hilda [Autor, UKFFPVKGR, 25%] ; Valovičová, Ľubomíra [Autor, UKFFPVKFY, 25%] ; Jonášková, Gabriela [Autor, UKFFFAKFI, 25%] ; SGEM 2018, 5 [26.08.2018-01.09.2018, Albena, Bulharsko]. – text. – [angličtina]. – [OV 010]. – [abstrakt z podujatia - KP] In: SGEM 2018 conference proceedings (5.2. Urban Planning, Architecture &amp; Design : urban studies planning and development) [textový dokument (print)] / [bez zostavovateľa] [Zostavovateľ, editor] ; Cristea, Lidia [Recenzent] ; Grecevičius, Petras [Recenzent] ; Nikčević, Sanja [Recenzent]. – 1 vyd. – Roč. 5. – Sofia (Bulharsko) : STEF 92 Technology, 2018. – ISBN 978-619-7408-60-7. – ISSN 2367-5659, s. 215-222 </t>
  </si>
  <si>
    <t xml:space="preserve">Developing Creativity as a Part of the Educational Process of Future New Media Journalists / Nováčiková, Daša [Autor, UKFFFAKZU, 100%] ; ICERI 2020 : International Conference of Education, Research and Innovation, 13 [09.11.2020-10.11.2020, Sevilla, Španielsko]. – text. – [angličtina]. – [OV 010, 060]. – [abstrakt z podujatia - KP] In: ICERI 2020 [elektronický dokument] : 13th international conference of education, research and innovation : transforming education, transforming lives / Gómez Chova, Luis [Zostavovateľ, editor] ; Martínez, Augustín López [Zostavovateľ, editor] ; Torres, I. Candel [Zostavovateľ, editor]. – 1. vyd. – Valencia (Španielsko) : IATED, 2020. – ISBN 978-84-09-24232-0. – ISSN 2340-1095, s. 7056-7063 [USB kľúč] </t>
  </si>
  <si>
    <t xml:space="preserve">Developing of creativity and critical thinking in subject of civics / Jonášková, Gabriela [Autor, UKFFFAKFI, 50%] ; Predanocyová, Ľubica [Autor, UKFFFAKFI, 50%] ; SWS 2019, 6 [26.08.2019-01.09.2019, Albena, Bulharsko]. – text. – [angličtina]. – [OV 020]. – [abstrakt z podujatia - KP] In: SWS International Scientific Conference on Social Sciences 2019 (Education and Educational Research) [textový dokument (print)] [elektronický dokument] : conference proceeding / [bez zostavovateľa] [Zostavovateľ, editor]. – 1. vyd. – Roč. 6, č. 4. – Sofia (Bulharsko) : STEF92 Technology, 2019. – ISBN 978-619-7408-94-2. – ISSN 2682-9959, s. 139-145 [tlačená forma] [online] </t>
  </si>
  <si>
    <t xml:space="preserve">Developing reading comprehension through literary competition / Petres Csizmadia, Gabriela [Autor, UKFFSSUML, 50%] ; Tóth, Anikó [Autor, UKFFSSUML, 50%] ; ICERI 2021, 14 [08.11.2021-09.11.2021, Seville, Španielsko]. – text. – [angličtina]. – [OV 010]. – [abstrakt z podujatia - KP]. – DOI 10.21125/iceri.2021.0125 In: ICERI2021 [elektronický dokument] : 14th annual International Conference of Education, Research and Innovation / Gómez, Chova L. [Zostavovateľ, editor] ; López Martínez, Agustín [Zostavovateľ, editor] ; Candel Torres, Ignacio [Zostavovateľ, editor]. – 1. vyd. – Valencia (Španielsko) : IATED, 2021. – ISBN 978-84-09-34549-6. – ISSN 2340-1095, s. 4479-4487 [online] [USB kľúč] </t>
  </si>
  <si>
    <t xml:space="preserve">Developing System from Low-Cost Devices to Build a Security and Fire System as a Part of IoT / Koprda, Štefan [Autor, UKFFPVKIN, 33.334%] ; Balogh, Zoltán [Autor, UKFFPVKIN, 33.333%] ; Magdin, Martin [Autor, UKFFPVKIN, 33.333%] ; ICIC 2019, 15 [03.08.2019-06.08.2019, Nanchang, Čína]. – text. – [angličtina]. – [OV 160]. – [abstrakt z podujatia - KP]. – [recenzované]. – DOI 10.1007/978-3-030-26766-7_14. – SCO In: Intelligent Computing Methodologies [textový dokument (print)] [elektronický dokument] : 15th International Conference, ICIC 2019, Nanchang, China, August 3–6, 2019, Proceedings, Part 3 / Hussain, Abir [Zostavovateľ, editor]. – 1. vyd. – Cham (Švajčiarsko) : Springer Nature. Springer International Publishing AG, 2019. – (Lecture Notes in Computer Science, ISSN 0302-9743, ISSN 1611-3349 ; 11645, SJR: 0,427 ; CiteScore: 1,9 ; SNIP: 0,776) (Lecture Notes in Artificial Intelligence : Subseries of Lecture Notes in Computer Science, ISSN 0302-9743, ISSN 1611-3349 ; 11645, SJR: 0,427 ; CiteScore: 1,9 ; SNIP: 0,776). – ISBN 978-3-030-26765-0. – ISBN (online) 978-3-030-26766-7, s. 142-154 [tlačená forma] [online] Scimago - Computer science (miscellaneous) - Q2, Computer science (miscellaneous) - Q2, Theoretical computer science - Q3, Theoretical computer science - Q3 </t>
  </si>
  <si>
    <t xml:space="preserve">Development of attention and executive functions in pupils with ADHD / Jedličková, Petra [Autor, UKFPFAKPE, 60%] ; Klimentová, Anna [Autor, UKFPFAKPE, 40%] ; International Technology, Education and Development Conference 2021, 15 [08.03.2021-09.03.2021, Valencia, Španielsko]. – text. – [angličtina]. – [OV 010]. – [abstrakt z podujatia - KP]. – DOI 10.21125/inted.2021.0487 In: INTED2021 [textový dokument (print)] [elektronický dokument] : 15th International Technology, Education and Development Conference : conference proceedings / Chova, Luis Goméz [Zostavovateľ, editor] ; López Martínez, Agustín [Zostavovateľ, editor] ; Candel Torres, Ignacio [Zostavovateľ, editor]. – 1. vyd. – Valencia (Španielsko) : IATED, 2021. – (INTED Proceedings, ISSN 2340-1079). – ISBN 978-84-09-27666-0. – ISSN 2340-1079, s. 2265-2270 [online] </t>
  </si>
  <si>
    <t xml:space="preserve">Development of higher cognitive processes as a prerequisite for the improvement of pupils’ level of critical thinking / Máčajová, Monika [Autor, UKFPFAKPE, 50%] ; Šutovcová, Lenka [Autor, UKFPFAKPE, 50%] ; EDULEARN21 [05.07.2021-06.07.2021, Barcelona, Španielsko]. – text. – [angličtina]. – [OV 010]. – [abstrakt z podujatia - KP]. – DOI 10.21125/edulearn.2021.0673 In: EDULEARN21 [elektronický dokument] : 13th annual International Conference on Education and New Learning Technologies, Barcelona, 5th - 6th of July, 2021 / Chova, Luis Goméz [Zostavovateľ, editor] ; Martínez, Augustín López [Zostavovateľ, editor] ; Torres, I. [Zostavovateľ, editor]. – 1. vyd. – Roč. 13. – Barcelona (Španielsko) : IATED, 2021. – ISBN 978-84-09-31267-2. – ISSN 2340-1117, s. 3167-3176 [CD-ROM] [USB kľúč] </t>
  </si>
  <si>
    <t xml:space="preserve">Development of municipal waste in the Slovak Republic and the Nitra Region from 2002-2017 = Vývoj množstva komunálneho odpadu na Slovensku a v Nitrianskom kraji v rokoch 2002-2017 / Feszterová, Melánia [Autor, UKFFPVKCH, 50%] ; Némethová, Jana [Autor, UKFFPVKGR, 50%] ; Mezinárodní kolokvium o regionálních vědách, 22 [12.06.2019-14.06.2019, Velké Bílovice, Česko]. – text. – [angličtina]. – [OV 092, 100]. – [abstrakt z podujatia - KP]. – DOI 10.5817/CZ.MUNI.P210-9268-2019-87. – WOS CC In: 22. mezinárodní kolokvium o regionálních vědách [elektronický dokument] : sborník příspěvků / Klímová, Viktorie [Zostavovateľ, editor] ; Žítek, Vladimír [Zostavovateľ, editor] ; Žárska, Elena [Recenzent]. – 1. vyd. – Roč. 22. – Brno (Česko) : Masarykova univerzita, 2019. – ISBN 978-80-210-9268-6, s. 690-698 [online] </t>
  </si>
  <si>
    <t xml:space="preserve">Development of Practical Skills of Pupils in the  Conditions of Distance Education During the Pandemic / Bánesz, Gabriel [Autor, UKFPFAKTT, 50%] ; Lukáčová, Danka [Autor, UKFPFAKTT, 50%] ; EDULEARN21 [05.07.2021-06.07.2021, Barcelona, Španielsko]. – text. – [angličtina]. – [OV 010]. – [abstrakt z podujatia - KP] In: EDULEARN21 [elektronický dokument] : 13th annual International Conference on Education and New Learning Technologies, Barcelona, 5th - 6th of July, 2021 / Chova, Luis Goméz [Zostavovateľ, editor] ; Martínez, Augustín López [Zostavovateľ, editor] ; Torres, I. [Zostavovateľ, editor]. – 1. vyd. – Roč. 13. – Barcelona (Španielsko) : IATED, 2021. – ISBN 978-84-09-31267-2. – ISSN 2340-1117, s. 6431-6436 [CD-ROM] [USB kľúč] </t>
  </si>
  <si>
    <t xml:space="preserve">Development of Professional Competences of Secondary Education Teachers / Feranská, Margita [Autor, UKFPFAKPE, 50%] ; Fenyvesiová, Lívia [Autor, UKFPFAKPE, 50%] ; SGEM 2018, 5 [24.08.2018-02.09.2018, Albena, Bulharsko]. – text. – [angličtina]. – [OV 010]. – [abstrakt z podujatia - KP]. – [recenzované] In: SGEM 2018 conference proceedings (3.5. Science and Society : education and educational research) [textový dokument (print)] [elektronický dokument] / [bez zostavovateľa] [Zostavovateľ, editor]. – 1. vyd. – Roč. 5. – Sofia (Bulharsko) : STEF92 Technology, 2018. – ISBN 978-619-7408-57-7. – ISSN 2367-5659, s. 394-401 [tlačená forma] [online] </t>
  </si>
  <si>
    <t xml:space="preserve">Development of Psychomotor Skills in Technical Education Using a Teaching Aid Unimat / Depešová, Jana [Autor, UKFPFAKTT, 50%] ; Kostolanský, Lukáš [Autor, UKFPFAKTT, 50%] ; ICERI 2020 : International Conference of Education, Research and Innovation, 13 [09.11.2020-10.11.2020, Sevilla, Španielsko]. – text. – [angličtina]. – [OV 010]. – [abstrakt z podujatia - KP] In: ICERI 2020 [elektronický dokument] : 13th international conference of education, research and innovation : transforming education, transforming lives / Gómez Chova, Luis [Zostavovateľ, editor] ; Martínez, Augustín López [Zostavovateľ, editor] ; Torres, I. Candel [Zostavovateľ, editor]. – 1. vyd. – Valencia (Španielsko) : IATED, 2020. – ISBN 978-84-09-24232-0. – ISSN 2340-1095, s. 5571-5578 [USB kľúč] </t>
  </si>
  <si>
    <t xml:space="preserve">Development of Reading Comprehension Skills in Kindergarten and First Degree of Primary School / Hrbáček, Magdaléna [Autor, UKFFSSUSJ, 100%] ; EDULEARN21 [05.07.2021-06.07.2021, Barcelona, Španielsko]. – text. – [angličtina]. – [OV 020]. – [abstrakt z podujatia - KP]. – [recenzované] In: EDULEARN21 [elektronický dokument] : 13th annual International Conference on Education and New Learning Technologies, Barcelona, 5th - 6th of July, 2021 / Chova, Luis Goméz [Zostavovateľ, editor] ; Martínez, Augustín López [Zostavovateľ, editor] ; Torres, I. [Zostavovateľ, editor]. – 1. vyd. – Roč. 13. – Barcelona (Španielsko) : IATED, 2021. – ISBN 978-84-09-31267-2. – ISSN 2340-1117, s. 5701-5704 [CD-ROM] [USB kľúč] </t>
  </si>
  <si>
    <t xml:space="preserve">Development of student's factual knowledge through non - linear structure of the curriculum / Gunišová, Denisa [Autor, UKFPFAKPE, 50%] ; Kozárová, Nina [Autor, UKFPFAKPE, 50%] ; EDULEARN20, 12 [06.07.2020-07.07.2020, Palma de Mallorca, Španielsko]. – text. – [angličtina]. – [OV 010]. – [abstrakt z podujatia - KP] In: EDULEARN20 proceedings [elektronický dokument] : 12th International Conference on Education and New Learning Technologies / Gómez Chova, Luis [Zostavovateľ, editor] ; López Martínez, Agustín [Zostavovateľ, editor]. – 1. vyd. – Roč. 12. – Valencia (Španielsko) : IATED, 2020. – ISBN 978-84-09-17979-4. – ISSN 2340-1117, s. 1697-1704 [USB kľúč] </t>
  </si>
  <si>
    <t xml:space="preserve">Development trends in the field of automative industry and their impact on vocational training / Hašková, Alena [Autor, UKFPFAKTT, 50%] ; Zatkalik, Martin [Autor, 50%] ; Adamov, Abzetdin [Recenzent] ; Kureichik, Victor [Recenzent] ; AICT2018, 12 [17.10.2018-19.10.2018, Almaty, Kazachstan]. – [angličtina]. – [OV 010]. – [abstrakt z podujatia - KP] In: AICT2018 [textový dokument (print)] : IEEE 12th International Conference on Application of Information and Communication Technologies / [bez zostavovateľa] [Zostavovateľ, editor]. – 1. vyd. – New york (USA) : Curran Associates, 2018. – ISBN 978-1-5386-6467-4, s. 256-260 [tlačená forma] </t>
  </si>
  <si>
    <t xml:space="preserve">Dialectal talking books in education / Presinszky, Károly [Autor, UKFFSSUML, 100%] ; International Technology, Education and Development Conference 2021, 15 [08.03.2021-09.03.2021, Valencia, Španielsko]. – text. – [angličtina]. – [OV 010]. – [abstrakt z podujatia - KP]. – DOI 10.21125/inted.2021.0673 In: INTED2021 [textový dokument (print)] [elektronický dokument] : 15th International Technology, Education and Development Conference : conference proceedings / Chova, Luis Goméz [Zostavovateľ, editor] ; López Martínez, Agustín [Zostavovateľ, editor] ; Candel Torres, Ignacio [Zostavovateľ, editor]. – 1. vyd. – Valencia (Španielsko) : IATED, 2021. – (INTED Proceedings, ISSN 2340-1079). – ISBN 978-84-09-27666-0. – ISSN 2340-1079, s. 3204-3209 [online] </t>
  </si>
  <si>
    <t xml:space="preserve">Didactic activities in teaching of geography in pre-school and school facilities focused on nature conservation / Petrikovičová, Lucia [Autor, UKFFPVKGR, 80%] ; Wittlinger, Lukáš [Autor, 20%] ; EDULEARN20, 12 [06.07.2020-07.07.2020, Palma de Mallorca, Španielsko]. – text. – [angličtina]. – [OV 010, 092]. – [abstrakt z podujatia - KP] In: EDULEARN20 proceedings [elektronický dokument] : 12th International Conference on Education and New Learning Technologies / Gómez Chova, Luis [Zostavovateľ, editor] ; López Martínez, Agustín [Zostavovateľ, editor]. – 1. vyd. – Roč. 12. – Valencia (Španielsko) : IATED, 2020. – ISBN 978-84-09-17979-4. – ISSN 2340-1117, s. 6473-6480 [USB kľúč] </t>
  </si>
  <si>
    <t xml:space="preserve">Didactic Aspect of Teaching Environmental Geography (The Draft of Environmental Geography Textbook for Primary Schools) / Strišková, Michaela [Autor, 10%] ; Oremusová, Daša [Autor, UKFFPVKGR, 45%] ; Nemčíková, Magdaléna [Autor, UKFFPVKGR, 45%] ; (Teaching) Regional Geography, 27 [17.10.2019, Brno, Česko]. – [angličtina]. – [OV 092]. – [abstrakt z podujatia - KP] In: (Teaching) Regional Geography [textový dokument (print)] [elektronický dokument] : Proceedings of 27th Central European Conference, Brno, 17th October 2019 / Mísařová, Darina [Zostavovateľ, editor] ; Petráková, Jana [Zostavovateľ, editor]. – 1. vyd. – Brno (Česko) : Masaryk University Press, 2020. – ISBN 978-80-210-9693-6. – ISBN (online) 978-80-210-9694-3, s. 187-200 </t>
  </si>
  <si>
    <t xml:space="preserve">Didactic Materials Supporting CAD/CAE System Teaching / Kuna, Peter [Autor, UKFPFAKTT, 40%] ; Skačan, Miloslav [Autor, UKFPFAKTT, 30%] ; Hašková, Alena [Autor, UKFPFAKTT, 30%] ; EDULEARN19, 11 [01.07.2019-03.07.2019, Palma de Mallorca, Španielsko]. – text. – [angličtina]. – [OV 010]. – [abstrakt z podujatia - KP]. – WOS CC In: EDULEARN19 proceedings [elektronický dokument] : 11th annual International Conference on Education and New Learning Technologies / Gómez Chova, Luis [Zostavovateľ, editor] ; López Martínez, Agustín [Zostavovateľ, editor] ; López, Agustín [Recenzent] ; Girós, Amparo [Recenzent]. – 1. vyd. – Roč. 11. – Valencia (Španielsko) : IATED, 2019. – ISBN 978-84-09-12031-4. – ISSN 2340-1117, s. 1641-1647 [CD-ROM] </t>
  </si>
  <si>
    <t xml:space="preserve">Didaktická hra ako významný prvok v školskej praxi : Didactic Games as an Important Tool in School Practice / Jenisová, Zita [Autor, UKFFPVKCH, 45%] ; Braniša, Jana [Autor, UKFFPVKCH, 45%] ; Liková, Petra [Autor, 10%] ; DidSci PLUS [25.06.2018-27.06.2018, Praha, Česko]. – text. – [slovenčina]. – [OV 010]. – [abstrakt z podujatia - KP] In: DidSci Plus - Research in Didactics of Science PLUS [elektronický dokument] : Proceedings of the International Conference, Charles University - Faculty of Science / Čtrnáctová, Hana [Zostavovateľ, editor] ; Nesměrák, Karel [Zostavovateľ, editor] ; Teplá, Milada [Zostavovateľ, editor]. – 1. vyd. – Praha (Česko) : Univerzita Karlova v Praze, 2018. – ISBN 978-80-7444-065-6, s. 141-152 [CD-ROM] [online] </t>
  </si>
  <si>
    <t xml:space="preserve">Differences in perceptions of team effectiveness and their relation to organisational agility and job satisfaction / Silberg, Slavka [Autor, UKFPFAKPE, 50%] ; Stehlík, Luděk [Autor, 40%] ; Duriš, Rastislav [Autor, 10%] ; Work and Organizational Psychology 2021 [13.05.2021-14.05.2021, Olomouc, Česko]. – text. – [angličtina]. – [OV 010]. – [abstrakt z podujatia - KP]. – WOS CC In: Work and Organizational Psychology 2021: Innovation - research and application [elektronický dokument] : The 20th International Conference Proceedings, Olomouc  May 13 - 14 2021 online / Seitl, Martin [Zostavovateľ, editor] ; Viktorová, Lucie [Zostavovateľ, editor] ; Hypšová, Petra [Zostavovateľ, editor] ; Baňasová, Katarína [Recenzent] ; Bavoľár, Jozef [Recenzent] ; Fedáková, Denisa [Recenzent]. – 1. vyd. – Olomouc (Česko) : Univerzita Palackého v Olomouci, 2021. – ISBN (online) 978-80-244-6027-7, s. 90-102 [online] </t>
  </si>
  <si>
    <t xml:space="preserve">Differences in the metacognitive and discursive activities between regular and IBL mathematics lessons / Medová, Janka [Autor, UKFFPVKMA, 40%] ; Ovary Bulková, Kristína [Autor, 30%] ; Čeretková, Soňa [Autor, UKFFPVKMA, 30%] ; ERIE 2021, 18 [03.06.2021-04.06.2021, Praha, Česko]. – text. – [angličtina]. – [OV 240]. – [abstrakt z podujatia - KP] In: ERIE 2021 [textový dokument (print)] : 18th international conference Efficiency and Responsibility in Education held in Prague, Czech Republic on 3-4 June 2021 / Fejfar, Jiří [Zostavovateľ, editor] ; Flégl, Martin [Zostavovateľ, editor]. – 1. vyd. – Roč. 18. – Praha (Česko) : Česká zemědelská univerzita v Praze, 2021. – ISBN 978-80-213-3108-2. – ISSN 2336-744X, s. 88-97 [tlačená forma] </t>
  </si>
  <si>
    <t xml:space="preserve">Differential scanning calorimetry of illite/smectite-CaCO&lt;inf&gt;3&lt;/inf&gt;mixtures / Trník, Anton [Autor, UKFFPVKFY, 25%] ; Húlan, Tomáš [Autor, UKFFPVKFY, 25%] ; Ondruška, Ján [Autor, UKFFPVKFY, 25%] ; Keppert, M. [Autor, 25%] ; Central European Symposium on Thermophysics, 3 [01.09.2021-03.09.2021, Kazimierz Dolny, Poľsko]. – text. – [angličtina]. – [OV 091]. – [abstrakt z podujatia - KP]. – DOI 10.1063/5.0069599. – WOS CC ; SCO In: Proceedings of the 3rd Central European Symposium on Thermophysics [elektronický dokument] / Trník, Anton [Zostavovateľ, editor] ; Suchorab, Zbigniew [Zostavovateľ, editor]. – 1. vyd. – Melville, NY (USA) : American Institute of Physics . AIP Publishing, 2021. – ISBN 978-0-7354-4139-2, s. 1-14 [online] </t>
  </si>
  <si>
    <t xml:space="preserve">Differentiated Instruction Strategies in EFL Classroom : Case Study / Neuvirthova, Denisa [Autor, UKFFFAKAA, 50%] ; Gadušová, Zdenka [Autor, UKFFFAKAA, 50%] ; EDULEARN21 [05.07.2021-06.07.2021, Barcelona, Španielsko]. – text. – [angličtina]. – [OV 010]. – [abstrakt z podujatia - KP]. – DOI 10.21125/edulearn.2021.1624 In: EDULEARN21 [elektronický dokument] : 13th annual International Conference on Education and New Learning Technologies, Barcelona, 5th - 6th of July, 2021 / Chova, Luis Goméz [Zostavovateľ, editor] ; Martínez, Augustín López [Zostavovateľ, editor] ; Torres, I. [Zostavovateľ, editor]. – 1. vyd. – Roč. 13. – Barcelona (Španielsko) : IATED, 2021. – ISBN 978-84-09-31267-2. – ISSN 2340-1117, s. 7984-7993 [CD-ROM] [USB kľúč] </t>
  </si>
  <si>
    <t xml:space="preserve">Diffusion coefficient of expanded polystyrene in environments with varying relative humidity [Difúzny koeficient expandovaného polystyrénu v prostrediach s meniacou sa relatívnou vlhkosťou] / Mánik, Marek [Autor, UKFFPVKFY, 25%] ; Kuruc, Michal [Autor, 010200, 25%] ; Cabanová, Terézia [Autor, 010200, 25%] ; Medveď, Igor [Autor, 010200, 25%] ; Central European Symposium on Thermophysics, 3 [01.09.2021-03.09.2021, Kazimierz Dolny, Poľsko]. – [angličtina]. – [OV 170]. – [abstrakt z podujatia - KP]. – [recenzované]. – DOI 10.1063/5.0070125. – WOS CC ; SCO In: Proceedings of the 3rd Central European Symposium on Thermophysics [elektronický dokument] / Trník, Anton [Zostavovateľ, editor] ; Suchorab, Zbigniew [Zostavovateľ, editor]. – 1. vyd. – Melville, NY (USA) : American Institute of Physics . AIP Publishing, 2021. – ISBN 978-0-7354-4139-2, art. no. 020025, s. 1-6 [online] </t>
  </si>
  <si>
    <t xml:space="preserve">Digital art therapy as a an effective form of prevention of cyberbullying during distance learning / Sender, Barbora [Autor, UKFPFAKPE, 100%] ; ICERI 2021, 14 [08.11.2021-09.11.2021, Seville, Španielsko]. – text. – [angličtina]. – [OV 010]. – [abstrakt z podujatia - KP] In: ICERI2021 [elektronický dokument] : 14th annual International Conference of Education, Research and Innovation / Gómez, Chova L. [Zostavovateľ, editor] ; López Martínez, Agustín [Zostavovateľ, editor] ; Candel Torres, Ignacio [Zostavovateľ, editor]. – 1. vyd. – Valencia (Španielsko) : IATED, 2021. – ISBN 978-84-09-34549-6. – ISSN 2340-1095, s. 3803-3806 [online] [USB kľúč] </t>
  </si>
  <si>
    <t xml:space="preserve">Digital Dementia and Conspiracy Theories / Lesková, Andrea [Autor, UKFFFAKAE 06.2022, 50%] ; Máhrik, Tibor [Autor, 50%] ; SWS 2019, 6 [26.08.2019-01.09.2019, Albena, Bulharsko]. – text. – [angličtina]. – [OV 020]. – [abstrakt z podujatia - KP] In: SWS International Scientific Conference on Social Sciences 2019 (Cultural Studies Media &amp; Communications, Information &amp; Library Science, Human Geography and Demography Urban Studies, Planning &amp; Development) [textový dokument (print)] : conference proceeding / [bez zostavovateľa] [Zostavovateľ, editor]. – 1. vyd. – Roč. 6, č. 5. – Sofia (Bulharsko) : STEF 92 Technology, 2019. – ISBN 978-619-7408-95-9. – ISSN 2682-9959, s. 137-141 </t>
  </si>
  <si>
    <t xml:space="preserve">Distance learning and online teacher-parent cooperation : teaching practice during covid-19 pandemic lockdown / Kurincová, Viera [Autor, UKFPFAKPE, 50%] ; Turzák, Tomáš [Autor, UKFPFAKPE, 50%] ; EDULEARN21 [05.07.2021-06.07.2021, Barcelona, Španielsko]. – text. – [angličtina]. – [OV 010]. – [abstrakt z podujatia - KP]. – DOI 10.21125/edulearn.2021 In: EDULEARN21 [elektronický dokument] : 13th annual International Conference on Education and New Learning Technologies, Barcelona, 5th - 6th of July, 2021 / Chova, Luis Goméz [Zostavovateľ, editor] ; Martínez, Augustín López [Zostavovateľ, editor] ; Torres, I. [Zostavovateľ, editor]. – 1. vyd. – Roč. 13. – Barcelona (Španielsko) : IATED, 2021. – ISBN 978-84-09-31267-2. – ISSN 2340-1117, s. 1492-1499 [CD-ROM] [USB kľúč] </t>
  </si>
  <si>
    <t xml:space="preserve">Divadlo utláčaných ako jeden z prostriedkov resocializácie delikventnej mládeže / Sondorová, Dominika [Autor, UKFPFAKHU, 100%] ; Sapere Aude 2019, 9 [27.05.2019-29.05.2019, Hradec Králové, Česko]. – text. – [slovenčina]. – [OV 010]. – [abstrakt z podujatia - KP] In: Sapere Aude 2019 [elektronický dokument] : společnost a profese učitele : recenzovaný sborník příspěvků vědecké konference s mezinárodní účastí / [bez zostavovateľa] [Zostavovateľ, editor]. – 1. vyd. – Roč. 9. – Hradec Králové (Česko) : Magnanimitas akademické sdružení, 2019. – ISBN 978-80-87952-29-0, s. 70-76 [online] [CD-ROM] </t>
  </si>
  <si>
    <t xml:space="preserve">Do 200-ričča Pantelejmona Kuliša. Uvahy do stylistyčno markovanych elementiv v movi peršodrukiv P.O.Kuliša / Kumeda, Olena [Autor, UKFFFAKRU, 100%] ; Jazyk i mežkuľturnyje kommunikacii [11.11.2019-12.11.2019, Minsk, Bielorusko (predtým ako Bieloruská SSR)]. – text. – [ruština]. – [OV 010]. – [abstrakt z podujatia - KP] In: Jazyk i mežkuľturnyje kommunikacii [textový dokument (print)] : sbornik naučnych statej VII Meždunarodnoj naučnoj konferencii "Jazyk i mežkuľturnyje kommunikacii"  11 - 12 nojabrja 2019 g. v Minske / Staričonok, Vladimir [Zostavovateľ, editor] ; Rovdo, Ivan [Recenzent] ; Bessonova, Ludmila [Recenzent]. – 1. vyd. – Minsk (Bielorusko (predtým ako Bieloruská SSR)) : Belorusskij gosudarstvennyj pedagogičeskij universitet imeni Maxima Tanka, 2019. – ISBN (chybné) 973-985-541-683-9, s. 135-138 </t>
  </si>
  <si>
    <t xml:space="preserve">Do people trust robots whose prosody synchronizes with the user? / Beňuš, Štefan [Autor, UKFFFAKAA, 75%] ; Patacchiola, Massimiliano [Autor, 5%] ; Trnka, Marian [Autor, 5%] ; Zanatto, Debora [Autor, 5%] ; Sabo, Róbert [Autor, 5%] ; Cangelosi, Angelo [Autor, 5%] ; Šašinka, Čeněk [Recenzent] ; Šmideková, Zuzana [Recenzent] ; Kognice a umělý život 2018, 18 [30.05.2018-01.06.2018, Brno, Česko]. – text. – [angličtina]. – [OV 020]. – [abstrakt z podujatia - KP] In: Kognice a umělý život 2018 [elektronický dokument] : sborník příspěvků / Šašinka, Čeněk [Zostavovateľ, editor] ; Strnadová, Alžběta [Zostavovateľ, editor] ; Šmideková, Zuzana [Zostavovateľ, editor] ; Juřík, Vojtěch [Zostavovateľ, editor]. – 1. vyd. – Brno (Česko) : Flow, 2018. – ISBN 978-80-88123-24-8, s. 9-10 [online] </t>
  </si>
  <si>
    <t xml:space="preserve">Do the Parameters of Indoor Learning Space Influence the Results of Academic Students? / Tureková, Ivana [Autor, UKFPFAKTT, 50%] ; Tomková, Viera [Autor, UKFPFAKTT, 50%] ; EDULEARN21 [05.07.2021-06.07.2021, Barcelona, Španielsko]. – text. – [angličtina]. – [OV 010]. – [abstrakt z podujatia - KP]. – [recenzované] In: EDULEARN21 [elektronický dokument] : 13th annual International Conference on Education and New Learning Technologies, Barcelona, 5th - 6th of July, 2021 / Chova, Luis Goméz [Zostavovateľ, editor] ; Martínez, Augustín López [Zostavovateľ, editor] ; Torres, I. [Zostavovateľ, editor]. – 1. vyd. – Roč. 13. – Barcelona (Španielsko) : IATED, 2021. – ISBN 978-84-09-31267-2. – ISSN 2340-1117, s. 4855-4865 [CD-ROM] [USB kľúč] </t>
  </si>
  <si>
    <t xml:space="preserve">Dopyt návštevníkov po autentických suveníroch na príklade Bratislavského hradu = Visitors' Demand for Authentic Souvenirs at Bratislava Castle / Repáňová, Terézia [Autor, UKFFSSKCR, 50%] ; Profietová, Barbora [Autor, 50%] ; Aktuální problémy cestovního ruchu, 13 [28.02.2018-01.03.2018, Jihlava, Česko]. – text. – [slovenčina]. – [OV 080]. – [abstrakt z podujatia - KP]. – WOS CC In: Aktuální problémy cestovního ruchu [elektronický dokument] : „Autenticita v kontextu cestovního ruchu“ : recenzovaný sborník z mezinárodní konference / Linderová, Ivica [Zostavovateľ, editor] ; Pachrová, Stanislava [Zostavovateľ, editor]. – 1. vyd. – Roč. 13. – Jihlava (Česko) : Vysoká škola polytechnická Jihlava, 2018. – ISBN 978-80-88064-36-7, 371-381 [CD-ROM] </t>
  </si>
  <si>
    <t xml:space="preserve">Dopyt po službách ubytovacích zariadení na slovensku počas digitálneho detoxu hostí / Mazúchová, Ľudmila [Autor, UKFFSSKCR, 40%] ; Makovník, Tomáš [Autor, UMBEF01, 40%] ; Harčárová, Romana [Autor, 20%] ; 9. Mezinárodní vědecká konference Aktuální trendy lázeňství, hotelnictví a turismu [26.05.2021, Karviná, Česko]. – text. – [slovenčina]. – [OV 080]. – [abstrakt z podujatia - KP] In: 9. Mezinárodní vědecká konference Aktuální trendy lázeňství, hotelnictví a turismu [elektronický dokument] : recenzovaný sborník on-line konference / Pellešová, Pavlína [Recenzent] ; Plesník, Pavol [Recenzent] ; Botlíková, Milena [Recenzent] ; Kostková, Miroslava [Recenzent]. – 1. vyd. – Karviná (Česko) : Slezská univerzita v Opavě. Obchodně podnikatelská fakulta v Karviné, 2021. – ISBN (online) 978-80-7510-462-5. – ISBN (online) 978-80-7510-461-8, s. 122-133 [online] [CD-ROM] </t>
  </si>
  <si>
    <t xml:space="preserve">Dostupnosť obcí Trnavského samosprávneho kraja železničnou dopravou = Accessibility of municipalities in the Trnava self-governing Region by railway transport / Trembošová, Miroslava [Autor, UKFFPVKGR, 80%] ; Kohutiar, Samuel [Autor, 10%] ; Močko, Matej [Autor, UKFFPVKEE, 10%] ; Wokoun, René [Recenzent] ; Viturka, Milan [Recenzent] ; Mezinárodní kolokvium o regionálních vědách, 21 [13.06.2018-15.06.2018, Kurdějov, Česko]. – text. – [slovenčina]. – [OV 092]. – [abstrakt z podujatia - KP]. – DOI 10.5817/CZ.MUNI.P210-8970-2018-89 In: 21. mezinárodní kolokvium o regionálních vědách [textový dokument (print)] [elektronický dokument] : sborník příspěvků, Kurdějov 13. - 15. června 2018 = Conference Proceedings / Klímová, Viktorie [Zostavovateľ, editor] ; Žítek, Vladimír [Zostavovateľ, editor]. – 1. vyd. – Brno (Česko) : Masarykova univerzita, 2018. – ISBN 978-80-210-8969-3. – ISBN (online) 978-80-210-8970-9, s. 293-301 [tlačená forma] [online] </t>
  </si>
  <si>
    <t xml:space="preserve">Drak sa vracia v znamení ohňa = The Dragon Returns in a Sign of Fire / Hrešková, Sylvia [Autor, UKFFSSUSJ, 100%] ; QUAERE 2021, 11 [28.06.2021-30.06.2021, Hradec Králové, Česko]. – text. – [slovenčina]. – [OV 020]. – [abstrakt z podujatia - KP] In: QUAERE 2021 [elektronický dokument] : recenzovaný sborník příspěvků interdisciplinární mezinárodní vědecké konference doktorandů a odborných asistentů, Hradec Králové 28.6.2021 - 30.6.2021 / [bez zostavovateľa] [Zostavovateľ, editor]. – 1. vyd. – Roč. 11. – Hradec Králové (Česko) : Magnanimitas akademické sdružení, 2021. – ISBN 978-80-87952-34-4, s. 891-894 [online] </t>
  </si>
  <si>
    <t xml:space="preserve">Dramatic and Movement Expression of a Song for Children / Sondorová, Dominika [Autor, UKFPFAKHU, 50%] ; Hubinská, Zuzana [Autor, UKFPFAKHU, 50%] ; Comparative European Research 2021, 15 [29.03.2021-31.03.2021, Londýn, Veľká Británia]. – text. – [angličtina]. – [OV 010]. – [abstrakt z podujatia - KP] In: CER Comparative European Research 2021 [elektronický dokument] : proceedings / research track of the 15th Biannual CER Comparative European Research Conference / McGreevy, Michael [Zostavovateľ, editor] ; Rita, Robert [Zostavovateľ, editor]. – 1. vyd. – Roč. 8, č. 1. – Londýn (Veľká Británia) : Sciemcee, 2021. – ISBN (online) 978-1-9993071-7-2, s. 123-125 [online] </t>
  </si>
  <si>
    <t xml:space="preserve">Duchovná vokálna tvorba Ľuboša Bernátha a jej uplatnenie v umeleckej edukácii = Sacred Vocal Works of Ľuboš Bernáth and its Application in Performing Arts Education / Machutová, Dominika [Autor, UKFPFAKHU, 100%] ; Teorie a praxe hudební výchovy, 5 [09.10.2017-10.10.2017, Praha, Česko]. – [slovenčina]. – [OV 010]. – [abstrakt z podujatia - KP] In: Teorie a praxe hudební výchovy V [textový dokument (print)] : sborník příspevků z konference studentů doktorandských a magisterských studií a pedagogů hudebního vzdělávání v zemích V4 konané v Praze ve dnech  9.-10. listopadu 2017 / Dunovská, Marie [Zostavovateľ, editor] ; Kodejška, Miloš [Zostavovateľ, editor] ; Králová, Eva [Zostavovateľ, editor] ; Slavíková, Petra [Zostavovateľ, editor] ; Kaščáková, Lenka [Zostavovateľ, editor] ; Hudáková, Jana [Zostavovateľ, editor] ; Slavíková, Marie [Recenzent] ; Kopčáková, Slávka [Recenzent]. – 1. vyd. – Praha (Česko) : Univerzita Karlova v Praze, 2018. – ISBN 978-80-7290-978-0. – TUAD PC016444. – SIGN-PU FF 193/18, s. 158-165 [tlačená forma] </t>
  </si>
  <si>
    <t xml:space="preserve">Dynamika jazyka v zrkadle slovníkového spracovania (na bulharskom a slovenskom materiáli) = Language Dynamics in the Mirror of Dictionary Processing (using Bulgarian and Slovak Material) / Košková, Mária [Autor, UKFFFAKMR, 100%] ; Ballay, Miroslav [Recenzent] ; Benža, Mojmír [Recenzent] ; Medzinárodný zjazd slavistov v Belehrade, 16 [20.08.2018-27.08.2018, Belehrad, Srbsko]. – text. – [slovenčina]. – [OV 020]. – [článok z podujatia]. – SCO In: Slavica Slovaca [textový dokument (print)] [elektronický dokument] : orgán Slavistického ústavu Jána Stanislava SAV a Slovenského komitétu slavistov. – Bratislava (Slovensko) : Slovenská akadémia vied. Slavistický ústav Jána Stanislava. – ISSN 0037-6787. – ISSN (online) 1336-2364. – suppl. Roč. 53, č. 3-4 (2018), s. 4-18 [tlačená forma] [online] . – SJR: 0,1 ; CiteScore: 0,2 ; SNIP: 0,159 Scimago - Anthropology - Q4, Cultural studies - Q4, History - Q4, Language and linguistics - Q4, Linguistics and language - Q4 </t>
  </si>
  <si>
    <t xml:space="preserve">Dynamika vybraných demografických ukazovateľov obyvateľstva v zázemí mesta Nitra = Dynamics of selected demographic indicators of population in the hinterland of the Nitra City / Vilinová, Katarína [Autor, UKFFPVKGR, 80%] ; Repaská, Gabriela [Autor, UKFFPVKGR, 20%] ; Wokoun, René [Recenzent] ; Viturka, Milan [Recenzent] ; Mezinárodní kolokvium o regionálních vědách, 21 [13.06.2018-15.06.2018, Kurdějov, Česko]. – text. – [slovenčina]. – [OV 092]. – [abstrakt z podujatia - KP]. – DOI 10.5817/CZ.MUNI.P210-8970-2018-95 In: 21. mezinárodní kolokvium o regionálních vědách [textový dokument (print)] [elektronický dokument] : sborník příspěvků, Kurdějov 13. - 15. června 2018 = Conference Proceedings / Klímová, Viktorie [Zostavovateľ, editor] ; Žítek, Vladimír [Zostavovateľ, editor]. – 1. vyd. – Brno (Česko) : Masarykova univerzita, 2018. – ISBN 978-80-210-8969-3. – ISBN (online) 978-80-210-8970-9, s. 722-729 [tlačená forma] [online] </t>
  </si>
  <si>
    <t xml:space="preserve">E- Government in the Conditions of Public Administration in the Slovak Republic = E–government v podmienkach verejnej správy v Slovenskej republike / Papcunová, Viera [Autor, UKFFPVUMI, 34%] ; Urbaníková, Marta [Autor, UKFFPVUMI, 33%] ; Hudáková, Monika [Autor, SPUFEM15, 33%] ; Hesková, Marie [Recenzent] ; Slepecký, Jaroslav [Recenzent] ; Udržitelný rozvoj. Vybrané problémy regionálního rozvoje, 9 [12.04.2018-13.04.2018, České Budějovice, Česko]. – text. – [čeština]. – [OV 080]. – [abstrakt z podujatia - KP] In: Udržitelný rozvoj - vybrané problémy regionálniho rozvoje [elektronický dokument] : recenzovaný sborník z 9. ročníka mezinárodní konference, České Budějovice 12. - 13. 04.2018 / Říha, Richard [Zostavovateľ, editor]. – vyd. – České Budějovice (Česko) : Vysoká škola evropských a regionálních studií, 2018. – ISBN 978-80-7556-030-8, s. 55-64 [CD-ROM] </t>
  </si>
  <si>
    <t xml:space="preserve">Ecoenergy tourism, study into some aspects of relationship between use of renewable energy resources and sustainable regional and rural development / Molnar, Csilla [Autor, 14.29%] ; Kosmaczewska, Joanna [Autor, 14.285%] ; Fodor, Gyula [Autor, 14.285%] ; Balazs Zsarnoczky, Martin [Autor, 14.285%] ; Varga, Imre [Autor, 14.285%] ; Dávid, Lóránt Dénes [Autor, UKFFSSKCR, 14.285%] ; Palenčíková, Zuzana [Autor, UKFFSSKCR, 14.285%] ; Engineering for Rural Development, 18 [22.05.2019-24.05.2019, Jelgava, Lotyšsko]. – text. – [angličtina]. – [OV 080]. – [abstrakt z podujatia - KP]. – [recenzované]. – DOI 10.22616/ERDev2019.18.N346. – WOS CC ; SCO In: Engineering for rural development 2019 [elektronický dokument] : 18th international scientific conference : proceedings : May 22-24, 2019 / Malinovska, Larisa [Zostavovateľ, editor] ; Osadcuks, Vitalijs [Zostavovateľ, editor]. – 1. vyd. – Jelgava (Lotyšsko) : Latvia University of Agriculture, 2019. – ISSN (online) 1691-5976, s. 1478-1483 [online] </t>
  </si>
  <si>
    <t xml:space="preserve">Economic integration of Iraqi refugees in Slovakia / Morávková, Silvia [Autor, UKFFSVKSP, 50%] ; Mojtová, Martina [Autor, UKFFSVKSP, 50%] ; CBU International Conference, 6 [21.03.2018-23.03.2018, Praha, Česko]. – text. – [angličtina]. – [OV 060]. – [abstrakt z podujatia - KP]. – [recenzované] In: CBU International Conference Proceedings 2018 [textový dokument (print)] [elektronický dokument] : Innovations in Science and Education : March 21-23, 2018, Prague, Czech Republic / Hájek, Petr [Zostavovateľ, editor] ; Vít, Ondřej [Zostavovateľ, editor]. – 1. vyd. – Praha (Česko) : CBU Research Institute, 2018. – ISBN 978-80-270-5037-6. – ISBN (online) 978-80-270-5038-3. – ISSN 1805-997X. – ISSN (online) 1805-9961, s. 667-672 [tlačená forma] [online] </t>
  </si>
  <si>
    <t xml:space="preserve">Economic Value of Bee Pollination in Slovakia / Levický, Michal [Autor, UKFFPVUMI, 25%] ; Fiľa, Milan [Autor, UKFFPVUMI, 25%] ; Korenková, Marcela [Autor, UKFFPVUMI, 25%] ; Maroš, Milan [Autor, UKFFPVUMI, 25%] ; 19th RSEP International Economics, Finance &amp; Business Conference, 19 [01.12.2020-02.12.2020, Praha, Česko]. – text. – [angličtina]. – [OV 060]. – [abstrakt z podujatia - KP] In: 19th RSEP International Economics, Finance &amp; Business Conference [elektronický dokument] : Conference Proceedings, Praha 1-2 december 2020 / [bez zostavovateľa] [Zostavovateľ, editor] ; Cosmin, Olteanu [Recenzent] ; Cebeci, Kemal [Recenzent]. – 1. vyd. – Ankara (Turecko) : BC Publishing, 2020. – ISBN (online) 978-605-06961-6-5, s. 1-8 </t>
  </si>
  <si>
    <t xml:space="preserve">Education focused on "chemical composition of waste and its proper sorting" e-learning for primary school pupils / Feszterová, Melánia [Autor, UKFFPVKCH, 33.334%] ; Jenisová, Zita [Autor, UKFFPVKCH, 33.333%] ; Mišiaková, Margaréta [Autor, 33.333%] ; EDULEARN20, 12 [06.07.2020-07.07.2020, Palma de Mallorca, Španielsko]. – text. – [angličtina]. – [OV 010, 120]. – [abstrakt z podujatia - KP] In: EDULEARN20 proceedings [elektronický dokument] : 12th International Conference on Education and New Learning Technologies / Gómez Chova, Luis [Zostavovateľ, editor] ; López Martínez, Agustín [Zostavovateľ, editor]. – 1. vyd. – Roč. 12. – Valencia (Španielsko) : IATED, 2020. – ISBN 978-84-09-17979-4. – ISSN 2340-1117, s. 6206-6213 [USB kľúč] </t>
  </si>
  <si>
    <t xml:space="preserve">Education in a pandemic in Slovakia / Hudáková, Jarmila [Autor, UKFFPVUMI, 34%] ; Papcunová, Viera [Autor, UKFFPVUMI, 33%] ; Hornyák Gregáňová, Radomíra [Autor, SPUFEM07, 33%] ; ICERI 2020 : International Conference of Education, Research and Innovation, 13 [09.11.2020-10.11.2020, Sevilla, Španielsko]. – text. – [angličtina]. – [OV 060]. – [abstrakt z podujatia - KP] In: ICERI 2020 [elektronický dokument] : 13th international conference of education, research and innovation : transforming education, transforming lives / Gómez Chova, Luis [Zostavovateľ, editor] ; Martínez, Augustín López [Zostavovateľ, editor] ; Torres, I. Candel [Zostavovateľ, editor]. – 1. vyd. – Valencia (Španielsko) : IATED, 2020. – ISBN 978-84-09-24232-0. – ISSN 2340-1095, s. 4101-4107 [USB kľúč] </t>
  </si>
  <si>
    <t xml:space="preserve">Education of pre-service teachers for correct handling of chemicals / Feszterová, Melánia [Autor, UKFFPVKCH, 50%] ; Jenisová, Zita [Autor, UKFFPVKCH, 40%] ; Mišiaková, Margaréta [Autor, 10%] ; ICERI 2020 : International Conference of Education, Research and Innovation, 13 [09.11.2020-10.11.2020, Sevilla, Španielsko]. – text. – [angličtina]. – [OV 010]. – [abstrakt z podujatia - KP]. – DOI 10.21125/iceri.2020.1656 In: ICERI 2020 [elektronický dokument] : 13th international conference of education, research and innovation : transforming education, transforming lives / Gómez Chova, Luis [Zostavovateľ, editor] ; Martínez, Augustín López [Zostavovateľ, editor] ; Torres, I. Candel [Zostavovateľ, editor]. – 1. vyd. – Valencia (Španielsko) : IATED, 2020. – ISBN 978-84-09-24232-0. – ISSN 2340-1095, s. 7654-7662 [USB kľúč] </t>
  </si>
  <si>
    <t xml:space="preserve">Education on biowaste: from knowledge to practice / Feszterová, Melánia [Autor, UKFFPVKCH, 50%] ; Jenisová, Zita [Autor, UKFFPVKCH, 50%] ; ICERI 2021, 14 [08.11.2021-09.11.2021, Seville, Španielsko]. – text. – [angličtina]. – [OV 120]. – [abstrakt z podujatia - KP] In: ICERI2021 [elektronický dokument] : 14th annual International Conference of Education, Research and Innovation / Gómez, Chova L. [Zostavovateľ, editor] ; López Martínez, Agustín [Zostavovateľ, editor] ; Candel Torres, Ignacio [Zostavovateľ, editor]. – 1. vyd. – Valencia (Španielsko) : IATED, 2021. – ISBN 978-84-09-34549-6. – ISSN 2340-1095, s. 7916-7924 [online] [USB kľúč] </t>
  </si>
  <si>
    <t xml:space="preserve">Education under the influence Covid-19 at selected two universities in the Slovak Republic / Fatrcová Šramková, Katarína [Autor, 20%] ; Juríková, Tünde [Autor, UKFFSSUVP, 20%] ; Schwarzová, Marianna [Autor, 20%] ; Viczayová, Ildikó [Autor, UKFFSSUVP, 20%] ; Baráth, Ladislav [Autor, UKFFSSUVP, 20%] ; International Technology, Education and Development Conference 2021, 15 [08.03.2021-09.03.2021, Valencia, Španielsko]. – text. – [angličtina]. – [OV 010, 190]. – [abstrakt z podujatia - KP]. – [recenzované]. – DOI 10.21125/inted.2021.2199 In: INTED2021 [textový dokument (print)] [elektronický dokument] : 15th International Technology, Education and Development Conference : conference proceedings / Chova, Luis Goméz [Zostavovateľ, editor] ; López Martínez, Agustín [Zostavovateľ, editor] ; Candel Torres, Ignacio [Zostavovateľ, editor]. – 1. vyd. – Valencia (Španielsko) : IATED, 2021. – (INTED Proceedings, ISSN 2340-1079). – ISBN 978-84-09-27666-0. – ISSN 2340-1079, s. 10510-10517 [online] </t>
  </si>
  <si>
    <t xml:space="preserve">Educational dimension of succesful ageing / Müller De Morais, Marianna [Autor, UKFPFAKPE, 33.334%] ; Jedličková, Petra [Autor, UKFPFAKPE, 33.333%] ; Ivančíková, Monika [Autor, UKFPFAKPE, 33.333%] ; EDULEARN20, 12 [06.07.2020-07.07.2020, Palma de Mallorca, Španielsko]. – text. – [angličtina]. – [OV 010]. – [abstrakt z podujatia - KP] In: EDULEARN20 proceedings [elektronický dokument] : 12th International Conference on Education and New Learning Technologies / Gómez Chova, Luis [Zostavovateľ, editor] ; López Martínez, Agustín [Zostavovateľ, editor]. – 1. vyd. – Roč. 12. – Valencia (Španielsko) : IATED, 2020. – ISBN 978-84-09-17979-4. – ISSN 2340-1117, s. 4791-4798 [USB kľúč] </t>
  </si>
  <si>
    <t xml:space="preserve">Educational Model for Improving Programming Skills based on Conceptual Microlearning Framework / Skalka, Ján [Autor, UKFFPVKIN, 50%] ; Drlík, Martin [Autor, UKFFPVKIN, 50%] ; International Conference on Interactive Collaborative Learning, 21 [25.09.2018-28.09.2018, Kos, Grécko]. – text. – [angličtina]. – [OV 160]. – [abstrakt z podujatia - KP]. – [recenzované]. – DOI 10.1007/978-3-030-11932-4_85. – SCO In: The Challenges of the Digital Transformation in Education (1. Vol.) [textový dokument (print)] [elektronický dokument] : proceedings of the 21st International Conference on Interactive Collaborative Learning (ICL2018) / Auer, Michael [Zostavovateľ, editor] ; Tsiatsos, Thrasyvoulos [Zostavovateľ, editor]. – 1. vyd. – Bern (Švajčiarsko) : Springer Nature. Springer International Publishing AG, 2020. – (Advances in Intelligent Systems and Computing, ISSN 2194-5357, ISSN 2194-5365 ; 916). – ISBN 978-3-030-11931-7. – ISBN (online) 978-3-030-11932-4, s. 923-934 [tlačená forma] [online] </t>
  </si>
  <si>
    <t xml:space="preserve">Edukačné prostredie rozvíjajúce kritické a tvorivé myslenie / Borisová, Simona [Autor, UKFPFAKPE, 50%] ; Šutovcová, Lenka [Autor, 50%] ; Mezinárodní Masarykova konference pro doktorandy a mladé vědecké pracovníky 2019, 10 [16.12.2019-18.12.2019, Hradec Králové, Česko]. – [slovenčina]. – [OV 010]. – [abstrakt z podujatia - KP] In: MMK 2019 [elektronický dokument] : recenzovaný sborník příspěvků mezinárodní vědecké konference : Mezinárodní Masarykova konference pro doktorandy a mladé vědecké pracovníky 2019 / [bez zostavovateľa] [Zostavovateľ, editor] ; Lipowski, Jaroslav [Recenzent] ; Jaskułowski, Krzysztof [Recenzent] ; Kislingerová, Eva [Recenzent]. – 1. vyd. – Hradec Králové (Česko) : Magnanimitas akademické sdružení, 2019. – ISBN 978-80-87952-31-3, s. 863-870 [CD-ROM] [online] </t>
  </si>
  <si>
    <t xml:space="preserve">Effect of chamomile and common agrimony extracts on biomass of pea roots in the cadmium present environment / Roszival, Marcel [Autor, UKFFPVKBG, 15%] ; Mészáros, Patrik [Autor, UKFFPVKBG, 20%] ; Piršelová, Beáta [Autor, UKFFPVKBG, 30%] ; Koníčková, Monika [Autor, 5%] ; Lengyelová, Libuša [Autor, UKFFPVKBG, 15%] ; Galuščáková, Ľudmila [Autor, UKFFPVKBG, 15%] ; QUAERE 2021, 11 [28.06.2021-30.06.2021, Hradec Králové, Česko]. – text. – [angličtina]. – [OV 130]. – [abstrakt z podujatia - KP] In: QUAERE 2021 [elektronický dokument] : recenzovaný sborník příspěvků interdisciplinární mezinárodní vědecké konference doktorandů a odborných asistentů, Hradec Králové 28.6.2021 - 30.6.2021 / [bez zostavovateľa] [Zostavovateľ, editor]. – 1. vyd. – Roč. 11. – Hradec Králové (Česko) : Magnanimitas akademické sdružení, 2021. – ISBN 978-80-87952-34-4, s. 276-282 [online] </t>
  </si>
  <si>
    <t xml:space="preserve">Effect of waste glass addition on DC electrical conductivity of illite / Ondruška, Ján [Autor, UKFFPVKFY, 33.334%] ; Csáki, Štefan [Autor, UKFFPVKFY, 33.333%] ; Štubňa, Igor [Autor, 33.333%] ; 2nd Central European Symposium on Thermophysics 2020, CEST 2020, 2 [02.09.2020-04.09.2020, Eger, Maďarsko]. – [angličtina]. – [OV 091]. – [abstrakt z podujatia - KP]. – DOI 10.1063/5.0025969. – SCO In: Proceedings of the 2nd Central European Symposium on Thermophysics [textový dokument (print)] / Trník, Anton [Zostavovateľ, editor] ; Medveď, Igor [Zostavovateľ, editor]. – 1. vyd. – College Park, Maryland (USA) : American Institute of Physics , 2020. – (AIP Conference Proceedings, ISSN 0094-243X, ISSN 1551-7616 ; Volume 2275, SJR: 0,177 ; CiteScore: 0,7 ; SNIP: 0,314). – ISBN 978-0-7354-4005-0. – ISSN 0094243X. – ISSN (online) 15517616, s. 1-14 [tlačená forma] [online] </t>
  </si>
  <si>
    <t xml:space="preserve">Effective parent-teacher partnership / Klimentová, Anna [Autor, UKFPFAKPE, 100%] ; EDULEARN21 [05.07.2021-06.07.2021, Barcelona, Španielsko]. – text. – [angličtina]. – [OV 010]. – [abstrakt z podujatia - KP] In: EDULEARN21 [elektronický dokument] : 13th annual International Conference on Education and New Learning Technologies, Barcelona, 5th - 6th of July, 2021 / Chova, Luis Goméz [Zostavovateľ, editor] ; Martínez, Augustín López [Zostavovateľ, editor] ; Torres, I. [Zostavovateľ, editor]. – 1. vyd. – Roč. 13. – Barcelona (Španielsko) : IATED, 2021. – ISBN 978-84-09-31267-2. – ISSN 2340-1117, s. 8968-8974 [CD-ROM] [USB kľúč] </t>
  </si>
  <si>
    <t xml:space="preserve">Effective teaching methods in the acquisition of vocabulary for specific purposes for students at non-philological universities / Klimentová, Anna [Autor, UKFPFAKPE, 50%] ; Klimentová, Katarína [Autor, SPUFEM06, 50%] ; EDULEARN19, 11 [01.07.2019-03.07.2019, Palma de Mallorca, Španielsko]. – text. – [angličtina]. – [OV 010, 020]. – [abstrakt z podujatia - KP]. – DOI 10.21125/edulearn.2019.1138. – WOS CC In: EDULEARN19 proceedings [elektronický dokument] : 11th annual International Conference on Education and New Learning Technologies / Gómez Chova, Luis [Zostavovateľ, editor] ; López Martínez, Agustín [Zostavovateľ, editor] ; López, Agustín [Recenzent] ; Girós, Amparo [Recenzent]. – 1. vyd. – Roč. 11. – Valencia (Španielsko) : IATED, 2019. – ISBN 978-84-09-12031-4. – ISSN 2340-1117, s. 4550-4554 [CD-ROM] </t>
  </si>
  <si>
    <t xml:space="preserve">Effectivity of distance education of university students during covid-19 pandemic / Tomková, Viera [Autor, UKFPFAKTT, 50%] ; Bánesz, Gabriel [Autor, UKFPFAKTT, 50%] ; ICERI 2020 : International Conference of Education, Research and Innovation, 13 [09.11.2020-10.11.2020, Sevilla, Španielsko]. – text. – [angličtina]. – [OV 010]. – [abstrakt z podujatia - KP] In: ICERI 2020 [elektronický dokument] : 13th international conference of education, research and innovation : transforming education, transforming lives / Gómez Chova, Luis [Zostavovateľ, editor] ; Martínez, Augustín López [Zostavovateľ, editor] ; Torres, I. Candel [Zostavovateľ, editor]. – 1. vyd. – Valencia (Španielsko) : IATED, 2020. – ISBN 978-84-09-24232-0. – ISSN 2340-1095, s. 6064-6072 [USB kľúč] </t>
  </si>
  <si>
    <t xml:space="preserve">Egynyelvű környezet - többnyelvűterek / Kozmács, István [Autor, UKFFSSUML, 100%] ; Heltai, János Imre [Recenzent] ; Tankó, Enikő [Recenzent] ; Nyelvi tájkép, nyelvi sokszínűség [22.09.2017-23.09.2017, Csíkszereda, Rumunsko]. – text. – [maďarčina]. – [OV 010]. – [abstrakt z podujatia - KP] In: Nyelvi tájkép, nyelvi sokszínűség (Második kötet : Nyelvhasználati terek és nyelvi sokszínűség) [textový dokument (print)] / Tódor, Erika-Mária [Zostavovateľ, editor]. – 1. vyd. – Kluž (Rumunsko) : Scientia Kiadó, 2018. – ISBN 978-606-975-019-3, s. 221-228 [tlačená forma] </t>
  </si>
  <si>
    <t xml:space="preserve">E-Homework with Feedback on the Topic of Momentum in the E-learning Environment Moodle and its Analysis / Belicová, Simona [Autor, UKFFPVKFY, 34%] ; Lacsný, Boris [Autor, UKFFPVKFY, 33%] ; Teleki, Aba [Autor, UKFFPVKFY, 33%] ; New perspectives in science education [22.03.2018-23.03.2018, Florencia, Taliansko]. – text. – [angličtina]. – [OV 091]. – [abstrakt z podujatia - KP]. – [recenzované] In: New perspectives in science education [textový dokument (print)] : proceedings from international Conference / Kummert, Börge [Zostavovateľ, editor] ; Kapelari, Suzanne [Zostavovateľ, editor]. – 1. vyd. – Florencia (Taliansko) : Libreriauniversitaria, 2018. – ISBN 978-88-6292-976-9, s. 167-171 [tlačená forma] </t>
  </si>
  <si>
    <t xml:space="preserve">E-homework with feedback on the topic of vector sum of forces and vectors in the e-learning environment moodle and its analysis / Belicová, Simona [Autor, UKFFPVKFY, 34%] ; Lacsný, Boris [Autor, UKFFPVKFY, 33%] ; Teleki, Aba [Autor, UKFFPVKFY, 33%] ; EDULEARN18, 10 [02.07.2018-04.07.2018, Palma de Mallorca, Španielsko]. – text. – [angličtina]. – [OV 010]. – [abstrakt z podujatia - KP]. – [recenzované] In: EDULEARN18 proceedings [elektronický dokument] : 10th International Conference on Education and New Learning Technologies / Chova, Luis Goméz [Zostavovateľ, editor] ; Martínez, Augustín López [Zostavovateľ, editor] ; Torres, I. Candel [Zostavovateľ, editor]. – 1. vyd. – Roč. 10. – [Valencia] (Španielsko) : IATED, 2018. – ISBN 978-84-09-02709-5. – ISSN 2340-1117, s. 8271-8274 [CD-ROM] [USB kľúč] </t>
  </si>
  <si>
    <t xml:space="preserve">Ekonomický, priestorový a environmentálny aspekt rastúceho geoturizmu na ostrove Island = Economic, spatial and environmental aspects of growing geotourism in island Iceland / Šolcová, Lucia [Autor, UKFFPVKGR, 60%] ; Dysková, Simona [Autor, 40%] ; Wokoun, René [Recenzent] ; Viturka, Milan [Recenzent] ; Mezinárodní kolokvium o regionálních vědách, 21 [13.06.2018-15.06.2018, Kurdějov, Česko]. – text. – [slovenčina]. – [OV 092]. – [abstrakt z podujatia - KP]. – DOI 10.5817/CZ.MUNI.P210-8970-2018-78 In: 21. mezinárodní kolokvium o regionálních vědách [textový dokument (print)] [elektronický dokument] : sborník příspěvků, Kurdějov 13. - 15. června 2018 = Conference Proceedings / Klímová, Viktorie [Zostavovateľ, editor] ; Žítek, Vladimír [Zostavovateľ, editor]. – 1. vyd. – Brno (Česko) : Masarykova univerzita, 2018. – ISBN 978-80-210-8969-3. – ISBN (online) 978-80-210-8970-9, s. 595-602 [tlačená forma] [online] </t>
  </si>
  <si>
    <t xml:space="preserve">E-learning and developing intercultural communicative competences in the english language during the covid-19 quarantine: tourism students' feedback and recommendations / Sándorová, Zuzana [Autor, UKFFSSKCR, 50%] ; Beták, Norbert [Autor, UKFFSSKCR, 50%] ; International Technology, Education and Development Conference 2021, 15 [08.03.2021-09.03.2021, Valencia, Španielsko]. – text. – [angličtina]. – [OV 010]. – [abstrakt z podujatia - KP]. – DOI 10.21125/inted.2021.1240 In: INTED2021 [textový dokument (print)] [elektronický dokument] : 15th International Technology, Education and Development Conference : conference proceedings / Chova, Luis Goméz [Zostavovateľ, editor] ; López Martínez, Agustín [Zostavovateľ, editor] ; Candel Torres, Ignacio [Zostavovateľ, editor]. – 1. vyd. – Valencia (Španielsko) : IATED, 2021. – (INTED Proceedings, ISSN 2340-1079). – ISBN 978-84-09-27666-0. – ISSN 2340-1079, s. 8762-8767 [online] </t>
  </si>
  <si>
    <t xml:space="preserve">E-Learning in Electropneumatics Training / Bánesz, Gabriel [Autor, UKFPFAKTT, 25%] ; Hašková, Alena [Autor, UKFPFAKTT, 25%] ; Lukáčová, Danka [Autor, UKFPFAKTT, 25%] ; Záhorec, Ján [Autor, UKOPDDPP, 25%] ; International Conference on Interactive Collaborative Learning, 21 [25.09.2018-28.09.2018, Kos, Grécko]. – text. – [angličtina]. – [OV 010]. – [abstrakt z podujatia - KP]. – [recenzované]. – DOI 10.1007/978-3-030-11935-5_92. – SIGN-UKO PD DP/19. – SCO In: Advances in Human Factors, Business Management and Society [elektronický dokument] [textový dokument (print)] : proceedings of the AHFE 2018 International Conference on Human Factors, Business Management and Society / Kantola, Jussi Ilari [Zostavovateľ, editor] ; Nazir, Salman [Zostavovateľ, editor] ; Barath, Tibor [Zostavovateľ, editor]. – 1. vyd. – Cham (Švajčiarsko) : Springer Nature. Springer International Publishing AG, 2019. – (Advances in Intelligent Systems and Computing, ISSN 2194-5357, ISSN 2194-5365 ; 783, SJR: 0,184 ; CiteScore: 0,9 ; SNIP: 0,429). – ISBN 978-3-319-94708-2. – ISBN (online) 978-3-319-94709-9, 968-976 [online] [tlačená forma] Scimago - Computer science (miscellaneous) - Q3, Control and systems engineering - Q4 </t>
  </si>
  <si>
    <t xml:space="preserve">E-learning in the pre-service chemistry teachers' education / Feszterová, Melánia [Autor, UKFFPVKCH, 80%] ; Fraňová, Lýdia [Autor, 20%] ; ICERI 2019, 12 [11.11.2019-13.11.2019, Seville, Španielsko]. – text. – [angličtina]. – [OV 120, 010]. – [abstrakt z podujatia - KP]. – WOS CC In: ICERI2019 Proceedings [elektronický dokument] : 12th International conference of education, research and innovation / Gómez Chova, Luis [Zostavovateľ, editor] ; López Martínez, Agustín [Zostavovateľ, editor] ; Candel Torres, Ignacio [Zostavovateľ, editor]. – 1. vyd. – Valencia (Španielsko) : IATED, 2019. – ISBN 978-84-09-14755-7. – ISSN 2340-1095, 8363-8370 [USB kľúč] </t>
  </si>
  <si>
    <t xml:space="preserve">E-learning: education regarding chemical compounds in waste / Feszterová, Melánia [Autor, UKFFPVKCH, 100%] ; EDULEARN19, 11 [01.07.2019-03.07.2019, Palma de Mallorca, Španielsko]. – text. – [angličtina]. – [OV 010]. – [abstrakt z podujatia - KP]. – WOS CC In: EDULEARN19 proceedings [elektronický dokument] : 11th annual International Conference on Education and New Learning Technologies / Gómez Chova, Luis [Zostavovateľ, editor] ; López Martínez, Agustín [Zostavovateľ, editor] ; López, Agustín [Recenzent] ; Girós, Amparo [Recenzent]. – 1. vyd. – Roč. 11. – Valencia (Španielsko) : IATED, 2019. – ISBN 978-84-09-12031-4. – ISSN 2340-1117, s. 8585-8593 [CD-ROM] </t>
  </si>
  <si>
    <t xml:space="preserve">E-learningový kurz zameraný na manipuláciu s chemickými látkami: rozvoj vedomostí študentov = E-learning course focused on handling of chemicals: development of pre-service students′ knowledge / Feszterová, Melánia [Autor, UKFFPVKCH, 100%] ; DidMatTech 2020, 33 [25.06.2020-26.06.2020, Budapešť, Maďarsko]. – text. – [slovenčina]. – [OV 120, 010]. – [abstrakt z podujatia - KP]. – [recenzované]. – TRUNI ohlas E081207 In: Proceedings of 33. DidMatTEech 2020 Conference [elektronický dokument] : New methods and technologies in education, research and practice / Abonyi-Tóth, Andor [Zostavovateľ, editor] ; Stoffová, Veronika [Zostavovateľ, editor] ; Zsakó, László [Zostavovateľ, editor]. – 1. vyd. – Budapešť (Maďarsko) : Eötvös Loránd Tudományegyetem, 2020. – ISBN 978-963-489-244-1. – TUTPFKMI signatúra E081207, s. 389-401 [online] </t>
  </si>
  <si>
    <t xml:space="preserve">Electronic Educational Module for the Basics of Metrology / Lukáčová, Danka [Autor, UKFPFAKTT, 60%] ; Bánesz, Gabriel [Autor, UKFPFAKTT, 40%] ; International Technology, Education and Development Conference 2021, 15 [08.03.2021-09.03.2021, Valencia, Španielsko]. – text. – [angličtina]. – [OV 010]. – [abstrakt z podujatia - KP] In: INTED2021 [textový dokument (print)] [elektronický dokument] : 15th International Technology, Education and Development Conference : conference proceedings / Chova, Luis Goméz [Zostavovateľ, editor] ; López Martínez, Agustín [Zostavovateľ, editor] ; Candel Torres, Ignacio [Zostavovateľ, editor]. – 1. vyd. – Valencia (Španielsko) : IATED, 2021. – (INTED Proceedings, ISSN 2340-1079). – ISBN 978-84-09-27666-0. – ISSN 2340-1079, s. 4015-4019 [online] </t>
  </si>
  <si>
    <t xml:space="preserve">Electronic Learning Modules for Measuring Working Environment Factors / Bánesz, Gabriel [Autor, UKFPFAKTT, 40%] ; Lukáčová, Danka [Autor, UKFPFAKTT, 30%] ; Tomková, Viera [Autor, UKFPFAKTT, 30%] ; International Technology, Education and Development Conference 2021, 15 [08.03.2021-09.03.2021, Valencia, Španielsko]. – text. – [angličtina]. – [OV 010]. – [abstrakt z podujatia - KP]. – DOI 10.21125/inted.2021.1056 In: INTED2021 [textový dokument (print)] [elektronický dokument] : 15th International Technology, Education and Development Conference : conference proceedings / Chova, Luis Goméz [Zostavovateľ, editor] ; López Martínez, Agustín [Zostavovateľ, editor] ; Candel Torres, Ignacio [Zostavovateľ, editor]. – 1. vyd. – Valencia (Španielsko) : IATED, 2021. – (INTED Proceedings, ISSN 2340-1079). – ISBN 978-84-09-27666-0. – ISSN 2340-1079, s. 5137-5142 [online] </t>
  </si>
  <si>
    <t xml:space="preserve">Elements of experiential education in individual contepts of teaching / Pavličková, Alexandra [Autor, UKFPFAKPE, 100%] ; SGEM 2018, 5 [24.08.2018-02.09.2018, Albena, Bulharsko]. – [angličtina]. – [OV 010]. – [abstrakt z podujatia - KP]. – [recenzované] In: SGEM 2018 conference proceedings (3.5. Science and Society : education and educational research) [textový dokument (print)] [elektronický dokument] / [bez zostavovateľa] [Zostavovateľ, editor]. – 1. vyd. – Roč. 5. – Sofia (Bulharsko) : STEF92 Technology, 2018. – ISBN 978-619-7408-57-7. – ISSN 2367-5659, s. 237-245 [tlačená forma] [online] </t>
  </si>
  <si>
    <t xml:space="preserve">EmoSens – The Proposal of System for Recognition of Emotion with SDK Affectiva and Various Sensors / Magdin, Martin [Autor, UKFFPVKIN, 25%] ; Kohútek, Michal [Autor, UKFFPVKIN, 25%] ; Koprda, Štefan [Autor, UKFFPVKIN, 25%] ; Balogh, Zoltán [Autor, UKFFPVKIN, 25%] ; ICIC 2019, 15 [03.08.2019-06.08.2019, Nanchang, Čína]. – text. – [angličtina]. – [OV 160]. – [abstrakt z podujatia - KP]. – [recenzované]. – DOI 10.1007/978-3-030-26763-6_39. – SCO In: Intelligent Computing Theories and Application [textový dokument (print)] [elektronický dokument] : 15th International Conference, ICIC 2019, Nanchang, China, August 3–6, 2019, Proceedings, Part 1 / Bevilacqua, Vitoantonio [Zostavovateľ, editor]. – 1. vyd. – Cham (Švajčiarsko) : Springer Nature. Springer International Publishing AG, 2019. – (Lecture Notes in Computer Science, ISSN 0302-9743, ISSN 1611-3349 ; 11643, SJR: 0,427 ; CiteScore: 1,9 ; SNIP: 0,776) (Information Systems and Applications, incl. Internet/Web, and HCI ; 11643). – ISBN 978-3-030-26762-9. – ISBN (online) 978-3-030-26763-6, s. 400-411 [tlačená forma] [online] Scimago - Computer science (miscellaneous) - Q2, Theoretical computer science - Q3 </t>
  </si>
  <si>
    <t xml:space="preserve">Emotional and personality difficulties with career decision making and metacognitions as predictors of the career decidedness / Baňasová, Katarína [Autor, UKFFSVUAP, 100%] ; EDULEARN18, 10 [02.07.2018-04.07.2018, Palma de Mallorca, Španielsko]. – text. – [angličtina]. – [OV 060]. – [abstrakt z podujatia - KP]. – [recenzované]. – WOS CC In: EDULEARN18 proceedings [elektronický dokument] : 10th International Conference on Education and New Learning Technologies / Chova, Luis Goméz [Zostavovateľ, editor] ; Martínez, Augustín López [Zostavovateľ, editor] ; Torres, I. Candel [Zostavovateľ, editor]. – 1. vyd. – Roč. 10. – [Valencia] (Španielsko) : IATED, 2018. – ISBN 978-84-09-02709-5. – ISSN 2340-1117, s. 6536-6542 [CD-ROM] [USB kľúč] </t>
  </si>
  <si>
    <t xml:space="preserve">Emotions and Cognition: Narratives in Foreign Language Vocabulary Teaching and Learning / Kamenická, Jana [Autor, UKFPFAKLI, 100%] ; World Congress on Special Needs Education [09.12.2019-11.12.2019, London, Veľká Británia]. – text. – [angličtina]. – [OV 010]. – [abstrakt z podujatia - KP] In: World Congress on Special Needs Education (WCSNE-2019) [textový dokument (print)] : Proceedings from World Congress,  London 9-11 December 2019 / [bez zostavovateľa] [Zostavovateľ, editor] ; Shoniregun, Charles [Recenzent] ; Akmayeva, Galyna [Recenzent]. – 1. vyd. – London (Veľká Británia) : Infonomics Society, 2020. – ISBN 978-1-913572-04-4, s. 78-81 [online] </t>
  </si>
  <si>
    <t xml:space="preserve">Emotions and Foreign Language Learning: A Mysterious Relationship / Kamenická, Jana [Autor, 50%] ; Kráľová, Zdena [Autor, UKFPFAKLI, 50%] ; International Conference on New Music Concepts and Inspired Education, 6 [13.04.2019-14.04.2019, Treviso, Taliansko]. – [angličtina]. – [OV 010]. – [abstrakt z podujatia - KP] In: International Conference on New Music Concepts and Inspired Education [textový dokument (print)] : Proceeding Book Vol. 6, Treviso Apr 13, 2019 - Apr 14, 2019 / Ventura, Michelle Della [Zostavovateľ, editor]. – 1. vyd. – Roč. 6. – Treviso (Taliansko) : Accademia Musicale Studio Musica, 2019. – ISBN 978-88-944350-0-9, s. 141-145 [tlačená forma] </t>
  </si>
  <si>
    <t xml:space="preserve">Empathy and parenting as predictors of loneliness in adolescent boys and girls / Balážová, Miroslava [Autor, UKFFSVKPV, 25%] ; Gallová, Ivana [Autor, UKFFSVKPV, 25%] ; Praško Pavlov, Ján [Autor, UKFFSVKPV, 25%] ; Šlepecký, Miloš [Autor, UKFFSVKPV, 25%] ; QUAERE 2018, 8 [27.06.2018-29.06.2018, Hradec Králové, Česko]. – text. – [angličtina]. – [OV 020]. – [abstrakt z podujatia - KP]. – [recenzované] In: QUAERE 2018 [elektronický dokument] : recenzovaný sborník příspěvků vědecké interdisciplinární mezinárodní vědecké konference doktorandů a odborných asistentů / [bez zostavovateľa] [Zostavovateľ, editor]. – 1. vyd. – Roč. 8. – Hradec Králové (Česko) : Magnanimitas akademické sdružení, 2018. – ISBN 978-80-87952-26-9, s. 1040-1049 [CD-ROM] </t>
  </si>
  <si>
    <t xml:space="preserve">End of the Procrastination Through Innovation in Education. Factors Maintaining Motivation in Study Among University Students / Tkáčová, Hedviga [Autor, ZUZFHVKFR, 50%] ; Tvrdoň, Miroslav [Autor, UKFFSVKSP, 25%] ; Králik, Roman [Autor, 24%] ; Kalugina, Anastasia [Autor, 1%] ; EDULEARN21 [05.07.2021-06.07.2021, Barcelona, Španielsko]. – text. – [angličtina]. – [OV 060]. – [abstrakt z podujatia - KP]. – [recenzované]. – DOI 10.21125/edulearn.2021.1384 In: EDULEARN21 [elektronický dokument] : 13th annual International Conference on Education and New Learning Technologies, Barcelona, 5th - 6th of July, 2021 / Chova, Luis Goméz [Zostavovateľ, editor] ; Martínez, Augustín López [Zostavovateľ, editor] ; Torres, I. [Zostavovateľ, editor]. – 1. vyd. – Roč. 13. – Barcelona (Španielsko) : IATED, 2021. – ISBN 978-84-09-31267-2. – ISSN 2340-1117, s. 6838-6847 [CD-ROM] [USB kľúč] </t>
  </si>
  <si>
    <t xml:space="preserve">Engage Your Students via Physical Computing! / Cápay, Martin [Autor, UKFFPVKIN, 50%] ; Klimová, Nika [Autor, UKFFPVKIN, 50%] ; IEEE Global Engineering Education Conference, 10 [09.04.2019-11.04.2019, Dubai, Spojené arabské emiráty]. – [angličtina]. – [OV 160]. – [abstrakt z podujatia - KP]. – [recenzované]. – WOS CC In: 2019 IEEE Global Engineering Education Conference  (EDUCON 2019) [elektronický dokument] : Dubai, April 9-11, 2019 / [bez zostavovateľa] [Zostavovateľ, editor]. – 1. vyd. – Piscataway (USA) : Institute of Electrical and Electronics Engineers. IEEE Education Society, 2019. – ISBN 978-1-5386-9506-7, s. 1250-1255 [online] </t>
  </si>
  <si>
    <t xml:space="preserve">English language distance learning of primary school children / Bekešová, Jana [Autor, UKFPFAKLI, 100%] ; Média a vzdělávání 2020, 14 [20.11.2020, Praha, Česko]. – text. – [angličtina]. – [OV 010]. – [abstrakt z podujatia - KP] In: Média a vzdělávání 2020 [elektronický dokument] / Chromý, Ján [Zostavovateľ, editor] ; Krpálková Krelová, Katarína [Zostavovateľ, editor] ; Drtina, René [Recenzent] ; Bilan, N. [Recenzent]. – 1. vyd. – Praha (Česko) : Extrasystem Praha, 2020. – (Didaktika, pedagogika ; 42). – ISBN (online) 978-80-87570-51-7, s. 9-13 [online] </t>
  </si>
  <si>
    <t xml:space="preserve">Enhancing cultural competence in interpreting - cultural differences between the UK and Slovakia / Welnitzová, Katarína [Autor, UKFFFAKTR, 80%] ; Jakubičková, Barbara [Autor, UKFFFAKTR, 20%] ; SWS International Scientific Conference on Arts And Humanities, 7 [25.08.2020-26.08.2020, Albena, Bulharsko]. – text. – [angličtina]. – [OV 010, 020]. – [abstrakt z podujatia - KP]. – DOI 10.5593/sws.iscah.2020.7.1/s26.26 In: 7th SWS International Scientific Conference on Arts and Humanities - ISCAH [elektronický dokument] / Racz, Aleksandr [Zostavovateľ, editor] ; Naghi, Laura [Recenzent] ; Lončar, Iris [Recenzent]. – 1. vyd. – Roč. 7, č. 1. – Sofia (Bulharsko) : SGEM WORLD SCIENCE (SWS) Society, 2020. – ISBN 978-619-7603-00-2, s. 199-206 [tlačená forma] </t>
  </si>
  <si>
    <t xml:space="preserve">Enhancing Dual Vocational Education in Conditions of Slovakia / Hašková, Alena [Autor, UKFPFAKTT, 50%] ; Zatkalik, Martin [Autor, 50%] ; International Conference on Interactive Collaborative Learning, 22 [25.09.2019-28.09.2019, Bangkok, Thajsko]. – text. – [angličtina]. – [OV 010]. – [abstrakt z podujatia - KP]. – [recenzované]. – SCO In: The Impact of the 4th Industrial Revolution on Engineering Education [textový dokument (print)] [elektronický dokument] / Auer, Michael [Zostavovateľ, editor] ; Hortsch, Hanno [Zostavovateľ, editor] ; Sethakul, Panarit [Zostavovateľ, editor]. – 1. vyd. – Roč. 2. – Cham (Švajčiarsko) : Springer Verlag, 2020. – (Advances in Intelligent Systems and Computing, ISSN 2194-5357, ISSN 2194-5365 ; 1135). – ISBN 978-3-030-40271-6. – ISBN (online) 978-3-030-40270-9, s. 663-670 [tlačená forma] [online] </t>
  </si>
  <si>
    <t xml:space="preserve">Enhancing the Teaching of Informatics through Engaging Experience / Cápay, Martin [Autor, UKFFPVKIN, 100%] ; CSEDU 2019, 11 [02.05.2019-02.05.2019, Heraklion, Grécko]. – [angličtina]. – [OV 160]. – [abstrakt z podujatia - KP]. – [recenzované]. – SCO In: CSEDU 2019 [elektronický dokument] : proceedings of the 11th International Conference on Computer Supported Education, 2 - 4 May 2019, Heraklion / [bez zostavovateľa] [Zostavovateľ, editor]. – 1. vyd. – Roč. 11. – Heraklion (Grécko) : University of Crete, 2019. – ISBN 978-989-758-367-4, s. 453-460 [CD-ROM] </t>
  </si>
  <si>
    <t xml:space="preserve">Environmental Geography in the System  of Geographical Education in the Slovak Republic / Oremusová, Daša [Autor, UKFFPVKGR, 25%] ; Nemčíková, Magdaléna [Autor, UKFFPVKGR, 25%] ; Kramáreková, Hilda [Autor, UKFFPVKGR, 25%] ; Jenisová, Zita [Autor, UKFFPVKCH, 25%] ; ICERI 2021, 14 [08.11.2021-09.11.2021, Seville, Španielsko]. – text. – [angličtina]. – [OV 092]. – [abstrakt z podujatia - KP]. – DOI 10.21125/iceri.2021 In: ICERI2021 [elektronický dokument] : 14th annual International Conference of Education, Research and Innovation / Gómez, Chova L. [Zostavovateľ, editor] ; López Martínez, Agustín [Zostavovateľ, editor] ; Candel Torres, Ignacio [Zostavovateľ, editor]. – 1. vyd. – Valencia (Španielsko) : IATED, 2021. – ISBN 978-84-09-34549-6. – ISSN 2340-1095, s. 5543-5552 [online] [USB kľúč] </t>
  </si>
  <si>
    <t xml:space="preserve">Environmental Chemistry for Teacher in Practice : Verification of Knowledge / Feszterová, Melánia [Autor, UKFFPVKCH, 50%] ; Jenisová, Zita [Autor, UKFFPVKCH, 50%] ; International Technology, Education and Development Conference 2020, 14 [02.03.2020-04.03.2020, Valencia, Španielsko]. – text. – [angličtina]. – [OV 120, 010]. – [abstrakt z podujatia - KP]. – DOI 10.21125/inted.2020.2138. – WOS CC In: INTED2020 Proceedings [elektronický dokument] : 14th International Technology, Education and Development Conference / Chova, Luis Goméz [Zostavovateľ, editor] ; López Martínez, Agustín [Zostavovateľ, editor] ; Candel Torres, Ignacio [Zostavovateľ, editor]. – 1. vyd. – Valencia (Španielsko) : IATED, 2020. – (INTED Proceedings, ISSN 2340-1079). – ISBN 978-84-09-17939-8. – ISSN 2340-1079, s. 7857-7863 [online] </t>
  </si>
  <si>
    <t xml:space="preserve">Environmentalizmus vs. hinduizmus: čo na to internetové médiá? / Skačan, Juraj [Autor, UKFFFAKFI, 100%] ; Sociální dilema 2021: Nové přístupy k managementu znalostí a ochraně na internetu [05.11.2021, Brno, Česko]. – text. – [slovenčina]. – [OV 020]. – [abstrakt z podujatia - KP] In: Sociální dilema 2021. Nové přístupy k managementu znalostí a ochraně na internetu [textový dokument (print)] : recenzovaný sborník příspěvků interdisciplinární mezinárodní vědecké konference konané dne 5. 11. 2021 v Brně / Horecký, Jan [Zostavovateľ, editor] ; Sochorova, Lenka [Zostavovateľ, editor]. – 1. vyd. – Brno (Česko) : Právní institut, 2021. – ISBN 978-80-908357-0-2, s. 267-277 [tlačená forma] </t>
  </si>
  <si>
    <t xml:space="preserve">Environmentálne vzdelávanie detí predškolského veku na príklade lesa = Environmental education of children in pre-primary age on the forest example / Chlpošová, Dana [Autor, UKFFPVKEE, 50%] ; Kollárová, Dana [Autor, UKFPFAKPE, 50%] ; Mezinárodní Masarykova konference pro doktorandy a mladé vědecké pracovníky 2020, 11 [14.12.2020-16.12.2020, Hradec Králové, Česko]. – text. – [slovenčina]. – [OV 100]. – [abstrakt z podujatia - KP] In: MMK 2020 [elektronický dokument] : Mezinárodní Masarykova konference pro doktorandy a mladé vědecké pracovníky 2020 = recenzovaný sborník příspěvků mezinárodní vědecké konference / [bez zostavovateľa] [Zostavovateľ, editor] ; Lipowski, Jaroslav [Recenzent] ; Jaskułowski, Krzysztof [Recenzent]. – 1. vyd. – Roč. 11. – Hradec Králové (Česko) : Magnanimitas akademické sdružení, 2020. – ISBN 978-80-87952-33-7, s. 719-725 [CD-ROM] [online] </t>
  </si>
  <si>
    <t xml:space="preserve">Equal Opportunities - Comparison of Ethical Education and Religious Education Curricula / Tvrdoň, Miroslav [Autor, UKFFSVKSP, 100%] ; International Technology, Education and Development Conference 2020, 14 [02.03.2020-04.03.2020, Valencia, Španielsko]. – text. – [angličtina]. – [OV 010, 020]. – [abstrakt z podujatia - KP]. – [recenzované]. – WOS CC In: INTED2020 Proceedings [elektronický dokument] : 14th International Technology, Education and Development Conference / Chova, Luis Goméz [Zostavovateľ, editor] ; López Martínez, Agustín [Zostavovateľ, editor] ; Candel Torres, Ignacio [Zostavovateľ, editor]. – 1. vyd. – Valencia (Španielsko) : IATED, 2020. – (INTED Proceedings, ISSN 2340-1079). – ISBN 978-84-09-17939-8. – ISSN 2340-1079, s. 5517-5523 [online] </t>
  </si>
  <si>
    <t xml:space="preserve">Eroticism in the Novel the Camp of Fallen Women and its Film Adaptation / Adamická, Monika [Autor, UKFFSSUSJ, 100%] ; SWS 2019, 6 [22.10.2019-24.10.2019, Florencia, Taliansko]. – text. – [angličtina]. – [OV 020]. – [abstrakt z podujatia - KP] In: SWS 2019 (2. Arts and humanities) : conference proceedings / [bez zostavovateľa] [Zostavovateľ, editor]. – 1. vyd. – Roč. 6. – Sofia (Bulharsko) : STEP92, 2019. – ISBN 978-619-7408-96-6. – ISSN 2682-9959, s. 289-297 [tlačená forma] </t>
  </si>
  <si>
    <t xml:space="preserve">ESP and CLIL. Their importance in Pre-service English teacher education / Kováčiková, Elena [Autor, UKFPFAKLI, 100%] ; International seminar ESP and CLILL - Current Drivers of HEI Internationalisation [11.03.2021-12.03.2021, Szeged, Maďarsko]. – text. – [angličtina]. – [OV 010]. – [abstrakt z podujatia - KP] In: The Role of English in Higher Education [textový dokument (print)] [elektronický dokument] : Proceedings of the International seminar ESP and CLILL - Current Drivers of HEI Internationalisation, 11-12 March 2021 / Bakti, Mária [Zostavovateľ, editor] ; Juhász, Valéria [Zostavovateľ, editor] ; Erdei, Tamás [Zostavovateľ, editor]. – 1. vyd. – Szeged (Maďarsko) : Juhász Gyula Higher Education Publishing, 2021. – ISBN 978-615-5946-37-0. – ISBN (online) 978-615-5946-38-7, s. 115-122 [tlačená forma] [online] </t>
  </si>
  <si>
    <t xml:space="preserve">Estetika chátrajúcich architektonických objektov / Baďová, Petra [Autor, UKFFFAULK, 100%] ; Metodologie a theurgie hermeneutické interpretace, 8 [22.09.2020-23.09.2020, Ostrava, Česko]. – text. – [slovenčina]. – [OV 020]. – [abstrakt z podujatia - KP] In: Studia humanitatis - Ars hermeneutica [textový dokument (print)] : metodologie a theurgie hermeneutické interpretace 8 / Mikulášek, Miroslav [Zostavovateľ, editor] ; Malicki, Jan [Recenzent] ; Raclavská, Jana [Recenzent]. – 1. vyd. – č. 8. – Ostrava (Česko) : Ostravská univerzita, 2020. – ISBN 978-80-7599-211-6, s. 231-240 </t>
  </si>
  <si>
    <t xml:space="preserve">Estetika ruín v centre spoločenského záujmu = Aesthetics of Ruins in the Center of Social Interest / Baďová, Petra [Autor, UKFFFAULK, 100%] ; QUAERE 2020, 10 [22.06.2020-26.06.2020, Hradec Králové, Česko]. – text. – [slovenčina]. – [OV 020]. – [abstrakt z podujatia - KP] In: QUAERE 2020 [elektronický dokument] : recenzovaný sborník příspěvků interdisciplinární mezinárodní vědecké konference doktorandů a odborných asistentů, Hradec Králové, 22.- 26.6.2020 / [bez zostavovateľa] [Zostavovateľ, editor]. – 1. vyd. – Roč. 10. – Hradec Králové (Česko) : Magnanimitas akademické sdružení, 2020. – ISBN 978-80-87952-32-0, s. 1342-1347 [online] </t>
  </si>
  <si>
    <t xml:space="preserve">Ethical and Philosophical Social Work Principles - Migration Crisis / Tvrdoň, Miroslav [Autor, UKFFSVKSP, 100%] ; SWS 2019, 6 [26.08.2019-01.09.2019, Albena, Bulharsko]. – [angličtina]. – [OV 020]. – [abstrakt z podujatia - KP]. – [recenzované] In: 6th SWS International Scientific Conference on Social Sciences ISCSS 2019 (3), (Anthropology and ethnology; Psychology and psychiatry; Sociology and healthcare) [textový dokument (print)] [elektronický dokument] : conference proceedings / [bez zostavovateľa] [Zostavovateľ, editor]. – 1. vyd. – Roč. 6. – Sofia (Bulharsko) : STEP92, 2019. – ISBN 978-619-7408-93-5. – ISSN 2682-9959, s. 499-503 [tlačená forma] [online] </t>
  </si>
  <si>
    <t xml:space="preserve">Ethical issues in workflow of developing affective companion technologies / Gogora, Andrej [Autor, UKFFFAKAE 06.2022, 50%] ; Debnár, Marek [Autor, UKFFFAKAE 06.2022, 50%] ; AfCAI 2018, 2 [19.04.2018-20.04.2018, Valencia, Španielsko]. – text. – [angličtina]. – [OV 020]. – [abstrakt z podujatia - KP]. – SCO In: Affective Computing and Context Awareness in Ambient Intelligence [elektronický dokument] : Proceedings of the Workshop on Affective Computing and Context Awareness in Ambient Intelligence / Novais, P. [Zostavovateľ, editor]. – 1. vyd. – č. 2166. – Aachen (Nemecko) : CEUR-WS, 2018. – (CEUR Workshop Proceedings, ISSN 1613-0073 ; 2166, SJR: 0,166 ; CiteScore: 0,6 ; SNIP: 0,313). – ISSN 1613-0073, s. 1-6 [online] </t>
  </si>
  <si>
    <t xml:space="preserve">Ethics in the Light of Subjectivity - Kierkegaard and Levinas / Máhrik, Tibor [Autor, UKFFFAKAE 06.2022, 34%] ; Králik, Roman [Autor, UKFFFAKAE 06.2022, 33%] ; Tavilla, Igor [Autor, 33%] ; International Forum on Teacher Education, 4 [22.05.2018-24.05.2018, Kazaň, Ruská federácia]. – text. – [angličtina]. – [OV 020]. – [článok z podujatia]. – [recenzované]. – SCO In: Astra Salvensis [textový dokument (print)] [elektronický dokument] . – Bukurešť (Rumunsko) : Transilvanian Association for the Literarure and Culture of Romanian People. – ISSN 2393-4727. – ISSN 2344-1887. – suppl. Roč. 6, č. 2 (2018), s. 488-500 [tlačená forma] . – SJR: 0,214 ; CiteScore: 0,9 ; SNIP: 2,257 Scimago - Cultural studies - Q2, Education - Q3, History - Q1, Philosophy - Q2, Religious studies - Q1 </t>
  </si>
  <si>
    <t xml:space="preserve">Etica e lingua nella cultura dell'Umanesimo napoletano : l'opera di Giovanni Pontano / Di Vico, Paolo [Autor, UKFFFAKRO, 100%] ; Il tempo e lo spazio nella lingua e nella cultura italiana, 8 [16.09.2016-17.09.2016, Florencia, Taliansko]. – text. – [taliančina]. – [OV 020]. – [abstrakt z podujatia - KP] In: Il tempo e lo spazio nella lingua e nella cultura italiana [textový dokument (print)] : Atti 8. Convegno internazionale di Italianistica dell'Università di Craiova (Romania), 16-17 settembre 2016 / Pirvu, Elena [Zostavovateľ, editor]. – 1. vyd. – Florencia (Taliansko) : Franco Cesati Editore, 2018. – ISBN 978-88-7667-718-2, s. 87-93 [tlačená forma] </t>
  </si>
  <si>
    <t xml:space="preserve">Etické dilemy v párových vzťahoch / Marková, Dagmar [Autor, UKFFFAKAE 06.2022, 34%] ; Kocina, Petr [Autor, UKFFFAKAE 06.2022, 33%] ; Turčan, Ciprian [Autor, UKFFFAKAE 06.2022, 33%] ; 28. celostátní kongres k sexuální výchově v České republice, 28 [15.10.2020-16.10.2020, Hradec Králové, Česko]. – text. – [slovenčina]. – [OV 020, 060]. – [abstrakt z podujatia - KP] In: 28. celostátní kongres k sexuální výchově v České republice [textový dokument (print)] : sborník referátů, Hradec Králové, 15. - 16. října 2020 / Mitlöhner, Miroslav [Zostavovateľ, editor] ; Prouzová, Zuzana [Zostavovateľ, editor]. – 1. vyd. – Broumov (Česko) : Společnost pro plánování rodiny a sexuální výchovu, 2020. – ISBN 978-80-907936-0-6, s. 69-74 </t>
  </si>
  <si>
    <t xml:space="preserve">Etiológia sextingu u mladých ľudí / Jedličková, Petra [Autor, UKFPFAKPE, 34%] ; Hollá, Katarína [Autor, UKFPFAKPE, 33%] ; Seidler, Peter [Autor, UKFPFAKPE, 33%] ; Mezinárodní Masarykova konference pro doktorandy a mladé vědecké pracovníky 2018, 9 [17.12.2018-21.12.2018, Hradec Králové, Česko]. – text. – [slovenčina]. – [OV 010]. – [abstrakt z podujatia - KP] In: MMK 2018 [elektronický dokument] : recenzovaný sborník příspěvků mezinárodní vědecké konference : mezinárodní Masarykova konference pro doktorandy a mladé vědecké pracovníky / [bez zostavovateľa] [Zostavovateľ, editor] ; Lipowski, Jaroslav [Recenzent] ; Jaskułowski, Krzysztof [Recenzent] ; Kislingerová, Eva [Recenzent]. – 1 vyd. – Roč. 9. – Hradec Králové (Česko) : Magnanimitas akademické sdružení, 2018. – ISBN 978-80-87952-27-6, s. 509-515 [CD-ROM] </t>
  </si>
  <si>
    <t xml:space="preserve">Etymológia názvoslovia odrôd viniča pestovaných na Slovensku / Mikulcová, Katarína [Autor, UKFFFASJL, 100%] ; Stereotipat v slavianskite ezici, literaturi i kulturi [26.04.2018-28.04.2018, Sofia, Bulharsko]. – text. – [slovenčina]. – [OV 020]. – [abstrakt z podujatia - KP]. – [recenzované] In: Stereotipat v slavianskite ezici, literaturi i kulturi (Tom I. Ezikoznanie) [textový dokument (print)] [elektronický dokument] : sbornik s dokladi ot Četirinadesetite meždunarodni slavistični četenija / Avramova, Cvetanka [Zostavovateľ, editor]. – 1. vyd. – Sofia (Bulharsko) : Universitetsko Izdatelstvo Sv. Kliment Okhridski, 2019. – ISBN 978-954-07-4883-2. – ISBN (online) 978-954-07-4895-5, s. 533-542 [tlačená forma] [online] </t>
  </si>
  <si>
    <t xml:space="preserve">Evaluácia projektových aktivít mikorregiónu Termál v troch programových obdobaich = Evaluation of the project activities of the microregion Termál in three programming periods / Oremusová, Daša [Autor, UKFFPVKGR, 34%] ; Kramáreková, Hilda [Autor, UKFFPVKGR, 33%] ; Nemčíková, Magdaléna [Autor, UKFFPVKGR, 33%] ; Mezinárodní kolokvium o regionálních vědách, 24 [01.09.2021-03.09.2021, Brno, Česko]. – text. – [slovenčina]. – [OV 092]. – [abstrakt z podujatia - KP]. – [recenzované]. – DOI 10.5817/CZ.MUNI.P210-9896-2021 In: 24. Mezinárodní kolokvium o regionálních vědách [elektronický dokument] : sborník příspěvků Brno 1.9-3.9.2021 / Klímová, Viktorie [Zostavovateľ, editor] ; Žítek, Vladimír [Zostavovateľ, editor]. – 1. vyd. – Roč. 24. – Brno (Česko) : Masarykova univerzita, 2021. – ISBN 978-80-210-9896-1, s. 108-116 [CD-ROM] [online] </t>
  </si>
  <si>
    <t xml:space="preserve">Evaluation and self-evaluation in trainees' performances in translation studies training / Welnitzová, Katarína [Autor, UKFFFAKTR, 50%] ; Munková, Daša [Autor, UKFFFAKTR, 50%] ; International Technology, Education and Development Conference 2020, 14 [02.03.2020-04.03.2020, Valencia, Španielsko]. – text. – [angličtina]. – [OV 010]. – [abstrakt z podujatia - KP]. – WOS CC In: INTED2020 Proceedings [elektronický dokument] : 14th International Technology, Education and Development Conference / Chova, Luis Goméz [Zostavovateľ, editor] ; López Martínez, Agustín [Zostavovateľ, editor] ; Candel Torres, Ignacio [Zostavovateľ, editor]. – 1. vyd. – Valencia (Španielsko) : IATED, 2020. – (INTED Proceedings, ISSN 2340-1079). – ISBN 978-84-09-17939-8. – ISSN 2340-1079, s. 8364-8372 [online] </t>
  </si>
  <si>
    <t xml:space="preserve">Evaluation of construct validity and reliability of the Slovak version of the heart quality of life questionnaire / Dančová, Katarína [Autor, UKFFSVUAP, 50%] ; Sollár, Tomáš [Autor, UKFFSVUAP, 50%] ; PhD existence 2019, 9 [21.01.2019-22.01.2019, Olomouc, Česko]. – text. – [slovenčina]. – [OV 060]. – [abstrakt z podujatia - KP] In: PhD existence 9 [elektronický dokument] : česko-slovenská konference (nejen) pro doktorandy a o doktorandech : „Telo a mysl“ : konferenční DVD / Maierová, Eva [Zostavovateľ, editor] ; Viktorová, Lucie [Zostavovateľ, editor] ; Dolejš, Martin [Zostavovateľ, editor]. – Olomouc (Česko) : Univerzita Palackého v Olomouci, 2019. – ISBN (online) 978-80-244-5594-5, s. 34-41 [DVD] </t>
  </si>
  <si>
    <t xml:space="preserve">Evaluation of incomes from entrepreneurship with property of regional self-government (case study of Slovak Republic) / Hornyák Gregáňová, Radomíra [Autor, SPUFEM07, 34%] ; Papcunová, Viera [Autor, UKFFPVUMI, 33%] ; Országhová, Dana [Autor, SPUFEM07, 33%] ; ICoM 2019 [13.06.2019-14.06.2019, Gödöllö, Maďarsko]. – [angličtina]. – [OV 080, 060]. – [abstrakt z podujatia - KP]. – DOI 10.17626/dBEM.ICoM.P01.2019.p015 In: People, planet and profit: Sustainable business and society (Vol. 1) [elektronický dokument] : proceedings of the 9th international conference on management / Illés, Csaba Bálint [Zostavovateľ, editor] ; Daróczi, Miklós [Recenzent] ; Törőné Dunay, Anna [Recenzent]. – 1 vyd. – Gödöllő (Maďarsko) : Szent István Egyetem, 2019. – ISBN 978-963-269-881-6, s. 99-105 [online] </t>
  </si>
  <si>
    <t xml:space="preserve">Evaluation of Machine Translation Quality through the Metrics of Error Rate and Accuracy / Munková, Daša [Autor, UKFFFAKTR, 25%] ; Hájek, Petr [Autor, 25%] ; Munk, Michal [Autor, UKFFPVKIN, 25%] ; Skalka, Ján [Autor, UKFFPVKIN, 25%] ; 3rd International Conference on Computing and Network Communications, 3 [18.12.2019-21.12.2019, Kerala, India]. – text. – [angličtina]. – [OV 020]. – [abstrakt z podujatia - KP]. – [recenzované]. – DOI 10.1016/j.procs.2020.04.142. – SCO In: The 11th International Conference on Ambient Systems, Networks and Technologies (ANT) / The 3rd International Conference on Emerging Data and Industry 4.0 (EDI40) / Affiliated Workshops [elektronický dokument] / Shakshuki, Elhadi [Zostavovateľ, editor] ; Yasar, Ansar [Zostavovateľ, editor]. – 1. vyd. – Amsterdam (Holandsko) : Elsevier, 2020. – (Procedia computer science, ISSN 1877-0509 ; 170, SJR: 0,334 ; CiteScore: 3 ; SNIP: 1,035). – ISSN (online) 1877-0509, 1327-1336 [online] </t>
  </si>
  <si>
    <t xml:space="preserve">Evaluation of Selected Characteristics of Small Streams: The Súčanka Stream and Its Tributaries (Trenčín Region, Slovakia) / Feszterová, Melánia [Autor, UKFFPVKCH, 100%] ; SGEM 2019, 19 [09.12.2019-11.12.2019, Albena, Bulharsko]. – text. – [angličtina]. – [OV 120]. – [abstrakt z podujatia - KP] In: SGEM 2019 (1.4. Science and Technologies  in Geology, Oil and Gas Exploration, Water Resources, Forest Ecosystems) [textový dokument (print)] : 19th International Multidisciplinary Scientific GeoConference, Albena 9-11 December 2019 / [bez zostavovateľa] [Zostavovateľ, editor]. – 1. vyd. – Roč. 19. – Sofia (Bulharsko) : STEF 92 Technology, 2019. – ISBN 978-619-7408-97-3. – ISSN 1314-2704, s. 177-187 </t>
  </si>
  <si>
    <t xml:space="preserve">Evaluation of Teacher's Abilities to Choose  Appropriate Teaching Methods and Forms as Their Key Professional Competence : (Case Study) / Gadušová, Zdenka [Autor, UKFFFAKAA, 30%] ; Harťanská, Jana [Autor, UKFFFAKAA, 40%] ; Horváthová, Ivana [Autor, UKFFFAKAA, 30%] ; Sahiner, Mehmet [Recenzent] ; Parjanadze, Nikoloz [Recenzent] ; IRCEELT 2019, 9 [03.05.2019-04.05.2019, Tbilisi, Gruzínsko]. – text. – [angličtina]. – [OV 010]. – [abstrakt z podujatia - KP] In: IRCEELT 2019 : Proceedings book from 9th International Research Conference on Education, Language and Literature, Tbilisi, 3rd to 4th May 2019 / Doghonadze, Natela [Zostavovateľ, editor]. – 1. vyd. – Roč. 9. – Tbilisi (Gruzínsko) : International Black Sea University, 2019. – ISSN 2298-0180, s. 106-118 </t>
  </si>
  <si>
    <t xml:space="preserve">Evaluation of teaching strategies for critical thinking development in the subject of technology / Valentová, Monika [Autor, UKFPFAKTT, 50%] ; Brečka, Peter [Autor, UKFPFAKTT, 50%] ; EDULEARN19, 11 [01.07.2019-03.07.2019, Palma de Mallorca, Španielsko]. – text. – [angličtina]. – [OV 010]. – [abstrakt z podujatia - KP]. – WOS CC In: EDULEARN19 proceedings [elektronický dokument] : 11th annual International Conference on Education and New Learning Technologies / Gómez Chova, Luis [Zostavovateľ, editor] ; López Martínez, Agustín [Zostavovateľ, editor] ; López, Agustín [Recenzent] ; Girós, Amparo [Recenzent]. – 1. vyd. – Roč. 11. – Valencia (Španielsko) : IATED, 2019. – ISBN 978-84-09-12031-4. – ISSN 2340-1117, s. 890-895 [CD-ROM] </t>
  </si>
  <si>
    <t xml:space="preserve">Evaluation of the relationships between visitation rate of selected area and its nature protection and cultural-historical value (Nitra town and adjacent area) / Jančovič, Martin [Autor, UKFFPVKEE, 40%] ; Mederly, Peter [Autor, UKFFPVKEE, 30%] ; Kaisová, Dominika [Autor, UKFFPVKEE, 30%] ; Public recreation and landscape protection - with nature hand in hand! [02.05.2018-04.05.2018, Křtiny, Česko]. – text. – [angličtina]. – [OV 100]. – [abstrakt z podujatia - KP]. – [recenzované]. – WOS CC ; SCO In: Public recreation and landscape protection - with nature hand in hand! [textový dokument (print)] [elektronický dokument] : Conference proceeding / Fialová, Jitka [Zostavovateľ, editor]. – 1. vyd. – Brno (Česko) : Mendelova univerzita v Brně, 2018. – ISBN 978-80-7509-550-3. – ISBN (online) 978-80-7509-551-0. – ISSN 2336-6311. – ISSN (online) 2336-632X, s. 161-167 [tlačená forma] [online] </t>
  </si>
  <si>
    <t xml:space="preserve">Evanjelický farár v optike svojich cirkevníkov / Michalík, Boris [Autor, UKFFFAKMK, 50%] ; Žabenský, Marián [Autor, UKFFFAKMK, 50%] ; Úloha cirkvi v živote dolnozemských Slovákov [16.03.2018-17.03.2018, Nadlak, Rumunsko]. – text. – [slovenčina]. – [OV 030]. – [abstrakt z podujatia - KP] In: Úloha cirkvi v živote dolnozemských Slovákov [textový dokument (print)] / Ambruš, Ivan Miroslav [Zostavovateľ, editor] ; Hlásnik, Pavel [Zostavovateľ, editor] ; Unc, Bianca [Zostavovateľ, editor] ; Dobrotková, Marta [Recenzent] ; Kožiak, Rastislav [Recenzent]. – 1. vyd. – Nadlak (Rumunsko) : Vydavateľstvo - Editura Ivan Krasko, 2018. – ISBN 978-973-107-134-3, s. 308-314 [tlačená forma] </t>
  </si>
  <si>
    <t xml:space="preserve">Examination of bilingual phenomena in Hungarian dialectal audiobooks in Slovakia / Presinszky, Károly [Autor, UKFFSSUML, 100%] ; ICERI 2021, 14 [08.11.2021-09.11.2021, Seville, Španielsko]. – text. – [angličtina]. – [OV 010]. – [abstrakt z podujatia - KP] In: ICERI2021 [elektronický dokument] : 14th annual International Conference of Education, Research and Innovation / Gómez, Chova L. [Zostavovateľ, editor] ; López Martínez, Agustín [Zostavovateľ, editor] ; Candel Torres, Ignacio [Zostavovateľ, editor]. – 1. vyd. – Valencia (Španielsko) : IATED, 2021. – ISBN 978-84-09-34549-6. – ISSN 2340-1095, s. 3286-3292 [online] [USB kľúč] </t>
  </si>
  <si>
    <t xml:space="preserve">Executive skills and risk behaviour of adolescents / Juhásová, Andrea [Autor, UKFPFAKAP, 50%] ; Gatial, Viktor [Autor, UKFPFAKAP, 50%] ; EDULEARN19, 11 [01.07.2019-03.07.2019, Palma de Mallorca, Španielsko]. – text. – [angličtina]. – [OV 010]. – [abstrakt z podujatia - KP]. – WOS CC In: EDULEARN19 proceedings [elektronický dokument] : 11th annual International Conference on Education and New Learning Technologies / Gómez Chova, Luis [Zostavovateľ, editor] ; López Martínez, Agustín [Zostavovateľ, editor] ; López, Agustín [Recenzent] ; Girós, Amparo [Recenzent]. – 1. vyd. – Roč. 11. – Valencia (Španielsko) : IATED, 2019. – ISBN 978-84-09-12031-4. – ISSN 2340-1117, s. 1345-1351 [CD-ROM] </t>
  </si>
  <si>
    <t xml:space="preserve">Existencia srbských jazykových tvarov V prehovoroch Slovákov vo Vojvodine (na základe výskumu lokalného slovenského média) / Koruniak, Samuel [Autor, UKFFFASJL, 100%] ; Stereotipat v slavianskite ezici, literaturi i kulturi [26.04.2018-28.04.2018, Sofia, Bulharsko]. – text. – [slovenčina]. – [OV 020]. – [abstrakt z podujatia - KP]. – [recenzované] In: Stereotipat v slavianskite ezici, literaturi i kulturi (Tom I. Ezikoznanie) [textový dokument (print)] [elektronický dokument] : sbornik s dokladi ot Četirinadesetite meždunarodni slavistični četenija / Avramova, Cvetanka [Zostavovateľ, editor]. – 1. vyd. – Sofia (Bulharsko) : Universitetsko Izdatelstvo Sv. Kliment Okhridski, 2019. – ISBN 978-954-07-4883-2. – ISBN (online) 978-954-07-4895-5, s. 31-38 [tlačená forma] [online] </t>
  </si>
  <si>
    <t xml:space="preserve">Existovali staroslovienske redakcie? / Bánik, Tomáš [Autor, UKFFFASJL, 100%] ; Kolokvium mladých jazykovedcov, 24 [09.09.2015-11.09.2015, Praha, Česko]. – text. – [slovenčina]. – [OV 020]. – [abstrakt z podujatia - KP] In: Varia 24 [elektronický dokument] : zborník príspevkov z 24. kolokvia mladých jazykovedcov / Simeunovich-Skvortsova, Maria [Zostavovateľ, editor] ; Gajdošová, Katarína [Zostavovateľ, editor] ; Saicová Římalová, Lucie [Recenzent] ; Stranz-Nikitina, Veronika [Recenzent]. – 1. vyd. – Roč. 24. – Praha (Česko) : Univerzita Karlova v Praze, 2019. – ISBN 978-80-7308-757-9, s. 7-18 [online] </t>
  </si>
  <si>
    <t xml:space="preserve">Expanding pupils' knowledge of the chemical of the composition of waste / Feszterová, Melánia [Autor, UKFFPVKCH, 100%] ; ICERI 2019, 12 [11.11.2019-13.11.2019, Seville, Španielsko]. – text. – [angličtina]. – [OV 010, 120]. – [abstrakt z podujatia - KP]. – WOS CC In: ICERI2019 Proceedings [elektronický dokument] : 12th International conference of education, research and innovation / Gómez Chova, Luis [Zostavovateľ, editor] ; López Martínez, Agustín [Zostavovateľ, editor] ; Candel Torres, Ignacio [Zostavovateľ, editor]. – 1. vyd. – Valencia (Španielsko) : IATED, 2019. – ISBN 978-84-09-14755-7. – ISSN 2340-1095, 9063-9069 [USB kľúč] </t>
  </si>
  <si>
    <t xml:space="preserve">Experimental Method of Joule’s Experiment in Physics for Secondary School / Jindrová, Terézia [Autor, UKFFPVKFY, 100%] ; CBU International Conference, 6 [21.03.2018-23.03.2018, Praha, Česko]. – text. – [angličtina]. – [OV 010]. – [abstrakt z podujatia - KP]. – [recenzované]. – DOI 10.12955/cbup.v6.1225 In: CBU International Conference Proceedings 2018 [textový dokument (print)] [elektronický dokument] : Innovations in Science and Education : March 21-23, 2018, Prague, Czech Republic / Hájek, Petr [Zostavovateľ, editor] ; Vít, Ondřej [Zostavovateľ, editor]. – 1. vyd. – Praha (Česko) : CBU Research Institute, 2018. – ISBN 978-80-270-5037-6. – ISBN (online) 978-80-270-5038-3. – ISSN 1805-997X. – ISSN (online) 1805-9961, s. 634-639 [tlačená forma] [online] </t>
  </si>
  <si>
    <t xml:space="preserve">Externalizing and internalizing problems in young school - age pupils / Popelková, Marta [Autor, UKFFSVKPV, 50%] ; Jurišová, Erika [Autor, UKFFSVKPV, 50%] ; EDULEARN19, 11 [01.07.2019-03.07.2019, Palma de Mallorca, Španielsko]. – text. – [angličtina]. – [OV 010, 060]. – [abstrakt z podujatia - KP]. – WOS CC In: EDULEARN19 proceedings [elektronický dokument] : 11th annual International Conference on Education and New Learning Technologies / Gómez Chova, Luis [Zostavovateľ, editor] ; López Martínez, Agustín [Zostavovateľ, editor] ; López, Agustín [Recenzent] ; Girós, Amparo [Recenzent]. – 1. vyd. – Roč. 11. – Valencia (Španielsko) : IATED, 2019. – ISBN 978-84-09-12031-4. – ISSN 2340-1117, s. 2410-2415 [CD-ROM] </t>
  </si>
  <si>
    <t xml:space="preserve">Extremely gifted students and teaching philosophy in secondary school / Pavlíková, Martina [Autor, UKFFFAKZU, 50%] ; Ambrozy, Marián [Autor, ISMNEKSV, 50%] ; ICERI 2019, 12 [11.11.2019-13.11.2019, Seville, Španielsko]. – text. – [angličtina]. – [OV 020, 010]. – [abstrakt z podujatia - KP]. – WOS CC In: ICERI2019 Proceedings [elektronický dokument] : 12th International conference of education, research and innovation / Gómez Chova, Luis [Zostavovateľ, editor] ; López Martínez, Agustín [Zostavovateľ, editor] ; Candel Torres, Ignacio [Zostavovateľ, editor]. – 1. vyd. – Valencia (Španielsko) : IATED, 2019. – ISBN 978-84-09-14755-7. – ISSN 2340-1095, s. 6474-6479 [USB kľúč] </t>
  </si>
  <si>
    <t xml:space="preserve">Facebook and Instagram in the Context of Marketing Communication Tool of Restaurants / Kompasová, Katarína [Autor, UKFFFAKMK, 50%] ; Zima, Roman [Autor, UKFFFAKMK, 50%] ; Mareš, Jaromír [Recenzent] ; Brizgalová, Lenka [Recenzent] ; Hotelnictví, turismus a vzdělávání, 10 [17.10.2018, Praha, Česko]. – text. – [angličtina]. – [OV 080]. – [abstrakt z podujatia - KP] In: Hotelnictví, turismus a vzdělávání [elektronický dokument] : sborník mezinárodní vědecké konference / Balakovská, Radka [Zostavovateľ, editor]. – 1. vyd. – Roč. 10. – Praha (Česko) : Vysoká škola hotelová v Praze, 2018. – ISBN 978-80-87411-93-3, s. 50-65 [USB kľúč] </t>
  </si>
  <si>
    <t xml:space="preserve">Factors affecting the choice of secondary school in Slovak republic / Tomková, Viera [Autor, UKFPFAKTT, 80%] ; Kostolanský, Lukáš [Autor, UKFPFAKTT, 20%] ; EDULEARN19, 11 [01.07.2019-03.07.2019, Palma de Mallorca, Španielsko]. – text. – [angličtina]. – [OV 010]. – [abstrakt z podujatia - KP]. – WOS CC In: EDULEARN19 proceedings [elektronický dokument] : 11th annual International Conference on Education and New Learning Technologies / Gómez Chova, Luis [Zostavovateľ, editor] ; López Martínez, Agustín [Zostavovateľ, editor] ; López, Agustín [Recenzent] ; Girós, Amparo [Recenzent]. – 1. vyd. – Roč. 11. – Valencia (Španielsko) : IATED, 2019. – ISBN 978-84-09-12031-4. – ISSN 2340-1117, s. 9414-9421 [CD-ROM] </t>
  </si>
  <si>
    <t xml:space="preserve">Factors arousing academic interest of high school students in studying at university / Pavlíková, Martina [Autor, UKFFFAKZU, 45%] ; Tkáčová, Hedviga [Autor, ZUZFHVKFR, 50%] ; Kobylarek, Aleksander [Autor, 4%] ; Biryukova, Yulia [Autor, 1%] ; EDULEARN21 [05.07.2021-06.07.2021, Barcelona, Španielsko]. – text. – [angličtina]. – [OV 010]. – [abstrakt z podujatia - KP]. – DOI 10.21125/edulearn.2021.1594 In: EDULEARN21 [elektronický dokument] : 13th annual International Conference on Education and New Learning Technologies, Barcelona, 5th - 6th of July, 2021 / Chova, Luis Goméz [Zostavovateľ, editor] ; Martínez, Augustín López [Zostavovateľ, editor] ; Torres, I. [Zostavovateľ, editor]. – 1. vyd. – Roč. 13. – Barcelona (Španielsko) : IATED, 2021. – ISBN 978-84-09-31267-2. – ISSN 2340-1117, s. 7814-7823 [CD-ROM] [USB kľúč] </t>
  </si>
  <si>
    <t xml:space="preserve">Factors Determining Pupils' Readeness to Study at Secondary Vocational Schools of Technical Focus / Ažaltovičová, Michaela [Autor, UKFPFAKTT, 50%] ; Depešová, Jana [Autor, UKFPFAKTT, 50%] ; EDULEARN21 [05.07.2021-06.07.2021, Barcelona, Španielsko]. – text. – [angličtina]. – [OV 010]. – [abstrakt z podujatia - KP] In: EDULEARN21 [elektronický dokument] : 13th annual International Conference on Education and New Learning Technologies, Barcelona, 5th - 6th of July, 2021 / Chova, Luis Goméz [Zostavovateľ, editor] ; Martínez, Augustín López [Zostavovateľ, editor] ; Torres, I. [Zostavovateľ, editor]. – 1. vyd. – Roč. 13. – Barcelona (Španielsko) : IATED, 2021. – ISBN 978-84-09-31267-2. – ISSN 2340-1117, s. 11695-11700 [CD-ROM] [USB kľúč] </t>
  </si>
  <si>
    <t xml:space="preserve">Factors effecting reading among fourth and seventh graders / Gergelyová, Viktória [Korešpondenčný autor, UKFFSSUML, 50%] ; Vančo, Ildikó [Autor, UKFFSSUML, 50%] ; International Technology, Education and Development Conference 2020, 14 [02.03.2020-04.03.2020, Valencia, Španielsko]. – text. – [angličtina]. – [OV 010, 020]. – [abstrakt z podujatia - KP]. – [recenzované]. – WOS CC In: INTED2020 Proceedings [elektronický dokument] : 14th International Technology, Education and Development Conference / Chova, Luis Goméz [Zostavovateľ, editor] ; López Martínez, Agustín [Zostavovateľ, editor] ; Candel Torres, Ignacio [Zostavovateľ, editor]. – 1. vyd. – Valencia (Španielsko) : IATED, 2020. – (INTED Proceedings, ISSN 2340-1079). – ISBN 978-84-09-17939-8. – ISSN 2340-1079, s. 1183-1189 [online] </t>
  </si>
  <si>
    <t xml:space="preserve">Factors Influencing Development of Reading Literacy in Mother Tongue and Foreign Language / Stranovská, Eva [Autor, UKFFFAKGE, 40%] ; Gadušová, Zdenka [Autor, UKFFFAKAA, 30%] ; Ficzere, Anikó [Autor, UKFFSSKCR, 30%] ; ICERI 2019, 12 [11.11.2019-13.11.2019, Seville, Španielsko]. – text. – [angličtina]. – [OV 010, 020]. – [abstrakt z podujatia - KP]. – WOS CC In: ICERI2019 Proceedings [elektronický dokument] : 12th International conference of education, research and innovation / Gómez Chova, Luis [Zostavovateľ, editor] ; López Martínez, Agustín [Zostavovateľ, editor] ; Candel Torres, Ignacio [Zostavovateľ, editor]. – 1. vyd. – Valencia (Španielsko) : IATED, 2019. – ISBN 978-84-09-14755-7. – ISSN 2340-1095, s. 6901-6907 [USB kľúč] </t>
  </si>
  <si>
    <t xml:space="preserve">Factors influencing pupils performance in education / Ažaltovičová, Michaela [Autor, UKFPFAKTT, 50%] ; Tomková, Viera [Autor, UKFPFAKTT, 50%] ; EDULEARN19, 11 [01.07.2019-03.07.2019, Palma de Mallorca, Španielsko]. – text. – [angličtina]. – [OV 010]. – [abstrakt z podujatia - KP]. – WOS CC In: EDULEARN19 proceedings [elektronický dokument] : 11th annual International Conference on Education and New Learning Technologies / Gómez Chova, Luis [Zostavovateľ, editor] ; López Martínez, Agustín [Zostavovateľ, editor] ; López, Agustín [Recenzent] ; Girós, Amparo [Recenzent]. – 1. vyd. – Roč. 11. – Valencia (Španielsko) : IATED, 2019. – ISBN 978-84-09-12031-4. – ISSN 2340-1117, s. 9460-9466 [CD-ROM] </t>
  </si>
  <si>
    <t xml:space="preserve">Factors influencing the choice of study field of primary school pupils in Slovakia / Valentová, Monika [Autor, UKFPFAKTT, 100%] ; ICERI 2018, 11 [12.11.2018-14.11.2018, Sevila, Španielsko]. – [angličtina]. – [OV 010]. – [abstrakt z podujatia - KP]. – [recenzované]. – WOS CC In: ICERI2018 Proceedings [elektronický dokument] : 11th annual International Conference of Education, Research and Innovation / Gómez Chova, Luis [Zostavovateľ, editor] ; López Martínez, Agustín [Zostavovateľ, editor] ; Candel Torres, Ignacio [Zostavovateľ, editor]. – 1. vyd. – Valencia (Španielsko) : IATED, 2018. – ISBN 978-84-09-05948-5. – ISSN 2340-1095, s. 7865-7871 [USB kľúč] </t>
  </si>
  <si>
    <t xml:space="preserve">Factors of Academic Interest of Social Workers and Social Work Assistants in Lifelong Learning: are Online Forms of Education (de) Motivating? / Tkáčová, Hedviga [Autor, ZUZFHVKFR, 60%] ; Tvrdoň, Miroslav [Autor, UKFFSVKSP, 35%] ; Roubalová, Marie [Autor, 4%] ; Vasbieva, Dinara G. [Autor, 1%] ; EDULEARN21 [05.07.2021-06.07.2021, Barcelona, Španielsko]. – text. – [angličtina]. – [OV 060]. – [abstrakt z podujatia - KP]. – [recenzované]. – DOI 10.21125/edulearn.2021.1381 In: EDULEARN21 [elektronický dokument] : 13th annual International Conference on Education and New Learning Technologies, Barcelona, 5th - 6th of July, 2021 / Chova, Luis Goméz [Zostavovateľ, editor] ; Martínez, Augustín López [Zostavovateľ, editor] ; Torres, I. [Zostavovateľ, editor]. – 1. vyd. – Roč. 13. – Barcelona (Španielsko) : IATED, 2021. – ISBN 978-84-09-31267-2. – ISSN 2340-1117, s. 6823-6831 [CD-ROM] [USB kľúč] </t>
  </si>
  <si>
    <t xml:space="preserve">Fake News Identification Based on Sentiment and Frequency Analysis / Kapusta, Jozef [Autor, UKFFPVKIN, 34%] ; Benko, Ľubomír [Autor, UKFFPVKIN, 33%] ; Munk, Michal [Autor, UKFFPVKIN, 33%] ; Innovation in Information Systems and Technologies to Support Learning Research, 7 [21.11.2019-30.01.2020, Marrakech, Maroko]. – text. – [angličtina]. – [OV 160, 010]. – [abstrakt z podujatia - KP] In: Innovation in Information Systems and Technologies to Support Learning Research [elektronický dokument] [textový dokument (print)] : Proceedings of EMENA-ISTL 2019 / Serrhini, Mohhamed [Zostavovateľ, editor] ; Silva, Carla [Zostavovateľ, editor] ; Aljahdali, Sultan [Zostavovateľ, editor]. – 1. vyd. – Cham (Švajčiarsko) : Springer Verlag, 2020. – (Learning and Analytics in Intelligent Systems, ISSN 2662-3447, ISSN 2662-3455 ; 7). – ISBN 978-3-030-36777-0. – ISBN (online) 978-3-030-36778-7, s. 400-409 [online] [tlačená forma] </t>
  </si>
  <si>
    <t xml:space="preserve">Faktory ovplyvňujúce množstvo a zloženie komunálnych odpadov v Nitrianskom kraji = Factors influencing the amount and composition of municipal waste in the Nitra region / Feszterová, Melánia [Autor, UKFFPVKCH, 100%] ; Mezinárodní kolokvium o regionálních vědách, 23 [17.06.2020-19.06.2020, Brno, Česko]. – text. – [slovenčina]. – [OV 092, 120]. – [abstrakt z podujatia - KP]. – DOI 10.5817/CZ.MUNI.P210-9610-2020-67 In: 23. mezinárodní kolokvium o regionálních vědách [elektronický dokument] : sborník příspěvků, Brno, 2020 = 23rd International colloquium on regionals sciences, conference proceedings, Brno, 2020 / Klímová, Viktorie [Zostavovateľ, editor] ; Žítek, Vladimír [Zostavovateľ, editor]. – 1 vyd. – Brno (Česko) : Masarykova univerzita, 2020. – ISBN 978-80-210-9610-3, s. 529-537 [online] </t>
  </si>
  <si>
    <t xml:space="preserve">Felkészültek-e a pedagógusok a 21. századi digitális készségfejlesztésre? / Beták, Norbert [Autor, UKFFSSKCR, 50%] ; Szőköl, István [Autor, 50%] ; Kihívások a 21. századi nevelésben-oktatásban, 21 [15.03.2021, Vác, Maďarsko]. – text. – [maďarčina]. – [OV 010]. – [abstrakt z podujatia - KP] In: Kihívások a 21. századi nevelésben-oktatásban [textový dokument (print)] / Fehér, Agóta [Zostavovateľ, editor]. – 1. vyd. – Vác (Maďarsko) : Apor Vilmos Katolikus Főiskola, 2021. – ISBN 978-963-7306-65-5, s. 36-45 [tlačená forma] </t>
  </si>
  <si>
    <t xml:space="preserve">Fenomén urbex z estetickej perspektívy / Baďová, Petra [Autor, UKFFFAULK, 100%] ; Mezinárodní Masarykova konference pro doktorandy a mladé vědecké pracovníky 2019, 10 [16.12.2019-18.12.2019, Hradec Králové, Česko]. – text. – [slovenčina]. – [OV 020]. – [abstrakt z podujatia - KP] In: MMK 2019 [elektronický dokument] : recenzovaný sborník příspěvků mezinárodní vědecké konference : Mezinárodní Masarykova konference pro doktorandy a mladé vědecké pracovníky 2019 / [bez zostavovateľa] [Zostavovateľ, editor] ; Lipowski, Jaroslav [Recenzent] ; Jaskułowski, Krzysztof [Recenzent] ; Kislingerová, Eva [Recenzent]. – 1. vyd. – Hradec Králové (Česko) : Magnanimitas akademické sdružení, 2019. – ISBN 978-80-87952-31-3, s. 1104-1109 [CD-ROM] [online] </t>
  </si>
  <si>
    <t xml:space="preserve">FIE as a form of pre-senior education / Jedličková, Petra [Autor, UKFPFAKPE, 100%] ; International Technology, Education and Development Conference 2021, 15 [08.03.2021-09.03.2021, Valencia, Španielsko]. – text. – [angličtina]. – [OV 010]. – [abstrakt z podujatia - KP]. – DOI 10.21125/inted.2021.0569 In: INTED2021 [textový dokument (print)] [elektronický dokument] : 15th International Technology, Education and Development Conference : conference proceedings / Chova, Luis Goméz [Zostavovateľ, editor] ; López Martínez, Agustín [Zostavovateľ, editor] ; Candel Torres, Ignacio [Zostavovateľ, editor]. – 1. vyd. – Valencia (Španielsko) : IATED, 2021. – (INTED Proceedings, ISSN 2340-1079). – ISBN 978-84-09-27666-0. – ISSN 2340-1079, s. 2681-2685 [online] </t>
  </si>
  <si>
    <t xml:space="preserve">Filozofický literárny príbeh ako prostriedok k utváraniu hodnotového systému = Philosophical literary story as a medium leading toward formation of values / Borisová, Simona [Autor, UKFPFAKPE, 100%] ; Mezinárodní Masarykova konference pro doktorandy a mladé vědecké pracovníky 2020, 11 [14.12.2020-16.12.2020, Hradec Králové, Česko]. – text. – [slovenčina]. – [OV 010]. – [abstrakt z podujatia - KP] In: MMK 2020 [elektronický dokument] : Mezinárodní Masarykova konference pro doktorandy a mladé vědecké pracovníky 2020 = recenzovaný sborník příspěvků mezinárodní vědecké konference / [bez zostavovateľa] [Zostavovateľ, editor] ; Lipowski, Jaroslav [Recenzent] ; Jaskułowski, Krzysztof [Recenzent]. – 1. vyd. – Roč. 11. – Hradec Králové (Česko) : Magnanimitas akademické sdružení, 2020. – ISBN 978-80-87952-33-7, s. 734-742 [CD-ROM] [online] </t>
  </si>
  <si>
    <t xml:space="preserve">Financial Aspects of Regional Education / Papcunová, Viera [Autor, UKFFPVUMI, 34%] ; Hornyák Gregáňová, Radomíra [Autor, SPUFEM07, 33%] ; Hudáková, Jarmila [Autor, UKFFPVUMI, 33%] ; ICERI 2020 : International Conference of Education, Research and Innovation, 13 [09.11.2020-10.11.2020, Sevilla, Španielsko]. – text. – [angličtina]. – [OV 060]. – [abstrakt z podujatia - KP] In: ICERI 2020 [elektronický dokument] : 13th international conference of education, research and innovation : transforming education, transforming lives / Gómez Chova, Luis [Zostavovateľ, editor] ; Martínez, Augustín López [Zostavovateľ, editor] ; Torres, I. Candel [Zostavovateľ, editor]. – 1. vyd. – Valencia (Španielsko) : IATED, 2020. – ISBN 978-84-09-24232-0. – ISSN 2340-1095, s. 4101-4107 [USB kľúč] </t>
  </si>
  <si>
    <t xml:space="preserve">Fine Art Language - Various Forms of Expression or One Way Doesnʼt Only Mean One Solution / Szalai, Daniel [Autor, UKFPFAKVV, 100%] ; Language, Culture, Education [02.11.2018, Užice, Srbsko]. – text. – [angličtina]. – [OV 020]. – [abstrakt z podujatia - KP]. – [recenzované] In: Language, Culture, Education : Proceedings from Conference, Uzice, 2.11.2018 / Marinković, Snežana [Zostavovateľ, editor]. – 1. vyd. – Užice (Srbsko) : Univerziteta u Kragujevcu, 2018. – ISBN 978-86-6191-050-0, s. 261-266 [tlačená forma] </t>
  </si>
  <si>
    <t xml:space="preserve">Firing of illite-based ceramics followed by dynamical thermomechanical analysis / Húlan, Tomáš [Autor, UKFFPVKFY, 25%] ; Štubňa, Igor [Autor, 25%] ; Trník, Anton [Autor, UKFFPVKFY, 25%] ; Vozár, Libor [Autor, UKFFPVKFY, 25%] ; 2nd Central European Symposium on Thermophysics 2020, CEST 2020, 2 [02.09.2020-04.09.2020, Eger, Maďarsko]. – [angličtina]. – [OV 091]. – [abstrakt z podujatia - KP]. – DOI 10.1063/5.0025981. – SCO In: Proceedings of the 2nd Central European Symposium on Thermophysics [textový dokument (print)] / Trník, Anton [Zostavovateľ, editor] ; Medveď, Igor [Zostavovateľ, editor]. – 1. vyd. – College Park, Maryland (USA) : American Institute of Physics , 2020. – (AIP Conference Proceedings, ISSN 0094-243X, ISSN 1551-7616 ; Volume 2275, SJR: 0,177 ; CiteScore: 0,7 ; SNIP: 0,314). – ISBN 978-0-7354-4005-0. – ISSN 0094243X. – ISSN (online) 15517616, s. 1-10 [tlačená forma] [online] </t>
  </si>
  <si>
    <t xml:space="preserve">First Results of a Research Focused on Teachers’ Didactic Technological Competences Development / Hašková, Alena [Autor, UKFPFAKTT, 33.333%] ; Munk, Michal [Autor, UKFFPVKIN, 33.333%] ; Záhorec, Ján [Autor, UKOPDDPP, 33.334%] ; International Conference on Design for Inclusion [21.07.2018-25.07.2018, Orlando, USA]. – text. – [angličtina]. – [OV 010]. – [abstrakt z podujatia - KP]. – [recenzované]. – DOI 10.1007/978-3-030-11935-5_44. – SIGN-UKO PD DP/19. – SCO In: Advances in Human Factors, Business Management and Society [elektronický dokument] [textový dokument (print)] : proceedings of the AHFE 2018 International Conference on Human Factors, Business Management and Society / Kantola, Jussi Ilari [Zostavovateľ, editor] ; Nazir, Salman [Zostavovateľ, editor] ; Barath, Tibor [Zostavovateľ, editor]. – 1. vyd. – Cham (Švajčiarsko) : Springer Nature. Springer International Publishing AG, 2019. – (Advances in Intelligent Systems and Computing, ISSN 2194-5357, ISSN 2194-5365 ; 783, SJR: 0,184 ; CiteScore: 0,9 ; SNIP: 0,429). – ISBN 978-3-319-94708-2. – ISBN (online) 978-3-319-94709-9, 461-472 [online] [tlačená forma] Scimago - Computer science (miscellaneous) - Q3, Control and systems engineering - Q4 </t>
  </si>
  <si>
    <t xml:space="preserve">First time mother experience in qualitative studies - a literature review / Kurincová, Viera [Autor, UKFPFAKPE, 25%] ; Turzáková, Jana [Autor, UKFFSVUAP, 50%] ; Turzák, Tomáš [Autor, UKFPFAKPE, 25%] ; SGEM 2018, 5 [26.08.2018-01.09.2018, Albena, Bulharsko]. – [angličtina]. – [OV 020]. – [abstrakt z podujatia - KP]. – [recenzované] In: SGEM 2018 conference proceedings (4.1. Science &amp; Humanities : human geography, media and communications, information and library science, demography and women ́s studies) [textový dokument (print)] [elektronický dokument] / [bez zostavovateľa] [Zostavovateľ, editor]. – 1. vyd. – Roč. 5. – Sofia (Bulharsko) : STEF92 Technology, 2018. – ISBN 978-619-7408-59-1. – ISSN 2367-5659, s. 335-342 [tlačená forma] [online] </t>
  </si>
  <si>
    <t xml:space="preserve">Fluorescence dyes on the assessment of ram semen characteristics: state of the art / Svoradová, Andrea [Autor, UKFFPVKZA, 16%] ; Vašíček, Jaromír [Autor, 14%] ; Baláži, Andrej [Autor, 14%] ; Makarevich, Alexander V. [Autor, 14%] ; Tomková, Mária [Autor, SPUFBP01, 14%] ; Čurlej, Jozef [Autor, SPUFBP05, 14%] ; Chrenek, Peter [Autor, SPUFBP01, 14%] ; International Symposium on Animal Science 2019 [03.06.2019-08.06.2019, Herceg Niovi, Čierna Hora]. – [angličtina]. – [OV 190, 130]. – [abstrakt z podujatia - KP]. – [recenzované] In: The international symposium on animal science (ISAS) 2019 [elektronický dokument] : Proceedings / Perić, Lidija [Zostavovateľ, editor]. – 1. vyd. – Novi Sad (Srbsko) : Univerzitet u Novom Sadu, 2019. – ISBN 978-86-7520-468-8, s. 65-68 [CD-ROM] </t>
  </si>
  <si>
    <t xml:space="preserve">Fogyasztói trendek hatása a turizmusra / Törőcsik, Mária [Autor, 50%] ; Csapó, János [Autor, UKFFSSKCR, 50%] ; Aubert, Antal [Recenzent] ; Bujdosó, Zoltán [Recenzent] ; Generációk a turizmusban, 1 [23.03.2018, Pécs, Maďarsko]. – [maďarčina]. – [OV 080]. – [abstrakt z podujatia - KP] In: Generációk a turizmusban : Tanulmánykötet. I. Nemzetközi Turizmusmarketing Konferencia / Csapó, János [Zostavovateľ, editor]. – 1. vyd. – Pécs (Maďarsko) : Pécsi Tudományegyetem. Közgazdaságtudományi Kar, 2018. – ISBN 978-963-429-219-7, s. 8-22 </t>
  </si>
  <si>
    <t xml:space="preserve">Foreign Language Anxiety Coping Strategies / Kráľová, Zdena [Autor, UKFPFAKLI, 100%] ; Fonfárová, Vladimíra [Recenzent] ; Horváthová, Božena [Recenzent] ; From Theory to Practice 2016, 8 [08.09.2016-09.09.2016, Zlín, Česko]. – [angličtina]. – [OV 010]. – [abstrakt z podujatia - KP]. – WOS CC In: From Theory to Practice 2016 [textový dokument (print)] : Proceedings of the Eighth International Conference on Anglophone Studies, September 8-9 2016, Zlín, Czech Republic / Nemčoková, Katarína [Zostavovateľ, editor] ; Bell, Gregory [Zostavovateľ, editor]. – 1. vyd. – Roč. 8. – Zlín (Česko) : Univerzita Tomáše Bati ve Zlíně, 2018. – ISBN 978-80-7454-756-0, s. 59-70 [tlačená forma] </t>
  </si>
  <si>
    <t xml:space="preserve">Foreign language education of adults as a preparation for the old age in Germany and Spain : Cudzojazyčné vzdelávanie dospelých ako príprava na starobu v Nemecku a Španielsku / Határ, Ctibor [Autor, UKFPFAKPE, 50%] ; Jedličková, Petra [Autor, UKFPFAKPE, 50%] ; Szarota, Zofia [Recenzent] ; Ullrich, David [Recenzent] ; Adult Education 2017, 7 [11.12.2017-12.12.2017, Praha, Česko]. – [angličtina]. – [OV 010]. – [abstrakt z podujatia - KP] In: Vzdělávání dospělých 2017 – v době rezonujících společenských změn [textový dokument (print)] : proceedings of the 7th International Adult Education Conference / Veteška, Jaroslav [Zostavovateľ, editor]. – 1. vyd. – Praha (Česko) : Česká andragogická společnost, 2018. – ISBN 978-80-906894-2-8, s. 165-175 [tlačená forma] </t>
  </si>
  <si>
    <t xml:space="preserve">Foreign Language Text Comprehension and Intervention in the Educational Process / Stranovská, Eva [Autor, UKFFFAKGE, 30%] ; Gadušová, Zdenka [Autor, UKFFFAKAA, 30%] ; Szabó, Erzsébet [Autor, UKFFFAKGE, 30%] ; Weiss, Ervín [Autor, UKFFFAKGE, 10%] ; International Technology, Education and Development Conference 2021, 15 [08.03.2021-09.03.2021, Valencia, Španielsko]. – text. – [angličtina]. – [OV 010]. – [abstrakt z podujatia - KP]. – DOI 10.21125/inted.2021.1105 In: INTED2021 [textový dokument (print)] [elektronický dokument] : 15th International Technology, Education and Development Conference : conference proceedings / Chova, Luis Goméz [Zostavovateľ, editor] ; López Martínez, Agustín [Zostavovateľ, editor] ; Candel Torres, Ignacio [Zostavovateľ, editor]. – 1. vyd. – Valencia (Španielsko) : IATED, 2021. – (INTED Proceedings, ISSN 2340-1079). – ISBN 978-84-09-27666-0. – ISSN 2340-1079, s. 5436-5448 [online] </t>
  </si>
  <si>
    <t xml:space="preserve">Formy prezentácie archeologických prameňov a ich praktické využitie v súčasnej kyberkultúre : (možnosti a perspektívy uplatnenia virtuálnej archeológie na Slovensku) / Gogová, Stanislava [Autor, UKFFFAKMU, 50%] ; Bešina, Daniel [Autor, UKFFFAKAR, 50%] ; Evropské dny archeologie [18.07.2021-20.07.2021, Praha, Česko]. – text. – [slovenčina]. – [OV 030]. – [abstrakt z podujatia - KP] In: Veřejná archeologie 6 [textový dokument (print)] : sborník z konference Evropské dny archeologie, Praha 18. - 20.7.2021 / Bureš, Michal [Zostavovateľ, editor] ; Popelka, Miroslav [Zostavovateľ, editor]. – 1. vyd. – Praha (Česko) : Univerzita Karlova v Praze. Nakladatelství Karolinum, 2021. – ISBN 978-80-246-4865-1. – ISBN 978-80-905579-4-9, s. 83-92 [tlačená forma] </t>
  </si>
  <si>
    <t xml:space="preserve">Fostering Self-directed EFL Learning via Facebook Group / Datko, Juraj [Autor, UKFPFAKLI, 100%] ; Mezinárodní Masarykova konference pro doktorandy a mladé vědecké pracovníky 2018, 9 [17.12.2018-21.12.2018, Hradec Králové, Česko]. – text. – [angličtina]. – [OV 010]. – [abstrakt z podujatia - KP] In: MMK 2018 [elektronický dokument] : recenzovaný sborník příspěvků mezinárodní vědecké konference : mezinárodní Masarykova konference pro doktorandy a mladé vědecké pracovníky / [bez zostavovateľa] [Zostavovateľ, editor] ; Lipowski, Jaroslav [Recenzent] ; Jaskułowski, Krzysztof [Recenzent] ; Kislingerová, Eva [Recenzent]. – 1 vyd. – Roč. 9. – Hradec Králové (Česko) : Magnanimitas akademické sdružení, 2018. – ISBN 978-80-87952-27-6, s. 442-448 [CD-ROM] </t>
  </si>
  <si>
    <t xml:space="preserve">Frazeologizmy v dejstvii: semantiko-pragmatičeskij aspekt : (na materiale zagolovkov-intertekstem BelGazety) / Kalechyts, Alena [Autor, UKFFFAKRU, 100%] ; Jazyk v koordinatach massmedia, etiki i prava, 4 [09.11.2020-12.11.2020, Petrohrad, Ruská federácia]. – text. – [ruština]. – [OV 020]. – [abstrakt z podujatia - KP] In: Medialingvistika (7) [elektronický dokument] : Jazyk v koordinatach massmedia, etiki i prava / [bez zostavovateľa] [Zostavovateľ, editor]. – 1. vyd. – Petrohrad (Ruská federácia) : Izdateľstvo Sankt-Peterburgskogo gosudarstvennogo universiteta, 2020. – ISBN 978-5-00110-188-8, s. 92-96 [online] </t>
  </si>
  <si>
    <t xml:space="preserve">Free and open source software and data for good and bad times / Grežo, Henrich [Autor, UKFFPVKEE, 35%] ; Mišovičová, Regína [Autor, UKFFPVKEE, 30%] ; Pucherová, Zuzana [Autor, UKFFPVKEE, 30%] ; Petrovič, František [Autor, UKFFPVKEE, 5%] ; EDULEARN20, 12 [06.07.2020-07.07.2020, Palma de Mallorca, Španielsko]. – text. – [angličtina]. – [OV 100]. – [abstrakt z podujatia - KP] In: EDULEARN20 proceedings [elektronický dokument] : 12th International Conference on Education and New Learning Technologies / Gómez Chova, Luis [Zostavovateľ, editor] ; López Martínez, Agustín [Zostavovateľ, editor]. – 1. vyd. – Roč. 12. – Valencia (Španielsko) : IATED, 2020. – ISBN 978-84-09-17979-4. – ISSN 2340-1117, s. 6090-6094 [USB kľúč] </t>
  </si>
  <si>
    <t xml:space="preserve">Frequency equations for the flexural vibration of samples with a uniform cross-section / Trník, Anton [Autor, UKFFPVKFY, 34%] ; Štubňa, Igor [Autor, 33%] ; Vozár, Libor [Autor, UKFFPVKFY, 33%] ; International conference of computational methods in sciences and engineering 2020, 16 [29.04.2020-03.05.2020, Kréta, Grécko]. – text. – [angličtina]. – [OV 091]. – [abstrakt z podujatia - KP]. – DOI 10.1063/5.0047850. – SCO In: International conference of computational methods in sciences and engineering 2020 [elektronický dokument] / Simos, Theodore [Zostavovateľ, editor] ; Kalogiratou, Zacharoula [Zostavovateľ, editor] ; Monovasilis, Theodore [Zostavovateľ, editor]. – 1. vyd. – Roč. 16. – Melville (USA) : American Institute of Physics . AIP Publishing, 2021. – (AIP Conference Proceedings, ISSN 0094-243X, ISSN 1551-7616 ; 2343). – ISBN 9780735440883. – ISBN (online) 978-0-7354-4088-3, s. 1-15 [online] </t>
  </si>
  <si>
    <t xml:space="preserve">Frida Kahlo in student's visual and written reflections - the report from artistic workshop of International Art Project / Satková, Janka [Autor, UKFPFAKVV, 100%] ; Makiel-Hedrzak, Marlena [Recenzent] ; Baus, Jozef [Recenzent] ; Frida. Introspections. International Artistic and Scientific Project [18.01.2018-19.01.2018, Nový Sacz, Poľsko]. – text. – [angličtina]. – [OV 010]. – [abstrakt z podujatia - KP] In: Frida. Introspections. International Artistic and Scientific Project [textový dokument (print)] : Proceedings from Scientific Conference / Bugajska-Bigos, Iwona [Zostavovateľ, editor] ; Steliga, Anna [Zostavovateľ, editor]. – 1. vyd. – Nowy Sącz (Poľsko) : PWSZ, 2018. – ISBN 978-83-65575-28-9, s. 146-153 [tlačená forma] </t>
  </si>
  <si>
    <t xml:space="preserve">From Old Fashioned “One Size Fits All” to Tailor Made Online Training / Munková, Daša [Autor, UKFFFAKTR, 25%] ; Munk, Michal [Autor, UKFFPVKIN, 25%] ; Benko, Ľubomír [Autor, UKFFPVKIN, 25%] ; Absolon, Jakub [Autor, UKFFFAKTR, 25%] ; International Conference on Interactive Collaborative Learning, 21 [25.09.2018-28.09.2018, Kos, Grécko]. – text. – [angličtina]. – [OV 160]. – [abstrakt z podujatia - KP]. – [recenzované]. – DOI 10.1007/978-3-030-11932-4_35. – SCO In: The Challenges of the Digital Transformation in Education (1. Vol.) [textový dokument (print)] [elektronický dokument] : proceedings of the 21st International Conference on Interactive Collaborative Learning (ICL2018) / Auer, Michael [Zostavovateľ, editor] ; Tsiatsos, Thrasyvoulos [Zostavovateľ, editor]. – 1. vyd. – Bern (Švajčiarsko) : Springer Nature. Springer International Publishing AG, 2020. – (Advances in Intelligent Systems and Computing, ISSN 2194-5357, ISSN 2194-5365 ; 916). – ISBN 978-3-030-11931-7. – ISBN (online) 978-3-030-11932-4, 365-376 [tlačená forma] [online] </t>
  </si>
  <si>
    <t xml:space="preserve">From the Bauhaus to Social Realism and Beyond - the Turbulent Legacy of Art Education in Eastern Europe in the 20th Century / Kárpáti, Andrea [Autor, UKFFSSUVP, 100%] ; Current Research in Educational Sciences 2019. Educational Sciences: Horizons and Dialogues, 19 [07.11.2020-09.11.2020, Pécs, Maďarsko]. – text. – [angličtina]. – [OV 010]. – [abstrakt z podujatia - KP] In: Current Research in Educational Sciences 2019. Educational Sciences: Horizons and Dialogues (2) [textový dokument (print)] : 19th  National  Conference  of Education Science, Pécs on 7-9 November 2019 / Varga, Aranka [Zostavovateľ, editor] ; Andl, Helga [Zostavovateľ, editor] ; Arató, Ferenc [Recenzent] ; Albert, Gábor B. [Recenzent]. – 1. vyd. – Pécs (Maďarsko) : Scientific Committee on Pedagogy of the Hungarian Academy of Sciences, 2020. – ISBN 978-963-429-553-2, s. 21-27 [tlačená forma] </t>
  </si>
  <si>
    <t xml:space="preserve">From the competence towards the virtue in education / Kondrla, Peter [Autor, UKFFFAKNS, 50%] ; Blaščíková, Andrea [Autor, UKFFFAKNS, 50%] ; EDULEARN20, 12 [06.07.2020-07.07.2020, Palma de Mallorca, Španielsko]. – text. – [angličtina]. – [OV 060]. – [abstrakt z podujatia - KP] In: EDULEARN20 proceedings [elektronický dokument] : 12th International Conference on Education and New Learning Technologies / Gómez Chova, Luis [Zostavovateľ, editor] ; López Martínez, Agustín [Zostavovateľ, editor]. – 1. vyd. – Roč. 12. – Valencia (Španielsko) : IATED, 2020. – ISBN 978-84-09-17979-4. – ISSN 2340-1117, s. 1931-1938 [USB kľúč] </t>
  </si>
  <si>
    <t xml:space="preserve">Funkcia spisovných a nespisovných výrazových prostriedkov v bulvárnej tlači / Rendárová, Mária [Autor, UKFFFAKSJ, 100%] ; Király Péter 100 [22.11.2017-23.11.2017, Budapešť, Maďarsko]. – [maďarčina]. – [OV 020]. – [abstrakt z podujatia - KP] In: Király Péter 100 [textový dokument (print)] : tanulmánykötet Király Péter tiszteletére II. / Császári, Éva [Zostavovateľ, editor] ; Imrichová, Mária [Zostavovateľ, editor] ; Banczerowski, Janusz [Recenzent] ; Lukács, István [Recenzent] ; Ripka, Ivor [Recenzent] ; Součková, Marta [Recenzent] ; Szabó, Tünde [Recenzent] ; Zoltán, András [Recenzent]. – 1. vyd. – Budapešť (Maďarsko) : Eötvös Loránd Tudományegyetem. ELTE Bölcsészettudományi Kar. Szláv filológiai tanszék, 2019. – (Opera Slavica Budapestinensia : Symposia Slavica, ISSN 1789-3976). – ISBN 978-963-489-066-9. – SIGN-PU FF-19 303/19, s. 101-111 [tlačená forma] </t>
  </si>
  <si>
    <t xml:space="preserve">Future teachers who think critical are less prone to unfounded beliefs / Ballová Mikušková, Eva [Autor, UKFPFAKAP, 100%] ; EDULEARN20, 12 [06.07.2020-07.07.2020, Palma de Mallorca, Španielsko]. – text. – [angličtina]. – [OV 010]. – [abstrakt z podujatia - KP] In: EDULEARN20 proceedings [elektronický dokument] : 12th International Conference on Education and New Learning Technologies / Gómez Chova, Luis [Zostavovateľ, editor] ; López Martínez, Agustín [Zostavovateľ, editor]. – 1. vyd. – Roč. 12. – Valencia (Španielsko) : IATED, 2020. – ISBN 978-84-09-17979-4. – ISSN 2340-1117, s. 676-680 [USB kľúč] </t>
  </si>
  <si>
    <t xml:space="preserve">Gender differences in self-concept of gifted pupils / Hošová, Dominika [Autor, UKFPFAKPE, 50%] ; Duchovičová, Jana [Autor, UKFPFAKPE, 50%] ; CBU International Conference, 7 [20.03.2019-22.03.2019, Praha, Česko]. – text. – [angličtina]. – [OV 010]. – [abstrakt z podujatia - KP]. – DOI 10.12955/cbup.v7.1398 In: CBU International Conference Proceedings 2019 [textový dokument (print)] [elektronický dokument] : Innovations in Science and Education / Hájek, Petr [Zostavovateľ, editor] ; Vít, Ondřej [Zostavovateľ, editor]. – 1. vyd. – Roč. 7. – Praha (Česko) : CBU Research Institute, 2019. – ISBN 978-80-907722-0-5. – ISBN (online) 978-80-907722-1-2. – ISSN 1805-997X. – ISSN (online) 1805-9961, s. 442-446 [tlačená forma] [online] </t>
  </si>
  <si>
    <t xml:space="preserve">General Milan  Rastislav Štefánik (1980-1919)  in  Optics of Contemporary Slovak Art / Kupková, Janka [Autor, UKFPFAKHU, 100%] ; SWS International Scientific Conference on Arts and Humanities 2019, 6 [26.08.2019-01.09.2019, Albena, Bulharsko]. – text. – [angličtina]. – [OV 010]. – [abstrakt z podujatia - KP] In: SWS 2019 International Scientific Conference on Arts and Humanities (History, philosophy,archaeology,history of art, performing &amp; visual arts, architecture &amp;design, literature &amp;poetry, language &amp; linguistics : Arts and humanities) [textový dokument (print)] [elektronický dokument] / Sparitis, Ojaris [Autor] ; Bondur, Valeriy [Autor] ; Bursche, Aleksander [Recenzent] ; Ghergut, Alois [Recenzent]. – 1. vyd. – Roč. 6, č. 1. – Sofia (Bulharsko) : STEF92 Technology, 2019. – ISBN 978-619-7408-90-4. – ISSN 2682-9940, s. 287-294 [tlačená forma] [online] </t>
  </si>
  <si>
    <t xml:space="preserve">Genéza a vývoj historických priestorov so zameraním na akustické vlastnosti = Genesis and advancement of historical spaces with a focus on acoustic properties / Jarabica, Michal [Autor, UKFPFAKHU, 100%] ; Mezinárodní Masarykova konference pro doktorandy a mladé vědecké pracovníky 2020, 11 [14.12.2020-16.12.2020, Hradec Králové, Česko]. – text. – [slovenčina]. – [OV 010]. – [abstrakt z podujatia - KP] In: MMK 2020 [elektronický dokument] : Mezinárodní Masarykova konference pro doktorandy a mladé vědecké pracovníky 2020 = recenzovaný sborník příspěvků mezinárodní vědecké konference / [bez zostavovateľa] [Zostavovateľ, editor] ; Lipowski, Jaroslav [Recenzent] ; Jaskułowski, Krzysztof [Recenzent]. – 1. vyd. – Roč. 11. – Hradec Králové (Česko) : Magnanimitas akademické sdružení, 2020. – ISBN 978-80-87952-33-7, s. 1367-1376 [CD-ROM] [online] </t>
  </si>
  <si>
    <t xml:space="preserve">Geografické aspekty rozšírenia hradov v povodí Váhu (severné a západné Slovensko) = Geographic aspects of the distribution of the castles over the territory of the Váh river basin (northern and western Slovakia) / Lacika, Ján [Autor, UKFFPVKGR, 100%] ; Aktuální problémy cestovního ruchu, 13 [28.02.2018-01.03.2018, Jihlava, Česko]. – [slovenčina]. – [OV 092]. – [abstrakt z podujatia - KP]. – [recenzované]. – WOS CC In: Aktuální problémy cestovního ruchu [elektronický dokument] : „Autenticita v kontextu cestovního ruchu“ : recenzovaný sborník z mezinárodní konference / Linderová, Ivica [Zostavovateľ, editor] ; Pachrová, Stanislava [Zostavovateľ, editor]. – 1. vyd. – Roč. 13. – Jihlava (Česko) : Vysoká škola polytechnická Jihlava, 2018. – ISBN 978-80-88064-36-7, s. 269-281 [CD-ROM] </t>
  </si>
  <si>
    <t xml:space="preserve">Geographical approach to the analysis of elections on the example of parliamentary elections in Slovakia in 2016 / Krogmann, Alfred [Autor, UKFFPVKGR, 30%] ; Nemčíková, Magdaléna [Autor, UKFFPVKGR, 30%] ; Veselovský, Ján [Autor, UKFFPVKGR, 30%] ; Svorad, Andrej [Autor, 10%] ; (Teaching) Regional Geography, 27 [17.10.2019, Brno, Česko]. – text. – [angličtina]. – [OV 092]. – [abstrakt z podujatia - KP] In: (Teaching) Regional Geography [textový dokument (print)] [elektronický dokument] : Proceedings of 27th Central European Conference, Brno, 17th October 2019 / Mísařová, Darina [Zostavovateľ, editor] ; Petráková, Jana [Zostavovateľ, editor]. – 1. vyd. – Brno (Česko) : Masaryk University Press, 2020. – ISBN 978-80-210-9693-6. – ISBN (online) 978-80-210-9694-3, s. 91-112 </t>
  </si>
  <si>
    <t xml:space="preserve">Geography Teaching in Pre-primary Education / Vojteková, Jana [Autor, UKFFPVKGR, 33.334%] ; Vojtek, Matej [Autor, UKFFPVKGR, 33.333%] ; Žoncová, Michaela [Autor, UMBFP01, 33.333%] ; ICERI 2019, 12 [11.11.2019-13.11.2019, Seville, Španielsko]. – text. – [angličtina]. – [OV 010]. – [abstrakt z podujatia - KP]. – DOI 10.21125/iceri.2019.0937. – WOS CC In: ICERI2019 Proceedings [elektronický dokument] : 12th International conference of education, research and innovation / Gómez Chova, Luis [Zostavovateľ, editor] ; López Martínez, Agustín [Zostavovateľ, editor] ; Candel Torres, Ignacio [Zostavovateľ, editor]. – 1. vyd. – Valencia (Španielsko) : IATED, 2019. – ISBN 978-84-09-14755-7. – ISSN 2340-1095, s. 3649-3656 [USB kľúč] </t>
  </si>
  <si>
    <t xml:space="preserve">Geometrical modelling applied on particular constrained optimization problems / Koreňová, Lilla [Autor, UKOPDDPP, 25%] ; Vágová, Renáta [Autor, UKFFPVKMA, 25%] ; Barot, Tomáš [Autor, 25%] ; Krpec, Radek [Autor, 25%] ; CoMeSySo 2020, 4 [14.10.2020-17.10.2020, Vsetin, Česko]. – text. – [angličtina]. – [OV 010, 240]. – [abstrakt z podujatia - KP]. – DOI 10.1007/978-3-030-63319-6_16. – SIGN-UKO PD DP/20. – SCO In: Software engineering perspectives in intelligent systems [elektronický dokument] / Silhavy, Radek [Zostavovateľ, editor] ; Šilhavý, Petr [Zostavovateľ, editor] ; Prokopová, Zdeňka [Zostavovateľ, editor]. – 1. vyd. – Roč. 2. – Ostrava (Česko) : Springer Nature. Springer Science+Business Media, 2020. – (Advances in Intelligent Systems and Computing, ISSN 2194-5357, ISSN 2194-5365 ; 1295). – ISBN 9783030633189. – ISSN 2194-5357, s. 177-188 [online] </t>
  </si>
  <si>
    <t xml:space="preserve">German local museums as civil societes resurgent community spaces in Hungary / Szeidl, Klaudia [Autor, 50%] ; Aubert, Antal [Autor, UKFFSSKCR, 50%] ; Bašan, Lorena [Recenzent] ; Brezovac, Alexandra [Recenzent] ; Tourism &amp; Hospitality Industry 2018, 24 [26.04.2018-27.04.2018, Opatija, Chorvátsko]. – [angličtina]. – [OV 080]. – [abstrakt z podujatia - KP] In: Tourism &amp; Hospitality Industry 2018 [textový dokument (print)] : 24th Biennial International Congress, April 26-27, 2018 Opatija, Croatia / Milohnić, Ines [Zostavovateľ, editor]. – 1. – Rijeka (Chorvátsko) : Sveučilište u Rijeci, 2019. – ISSN 2623-7407, s. 456-469 </t>
  </si>
  <si>
    <t xml:space="preserve">Gifted children and the importance of  knowledge their survival (experience) in education / Koleňáková, Rebeka Štefánia [Autor, UKFPFAKPE, 50%] ; Hošová, Dominika [Autor, UKFPFAKPE, 50%] ; Mezinárodní Masarykova konference pro doktorandy a mladé vědecké pracovníky 2018, 9 [17.12.2018-21.12.2018, Hradec Králové, Česko]. – text. – [angličtina]. – [OV 010]. – [abstrakt z podujatia - KP] In: MMK 2018 [elektronický dokument] : recenzovaný sborník příspěvků mezinárodní vědecké konference : mezinárodní Masarykova konference pro doktorandy a mladé vědecké pracovníky / [bez zostavovateľa] [Zostavovateľ, editor] ; Lipowski, Jaroslav [Recenzent] ; Jaskułowski, Krzysztof [Recenzent] ; Kislingerová, Eva [Recenzent]. – 1 vyd. – Roč. 9. – Hradec Králové (Česko) : Magnanimitas akademické sdružení, 2018. – ISBN 978-80-87952-27-6, s. 469-477 [CD-ROM] </t>
  </si>
  <si>
    <t xml:space="preserve">Gondolatok az új világ népességfolgyásának demografiai elemzése alapján / Tóth, Attila [Autor, UKFFSSUVP, 60%] ; Csáky, Antal [Autor, UKFFSSUVP, 40%] ; Fehér, Agóta [Recenzent] ; Pongrácz, Attila [Recenzent] ; Útkeresés és újratervezés, 21 [16.11.2017, Győr, Maďarsko]. – [maďarčina]. – [OV 010]. – [abstrakt z podujatia - KP] In: „Útkeresés és újratervezés” [textový dokument (print)] : 21. Apáczai-napok konferencia, 2017. november 16, Győr / Baranyié Kóczy, Judit [Zostavovateľ, editor] ; Fehér, Agóta [Zostavovateľ, editor]. – 1. vyd. – Roč. 21. – Győr (Maďarsko) : Széchenyi István Egyetem. Apáczai Csere János Kar, 2018. – ISBN 978-615-5837-40-1, s. 154-163 [tlačená forma] </t>
  </si>
  <si>
    <t xml:space="preserve">Good practice of using project education in technical subject teaching / Tureková, Ivana [Autor, UKFPFAKTT, 55%] ; Hašková, Alena [Autor, UKFPFAKTT, 45%] ; International Conference on Interactive Collaborative Learning, 23 [23.09.2020-25.09.2020, Tallin, Estónsko]. – text. – [angličtina]. – [OV 010]. – [abstrakt z podujatia - KP]. – DOI 10.1007/978-3-030-68198-2_36. – SCO In: Educating Engineers for Future Industrial Revolutions (1) [textový dokument (print)] [elektronický dokument] : Proceedings of the 23rd International Conference on Interactive Collaborative Learning (ICL2020) / Auer, Michael [Zostavovateľ, editor] ; Rüütmann, Tiia [Zostavovateľ, editor]. – 1. vyd. – č. 1328. – Cham (Švajčiarsko) : Springer Verlag, 2021. – ISBN 978-3-030-68197-5. – ISBN (online) 978-3-030-68198-2, s. 386-396 </t>
  </si>
  <si>
    <t xml:space="preserve">Grandparents and their role in the current family / Mendelová, Eleonóra [Autor, UKFPFAKPE, 50%] ; Zelená, Hana [Autor, UKFPFAKPE, 50%] ; ICERI 2021, 14 [08.11.2021-09.11.2021, Seville, Španielsko]. – text. – [angličtina]. – [OV 010]. – [abstrakt z podujatia - KP] In: ICERI2021 [elektronický dokument] : 14th annual International Conference of Education, Research and Innovation / Gómez, Chova L. [Zostavovateľ, editor] ; López Martínez, Agustín [Zostavovateľ, editor] ; Candel Torres, Ignacio [Zostavovateľ, editor]. – 1. vyd. – Valencia (Španielsko) : IATED, 2021. – ISBN 978-84-09-34549-6. – ISSN 2340-1095, s. 149-156 [online] [USB kľúč] </t>
  </si>
  <si>
    <t xml:space="preserve">Gyermek- és ifjúsági irodalom a Nyitrai Konstantin Filozófus Egyetem Közép-európai Tanulmányok Kara pedagógusképzésében / Bárcziová, Žofia [Autor, UKFFSSUML, 100%] ; Pedagógusképzés a Kárpát-medencében [26.11.2019, Győr, Maďarsko]. – [maďarčina]. – [OV 010]. – [abstrakt z podujatia - KP] In: Pedagógusképzés a Kárpát-medencében [textový dokument (print)] : tananyagfejlesztési tapasztalatok, jó gyakorlatok, című konferenciára, 2019. november 26-án / Lőrincz, Ildikó [Zostavovateľ, editor] ; Fehér, Agóta [Zostavovateľ, editor]. – 1. vyd. – Győr (Maďarsko) : Széchenyi István Egyetem, 2020. – ISBN 978-615-5837-73-9, s. 31-34 [tlačená forma] </t>
  </si>
  <si>
    <t xml:space="preserve">Határon átnyúló ökoturisztikai lehetőségek a Duna "belső deltájá"-ban = Cross-border possibilities of ecotourism in the "inner delta" of the Danube / Hardi, Tamás [Autor, UKFFSSKCR, 100%] ; Kreativitás, változás, reziliencia, 3 [03.04.2020, Pécs, Maďarsko]. – text. – [maďarčina]. – [OV 080]. – [abstrakt z podujatia - KP] In: Kreativitás, változás, reziliencia [textový dokument (print)] : 3. Nemzetközi Turizmusmarketing Konferencia, Pécs, 2020. április 3. / Csapó, János [Zostavovateľ, editor] ; Csóka, László [Zostavovateľ, editor] ; Csapó, János [Recenzent] ; Gonda, Tibor [Recenzent]. – 1. vyd. – Pécs (Maďarsko) : Pécsi Tudományegyetem Közgazdaságtudományi Kar, 2020. – ISBN 978-963-429-506-8, s. 243-252 [tlačená forma] </t>
  </si>
  <si>
    <t xml:space="preserve">Health and Safety : Principles and Practices / Feszterová, Melánia [Autor, UKFFPVKCH, 100%] ; SWS International Scientific Conference on Arts and Humanities 2019, 6 [26.08.2019-01.09.2019, Albena, Bulharsko]. – text. – [angličtina]. – [OV 010]. – [abstrakt z podujatia - KP] In: SWS International Scientific Conference on Social Sciences 2019 (Education and Educational Research) [textový dokument (print)] [elektronický dokument] : conference proceeding / [bez zostavovateľa] [Zostavovateľ, editor]. – 1. vyd. – Roč. 6, č. 4. – Sofia (Bulharsko) : STEF92 Technology, 2019. – ISBN 978-619-7408-94-2. – ISSN 2682-9959, s. 227-232 [tlačená forma] [online] </t>
  </si>
  <si>
    <t xml:space="preserve">Heidegger and Carnap Inconsumerable Interactions / Králik, Roman [Autor, UKFFFAKAE 06.2022, 50%] ; Ambrozy, Marián [Autor, 50%] ; SWS 2019, 6 [26.08.2019-01.09.2019, Albena, Bulharsko]. – [angličtina]. – [OV 020]. – [abstrakt z podujatia - KP] In: SWS 2019 International Scientific Conference on Arts and Humanities (History, philosophy,archaeology,history of art, performing &amp; visual arts, architecture &amp;design, literature &amp;poetry, language &amp; linguistics : Arts and humanities) [textový dokument (print)] [elektronický dokument] / Sparitis, Ojaris [Autor] ; Bondur, Valeriy [Autor] ; Bursche, Aleksander [Recenzent] ; Ghergut, Alois [Recenzent]. – 1. vyd. – Roč. 6, č. 1. – Sofia (Bulharsko) : STEF92 Technology, 2019. – ISBN 978-619-7408-90-4. – ISSN 2682-9940, s. 101-106 [tlačená forma] [online] </t>
  </si>
  <si>
    <t xml:space="preserve">High Personal Need for Structure and German Language Proficiency / Stranovská, Eva [Autor, UKFFFAKGE, 34%] ; Ďurková, Simona [Autor, UKFFFAKAA, 33%] ; Stančeková, Svetlana [Autor, UKFFFAKRO, 33%] ; SWS 2019, 6 [26.08.2019-01.09.2019, Albena, Bulharsko]. – text. – [angličtina]. – [OV 020]. – [abstrakt z podujatia - KP] In: SWS 2019 International Scientific Conference on Arts and Humanities (History, philosophy,archaeology,history of art, performing &amp; visual arts, architecture &amp;design, literature &amp;poetry, language &amp; linguistics : Arts and humanities) [textový dokument (print)] [elektronický dokument] / Sparitis, Ojaris [Autor] ; Bondur, Valeriy [Autor] ; Bursche, Aleksander [Recenzent] ; Ghergut, Alois [Recenzent]. – 1. vyd. – Roč. 6, č. 1. – Sofia (Bulharsko) : STEF92 Technology, 2019. – ISBN 978-619-7408-90-4. – ISSN 2682-9940, s. 653-660 [tlačená forma] [online] </t>
  </si>
  <si>
    <t xml:space="preserve">Hipster 21. storočia ako príznakový obraz konformného kultúrneho protestu / Malíčková, Michaela [Autor, UKFFFAULK, 100%] ; Kultura i rewolta [21.03.2018-21.03.2018, Varšava, Poľsko]. – text. – [slovenčina]. – [OV 020]. – [abstrakt z podujatia - KP] In: Kultura i rewolta. Inteligencja w starciu z wladza: wymiar srodkowoeuropejski [textový dokument (print)] : Medzinárodná polsko-česko-slovensko-ukrajinskou vedecká konferencia, Varšava 21. 3. 2018 - 22. 3. 2018 / Getka, Joanna [Zostavovateľ, editor] ; Wispsza, Alexander [Recenzent] ; Grybowski, Jerzy [Recenzent]. – Warszawa (Poľsko) : Uniwersytet Warszawski, 2019. – ISBN 978-83-917003-7-2, s. 271-284 [tlačená forma] </t>
  </si>
  <si>
    <t xml:space="preserve">Historical Correlations of the Development of Vocal Performance and Vocal Pedagogy in The Context of 20th-Century and 21st-Century Non-Art Music in Slovakia / Štrbák Pandiová, Iveta [Autor, UKFPFAKHU, 100%] ; QUAERE 2020, 10 [22.06.2020-26.06.2020, Hradec Králové, Česko]. – text. – [slovenčina]. – [OV 010]. – [abstrakt z podujatia - KP] In: QUAERE 2020 [elektronický dokument] : recenzovaný sborník příspěvků interdisciplinární mezinárodní vědecké konference doktorandů a odborných asistentů, Hradec Králové, 22.- 26.6.2020 / [bez zostavovateľa] [Zostavovateľ, editor]. – 1. vyd. – Roč. 10. – Hradec Králové (Česko) : Magnanimitas akademické sdružení, 2020. – ISBN 978-80-87952-32-0, s. 917-921 [online] </t>
  </si>
  <si>
    <t xml:space="preserve">Historical ferry locations-potential for increasing the tourist attractiveness of the rural areas? / Dostál, Ivo [Autor, UKFFPVKEE, 50%] ; Havlíček, Marek [Autor, 50%] ; Public recreation and landscape protection - with sense hand in hand! [10.05.2021-11.05.2021, Brno, Česko]. – text. – [angličtina]. – [OV 100]. – [abstrakt z podujatia - KP]. – SCO In: Public recreation and landscape protection - with sense hand in hand! [textový dokument (print)] [elektronický dokument] : conference proceedings / Fialová, Jitka [Zostavovateľ, editor]. – st. vyd. – Brno (Česko) : Mendelova univerzita v Brně, 2021. – ISBN 978-80-7509-779-8. – ISBN (online) 978-80-7509-780-4. – ISSN 2336-6311. – ISSN (online) 2336-632X, s. 245-250 [tlačená forma] [online] </t>
  </si>
  <si>
    <t xml:space="preserve">Historické aspekty výskumu dolnozemských Slovákov / Čukan, Jaroslav [Autor, UKFFFAKMK, 50%] ; Kurpaš, Michal [Autor, UKFFFAKMK, 50%] ; Dolnozemskí Slováci a rok 1918 [21.03.2019-24.03.2019, Nadlak, Rumunsko]. – text. – [slovenčina]. – [OV 030]. – [abstrakt z podujatia - KP] In: Dolnozemskí Slováci a rok 1918 [textový dokument (print)] : zborník prác z rovnomennej medzinárodnej konferencie / Ambruš, Ivan Miroslav [Zostavovateľ, editor] ; Hlásnik, Pavel [Zostavovateľ, editor] ; Unc, Bianca [Zostavovateľ, editor] ; Lenovský, Ladislav [Recenzent] ; Šmigeľ, Michal [Recenzent] ; Syrný, Marek [Recenzent]. – 1. vyd. – Nadlak (Rumunsko) : Vydavateľstvo - Editura Ivan Krasko, 2019. – ISBN 978-973-107-148-0, s. 48-53 [tlačená forma] </t>
  </si>
  <si>
    <t xml:space="preserve">Historické súvislosti - realita a jej semiotizácia v umeleckom obraze / Čechová, Mariana [Autor, UKFFFAULK, 50%] ; Plesník, Ľubomír [Autor, UKFFFAULK, 50%] ; Sapere Aude 2019, 9 [27.05.2019-29.05.2019, Hradec Králové, Česko]. – text. – [slovenčina]. – [OV 010]. – [abstrakt z podujatia - KP]. – [recenzované] In: Sapere Aude 2019 [elektronický dokument] : společnost a profese učitele : recenzovaný sborník příspěvků vědecké konference s mezinárodní účastí / [bez zostavovateľa] [Zostavovateľ, editor]. – 1. vyd. – Roč. 9. – Hradec Králové (Česko) : Magnanimitas akademické sdružení, 2019. – ISBN 978-80-87952-29-0, s. 95-101 [online] [CD-ROM] </t>
  </si>
  <si>
    <t xml:space="preserve">Hodnotenie hormetického účinku účinku arzénu na rast a obsah fotosyntetických pigmentov kukurice siatej (Zea mays cv. Mv NK 333) / Piršelová, Beáta [Autor, UKFFPVKBG, 40%] ; Lengyelová, Libuša [Autor, UKFFPVKBG, 30%] ; Galuščáková, Ľudmila [Autor, UKFFPVKBG, 30%] ; Vliv abiotických a biotických stresorů na vlastnosti rostlin [03.09.2019-05.09.2019, Praha, Česko]. – text. – [slovenčina]. – [OV 130]. – [abstrakt z podujatia - KP] In: Vliv abiotických a biotických stresorů na vlastnosti rostlin 2019 [textový dokument (print)] [elektronický dokument] : sborník recenzovaných vědeckých prací = proceedings of scientific articles / Kožnarová, Věra [Zostavovateľ, editor] ; Novák, Ján [Recenzent]. – 1 vyd. – Praha (Česko) : Česká zemědelská univerzita v Praze ; Bratislava (Slovensko) : Slovenská akadémia vied. Pracoviská SAV. Ústav ekológie lesa, 2019. – ISBN 978-80-213-2949-2. – ISBN 978-80-89408-35-1, s. 124-127 [tlačená forma] [online] </t>
  </si>
  <si>
    <t xml:space="preserve">Hodnotenie potenciálu obcí v zázemí mesta Piešťany pre rozvoj cestovného ruchu na základe prieskumu názorov ich obyvateľov = Assessing the potential of municipalities in the hinterland of Piešťany town for the development of tourism on the basis of a survey of their inhabitants’ opinions / Trembošová, Miroslava [Autor, UKFFPVKGR, 34%] ; Dubcová, Alena [Autor, UKFFPVKGR, 33%] ; Tremboš, Peter [Autor, 33%] ; Aktuální problémy cestovního ruchu, 14 [27.02.2019-28.02.2019, Jihlava, Česko]. – text. – [slovenčina]. – [OV 092]. – [abstrakt z podujatia - KP]. – [recenzované] In: Aktuální problémy cestovního ruchu [elektronický dokument] : „Cestovní ruch - příležitost pro venkov" : recenzovaný sborník z mezinárodní konference / Linderová, Ivica [Zostavovateľ, editor]. – 1 vyd. – Roč. 14. – Jihlava (Česko) : Vysoká škola polytechnická Jihlava, 2019. – ISBN 978-80-88064-43-5. – ISBN (online) 978-80-88064-42-8, s. 381-391 [online] [CD-ROM] </t>
  </si>
  <si>
    <t xml:space="preserve">Hodnotenie prírodných predpokladov Mas Magura-Strážov pre regionálny rozvoj = Assessment of the natural assumptions of the Magura-Strážov LAG for regional development / Boltižiar, Martin [Autor, UKFFPVKGR, 40%] ; Kováč, Tomáš [Autor, UKFFPVKGR, 40%] ; Laco, Ivan [Autor, 10%] ; Turanovičová, Martina [Autor, UKFFPVKGR, 10%] ; Wokoun, René [Recenzent] ; Viturka, Milan [Recenzent] ; Mezinárodní kolokvium o regionálních vědách, 21 [13.06.2018-15.06.2018, Kurdějov, Česko]. – text. – [slovenčina]. – [OV 092]. – [abstrakt z podujatia - KP]. – DOI 10.5817/CZ.MUNI.P210-8970-2018-83 In: 21. mezinárodní kolokvium o regionálních vědách [textový dokument (print)] [elektronický dokument] : sborník příspěvků, Kurdějov 13. - 15. června 2018 = Conference Proceedings / Klímová, Viktorie [Zostavovateľ, editor] ; Žítek, Vladimír [Zostavovateľ, editor]. – 1. vyd. – Brno (Česko) : Masarykova univerzita, 2018. – ISBN 978-80-210-8969-3. – ISBN (online) 978-80-210-8970-9, s. 633-640 [tlačená forma] [online] </t>
  </si>
  <si>
    <t xml:space="preserve">Hodnotenie rastu repy cukrovej (Beta vulgaris cv. tatry) v pôdach kontaminovaných iónmi kadmia / Boleček, Peter [Autor, UKFFPVKBG, 35%] ; Piršelová, Beáta [Autor, UKFFPVKBG, 45%] ; Lengyelová, Libuša [Autor, UKFFPVKBG, 20%] ; Vliv abiotických a biotických stresorů na vlastnosti rostlin [03.09.2019-05.09.2019, Praha, Česko]. – text. – [slovenčina]. – [OV 130]. – [abstrakt z podujatia - KP] In: Vliv abiotických a biotických stresorů na vlastnosti rostlin 2019 [textový dokument (print)] [elektronický dokument] : sborník recenzovaných vědeckých prací = proceedings of scientific articles / Kožnarová, Věra [Zostavovateľ, editor] ; Novák, Ján [Recenzent]. – 1 vyd. – Praha (Česko) : Česká zemědelská univerzita v Praze ; Bratislava (Slovensko) : Slovenská akadémia vied. Pracoviská SAV. Ústav ekológie lesa, 2019. – ISBN 978-80-213-2949-2. – ISBN 978-80-89408-35-1, s. 8-10 [tlačená forma] [online] </t>
  </si>
  <si>
    <t xml:space="preserve">Hodnotenie tolerancie klíčiacich rastlín ovsa siateho (Avena satival.) Na ióny kadmia = Evaluation of tolerance of germinating oat plants (Avena sativa l.) On cadmium ions / Galuščáková, Ľudmila [Autor, UKFFPVKBG, 34%] ; Piršelová, Beáta [Autor, UKFFPVKBG, 33%] ; Lengyelová, Libuša [Autor, UKFFPVKBG, 33%] ; Mezinárodní Masarykova konference pro doktorandy a mladé vědecké pracovníky 2020, 11 [14.12.2020-16.12.2020, Hradec Králové, Česko]. – text. – [slovenčina]. – [OV 130]. – [abstrakt z podujatia - KP] In: MMK 2020 [elektronický dokument] : Mezinárodní Masarykova konference pro doktorandy a mladé vědecké pracovníky 2020 = recenzovaný sborník příspěvků mezinárodní vědecké konference / [bez zostavovateľa] [Zostavovateľ, editor] ; Lipowski, Jaroslav [Recenzent] ; Jaskułowski, Krzysztof [Recenzent]. – 1. vyd. – Roč. 11. – Hradec Králové (Česko) : Magnanimitas akademické sdružení, 2020. – ISBN 978-80-87952-33-7, s. 1265-1268 [CD-ROM] [online] </t>
  </si>
  <si>
    <t xml:space="preserve">Hodnotenie vybraných ekosystémových služieb - regulácia kvality ovzdušia, regulácia miestnej klímy a regulácia globálnej klímy v Slovenskej republike = Assessment of Selected Ecosystem Services - Air Quality Regulation, Lokal Climate Regulation and Global Climate Regulation in Slovak Rebuplic / Ďuricová, Viktória [Autor, SPUFES20, 20%] ; Šiška, Bernard [Autor, SPUFES20, 20%] ; Eliašová, Mariana [Autor, SPUFES20, 20%] ; Černecký, Ján [Autor, UKFFPVKEE, 20%] ; Mederly, Peter [Autor, UKFFPVKEE, 20%] ; Extrémy počasí, jejich dopady a bezpečnostní rizika [08.10.2019-10.10.2019, Broumov, Česko]. – [slovenčina]. – [OV 100, 190]. – [abstrakt z podujatia - KP]. – [recenzované] In: Extrémy počasí, jejich dopady a bezpečnostní rizika [elektronický dokument] : konference s mezinárodní účastí, Broumov  8. - 10. 10.  2019 / Rožnovský, Jaroslav [Zostavovateľ, editor] ; Litschmann, Tomáš [Zostavovateľ, editor]. – 1 vyd. – Praha (Česko) : Česká bioklimatologická společnost, 2019. – ISBN 978-80-87577-96-7, s. 1-12 [CD-ROM] </t>
  </si>
  <si>
    <t xml:space="preserve">Hodnotová premena recepčných preferencií umenia v čase koronakrízy : (so zameraním na poéziu zdieľanú v digitálnom priestore) / Pariláková, Eva [Autor, UKFFFAULK, 100%] ; Metodologie a theurgie hermeneutické interpretace, 8 [22.09.2020-23.09.2020, Ostrava, Česko]. – text. – [slovenčina]. – [OV 020]. – [abstrakt z podujatia - KP] In: Studia humanitatis - Ars hermeneutica [textový dokument (print)] : metodologie a theurgie hermeneutické interpretace 8 / Mikulášek, Miroslav [Zostavovateľ, editor] ; Malicki, Jan [Recenzent] ; Raclavská, Jana [Recenzent]. – 1. vyd. – č. 8. – Ostrava (Česko) : Ostravská univerzita, 2020. – ISBN 978-80-7599-211-6, s. 83-100 </t>
  </si>
  <si>
    <t xml:space="preserve">Hofstede's cultural dimensions in the visegrad group / Schlosserová, Zuzana [Autor, UKFFFAKMR, 100%] ; Biannual CER Comparative European Research 2019, 11 [25.03.2019-27.03.2019, Londýn, Veľká Británia]. – text. – [angličtina]. – [OV 060]. – [abstrakt z podujatia - KP]. – [recenzované] In: CER Comparative European Research 2019 [elektronický dokument] : proceedings/research track of the 11th biannual conference / McGreevy, Michael [Zostavovateľ, editor] ; Rita, Robert [Zostavovateľ, editor]. – 1 vyd. – Roč. 6, č. 1. – Londýn (Veľká Británia) : Sciemcee. Sciemcee Publishing, 2019. – ISBN 978-1-9993071-2-7, s. 127-130 [CD-ROM] [online] </t>
  </si>
  <si>
    <t xml:space="preserve">Hogyan befolyásolja a nyelvi diszkrimináció a magyar pedagógusok és pedagógusjelöltek értékelését Magyarországon és Szlovákiában? / Jánk, István [Autor, UKFFSSUML, 100%] ; Heltai, János Imre [Recenzent] ; Tankó, Enikő [Recenzent] ; Nyelvi tájkép, nyelvi sokszínűség [22.09.2017-23.09.2017, Csíkszereda, Rumunsko]. – text. – [maďarčina]. – [OV 010]. – [abstrakt z podujatia - KP] In: Nyelvi tájkép, nyelvi sokszínűség (Második kötet : Nyelvhasználati terek és nyelvi sokszínűség) [textový dokument (print)] / Tódor, Erika-Mária [Zostavovateľ, editor]. – 1. vyd. – Kluž (Rumunsko) : Scientia Kiadó, 2018. – ISBN 978-606-975-019-3, s. 165-174 [tlačená forma] </t>
  </si>
  <si>
    <t xml:space="preserve">Hogyan festenek nyelvi tájképeink? (Adatközlői vélekedések a vizuális nyelvhasználatról Szlovákiában) / Presinszky, Károly [Autor, UKFFSSUML, 100%] ; Heltai, János Imre [Recenzent] ; Tankó, Enikő [Recenzent] ; Nyelvi tájkép, nyelvi sokszínűség [22.09.2017-23.09.2017, Csíkszereda, Rumunsko]. – text. – [maďarčina]. – [OV 010]. – [abstrakt z podujatia - KP] In: Nyelvi tájkép, nyelvi sokszínűség (Második kötet : Nyelvhasználati terek és nyelvi sokszínűség) [textový dokument (print)] / Tódor, Erika-Mária [Zostavovateľ, editor]. – 1. vyd. – Kluž (Rumunsko) : Scientia Kiadó, 2018. – ISBN 978-606-975-019-3, s. 71-82 [tlačená forma] </t>
  </si>
  <si>
    <t xml:space="preserve">Homogeneity - a mechanism responsible for students' confidence in disinformation in the social media environment / Tkáčová, Hedviga [Autor, KURFIZU, 60%] ; Pavlíková, Martina [Autor, UKFFFAKZU, 19%] ; Maturkanič, Patrik [Autor, 20%] ; Kobylarek, Aleksander [Autor, 1%] ; ICERI 2021, 14 [08.11.2021-09.11.2021, Seville, Španielsko]. – text. – [angličtina]. – [OV 020]. – [abstrakt z podujatia - KP] In: ICERI2021 [elektronický dokument] : 14th annual International Conference of Education, Research and Innovation / Gómez, Chova L. [Zostavovateľ, editor] ; López Martínez, Agustín [Zostavovateľ, editor] ; Candel Torres, Ignacio [Zostavovateľ, editor]. – 1. vyd. – Valencia (Španielsko) : IATED, 2021. – ISBN 978-84-09-34549-6. – ISSN 2340-1095, s. 3583-3590 [online] [USB kľúč] </t>
  </si>
  <si>
    <t xml:space="preserve">How open source can expand teacher's horizons / Grežo, Henrich [Autor, UKFFPVKEE, 50%] ; Petrovič, František [Autor, UKFFPVKEE, 50%] ; ICERI 2019, 12 [11.11.2019-13.11.2019, Seville, Španielsko]. – text. – [angličtina]. – [OV 100]. – [abstrakt z podujatia - KP]. – WOS CC In: ICERI2019 Proceedings [elektronický dokument] : 12th International conference of education, research and innovation / Gómez Chova, Luis [Zostavovateľ, editor] ; López Martínez, Agustín [Zostavovateľ, editor] ; Candel Torres, Ignacio [Zostavovateľ, editor]. – 1. vyd. – Valencia (Španielsko) : IATED, 2019. – ISBN 978-84-09-14755-7. – ISSN 2340-1095, 8515-8519 [USB kľúč] </t>
  </si>
  <si>
    <t xml:space="preserve">How to enhance students' interest in technology study branches / Kuna, Peter [Autor, UKFPFAKTT, 25%] ; Hašková, Alena [Autor, UKFPFAKTT, 25%] ; Palaj, Miloš [Autor, UKFPFAKTT, 25%] ; Skačan, Miloslav [Autor, UKFPFAKTT, 25%] ; EDULEARN20, 12 [06.07.2020-07.07.2020, Palma de Mallorca, Španielsko]. – text. – [angličtina]. – [OV 010]. – [abstrakt z podujatia - KP] In: EDULEARN20 proceedings [elektronický dokument] : 12th International Conference on Education and New Learning Technologies / Gómez Chova, Luis [Zostavovateľ, editor] ; López Martínez, Agustín [Zostavovateľ, editor]. – 1. vyd. – Roč. 12. – Valencia (Španielsko) : IATED, 2020. – ISBN 978-84-09-17979-4. – ISSN 2340-1117, s. 561-566 [USB kľúč] </t>
  </si>
  <si>
    <t xml:space="preserve">How to evaluate technology subject teachers / Hašková, Alena [Autor, UKFPFAKTT, 100%] ; International Forum on Teacher Education, 6 [27.05.2020-09.06.2020, Kazaň, Ruská federácia]. – text. – [angličtina]. – [OV 010]. – [abstrakt z podujatia - KP]. – WOS CC In: ARPHA Proceedings 3 [elektronický dokument] : 6. International Forum on Teacher Education (IFTE 2020) / Gafurov, Ilshat [Zostavovateľ, editor] ; Valeeva, Roza [Zostavovateľ, editor]. – 1. vyd. – Kazaň (Ruská federácia) : Kazanskiy federalnyy universitet, 2020. – ISBN (online) 978-619-248-025-7. – ISSN (online) 2683-0647, s. 793-806 [online] </t>
  </si>
  <si>
    <t xml:space="preserve">How to teach philosophy during covid 19? / Ambrózy, Marián [Autor, 50%] ; Pavlíková, Martina [Autor, UKFFFAKZU, 40%] ; Kobylarek, Aleksander [Autor, 10%] ; EDULEARN21 [05.07.2021-06.07.2021, Barcelona, Španielsko]. – text. – [angličtina]. – [OV 010]. – [abstrakt z podujatia - KP]. – DOI 10.21125/edulearn.2021.1510 In: EDULEARN21 [elektronický dokument] : 13th annual International Conference on Education and New Learning Technologies, Barcelona, 5th - 6th of July, 2021 / Chova, Luis Goméz [Zostavovateľ, editor] ; Martínez, Augustín López [Zostavovateľ, editor] ; Torres, I. [Zostavovateľ, editor]. – 1. vyd. – Roč. 13. – Barcelona (Španielsko) : IATED, 2021. – ISBN 978-84-09-31267-2. – ISSN 2340-1117, s. 7451-7456 [CD-ROM] [USB kľúč] </t>
  </si>
  <si>
    <t xml:space="preserve">Hudobné vnímanie a uvedomelé počúvanie hudby = Music Perception and Critical Listening / Lacková, Ivana [Autor, UKFPFAKHU, 100%] ; QUAERE 2021, 11 [28.06.2021-30.06.2021, Hradec Králové, Česko]. – text. – [slovenčina]. – [OV 010]. – [abstrakt z podujatia - KP] In: QUAERE 2021 [elektronický dokument] : recenzovaný sborník příspěvků interdisciplinární mezinárodní vědecké konference doktorandů a odborných asistentů, Hradec Králové 28.6.2021 - 30.6.2021 / [bez zostavovateľa] [Zostavovateľ, editor]. – 1. vyd. – Roč. 11. – Hradec Králové (Česko) : Magnanimitas akademické sdružení, 2021. – ISBN 978-80-87952-34-4, s. 585-589 [online] </t>
  </si>
  <si>
    <t xml:space="preserve">Hudobné vzdelávanie v Štátnom učiteľskom ústave v Modre v rokoch 1870–1918 / Tavalyová, Erika [Autor, UKFPFAKHU, 100%] ; Mezinárodní Masarykova konference pro doktorandy a mladé vědecké pracovníky 2021, 12 [20.12.2021-22.12.2021, Hradec Králové, Česko]. – text. – [slovenčina]. – [OV 010]. – [abstrakt z podujatia - KP] In: MMK 2021 [elektronický dokument] : Mezinárodní Masarykova konference pro doktorandy a mladé vědecké pracovníky : recenzovaný sborník příspěvků mezinárodní vědecké konference / [bez zostavovateľa] [Zostavovateľ, editor]. – 1. vyd. – Roč. 12. – Hradec Králové (Česko) : Magnanimitas akademické sdružení, 2021. – ISBN 978-80-87952-35-1, s. 513-522 [online] </t>
  </si>
  <si>
    <t xml:space="preserve">Hudobné vzdelávanie v Učiteľskom ústave v Trnave / Tavalyová, Erika [Autor, UKFPFAKHU, 100%] ; Mezinárodní Masarykova konference pro doktorandy a mladé vědecké pracovníky 2020, 11 [14.12.2020-16.12.2020, Hradec Králové, Česko]. – text. – [slovenčina]. – [OV 010]. – [abstrakt z podujatia - KP] In: MMK 2020 [elektronický dokument] : Mezinárodní Masarykova konference pro doktorandy a mladé vědecké pracovníky 2020 = recenzovaný sborník příspěvků mezinárodní vědecké konference / [bez zostavovateľa] [Zostavovateľ, editor] ; Lipowski, Jaroslav [Recenzent] ; Jaskułowski, Krzysztof [Recenzent]. – 1. vyd. – Roč. 11. – Hradec Králové (Česko) : Magnanimitas akademické sdružení, 2020. – ISBN 978-80-87952-33-7, s. 684-692 [CD-ROM] [online] </t>
  </si>
  <si>
    <t xml:space="preserve">Hudobno-dramatické aktivity a ich využitie v technike Divadlo fórum = Music and drama based activities, their use in the technique Forum Th eatre / Sondorová, Dominika [Autor, UKFPFAKHU, 100%] ; Teorie a praxe hudební výchovy, 6 [14.11.2019-15.11.2019, Praha, Česko]. – text. – [slovenčina]. – [OV 010]. – [abstrakt z podujatia - KP] In: Teorie a praxe hudební výchovy 6 [textový dokument (print)] : sborník příspěvků z konference studentů doktorandských a magisterských studií a pedagogů hudebního vzdělávání v zemích V4 v roce 2019 v Praze / Slavíková, Petra [Zostavovateľ, editor] ; Kodejška, Miloš [Zostavovateľ, editor] ; Pazúrik, Milan [Zostavovateľ, editor] ; Králová, Eva [Zostavovateľ, editor] ; Kaščáková, Lenka [Zostavovateľ, editor] ; Slavíková, Marie [Recenzent] ; Kopčáková, Slávka [Recenzent]. – 1. vyd. – Praha (Česko) : Univerzita Karlova v Praze, 2020. – ISBN 978-80-7603-163-0. – SIGN-UKO PD HV/20. – TUAD PC017714, s. 189-194 [tlačená forma] </t>
  </si>
  <si>
    <t xml:space="preserve">Hudobno-dramatické aktivity ako prostriedok resocializácie drogovo závislých / Gálisová, Lenka [Autor, UKFPFAKHU, 100%] ; Mezinárodní Masarykova konference pro doktorandy a mladé vědecké pracovníky 2018, 9 [17.12.2018-21.12.2018, Hradec Králové, Česko]. – text. – [slovenčina]. – [OV 010]. – [abstrakt z podujatia - KP] In: MMK 2018 [elektronický dokument] : recenzovaný sborník příspěvků mezinárodní vědecké konference : mezinárodní Masarykova konference pro doktorandy a mladé vědecké pracovníky / [bez zostavovateľa] [Zostavovateľ, editor] ; Lipowski, Jaroslav [Recenzent] ; Jaskułowski, Krzysztof [Recenzent] ; Kislingerová, Eva [Recenzent]. – 1 vyd. – Roč. 9. – Hradec Králové (Česko) : Magnanimitas akademické sdružení, 2018. – ISBN 978-80-87952-27-6, s. 645-653 [CD-ROM] </t>
  </si>
  <si>
    <t xml:space="preserve">Hudobno-dramatické činnosti vo formálnej a neformálnej edukácii / Kačmárová, Simona [Autor, UKFPFAKHU, 100%] ; Mezinárodní Masarykova konference pro doktorandy a mladé vědecké pracovníky 2019, 10 [16.12.2019-18.12.2019, Hradec Králové, Česko]. – text. – [slovenčina]. – [OV 010]. – [abstrakt z podujatia - KP] In: MMK 2019 [elektronický dokument] : recenzovaný sborník příspěvků mezinárodní vědecké konference : Mezinárodní Masarykova konference pro doktorandy a mladé vědecké pracovníky 2019 / [bez zostavovateľa] [Zostavovateľ, editor] ; Lipowski, Jaroslav [Recenzent] ; Jaskułowski, Krzysztof [Recenzent] ; Kislingerová, Eva [Recenzent]. – 1. vyd. – Hradec Králové (Česko) : Magnanimitas akademické sdružení, 2019. – ISBN 978-80-87952-31-3, s. 1048-1053 [CD-ROM] [online] </t>
  </si>
  <si>
    <t xml:space="preserve">Hudobno-pohybové aktivity a ich využitie pri práci s deťmi / Šutková, Lucia [Autor, UKFPFAKHU, 100%] ; Teorie a praxe hudební výchovy, 5 [09.10.2017-10.10.2017, Praha, Česko]. – text. – [slovenčina]. – [OV 010]. – [abstrakt z podujatia - KP] In: Teorie a praxe hudební výchovy V [textový dokument (print)] : sborník příspevků z konference studentů doktorandských a magisterských studií a pedagogů hudebního vzdělávání v zemích V4 konané v Praze ve dnech  9.-10. listopadu 2017 / Dunovská, Marie [Zostavovateľ, editor] ; Kodejška, Miloš [Zostavovateľ, editor] ; Králová, Eva [Zostavovateľ, editor] ; Slavíková, Petra [Zostavovateľ, editor] ; Kaščáková, Lenka [Zostavovateľ, editor] ; Hudáková, Jana [Zostavovateľ, editor] ; Slavíková, Marie [Recenzent] ; Kopčáková, Slávka [Recenzent]. – 1. vyd. – Praha (Česko) : Univerzita Karlova v Praze, 2018. – ISBN 978-80-7290-978-0. – TUAD PC016444. – SIGN-PU FF 193/18, s. 258-264 [tlačená forma] </t>
  </si>
  <si>
    <t xml:space="preserve">Hudobno-vzdelávacie projekty pre deti stredného školského veku s akcentom na tvorbu súčasných slovenských skladateľov a v korelácii s fenoménom zážitku = Music education projects for the learners of middle grades of primary schools focusing on the production of contemporary Slovak composers and correlating with the experiential aspects of music perception / Kupková, Janka [Autor, UKFPFAKHU, 100%] ; QUAERE 2018, 8 [27.06.2018-29.06.2018, Hradec Králové, Česko]. – text. – [slovenčina]. – [OV 010]. – [abstrakt z podujatia - KP]. – [recenzované] In: QUAERE 2018 [elektronický dokument] : recenzovaný sborník příspěvků vědecké interdisciplinární mezinárodní vědecké konference doktorandů a odborných asistentů / [bez zostavovateľa] [Zostavovateľ, editor]. – 1. vyd. – Roč. 8. – Hradec Králové (Česko) : Magnanimitas akademické sdružení, 2018. – ISBN 978-80-87952-26-9, s. 890-897 [CD-ROM] </t>
  </si>
  <si>
    <t xml:space="preserve">Hudobno-vzdelávacie projekty súčasných slovenských skladateľov cez prizmu akceptácie ontogenézy dieťaťa predškolského a mladšieho školského veku / Kupková, Janka [Autor, UKFPFAKHU, 100%] ; Sapere Aude 2018, 8 [28.05.2018-31.05.2018, Hradec Králové, Česko]. – text. – [slovenčina]. – [OV 010]. – [abstrakt z podujatia - KP]. – [recenzované] In: Sapere Aude 2018 [elektronický dokument] : učitel, žák, psycholog : recenzovaný sborník příspěvků vědecké konference s mezinárodní účastí / [bez zostavovateľa] [Zostavovateľ, editor]. – 1. vyd. – Roč. 8. – Hradec Králové (Česko) : Magnanimitas akademické sdružení, 2018. – ISBN 978-80-87952-25-2, s. 124-129 [CD-ROM] [online] </t>
  </si>
  <si>
    <t xml:space="preserve">Human libraries: the power of using stories in education / Boboňová, Ivana [Autor, UKFFPVKMA, 20%] ; Kurtek, Izabela Lara [Autor, 20%] ; Škodová, Alžbeta [Autor, 20%] ; Galuščáková, Ľudmila [Autor, UKFFPVKBG, 20%] ; Rybanský, Ľubomír [Autor, UKFFPVKMA, 20%] ; EDULEARN20, 12 [06.07.2020-07.07.2020, Palma de Mallorca, Španielsko]. – text. – [angličtina]. – [OV 010, 130]. – [abstrakt z podujatia - KP] In: EDULEARN20 proceedings [elektronický dokument] : 12th International Conference on Education and New Learning Technologies / Gómez Chova, Luis [Zostavovateľ, editor] ; López Martínez, Agustín [Zostavovateľ, editor]. – 1. vyd. – Roč. 12. – Valencia (Španielsko) : IATED, 2020. – ISBN 978-84-09-17979-4. – ISSN 2340-1117, s. 4660-4666 [USB kľúč] </t>
  </si>
  <si>
    <t xml:space="preserve">Humanisticky orientovaná komunikácia a jej vplyv na produktivitu žiakov v edukačnom procese = Humanistically oriented communication and its impact on students productivity in education process / Jaslovská, Barbora [Autor, UKOPDPED, 50%] ; Pisoňová, Mária [Autor, UKFPFAKPE, 50%] ; Sapere Aude 2019, 9 [27.05.2019-29.05.2019, Hradec Králové, Česko]. – text, tab. – [slovenčina]. – [OV 010]. – [abstrakt z podujatia - KP]. – SIGN-UKO PD PE/19 In: Sapere Aude 2019 [elektronický dokument] : společnost a profese učitele : recenzovaný sborník příspěvků vědecké konference s mezinárodní účastí / [bez zostavovateľa] [Zostavovateľ, editor]. – 1. vyd. – Roč. 9. – Hradec Králové (Česko) : Magnanimitas akademické sdružení, 2019. – ISBN 978-80-87952-29-0, s. 45-56 [online] [CD-ROM] </t>
  </si>
  <si>
    <t xml:space="preserve">Hungarian as a pluricentric language and the attitude of Slovakian teacher trainces toward it / Jánk, István [Autor, UKFFSSUML, 100%] ; World Conference on Pluricentric Languages and Their Non-Dominant Varieties, 5 [08.07.2015-11.07.2015, Graz, Rakúsko]. – [angličtina]. – [OV 010]. – [abstrakt z podujatia - KP]. – [recenzované] In: Pluricentric Languages and Non-Dominant Varieties Worldwide : New Pluricentric Languages – Old Problems / Muhr, Rudolf [Zostavovateľ, editor]. – 1. vyd. – Berlín (Nemecko) : Peter Lang, 2018. – ISBN 978-3-631-75623-2. – ISBN (online) 978-3-631-76710-8. – ISSN 1618-5714, s. 185-194 </t>
  </si>
  <si>
    <t xml:space="preserve">Hungarian minority literature in the Slovak educational system / Bárcziová, Žofia [Autor, UKFFSSUML, 100%] ; International Technology, Education and Development Conference 2020, 14 [02.03.2020-04.03.2020, Valencia, Španielsko]. – text. – [angličtina]. – [OV 020]. – [abstrakt z podujatia - KP]. – [recenzované]. – WOS CC In: INTED2020 Proceedings [elektronický dokument] : 14th International Technology, Education and Development Conference / Chova, Luis Goméz [Zostavovateľ, editor] ; López Martínez, Agustín [Zostavovateľ, editor] ; Candel Torres, Ignacio [Zostavovateľ, editor]. – 1. vyd. – Valencia (Španielsko) : IATED, 2020. – (INTED Proceedings, ISSN 2340-1079). – ISBN 978-84-09-17939-8. – ISSN 2340-1079, s. 3786-3791 [online] </t>
  </si>
  <si>
    <t xml:space="preserve">Hurbanove Slovenské pohľady v stredoeurópskom kontexte iných literárnych časopisov / Sokol, Peter [Autor, UKFFFAKRU, 100%] ; Fiatal Szlavisták Budapesti Nemzetközi Konferenciája, 9 [09.05.2019, Budapešť, Maďarsko]. – text. – [slovenčina]. – [OV 020]. – [abstrakt z podujatia - KP] In: Fiatal Szlavisták Budapesti Nemzetközi Konferenciája [textový dokument (print)] [elektronický dokument] / Rágyanszki, György [Zostavovateľ, editor] ; Dudás, Előd [Recenzent] ; Császári, Éva [Recenzent]. – 1. vyd. – Roč. 9. – Budapešť (Maďarsko) : Eötvös Loránd Tudományegyetem. ELTE Bölcsészettudományi Kar. Institute of Slavonic and Baltic Philology, 2020. – ISBN 978-963-489-218-2, s. 100-102 [tlačená forma] [online] </t>
  </si>
  <si>
    <t xml:space="preserve">Changes in adult learning in the digital age / Petrová, Gabriela [Autor, UKFPFAKPE, 40%] ; Žitňanská, Alžbeta [Autor, 5%] ; Müller De Morais, Marianna [Autor, UKFPFAKPE, 40%] ; Kellerová, Nina [Autor, 15%] ; Vzdělávání dospělých 2020, 10 [16.12.2020, Praha, Česko]. – text. – [angličtina]. – [OV 010]. – [abstrakt z podujatia - KP] In: Vzdělávání dospělých 2020 - reflexe, realita a potenciál virtuálního světa [textový dokument (print)] [elektronický dokument] : sborník z 10. ročníku mezinárodní vědecké konference Vzdělávání dospělých 2020 konané v Praze 16. prosince 2020 / Lukianova, Larysa [Recenzent] ; Marianowska, Anna [Recenzent] ; Matouš, Zdeněk [Recenzent] ; Průcha, Jan [Recenzent] ; Pirohová, Ivana [Recenzent] ; Szarota, Zofia [Recenzent] ; Šip, Maroš [Recenzent]. – 1. vyd. – Praha (Česko) : Česká andragogická společnost ; Univerzita Karlova v Praze, 2021. – ISBN 978-80-907809-7-2. – ISBN (online) 978-80-907809-8-9. – ISSN 2571-3841. – ISSN (online) 2571-385X, s. 99-114 [tlačená forma] [online] </t>
  </si>
  <si>
    <t xml:space="preserve">Changes in Local Tax Systems at Local Self-government Level after 1989 in the Slovak Republic / Papcunová, Viera [Autor, UKFFPVUMI, 50%] ; Hudáková, Jarmila [Autor, UKFFPVUMI, 50%] ; Udržitelný rozvoj 2019 - Vybrané problémy environmentální a regionální politiky [14.03.2019-15.03.2019, České Budějovice, Česko]. – text. – [angličtina]. – [OV 060]. – [abstrakt z podujatia - KP]. – WOS CC In: Udržitelný rozvoj 2019 - Vybrané problémy environmentální a regionální politiky [textový dokument (print)] [elektronický dokument] : recenzovaný sborník příspěvků z vědecké konference,  České Budějovice, 14. - 15. března 2019 / Říha, Richard [Zostavovateľ, editor] ; Hesková, Marie [Recenzent] ; Slepecký, Jaroslav [Recenzent]. – 1. vyd. – České Budějovice (Česko) : Vysoká škola evropských a regionálních studií, 2019. – ISSN 2533-5170, s. 68-74 [CD-ROM] </t>
  </si>
  <si>
    <t xml:space="preserve">Changes in the self-assessment of future teachers after social-psychological training / Rapsová, Lucia [Autor, UKFPFAKPE, 100%] ; Biannual CER Comparative European research conference, 16 [25.10.2021-27.10.2021, London, Veľká Británia]. – text. – [angličtina]. – [OV 010]. – [abstrakt z podujatia - KP] In: CER Comparative European Research 2021 [elektronický dokument] : proceedings / research track of the 16th Biannual CER Comparative European Research Conference / McGreevy, Michael [Zostavovateľ, editor] ; Rita, Robert [Zostavovateľ, editor]. – 1. vyd. – Roč. 8, č. 2. – London (Veľká Británia) : Sciemcee, 2021. – ISBN 978-1-7399378-0-5, s. 148-151 [CD-ROM] </t>
  </si>
  <si>
    <t xml:space="preserve">Changes of lipoprotein fractions after consumption of cornelian cherry (Cornus mas L.) fruits / Schwarzová, Marianna [Autor, SPUFAP16, 25%] ; Fatrcová Šramková, Katarína [Autor, SPUFAP16, 25%] ; Juríková, Tünde [Autor, UKFFSSUVP, 25%] ; Brindza, Jan [Autor, SPUFAP04, 25%] ; Ganič, O.M. [Recenzent] ; Ganič, T.M. [Recenzent] ; Sučasni aspekti zbereženija zdorovja ljudini, 12 [12.05.2019-13.05.2019, Svaliava, Ukrajina]. – [angličtina]. – [OV 190, 130]. – [abstrakt z podujatia - KP] In: Sučasni aspekty zbereženňa zdorovia ľudyny [textový dokument (print)] : zbirnyk prac XII. mižnarodnoji miždyscyplinarnoji naukovo-praktyčnoji konferenciji, 12-13 kvitňa 2019 roku / rekoleziji O. M. Ganič, T. M. Ganič. – 1 vyd. – Užhorod (Ukrajina) : Užhorodskyj nacionaľnyj universytet, 2019. – ISBN 978-617-7333-78-3, s. 24-29 [tlačená forma] </t>
  </si>
  <si>
    <t xml:space="preserve">Characterizing second language fluency with global wavelet spectrum / Suni, Antti [Autor, 25%] ; Kallio, Heini [Autor, 25%] ; Beňuš, Štefan [Autor, UKFFFAKAA, 25%] ; Šimko, Juraj [Autor, 25%] ; ICPhS 2019, 19 [05.08.2019-09.08.2019, Melbourne, Austrália]. – [angličtina]. – [OV 020]. – [abstrakt z podujatia - KP]. – [recenzované] In: ICPhS 2019 [textový dokument (print)] : Proceedings of the 19th International Congress of Phonetic Sciences, Melbourne, 5-9 August 2019 / Calhoun, Sasha [Zostavovateľ, editor]. – 1. vyd. – Canberra (Austrália) : Australasian Speech Science and Technology Association, 2019. – ISBN 978-0-646-80069-1, s. 1947-1951 </t>
  </si>
  <si>
    <t xml:space="preserve">Chemical experiment focused on monitoring energy changes in ice melting with the implementation of the school measuring system / Jenisová, Zita [Autor, UKFFPVKCH, 40%] ; Feszterová, Melánia [Autor, UKFFPVKCH, 40%] ; Tokárová, Barbora [Autor, UKFFPVKCH, 20%] ; EDULEARN20, 12 [06.07.2020-07.07.2020, Palma de Mallorca, Španielsko]. – text. – [angličtina]. – [OV 010]. – [abstrakt z podujatia - KP] In: EDULEARN20 proceedings [elektronický dokument] : 12th International Conference on Education and New Learning Technologies / Gómez Chova, Luis [Zostavovateľ, editor] ; López Martínez, Agustín [Zostavovateľ, editor]. – 1. vyd. – Roč. 12. – Valencia (Španielsko) : IATED, 2020. – ISBN 978-84-09-17979-4. – ISSN 2340-1117, s. 4710-4719 [USB kľúč] </t>
  </si>
  <si>
    <t xml:space="preserve">Choroby dýchacej sústavy ako aspekt zdravotného stavu obyvateľstva Slovenska = Diseases of the Respiratory Systems as Aspect of Health Status the Slovak Population / Vilinová, Katarína [Autor, UKFFPVKGR, 80%] ; Repaská, Gabriela [Autor, UKFFPVKGR, 20%] ; Region v rozvoji společnosti 2019 [10.10.2019-11.10.2019, Brno, Česko]. – text. – [slovenčina]. – [OV 092]. – [abstrakt z podujatia - KP]. – [recenzované] In: Region v rozvoji společnosti 2019 [elektronický dokument] : sborník příspěvků z mezinárodní vědecké konference, Brno, 10 - 11. října 2019 / [bez zostavovateľa] [Zostavovateľ, editor]. – 1. vyd. – Brno (Česko) : Mendelova univerzita v Brně, 2019. – ISBN 978-80-7509-709-5, s. 422-431 [online] </t>
  </si>
  <si>
    <t xml:space="preserve">Ict resources in education and their impact on classroom climate / Depešová, Jana [Autor, UKFPFAKTT, 33.334%] ; Šebo, Miroslav [Autor, UKFPFAKTT, 33.333%] ; Migo, Piotr [Autor, 33.333%] ; EDULEARN20, 12 [06.07.2020-07.07.2020, Palma de Mallorca, Španielsko]. – text. – [angličtina]. – [OV 010]. – [abstrakt z podujatia - KP] In: EDULEARN20 proceedings [elektronický dokument] : 12th International Conference on Education and New Learning Technologies / Gómez Chova, Luis [Zostavovateľ, editor] ; López Martínez, Agustín [Zostavovateľ, editor]. – 1. vyd. – Roč. 12. – Valencia (Španielsko) : IATED, 2020. – ISBN 978-84-09-17979-4. – ISSN 2340-1117, s. 4975-4982 [USB kľúč] </t>
  </si>
  <si>
    <t xml:space="preserve">Identification of crucial competencies in mathematical inquiry / Medová, Janka [Autor, UKFFPVKMA, 34%] ; Bulková, Kristína [Autor, UKFFPVKMA, 33%] ; Čeretková, Soňa [Autor, UKFFPVKMA, 33%] ; Fejfarová, Martina [Recenzent] ; Flégl, Martin [Recenzent] ; ERIE 2018, 15 [07.06.2018-08.06.2018, Praha, Česko]. – text. – [angličtina]. – [OV 240]. – [abstrakt z podujatia - KP]. – WOS CC In: ERIE 2018 [textový dokument (print)] [elektronický dokument] : Proceedings of the 15th International Conference / Fejfar, Jiří [Zostavovateľ, editor] ; Fejfarová, Martina [Zostavovateľ, editor] ; Flégl, Martin [Zostavovateľ, editor]. – 1. vyd. – Praha (Česko) : Česká zemědelská univerzita v Praze, 2018. – ISBN 978-80-213-2858-7. – ISSN 2336-744X, s. 203-212 [online] [tlačená forma] </t>
  </si>
  <si>
    <t xml:space="preserve">Identification of Emotional States and Their Potential / Francisti, Jan [Autor, UKFFPVKIN, 50%] ; Balogh, Zoltán [Autor, UKFFPVKIN, 50%] ; Advances in Intelligent Systems and Computing, 3 [20.10.2018-21.10.2018, Bangkok, Thajsko]. – text. – [angličtina]. – [OV 160]. – [abstrakt z podujatia - KP]. – [recenzované]. – DOI 10.1007/978-981-13-6861-5_58. – WOS CC ; SCO In: Advances in Computer Communication and Computational Sciences [textový dokument (print)] : Advances in Intelligent Systems and Computing (AISC). Proceedings from The 3rd International Conference on Computer, Communication and Computational Sciences (IC4S 2018), Bangkok 20th-21st, October 2018 / Sanjiv, Bhatia K. [Zostavovateľ, editor]. – 1. vyd. – Singapur (Singapur) : Springer Nature. Springer-VDI-Verlag, 2019. – ISBN 9789811368608, s. 687-696 </t>
  </si>
  <si>
    <t xml:space="preserve">Identification of Factors Affecting Pupils Choices of Secondary School / Ažaltovičová, Michaela [Autor, UKFPFAKTT, 100%] ; ICERI 2020 : International Conference of Education, Research and Innovation, 13 [09.11.2020-10.11.2020, Sevilla, Španielsko]. – text. – [angličtina]. – [OV 010, 240]. – [abstrakt z podujatia - KP] In: ICERI 2020 [elektronický dokument] : 13th international conference of education, research and innovation : transforming education, transforming lives / Gómez Chova, Luis [Zostavovateľ, editor] ; Martínez, Augustín López [Zostavovateľ, editor] ; Torres, I. Candel [Zostavovateľ, editor]. – 1. vyd. – Valencia (Španielsko) : IATED, 2020. – ISBN 978-84-09-24232-0. – ISSN 2340-1095, s. 3238-3243 [USB kľúč] </t>
  </si>
  <si>
    <t xml:space="preserve">Identification of the Benefits of Care about Children in Professional Families in the Slovak Republic / Morávková, Silvia [Autor, UKFFSVKSP, 35%] ; Mojtová, Martina [Autor, UKFFSVKSP, 35%] ; Šeboková, Gabriela [Autor, UKFFSVKPV, 30%] ; NORDSCI [17.07.2018-19.07.2018, Helsinki, Fínsko]. – [angličtina]. – [OV 060]. – [abstrakt z podujatia - KP]. – [recenzované] In: NORDSCI conference on social sciences (Book 1 / Vol. 1 : Section Antropology, Education and educational research, History, Language and Linguistics, Philosophy, Psychology and Psychiatry, Sociology and Healtcare) [textový dokument (print)] : Conference proceedings / [bez zostavovateľa] [Zostavovateľ, editor]. – 1. vyd. – Sofia (Bulharsko) : SAIMA Consult, 2018. – ISBN 978-619-7495-00-3. – ISSN 2603-4107, s. 477-485 [tlačená forma] </t>
  </si>
  <si>
    <t xml:space="preserve">Identifikácia outsiderstva vo vybraných učebniciach slovenského jazyka a literatúry na základných školách na Slovensku / Hlavatá, Renáta [Autor, UKFFFASJL, 100%] ; Słowiańskie światy wyobraźni [24.09.2018-25.09.2018, Kraków, Poľsko]. – text. – [slovenčina]. – [OV 020, 010]. – [abstrakt z podujatia - KP] In: Słowiańskie światy wyobraźni [textový dokument (print)] : granice tolerancji. Recenzowane materiały z Międzynarodowej Konferencji Naukowej "Słowiańskie światy wyobraźni : granice tolerancji", dn. 24-25 września 2018, Kraków / Dyras, Magdalena [Zostavovateľ, editor] ; Boguslawska, Magdalena [Recenzent] ; Saksida, Igor [Recenzent]. – 1. vyd. – Kraków (Poľsko) : Uniwersytet Jagielloński. Wydawnictwo Uniwersytetu Jagiellońskiego, 2019. – ISBN 978-83-233-4774-3, s. 111-122 </t>
  </si>
  <si>
    <t xml:space="preserve">Identifying problematic e-courses content based on students behaviour / Halvoník, Dominik [Autor, UKFFPVKIN, 50%] ; Kapusta, Jozef [Autor, UKFFPVKIN, 50%] ; APSAC 2017, 2 [27.09.2017-29.09.2017, Dubrovník, Chorvátsko]. – text. – [angličtina]. – [OV 160]. – [abstrakt z podujatia - KP]. – [recenzované]. – DOI 10.1007/978-3-319-75605-9_27. – SCO In: Applied Physics, System Science and Computers 2 [elektronický dokument] [textový dokument (print)] : Proceedings of the 2nd International Conference on Applied Physics, System Science and Computers (APSAC2017), September 27-29, 2017, Dubrovnik, Croatia / Ntalianis, Klimis [Zostavovateľ, editor] ; Croitoru, Anca [Zostavovateľ, editor]. – 1. vyd. – Berlín (Nemecko) : Springer Nature. Springer International Publishing AG, 2019. – (Lecture Notes in Electrical Engineering, ISSN 1876-1100, ISSN 1876-1119 ; 489, SJR: 0,138 ; CiteScore: 0,5 ; SNIP: 0,192). – ISBN 978-3-319-75604-2. – ISBN (online) 978-3-319-75605-9, s. 193-198 [tlačená forma] [online] Scimago - Industrial and manufacturing engineering - Q3 </t>
  </si>
  <si>
    <t xml:space="preserve">Identita podnikov vo vidieckom turizme / Beresecká, Janka [Autor, SPUFES16, 50%] ; Hudáková, Monika [Autor, UKFFPVUMI, 50%] ; Wokoun, René [Recenzent] ; Viturka, Milan [Recenzent] ; Mezinárodní kolokvium o regionálních vědách, 21 [13.06.2018-15.06.2018, Kurdějov, Česko]. – text. – [slovenčina]. – [OV 080, 190]. – [abstrakt z podujatia - KP]. – DOI 10.5817/CZ.MUNI.P210-8970-2018-75 In: 21. mezinárodní kolokvium o regionálních vědách [textový dokument (print)] [elektronický dokument] : sborník příspěvků, Kurdějov 13. - 15. června 2018 = Conference Proceedings / Klímová, Viktorie [Zostavovateľ, editor] ; Žítek, Vladimír [Zostavovateľ, editor]. – 1. vyd. – Brno (Česko) : Masarykova univerzita, 2018. – ISBN 978-80-210-8969-3. – ISBN (online) 978-80-210-8970-9, s. 573-580 [tlačená forma] [online] </t>
  </si>
  <si>
    <t xml:space="preserve">Ideology in literature : the influence behind Ngugi wa Thiong'o's fiction / Klimková, Simona [Autor, UKFFFAKAA, 100%] ; Sahiner, Mehmet [Recenzent] ; Parjanadze, Nikoloz [Recenzent] ; IRCEELT 2019, 9 [03.05.2019-04.05.2019, Tbilisi, Gruzínsko]. – text. – [angličtina]. – [OV 010]. – [abstrakt z podujatia - KP] In: IRCEELT 2019 : Proceedings book from 9th International Research Conference on Education, Language and Literature, Tbilisi, 3rd to 4th May 2019 / Doghonadze, Natela [Zostavovateľ, editor]. – 1. vyd. – Roč. 9. – Tbilisi (Gruzínsko) : International Black Sea University, 2019. – ISSN 2298-0180, s. 374-382 </t>
  </si>
  <si>
    <t xml:space="preserve">Illustrated texts and development of literary competence and visual competence / Benyovszky, Kristian [Autor, UKFFSSUML, 100%] ; International Technology, Education and Development Conference 2020, 14 [02.03.2020-04.03.2020, Valencia, Španielsko]. – text. – [angličtina]. – [OV 020]. – [abstrakt z podujatia - KP]. – [recenzované]. – WOS CC In: INTED2020 Proceedings [elektronický dokument] : 14th International Technology, Education and Development Conference / Chova, Luis Goméz [Zostavovateľ, editor] ; López Martínez, Agustín [Zostavovateľ, editor] ; Candel Torres, Ignacio [Zostavovateľ, editor]. – 1. vyd. – Valencia (Španielsko) : IATED, 2020. – (INTED Proceedings, ISSN 2340-1079). – ISBN 978-84-09-17939-8. – ISSN 2340-1079, s. 3898-3902 [online] </t>
  </si>
  <si>
    <t xml:space="preserve">Images, Signs and Symbols in the Visual Arts Education / Récka, Adriana [Autor, UKFPFAKVV, 100%] ; Language, Culture, Education [02.11.2018, Užice, Srbsko]. – [angličtina]. – [OV 010]. – [abstrakt z podujatia - KP]. – [recenzované] In: Language, Culture, Education : Proceedings from Conference, Uzice, 2.11.2018 / Marinković, Snežana [Zostavovateľ, editor]. – 1. vyd. – Užice (Srbsko) : Univerziteta u Kragujevcu, 2018. – ISBN 978-86-6191-050-0, s. 253-260 [tlačená forma] </t>
  </si>
  <si>
    <t xml:space="preserve">Impact of Activating Teaching Methods on Results of the Students / Hudáková, Jarmila [Autor, UKFFPVUMI, 50%] ; Papcunová, Viera [Autor, UKFFPVUMI, 50%] ; ICESD 2020, 5 [06.01.2020-07.01.2020, Bangkok, Thajsko]. – text. – [angličtina]. – [OV 060]. – [abstrakt z podujatia - KP]. – [recenzované]. – DOI 10.12783/dtssehs/icesd2020/34123 In: ICESD 2020 [elektronický dokument] : 5th International Conference on Education Science and Development (ICESD 2020) in Bangkok, Thailand, during Jan 6-7, 2020 / [bez zostavovateľa] [Zostavovateľ, editor]. – 1. vyd. – Lancaster (USA) : DEStech Publications, 2020. – ISBN (online) 978-1-60595-664-0. – ISSN 2475-0042, s. 511-516 [online] </t>
  </si>
  <si>
    <t xml:space="preserve">Impact of attachment factors on emergence of dependency / Juhásová, Andrea [Autor, UKFPFAKAP, 100%] ; Kriz, Agnes [Recenzent] ; López, Augustin [Recenzent] ; EDULEARN18, 10 [02.07.2018-04.07.2018, Palma de Mallorca, Španielsko]. – text. – [angličtina]. – [OV 010]. – [abstrakt z podujatia - KP] In: EDULEARN18 proceedings [elektronický dokument] : 10th International Conference on Education and New Learning Technologies / Chova, Luis Goméz [Zostavovateľ, editor] ; Martínez, Augustín López [Zostavovateľ, editor] ; Torres, I. Candel [Zostavovateľ, editor]. – 1. vyd. – Roč. 10. – [Valencia] (Španielsko) : IATED, 2018. – ISBN 978-84-09-02709-5. – ISSN 2340-1117, s. 1920-1926 [CD-ROM] [USB kľúč] </t>
  </si>
  <si>
    <t xml:space="preserve">Impact of mining activities and natural hazards on land use : a  case study from Slovakia / Vojteková, Jana [Autor, UKFFPVKGR, 40%] ; Vojtek, Matej [Autor, UKFFPVKGR, 40%] ; Boltižiar, Martin [Autor, UKFFPVKGR, 20%] ; SGEM 2018, 5 [26.08.2018-01.09.2018, Albena, Bulharsko]. – [angličtina]. – [OV 092]. – [abstrakt z podujatia - KP]. – [recenzované]. – DOI 10.5593/sgemsocial2018/5.2 In: SGEM 2018 conference proceedings (1.3. Modern Science : finance, economics and tourism) [elektronický dokument] / [bez zostavovateľa] [Zostavovateľ, editor]. – 1. vyd. – Roč. 5. – Albena (Bulharsko) : STEF92 Technology, 2018. – ISBN 978-619-7408-63-8. – ISSN 2367-5659, s. 423-430 [CD-ROM] </t>
  </si>
  <si>
    <t xml:space="preserve">Impact of the Covid-19 Coronavirus Pandemic on Tourism Facilities In the Regions of Slovakia In 2020 / Urbaníková, Marta [Autor, UKFFPVUMI, 50%] ; Štubňová, Michaela [Autor, UKFFPVUMI, 50%] ; Mezinárodní kolokvium o regionálních vědách, 24 [01.09.2021-03.09.2021, Brno, Česko]. – text. – [angličtina]. – [OV 060]. – [abstrakt z podujatia - KP]. – DOI 10.5817/CZ.MUNI.P210-9896-2021-27 In: 24. Mezinárodní kolokvium o regionálních vědách [elektronický dokument] : sborník příspěvků Brno 1.9-3.9.2021 / Klímová, Viktorie [Zostavovateľ, editor] ; Žítek, Vladimír [Zostavovateľ, editor]. – 1. vyd. – Roč. 24. – Brno (Česko) : Masarykova univerzita, 2021. – ISBN 978-80-210-9896-1, s. 221-229 [CD-ROM] [online] </t>
  </si>
  <si>
    <t xml:space="preserve">Impact of the tourism on the development of Piešťany town / Trembošová, Miroslava [Autor, UKFFPVKGR, 90%] ; Dubcová, Alena [Autor, UKFFPVKGR, 4%] ; Kramáreková, Hilda [Autor, UKFFPVKGR, 3%] ; Tremboš, Peter [Autor, 3%] ; Mezinárodní kolokvium o regionálních vědách, 22 [12.06.2019-14.06.2019, Velké Bílovice, Česko]. – text. – [angličtina]. – [OV 060, 080]. – [abstrakt z podujatia - KP]. – DOI 10.5817/CZ.MUNI.P210-9268-2019-65. – WOS CC In: 22. mezinárodní kolokvium o regionálních vědách [elektronický dokument] : sborník příspěvků / Klímová, Viktorie [Zostavovateľ, editor] ; Žítek, Vladimír [Zostavovateľ, editor] ; Žárska, Elena [Recenzent]. – 1. vyd. – Roč. 22. – Brno (Česko) : Masarykova univerzita, 2019. – ISBN 978-80-210-9268-6, s. 515-522 [online] </t>
  </si>
  <si>
    <t xml:space="preserve">Implementácia metakognície ako psychodidaktickej aplikácie pri rozvoji digitálnych zručností v pregraduálnej príprave budúcich učiteľov geografie : Implementation of Metacognition as a Psychodidactic Application in the Developing of Digital Skills in the Pre-graduate Preparation of Future Geography Teachers / Rampašeková, Zuzana [Autor, UKFFPVKGR, 34%] ; Nemčíková, Magdaléna [Autor, UKFFPVKGR, 33%] ; Kramáreková, Hilda [Autor, UKFFPVKGR, 33%] ; DidSci PLUS [25.06.2018-27.06.2018, Praha, Česko]. – text. – [slovenčina]. – [OV 010]. – [abstrakt z podujatia - KP] In: DidSci Plus - Research in Didactics of Science PLUS [elektronický dokument] : Proceedings of the International Conference, Charles University - Faculty of Science / Čtrnáctová, Hana [Zostavovateľ, editor] ; Nesměrák, Karel [Zostavovateľ, editor] ; Teplá, Milada [Zostavovateľ, editor]. – 1. vyd. – Praha (Česko) : Univerzita Karlova v Praze, 2018. – ISBN 978-80-7444-065-6, s. 303-313 [CD-ROM] [online] </t>
  </si>
  <si>
    <t xml:space="preserve">Implementácia metakognície ako psycho-didaktickej aplikácie pri rozvoji digitálnych zručností v pregraduálnej príprave budúcich učiteľov geografie / Rampašeková, Zuzana [Autor, UKFFPVKGR, 34%] ; Nemčíková, Magdaléna [Autor, UKFFPVKGR, 33%] ; Kramáreková, Hilda [Autor, UKFFPVKGR, 33%] ; DidSci PLUS [25.06.2018-27.06.2018, Praha, Česko]. – [slovenčina]. – [OV 092]. – [abstrakt z podujatia - KP]. – [recenzované] In: DidSci Plus - Research in Didactics of Science PLUS [elektronický dokument] : Proceedings of the International Conference, Charles University - Faculty of Science / Čtrnáctová, Hana [Zostavovateľ, editor] ; Nesměrák, Karel [Zostavovateľ, editor] ; Teplá, Milada [Zostavovateľ, editor]. – 1. vyd. – Praha (Česko) : Univerzita Karlova v Praze, 2018. – ISBN 978-80-7444-065-6, s. 303-313 [CD-ROM] [online] </t>
  </si>
  <si>
    <t xml:space="preserve">Implementácia stratégií rozvíjajúcich kritické a tvorivé myslenie v pregraduálnej príprave budúcich učiteľov geografie / Nemčíková, Magdaléna [Autor, UKFFPVKGR, 34%] ; Rampašeková, Zuzana [Autor, UKFFPVKGR, 33%] ; Kramáreková, Hilda [Autor, UKFFPVKGR, 33%] ; DidSci PLUS [25.06.2018-27.06.2018, Praha, Česko]. – text. – [slovenčina]. – [OV 092]. – [abstrakt z podujatia - KP]. – [recenzované] In: DidSci Plus - Research in Didactics of Science PLUS [elektronický dokument] : Proceedings of the International Conference, Charles University - Faculty of Science / Čtrnáctová, Hana [Zostavovateľ, editor] ; Nesměrák, Karel [Zostavovateľ, editor] ; Teplá, Milada [Zostavovateľ, editor]. – 1. vyd. – Praha (Česko) : Univerzita Karlova v Praze, 2018. – ISBN 978-80-7444-065-6, s. 259-265 [CD-ROM] [online] </t>
  </si>
  <si>
    <t xml:space="preserve">Implementation of clil method in the teaching process of natural science subjects / Tokárová, Barbora [Autor, 45%] ; Jenisová, Zita [Autor, UKFFPVKCH, 35%] ; Malá, Radka [Autor, UKFFPVKCH, 10%] ; Vajdičková, Renata [Autor, UMBFF06, 10%] ; ICERI 2019, 12 [11.11.2019-13.11.2019, Seville, Španielsko]. – text. – [angličtina]. – [OV 010]. – [abstrakt z podujatia - KP]. – DOI 10.21125/iceri.2019.1007. – WOS CC In: ICERI2019 Proceedings [elektronický dokument] : 12th International conference of education, research and innovation / Gómez Chova, Luis [Zostavovateľ, editor] ; López Martínez, Agustín [Zostavovateľ, editor] ; Candel Torres, Ignacio [Zostavovateľ, editor]. – 1. vyd. – Valencia (Španielsko) : IATED, 2019. – ISBN 978-84-09-14755-7. – ISSN 2340-1095, s. 4022-4029 [USB kľúč] </t>
  </si>
  <si>
    <t xml:space="preserve">Implementation of comics in the teaching process of natural science subjects / Jenisová, Zita [Autor, UKFFPVKCH, 25%] ; Feszterová, Melánia [Autor, UKFFPVKCH, 25%] ; Páleníková, Kitti [Autor, UKFFPVKMA, 20%] ; Kramáreková, Hilda [Autor, UKFFPVKGR, 20%] ; Lednický, Lukáš [Autor, UKFFPVKCH, 10%] ; ICERI 2020 : International Conference of Education, Research and Innovation, 13 [09.11.2020-10.11.2020, Sevilla, Španielsko]. – text. – [angličtina]. – [OV 010]. – [abstrakt z podujatia - KP]. – DOI 10.13187/ejced.2020.4.726 In: ICERI 2020 [elektronický dokument] : 13th international conference of education, research and innovation : transforming education, transforming lives / Gómez Chova, Luis [Zostavovateľ, editor] ; Martínez, Augustín López [Zostavovateľ, editor] ; Torres, I. Candel [Zostavovateľ, editor]. – 1. vyd. – Valencia (Španielsko) : IATED, 2020. – ISBN 978-84-09-24232-0. – ISSN 2340-1095, s. 5598-5607 [USB kľúč] </t>
  </si>
  <si>
    <t xml:space="preserve">Implementation of Inquiry-based Activities in the Teaching Process of Geography / Vilinová, Katarína [Autor, UKFFPVKGR, 50%] ; Petrikovičová, Lucia [Autor, UKFFPVKGR, 50%] ; ICERI 2020 : International Conference of Education, Research and Innovation, 13 [09.11.2020-10.11.2020, Sevilla, Španielsko]. – text. – [angličtina]. – [OV 010, 240]. – [abstrakt z podujatia - KP] In: ICERI 2020 [elektronický dokument] : 13th international conference of education, research and innovation : transforming education, transforming lives / Gómez Chova, Luis [Zostavovateľ, editor] ; Martínez, Augustín López [Zostavovateľ, editor] ; Torres, I. Candel [Zostavovateľ, editor]. – 1. vyd. – Valencia (Španielsko) : IATED, 2020. – ISBN 978-84-09-24232-0. – ISSN 2340-1095, s. 1230-1237 [USB kľúč] </t>
  </si>
  <si>
    <t xml:space="preserve">Implementation of movement-based activities during “reading” wordless picture books at primary level of education / Horváthová, Ivana [Autor, UKFFFAKAA, 100%] ; ICERI 2021, 14 [08.11.2021-09.11.2021, Seville, Španielsko]. – text. – [angličtina]. – [OV 010]. – [abstrakt z podujatia - KP] In: ICERI2021 [elektronický dokument] : 14th annual International Conference of Education, Research and Innovation / Gómez, Chova L. [Zostavovateľ, editor] ; López Martínez, Agustín [Zostavovateľ, editor] ; Candel Torres, Ignacio [Zostavovateľ, editor]. – 1. vyd. – Valencia (Španielsko) : IATED, 2021. – ISBN 978-84-09-34549-6. – ISSN 2340-1095, s. 8749-8753 [online] [USB kľúč] </t>
  </si>
  <si>
    <t xml:space="preserve">Improvement of spelling skills among Hungarian  secondary school students in Slovakia in light of the  spelling competition of József Implom secondary school / Angyal, Ladislav [Autor, UKFFSSUML, 100%] ; EDULEARN21 [05.07.2021-06.07.2021, Barcelona, Španielsko]. – text. – [angličtina]. – [OV 020]. – [abstrakt z podujatia - KP] In: EDULEARN21 [elektronický dokument] : 13th annual International Conference on Education and New Learning Technologies, Barcelona, 5th - 6th of July, 2021 / Chova, Luis Goméz [Zostavovateľ, editor] ; Martínez, Augustín López [Zostavovateľ, editor] ; Torres, I. [Zostavovateľ, editor]. – 1. vyd. – Roč. 13. – Barcelona (Španielsko) : IATED, 2021. – ISBN 978-84-09-31267-2. – ISSN 2340-1117, s. 4040-4047 [CD-ROM] [USB kľúč] </t>
  </si>
  <si>
    <t xml:space="preserve">Improvement of training in occupational safety in dual education / Tureková, Ivana [Autor, UKFPFAKTT, 100%] ; International Technology, Education and Development Conference 2021, 15 [08.03.2021-09.03.2021, Valencia, Španielsko]. – text. – [angličtina]. – [OV 010]. – [abstrakt z podujatia - KP]. – DOI 10.21125/inted.2021.1420 In: INTED2021 [textový dokument (print)] [elektronický dokument] : 15th International Technology, Education and Development Conference : conference proceedings / Chova, Luis Goméz [Zostavovateľ, editor] ; López Martínez, Agustín [Zostavovateľ, editor] ; Candel Torres, Ignacio [Zostavovateľ, editor]. – 1. vyd. – Valencia (Španielsko) : IATED, 2021. – (INTED Proceedings, ISSN 2340-1079). – ISBN 978-84-09-27666-0. – ISSN 2340-1079, s. 7133-7139 [online] </t>
  </si>
  <si>
    <t xml:space="preserve">Improving the Quality of Tools for Experimental Verification of Reading Comprehension Intervention Program Efficiency / Lalinská, Mária [Autor, UKFFFAKRO, 40%] ; Stranovská, Eva [Autor, UKFFFAKGE, 20%] ; Gadušová, Zdenka [Autor, UKFFFAKAA, 20%] ; Kučerková, Magda [Autor, UKFFFAKRO, 20%] ; International Technology, Education and Development Conference 2021, 15 [08.03.2021-09.03.2021, Valencia, Španielsko]. – text. – [angličtina]. – [OV 010]. – [abstrakt z podujatia - KP]. – DOI 10.21125/inted.2021.1099 In: INTED2021 [textový dokument (print)] [elektronický dokument] : 15th International Technology, Education and Development Conference : conference proceedings / Chova, Luis Goméz [Zostavovateľ, editor] ; López Martínez, Agustín [Zostavovateľ, editor] ; Candel Torres, Ignacio [Zostavovateľ, editor]. – 1. vyd. – Valencia (Španielsko) : IATED, 2021. – (INTED Proceedings, ISSN 2340-1079). – ISBN 978-84-09-27666-0. – ISSN 2340-1079, s. 5396-5405 [online] </t>
  </si>
  <si>
    <t xml:space="preserve">Inclusion of Interdisciplinary Approach in the Mathematics Education of Biology Trainee Teachers in Slovakia / Boboňová, Ivana [Autor, 40%] ; Čeretková, Soňa [Autor, UKFFPVKMA, 40%] ; Tirpáková, Anna [Autor, UKFFPVKMA, 10%] ; Markechová, Dagmar [Autor, UKFFPVKMA, 10%] ; ICME 2016, 13 [24.07.2016-31.07.2016, Hamburg, Nemecko]. – text. – [angličtina]. – [OV 240]. – [abstrakt z podujatia - KP]. – [recenzované]. – DOI 10.1007/978-3-030-11066-6. – WOS CC In: Interdisciplinary Mathematics Education [textový dokument (print)] [elektronický dokument] : The State of the Art and Beyond / Doig, Brian [Zostavovateľ, editor]. – 1. vyd. – Roč. 1. – Cham (Švajčiarsko) : Springer Nature, 2019. – (ICME-13 Monographs, ISSN 2520-8322, ISSN 2520-8330). – ISBN 978-3-030-11065-9. – ISBN (online) 978-3-030-11066-6, s. 263-280 [1,24 AH] [tlačená forma] [online] </t>
  </si>
  <si>
    <t xml:space="preserve">Increasing Of the effectivity of learning process with Ict technologies / Jenisová, Zita [Autor, UKFFPVKCH, 45%] ; Balážová, Eva [Autor, 10%] ; Máliková, Barbora [Autor, UKFFPVKCH, 45%] ; Bilychenko, Olga [Recenzent] ; Drtina, René [Recenzent] ; Média a vzdělávání 2018 [20.11.2018, Praha, Česko]. – text. – [angličtina]. – [OV 010]. – [abstrakt z podujatia - KP] In: Média a vzdělávání 2018 [elektronický dokument] : sborník recenzovaných příspěvků mezinárodní vědecké konference / Chromý, Ján [Zostavovateľ, editor]. – 1. vyd. – Praha (Česko) : Extrasystem Praha, 2018. – ISBN 978-80-87570-41-8, s. 155-159 [online] </t>
  </si>
  <si>
    <t xml:space="preserve">Increasing pupils' interest in geometry through mathematical trails / Bočková, Veronika [Autor, UKFFPVKMA, 40%] ; Pavlovičová, Gabriela [Autor, UKFFPVKMA, 40%] ; Čeretková, Soňa [Autor, UKFFPVKMA, 20%] ; ICERI 2020 : International Conference of Education, Research and Innovation, 13 [09.11.2020-10.11.2020, Sevilla, Španielsko]. – text. – [angličtina]. – [OV 010, 240]. – [abstrakt z podujatia - KP]. – DOI 10.21125/iceri.2020.0499 In: ICERI 2020 [elektronický dokument] : 13th international conference of education, research and innovation : transforming education, transforming lives / Gómez Chova, Luis [Zostavovateľ, editor] ; Martínez, Augustín López [Zostavovateľ, editor] ; Torres, I. Candel [Zostavovateľ, editor]. – 1. vyd. – Valencia (Španielsko) : IATED, 2020. – ISBN 978-84-09-24232-0. – ISSN 2340-1095, s. 2038-2047 [USB kľúč] </t>
  </si>
  <si>
    <t xml:space="preserve">Increasing student reading comprehension using eye-tracking data analysis / Kohútek, Michal [Autor, UKFFPVKIN, 50%] ; Turčáni, Milan [Autor, UKFFPVKIN, 50%] ; Efficiency and Responsibility in Education 2020 [04.06.2020-05.06.2020, Praha, Česko]. – text. – [angličtina]. – [OV 160]. – [abstrakt z podujatia - KP]. – WOS CC In: Efficiency and Responsibility in Education 2020 [textový dokument (print)] [elektronický dokument] : Proceedings of the 17th International Conference / Fejfar, Jiří [Zostavovateľ, editor] ; Flégl, Martin [Zostavovateľ, editor]. – 1. vyd. – Praha (Česko) : Česká zemědelská univerzita v Praze, 2020. – ISBN 978-80-213-3022-1. – ISSN 2336-744X, s. 158-165 [tlačená forma] [online] </t>
  </si>
  <si>
    <t xml:space="preserve">Influence of compression pressure on thermal expansion, bulk density, and porosity of electroporcelain after firing / Al-Shantir, Omar [Autor, UKFFPVKFY, 25%] ; Keppert, M. [Autor, 25%] ; Vrabec, Marek [Autor, 25%] ; Trník, Anton [Autor, UKFFPVKFY, 25%] ; 2nd Central European Symposium on Thermophysics 2020, CEST 2020, 2 [02.09.2020-04.09.2020, Eger, Maďarsko]. – [angličtina]. – [OV 091]. – [abstrakt z podujatia - KP]. – DOI 10.1063/5.0025878. – SCO In: Proceedings of the 2nd Central European Symposium on Thermophysics [textový dokument (print)] / Trník, Anton [Zostavovateľ, editor] ; Medveď, Igor [Zostavovateľ, editor]. – 1. vyd. – College Park, Maryland (USA) : American Institute of Physics , 2020. – (AIP Conference Proceedings, ISSN 0094-243X, ISSN 1551-7616 ; Volume 2275, SJR: 0,177 ; CiteScore: 0,7 ; SNIP: 0,314). – ISBN 978-0-7354-4005-0. – ISSN 0094243X. – ISSN (online) 15517616, s. 1-12 [tlačená forma] [online] </t>
  </si>
  <si>
    <t xml:space="preserve">Influence of land use changes on ecological stability in Kráľova Hoľa area (Napant, Slovakia) / Mišovičová, Regína [Autor, UKFFPVKEE, 33.334%] ; Grežo, Henrich [Autor, UKFFPVKEE, 33.333%] ; Pucherová, Zuzana [Autor, UKFFPVKEE, 33.333%] ; Public recreation and landscape protection - with sense hand in hand? [11.05.2020-13.05.2020, Křtiny, Česko]. – text. – [angličtina]. – [OV 100]. – [abstrakt z podujatia - KP]. – [recenzované]. – SCO In: Public recreation and landscape protection  -  with sense hand in hand? [textový dokument (print)] [elektronický dokument] : Conference proceedings, 11th - 13th May 2020 Křtiny / Fialová, Jitka [Zostavovateľ, editor]. – 1. vyd. – Brno (Česko) : Mendelova univerzita v Brně, 2020. – ISBN 978-80-7509-715-6. – ISBN (online) 978-80-7509-716-3. – ISSN 2336-6311. – ISSN (online) 2336-632X, s. 213-218 [tlačená forma] [online] </t>
  </si>
  <si>
    <t xml:space="preserve">Influence of legal environment factors on family businesses in regions of the Slovak Republic / Vojtech, František [Autor, VŠEMVSÚEMKMSP, 33.334%] ; Mižičková, Jarmila [Autor, 33.333%] ; Levický, Michal [Autor, UKFFPVUMI, 33.333%] ; Mezinárodní kolokvium o regionálních vědách, 22 [12.06.2019-14.06.2019, Velké Bílovice, Česko]. – text. – [angličtina]. – [OV 060]. – [abstrakt z podujatia - KP]. – DOI 10.5817/CZ.MUNI.P210-9268-2019-18. – WOS CC In: 22. mezinárodní kolokvium o regionálních vědách [elektronický dokument] : sborník příspěvků / Klímová, Viktorie [Zostavovateľ, editor] ; Žítek, Vladimír [Zostavovateľ, editor] ; Žárska, Elena [Recenzent]. – 1. vyd. – Roč. 22. – Brno (Česko) : Masarykova univerzita, 2019. – ISBN 978-80-210-9268-6, s. 117-124 [online] </t>
  </si>
  <si>
    <t xml:space="preserve">Initiatives of Collecting and Research of Folk Narratives / Hlavinová Tekeliová, Dominika [Autor, UKFFSSUSJ, 100%] ; SGEM 2018 [19.03.2018-21.03.2018, Viedeň, Rakúsko]. – text. – [angličtina]. – [OV 020]. – [abstrakt z podujatia - KP]. – [recenzované]. – DOI 10.5593/sgemsocial2018H/61 In: SGEM 2018 conference proccedings (6.1. Science &amp; Arts : cultural studies, ethnology and folklore literature and poetry, history of arts contemporary arts, performing and visual arts) [textový dokument (print)] [elektronický dokument] / [bez zostavovateľa] [Zostavovateľ, editor]. – 1. vyd. – Roč. 5. – Sofia (Bulharsko) : STEF92 Technology, 2018. – ISBN 978-619-7408-34-8. – ISSN 2367-5659, s. 185-191 [tlačená forma] [online] </t>
  </si>
  <si>
    <t xml:space="preserve">Inkluzívna edukácia/školská integrácia detí s Downovým syndrómom v slovenských materských školách / Balážová, Jana [Autor, UKFPFAKPE, 50%] ; Vojtušová, Lucia [Autor, 50%] ; Mezinárodní Masarykova konference pro doktorandy a mladé vědecké pracovníky 2020, 11 [14.12.2020-16.12.2020, Hradec Králové, Česko]. – text. – [slovenčina]. – [OV 010]. – [abstrakt z podujatia - KP] In: MMK 2020 [elektronický dokument] : Mezinárodní Masarykova konference pro doktorandy a mladé vědecké pracovníky 2020 = recenzovaný sborník příspěvků mezinárodní vědecké konference / [bez zostavovateľa] [Zostavovateľ, editor] ; Lipowski, Jaroslav [Recenzent] ; Jaskułowski, Krzysztof [Recenzent]. – 1. vyd. – Roč. 11. – Hradec Králové (Česko) : Magnanimitas akademické sdružení, 2020. – ISBN 978-80-87952-33-7, s. 765-770 [CD-ROM] [online] </t>
  </si>
  <si>
    <t xml:space="preserve">Innovációs módszerek az irodalomoktatásban / Radics, Rudolf [Autor, UKFFSSUML, 100%] ; A nemzeti összetartozás jegyében [11.03.2021-12.03.2021, Szeged, Maďarsko]. – text. – [maďarčina]. – [OV 010]. – [abstrakt z podujatia - KP]. – [recenzované] In: A nemzeti összetartozás jegyében [elektronický dokument] : Tanulmányok a doktori és posztdoktori képzésben résztvevő, külhoni magyar egyetemi hallgatók online PhD-konferencia előadásaiból / Fejős, Sándor [Zostavovateľ, editor] ; Kanyári, József [Zostavovateľ, editor]. – 1. vyd. – Szeged (Maďarsko) : ELTE Márton Áron Szakkollégium, 2021. – ISBN 978-963-87010-1-5, s. 151-159 [online] </t>
  </si>
  <si>
    <t xml:space="preserve">Innovation and Competitiveness in Regions of the Slovak Republic / Hudáková, Jarmila [Autor, UKFFPVUMI, 70%] ; Maroš, Milan [Autor, UKFFPVUMI, 30%] ; Mezinárodní kolokvium o regionálních vědách, 22 [12.06.2019-14.06.2019, Velké Bílovice, Česko]. – [angličtina]. – [OV 060]. – [abstrakt z podujatia - KP]. – DOI 10.5817/CZ.MUNI.P210-9268-2019-18. – WOS CC In: 22. mezinárodní kolokvium o regionálních vědách [elektronický dokument] : sborník příspěvků / Klímová, Viktorie [Zostavovateľ, editor] ; Žítek, Vladimír [Zostavovateľ, editor] ; Žárska, Elena [Recenzent]. – 1. vyd. – Roč. 22. – Brno (Česko) : Masarykova univerzita, 2019. – ISBN 978-80-210-9268-6, s. 146-152 [online] </t>
  </si>
  <si>
    <t xml:space="preserve">Innovation efforts in promoting literature in university environment / Petres Csizmadia, Gabriela [Autor, UKFFSSUML, 50%] ; Tóth, Anikó [Autor, UKFFSSUML, 50%] ; International Technology, Education and Development Conference 2020, 14 [02.03.2020-04.03.2020, Valencia, Španielsko]. – text. – [angličtina]. – [OV 010, 020]. – [abstrakt z podujatia - KP]. – [recenzované]. – WOS CC In: INTED2020 Proceedings [elektronický dokument] : 14th International Technology, Education and Development Conference / Chova, Luis Goméz [Zostavovateľ, editor] ; López Martínez, Agustín [Zostavovateľ, editor] ; Candel Torres, Ignacio [Zostavovateľ, editor]. – 1. vyd. – Valencia (Španielsko) : IATED, 2020. – (INTED Proceedings, ISSN 2340-1079). – ISBN 978-84-09-17939-8. – ISSN 2340-1079, s. 6219-6224 [online] </t>
  </si>
  <si>
    <t xml:space="preserve">Innovation of CAD/CAE system teaching at upper secondary education / Hašková, Alena [Autor, UKFPFAKTT, 20%] ; Palaj, Miloš [Autor, UKFPFAKTT, 20%] ; Skačan, Miloslav [Autor, UKFPFAKTT, 20%] ; Záhorec, Ján [Autor, UKOPDDPP, 20%] ; Kuna, Peter [Autor, UKFPFAKTT, 20%] ; International Conference on Interactive Collaborative Learning, 20 [27.09.2017-29.09.2017, Budapešť, Maďarsko]. – [angličtina]. – [OV 010]. – [abstrakt z podujatia - KP]. – [recenzované]. – DOI 10.1007/978-3-319-73210-7_60. – CPCI-S ; WOS CC ; SCO In: Teaching and learning in a digital world (1. Volume) [textový dokument (print)] [elektronický dokument] : Proceedings of the 20th International Conference on Interactive Collaborative Learning / Auer, Michael [Zostavovateľ, editor] ; Guralnick, David [Zostavovateľ, editor] ; Simonics, Istvan [Zostavovateľ, editor]. – 1. vyd. – Berlín (Nemecko) : Springer Nature. Springer International Publishing AG, 2018. – (Advances in Intelligent Systems and Computing, ISSN 2194-5357, ISSN 2194-5365 ; 716, SJR: 0,174 ; CiteScore: 0,8 ; SNIP: 0,448). – ISBN 9783319732091. – ISBN (online) 978-3-319-73210-7, s. 507-515 [tlačená forma] [online] Scimago - Computer science (miscellaneous) - Q3, Control and systems engineering - Q4 </t>
  </si>
  <si>
    <t xml:space="preserve">Innovation of Technical Education at the Second Stage of Primary Schools / Depešová, Jana [Autor, UKFPFAKTT, 50%] ; Kostolanský, Lukáš [Autor, UKFPFAKTT, 50%] ; ICERI 2020 : International Conference of Education, Research and Innovation, 13 [09.11.2020-10.11.2020, Sevilla, Španielsko]. – text. – [angličtina]. – [OV 010]. – [abstrakt z podujatia - KP] In: ICERI 2020 [elektronický dokument] : 13th international conference of education, research and innovation : transforming education, transforming lives / Gómez Chova, Luis [Zostavovateľ, editor] ; Martínez, Augustín López [Zostavovateľ, editor] ; Torres, I. Candel [Zostavovateľ, editor]. – 1. vyd. – Valencia (Španielsko) : IATED, 2020. – ISBN 978-84-09-24232-0. – ISSN 2340-1095, s. 3922-3929 [USB kľúč] </t>
  </si>
  <si>
    <t xml:space="preserve">Innovations in the field of inter - municipal cooperation / Tej, Juraj [Autor, PUPFMKM, 34%] ; Vavrek, Roman [Autor, 33%] ; Papcunová, Viera [Autor, UKFFPVUMI, 33%] ; Mezinárodní kolokvium o regionálních vědách, 24 [01.09.2021-03.09.2021, Brno, Česko]. – text. – [slovenčina]. – [OV 080]. – [abstrakt z podujatia - KP]. – [recenzované]. – DOI 10.5817/CZ.MUNI.P210-9896-2021-56. – SIGN-PU FM-21 174/21 In: 24. Mezinárodní kolokvium o regionálních vědách [elektronický dokument] : sborník příspěvků Brno 1.9-3.9.2021 / Klímová, Viktorie [Zostavovateľ, editor] ; Žítek, Vladimír [Zostavovateľ, editor]. – 1. vyd. – Roč. 24. – Brno (Česko) : Masarykova univerzita, 2021. – ISBN 978-80-210-9896-1, s. 455-463 [CD-ROM] [online] </t>
  </si>
  <si>
    <t xml:space="preserve">Innovations in University Education / Žitný, Rastislav [Autor, UKFFSSUVP, 50%] ; Balla, Štefan [Autor, UKFFSSUVP, 25%] ; Szabó, Tibor [Autor, UKFFSSUVP, 25%] ; Sapere Aude 2019, 9 [27.05.2019-29.05.2019, Hradec Králové, Česko]. – text. – [angličtina]. – [OV 010]. – [abstrakt z podujatia - KP]. – [recenzované] In: Sapere Aude 2019 [elektronický dokument] : společnost a profese učitele : recenzovaný sborník příspěvků vědecké konference s mezinárodní účastí / [bez zostavovateľa] [Zostavovateľ, editor]. – 1. vyd. – Roč. 9. – Hradec Králové (Česko) : Magnanimitas akademické sdružení, 2019. – ISBN 978-80-87952-29-0, s. 224-231 [online] [CD-ROM] </t>
  </si>
  <si>
    <t xml:space="preserve">Innovative method of conceptual mapping / Gunišová, Denisa [Autor, UKFPFAKPE, 50%] ; Kozárová, Nina [Autor, UKFPFAKPE, 50%] ; ICERI 2019, 12 [11.11.2019-13.11.2019, Seville, Španielsko]. – text. – [angličtina]. – [OV 010]. – [abstrakt z podujatia - KP]. – WOS CC In: ICERI2019 Proceedings [elektronický dokument] : 12th International conference of education, research and innovation / Gómez Chova, Luis [Zostavovateľ, editor] ; López Martínez, Agustín [Zostavovateľ, editor] ; Candel Torres, Ignacio [Zostavovateľ, editor]. – 1. vyd. – Valencia (Španielsko) : IATED, 2019. – ISBN 978-84-09-14755-7. – ISSN 2340-1095, s. 3749-3755 [USB kľúč] </t>
  </si>
  <si>
    <t xml:space="preserve">Inquiry-based learning and its using in geography at the second level of primary schools / Vilinová, Katarína [Autor, UKFFPVKGR, 80%] ; Kabátová, Veronika [Autor, 20%] ; (Teaching) Regional Geography, 27 [17.10.2019, Brno, Česko]. – text. – [angličtina]. – [OV 092]. – [abstrakt z podujatia - KP] In: (Teaching) Regional Geography [textový dokument (print)] [elektronický dokument] : Proceedings of 27th Central European Conference, Brno, 17th October 2019 / Mísařová, Darina [Zostavovateľ, editor] ; Petráková, Jana [Zostavovateľ, editor]. – 1. vyd. – Brno (Česko) : Masaryk University Press, 2020. – ISBN 978-80-210-9693-6. – ISBN (online) 978-80-210-9694-3, s. 225-236 </t>
  </si>
  <si>
    <t xml:space="preserve">Inquiry-Based Learning in Computer Science Classroom / Tkáčová, Zuzana [Autor, UKFPFAKTT, 60%] ; Šnajder, Ľubomír [Autor, UPS14500, 25%] ; Guniš, Ján [Autor, UPS14500, 15%] ; Informatics in Schools: Situation, Evolution, and Perspectives 2019, 12 [18.11.2019-20.11.2019, Larnaca, Cyprus]. – text. – [angličtina]. – [OV 160]. – [abstrakt z podujatia - KP]. – sign UPJS SSEP 020845. – WOS CC ; SCO In: Informatics in Schools. New Ideas in School Informatics [textový dokument (print)] [elektronický dokument] : Proceedings / Pozdniakov, Sergei N. [Zostavovateľ, editor] ; Dagienė, Valentina [Zostavovateľ, editor]. – 1. vyd. – Cham (Švajčiarsko) : Springer Nature, 2019. – (Lecture Notes in Computer Science, ISSN 0302-9743, ISSN 1611-3349 ; 11913, SJR: 0,427 ; CiteScore: 1,9 ; SNIP: 0,776). – ISBN 978-3-030-33758-2. – ISBN (online) 978-3-030-33759-9, s. 68-79 [tlačená forma] [online] Scimago - Computer science (miscellaneous) - Q2, Theoretical computer science - Q3 </t>
  </si>
  <si>
    <t xml:space="preserve">Inscenování jako součast vyučovacího procesu = Staging as Part of the Teaching Process / Tischler, Ladislav [Autor, UKFPFAKHU, 100%] ; QUAERE 2021, 11 [28.06.2021-30.06.2021, Hradec Králové, Česko]. – text. – [čeština]. – [OV 010]. – [abstrakt z podujatia - KP] In: QUAERE 2021 [elektronický dokument] : recenzovaný sborník příspěvků interdisciplinární mezinárodní vědecké konference doktorandů a odborných asistentů, Hradec Králové 28.6.2021 - 30.6.2021 / [bez zostavovateľa] [Zostavovateľ, editor]. – 1. vyd. – Roč. 11. – Hradec Králové (Česko) : Magnanimitas akademické sdružení, 2021. – ISBN 978-80-87952-34-4, s. 615-620 [online] </t>
  </si>
  <si>
    <t xml:space="preserve">In-service english teachers' perceptions of tefl at primary schools in Slovakia / Pauliková, Klaudia [Autor, UKFPFAKLI, 100%] ; Mezinárodní Masarykova konference pro doktorandy a mladé vědecké pracovníky 2020, 11 [14.12.2020-16.12.2020, Hradec Králové, Česko]. – text. – [slovenčina]. – [OV 010]. – [abstrakt z podujatia - KP] In: MMK 2020 [elektronický dokument] : Mezinárodní Masarykova konference pro doktorandy a mladé vědecké pracovníky 2020 = recenzovaný sborník příspěvků mezinárodní vědecké konference / [bez zostavovateľa] [Zostavovateľ, editor] ; Lipowski, Jaroslav [Recenzent] ; Jaskułowski, Krzysztof [Recenzent]. – 1. vyd. – Roč. 11. – Hradec Králové (Česko) : Magnanimitas akademické sdružení, 2020. – ISBN 978-80-87952-33-7, s. 783-789 [CD-ROM] [online] </t>
  </si>
  <si>
    <t xml:space="preserve">In-service teachers' views on developing communicative competence at primary level in the process of tefl in Slovakia / Pauliková, Klaudia [Autor, UKFPFAKLI, 100%] ; CBU International Conference, 9 [17.03.2021, Praha, Česko]. – text. – [angličtina]. – [OV 010]. – [abstrakt z podujatia - KP] In: Proceedings of CBU in Social Sciences [textový dokument (print)] [elektronický dokument] : CBU international conference on innovations in science and education 2021 / Hajek, Petr [Zostavovateľ, editor] ; Vít, Ondřej [Zostavovateľ, editor]. – 1. vyd. – Praha (Česko) : CBU Research Institute, 2021. – (Proceedings of CBU in Social Sciences, ISSN 2695-0715, ISSN 2695-0723 ; Vol 2). – ISBN 978-80-908061-7-7. – ISBN (online) 978-80-908061-6-0, s. 279-285 [tlačená forma] [online] </t>
  </si>
  <si>
    <t xml:space="preserve">Integrating Collected Labor Market Materials Into The Education : Students Opinion / Schulcz, Patrik [Autor, UKFFSSUML, 100%] ; Comparative European Research 2021, 15 [29.03.2021-31.03.2021, Londýn, Veľká Británia]. – text. – [angličtina]. – [OV 020]. – [abstrakt z podujatia - KP] In: CER Comparative European Research 2021 [elektronický dokument] : proceedings / research track of the 16th Biannual CER Comparative European Research Conference / McGreevy, Michael [Zostavovateľ, editor] ; Rita, Robert [Zostavovateľ, editor]. – 1. vyd. – Roč. 8, č. 2. – London (Veľká Británia) : Sciemcee, 2021. – ISBN 978-1-7399378-0-5, s. 98-105 [CD-ROM] </t>
  </si>
  <si>
    <t xml:space="preserve">Integration of digital technology applications into the pre-gradual teacher training / Hašková, Alena [Autor, UKFPFAKTT, 33%] ; Munk, Michal [Autor, UKFFPVKIN, 33%] ; Záhorec, Ján [Autor, UKOPDDPP, 34%] ; International Conference on Interactive Collaborative Learning, 22 [25.09.2019-28.09.2019, Bangkok, Thajsko]. – text, graf., tab. – [angličtina]. – [OV 010]. – [abstrakt z podujatia - KP]. – [recenzované]. – SIGN-UKO PD DP/20. – SCO In: The Impact of the 4th Industrial Revolution on Engineering Education [textový dokument (print)] [elektronický dokument] / Auer, Michael [Zostavovateľ, editor] ; Hortsch, Hanno [Zostavovateľ, editor] ; Sethakul, Panarit [Zostavovateľ, editor]. – 1. vyd. – Roč. 2. – Cham (Švajčiarsko) : Springer Verlag, 2020. – (Advances in Intelligent Systems and Computing, ISSN 2194-5357, ISSN 2194-5365 ; 1135). – ISBN 978-3-030-40271-6. – ISBN (online) 978-3-030-40270-9, s. 892-901 [tlačená forma] [online] </t>
  </si>
  <si>
    <t xml:space="preserve">Integration of the green infrastructure approach into landscape architecture design studio teaching / Tóth, Attila [Autor, UKFFSSUVP, 50%] ; Feriancová, Ľubica [Autor, SPUFZK09, 50%] ; ECLAS conference [09.09.2018-12.09.2018, Ghent, Belgicko]. – [angličtina]. – [OV 190]. – [abstrakt z podujatia - KP] In: Lessons from the past, visions for the future: Celebrating one hundred years of landscape architecture education in Europe [elektronický dokument] [textový dokument (print)] : ECLAS and UNISCAPE annual conference 2019, 16-17 September 2019 / Gao, Lei [Zostavovateľ, editor] ; Egoz, Shelley [Zostavovateľ, editor] ; Alici, Antonello [Recenzent] ; Alon-Mozes, Tal [Recenzent]. – st vyd. – Ås (Nórsko) : Norwegian University of Life Sciences, 2019. – ISBN 978-82-575-1642-0, s. 82-83 [tlačená forma] [online] </t>
  </si>
  <si>
    <t xml:space="preserve">Inteligencia u detí so špecifickými poruchami učenia = Intelligence among children with specific learning disabilities / Jančiarová, Mária [Autor, UKFFSVKPV, 50%] ; Popelková, Marta [Autor, UKFFSVKPV, 50%] ; QUAERE 2018, 8 [27.06.2018-29.06.2018, Hradec Králové, Česko]. – text. – [slovenčina]. – [OV 060]. – [abstrakt z podujatia - KP]. – [recenzované] In: QUAERE 2018 [elektronický dokument] : recenzovaný sborník příspěvků vědecké interdisciplinární mezinárodní vědecké konference doktorandů a odborných asistentů / [bez zostavovateľa] [Zostavovateľ, editor]. – 1. vyd. – Roč. 8. – Hradec Králové (Česko) : Magnanimitas akademické sdružení, 2018. – ISBN 978-80-87952-26-9, s. 1127-1133 [CD-ROM] </t>
  </si>
  <si>
    <t xml:space="preserve">Interaktív webes alkalmazások használata a pénzügyi ismeretek oktatásában / Pšenák, Péter [Autor, UKOMAKFE, 45%] ; Pšenáková, Ildikó [Autor, TUTPFKMI, 45%] ; Szabó, Tibor [Autor, UKFFSSUVP, 10%] ; InfoDidact 2019, 12 [21.11.2019-23.11.2019, Zamárdi, Maďarsko]. – text. – [maďarčina]. – [OV 010, 080]. – [abstrakt z podujatia - KP]. – [recenzované]. – TUTPFKMI signatúra E078927 In: InfoDidact 2019 [elektronický dokument] : 12. Informatika Szakmódszertani = Konferencia / Szlávi, Péter [Zostavovateľ, editor] ; Zsakó, László [Zostavovateľ, editor]. – 1. vyd. – Budapešť (Maďarsko) : Webdidaktika Alapítvány, 2020. – ISBN (online) 978-615-80608-3-7, s. 237-244 [online] </t>
  </si>
  <si>
    <t xml:space="preserve">Interaktívny učebný materiál ako pomôcka na rozvoj priestorovej predstavivosti žiakov = Interactive learning material as aid for the development of students’ spatial imagination / Szabó, Tibor [Autor, UKFFSSUVP, 50%] ; Pšenáková, Ildikó [Autor, TUTPFKMI, 50%] ; DidMatTech 2020, 33 [25.06.2020-26.06.2020, Budapešť, Maďarsko]. – [slovenčina]. – [OV 010]. – [abstrakt z podujatia - KP]. – [recenzované]. – TUTPFKMI signatúra E081207 In: Proceedings of 33. DidMatTEech 2020 Conference [elektronický dokument] : New methods and technologies in education, research and practice / Abonyi-Tóth, Andor [Zostavovateľ, editor] ; Stoffová, Veronika [Zostavovateľ, editor] ; Zsakó, László [Zostavovateľ, editor]. – 1. vyd. – Budapešť (Maďarsko) : Eötvös Loránd Tudományegyetem, 2020. – ISBN 978-963-489-244-1. – TUTPFKMI signatúra E081207, s. 224-230 [online] </t>
  </si>
  <si>
    <t xml:space="preserve">Intercultural Activities in Teaching English Language / Ivenz, Petra [Autor, UKFPFAKLI, 100%] ; Aktuální problémy pedagogiky ve výzkumech studentů doktorských studijních programů 16, 16 [04.11.2020, Olomouc, Česko]. – text. – [angličtina]. – [OV 010]. – [abstrakt z podujatia - KP] In: Aktuální problémy pedagogiky ve výzkumech studentů doktorských studijních programů 16 [elektronický dokument] : recenzovaný sborník příspěvků z  mezinárodní vědecké online konference konané dne 4. listopadu 2020 v Olomouci = working academics value excellence for international teachers / Buchtová, Tereza [Zostavovateľ, editor] ; Balaban, Vlado [Zostavovateľ, editor] ; Cibáková, Dana [Recenzent] ; Čech, Tomáš [Recenzent]. – 1. vyd. – Roč. 16. – Olomouc (Česko) : Univerzita Palackého v Olomouci, 2021. – ISBN (online) 978-80-244-6011-6. – ISBN (online) 978-80-244-6010-9, s. 177-182 [online] [CD-ROM] </t>
  </si>
  <si>
    <t xml:space="preserve">Interdisciplinary education and popularization of onomastics at the Institute of Hungarian Language and Literary Science of University in Nitra / Bauko, Ján [Autor, UKFFSSUML, 100%] ; International Technology, Education and Development Conference 2021, 15 [08.03.2021-09.03.2021, Valencia, Španielsko]. – text. – [angličtina]. – [OV 010]. – [abstrakt z podujatia - KP]. – DOI 10.21125/inted.2021.0906 In: INTED2021 [textový dokument (print)] [elektronický dokument] : 15th International Technology, Education and Development Conference : conference proceedings / Chova, Luis Goméz [Zostavovateľ, editor] ; López Martínez, Agustín [Zostavovateľ, editor] ; Candel Torres, Ignacio [Zostavovateľ, editor]. – 1. vyd. – Valencia (Španielsko) : IATED, 2021. – (INTED Proceedings, ISSN 2340-1079). – ISBN 978-84-09-27666-0. – ISSN 2340-1079, s. 4444-4451 [online] </t>
  </si>
  <si>
    <t xml:space="preserve">Interdisciplinary E-learning Course Focused on the Theme of Waste / Feszterová, Melánia [Autor, UKFFPVKCH, 100%] ; SGEM 2018, 5 [26.08.2018-01.09.2018, Albena, Bulharsko]. – text. – [angličtina]. – [OV 120]. – [abstrakt z podujatia - KP]. – [recenzované] In: SGEM 2018 conference proceedings (3.4. Science and Society : education and educational research) [textový dokument (print)] [elektronický dokument] / [bez zostavovateľa] [Zostavovateľ, editor]. – 1. vyd. – Roč. 5. – Albena (Bulharsko) : STEF92 Technology, 2018. – ISBN 978-619-7408-56-0. – ISSN 2367-5659, s. 443-449 [tlačená forma] [online] </t>
  </si>
  <si>
    <t xml:space="preserve">Intergenerational relationships in a family / Selická, Denisa [Autor, UKFFFAKSO, 50%] ; Štrbová, Monika [Autor, UKFFFAKSO, 50%] ; Vančová, Alica [Recenzent] ; Kusin, Vasiľ [Recenzent] ; Die wirtschaftliche Entwicklung europäischer Regionen in der Ausbildungs- und Arbeitsmarktpolitik [16.02.2018-17.02.2018, Krakow, Poľsko]. – text. – [angličtina]. – [OV 060]. – [abstrakt z podujatia - KP] In: Die wirtschaftliche Entwicklung europäischer Regionen in der Ausbildungs- und Arbeitsmarktpolitik [textový dokument (print)] : Übergänge und Strategien 2 / Holonič, Ján [Zostavovateľ, editor] ; Baková, Daniela [Zostavovateľ, editor] ; Kopinec, Pavol [Zostavovateľ, editor] ; Nikel, Marek [Zostavovateľ, editor]. – 1. vyd. – Krakow (Poľsko) : Uniwersytet Pedagogiczny im. Komisji Edukacji Narodowej w Krakowie, 2018. – ISBN 978-83-947579-3-9, s. 214-224 [tlačená forma] </t>
  </si>
  <si>
    <t xml:space="preserve">Interkulturelle und interliterarische Kommunikation im Zusammenhang mit dem Konzept der Nitraer translatologischen Schule : Norbert Bachleitner zum 65. Geburtstag gewidmet / Hlavinová Tekeliová, Dominika [Autor, UKFFSSUSJ, 100%] ; Begegnungen zentraleuropäischer Literaturwissenschaft [06.09.2021, Berlín, Nemecko]. – text. – [nemčina]. – [OV 020]. – [abstrakt z podujatia - KP] In: Begegnungen zentraleuropäischer Literaturwissenschaft [textový dokument (print)] : Norbert Bachleitner zum 65. Geburtstag gewidmet, konferenz Berlin 6.9.2021 / Hölter, Achim [Zostavovateľ, editor]. – 1. vyd. – Berlín (Nemecko) : WEIDLER Buchverlag, 2021. – ISBN 978-3-89693-764-3, s. 233-240 [tlačená forma] </t>
  </si>
  <si>
    <t xml:space="preserve">Interná migrácia za prácou vo vybranom regióne Slovenska / Hudáková, Jarmila [Autor, UKFFPVUMI, 50%] ; Papcunová, Viera [Autor, UKFFPVUMI, 50%] ; Region v rozvoji společnosti 2019 [10.10.2019-11.10.2019, Brno, Česko]. – text. – [slovenčina]. – [OV 080]. – [abstrakt z podujatia - KP] In: Region v rozvoji společnosti 2019 [elektronický dokument] : sborník příspěvků z mezinárodní vědecké konference, Brno, 10 - 11. října 2019 / [bez zostavovateľa] [Zostavovateľ, editor]. – 1. vyd. – Brno (Česko) : Mendelova univerzita v Brně, 2019. – ISBN 978-80-7509-709-5, s. 129-136 [online] </t>
  </si>
  <si>
    <t xml:space="preserve">International interinstitutional coordination of vocational education and training of programmers for Industry 4.0 needs / Kuna, Peter [Autor, UKFFPVKIN, 34%] ; Hašková, Alena [Autor, UKFPFAKTT, 33%] ; Arras, Peter [Autor, 33%] ; ETEMS 2021 – IEEE 2021 [18.03.2021-20.03.2021, Dortmund, Nemecko]. – text. – [angličtina]. – [OV 010]. – [abstrakt z podujatia - KP] In: ETEMS 2021 – IEEE 2021 [textový dokument (print)] : European Technology &amp; Engineering Management Summit : Conference publications, Dortmund University of Applied Sciences and Arts Dortmund, Germany, 18 - 20 March 2021 / Nalewaik, Alexia [Zostavovateľ, editor]. – 1. vyd. – Dortmund (Nemecko) : Dortmund University of Applied Sciences and Arts, 2021. – ISBN 978-1-6654-1977-2, s. 84-89 [tlačená forma] </t>
  </si>
  <si>
    <t xml:space="preserve">Internationalization of university education through the ERASMUS+ / Klimentová, Anna [Autor, UKFPFAKPE, 50%] ; Kurincová, Viera [Autor, UKFPFAKPE, 50%] ; International Technology, Education and Development Conference 2021, 15 [08.03.2021-09.03.2021, Valencia, Španielsko]. – text. – [angličtina]. – [OV 010]. – [abstrakt z podujatia - KP]. – DOI 10.21125/inted.2021.1555 In: INTED2021 [textový dokument (print)] [elektronický dokument] : 15th International Technology, Education and Development Conference : conference proceedings / Chova, Luis Goméz [Zostavovateľ, editor] ; López Martínez, Agustín [Zostavovateľ, editor] ; Candel Torres, Ignacio [Zostavovateľ, editor]. – 1. vyd. – Valencia (Španielsko) : IATED, 2021. – (INTED Proceedings, ISSN 2340-1079). – ISBN 978-84-09-27666-0. – ISSN 2340-1079, s. 7736-7742 [online] </t>
  </si>
  <si>
    <t xml:space="preserve">Interpersonal relationships as the basis of student moral formation / Králik, Roman [Autor, UKFFFAKAE 06.2022, 20%] ; Máhrik, Tibor [Autor, 80%] ; ICERI 2019, 12 [11.11.2019-13.11.2019, Seville, Španielsko]. – text. – [angličtina]. – [OV 020]. – [abstrakt z podujatia - KP]. – WOS CC In: ICERI2019 Proceedings [elektronický dokument] : 12th International conference of education, research and innovation / Gómez Chova, Luis [Zostavovateľ, editor] ; López Martínez, Agustín [Zostavovateľ, editor] ; Candel Torres, Ignacio [Zostavovateľ, editor]. – 1. vyd. – Valencia (Španielsko) : IATED, 2019. – ISBN 978-84-09-14755-7. – ISSN 2340-1095, s. 8896-8900 [USB kľúč] </t>
  </si>
  <si>
    <t xml:space="preserve">Interpretácia výsledkov modelu erózie pôdy vo vybranej časti Nitrianskej pahorkatiny = Interpretation of soil erosion model results in the selected part of the Nitrianska pahorkatina / Rampašeková, Zuzana [Autor, UKFFPVKGR, 40%] ; Šolcová, Lucia [Autor, UKFFPVKGR, 30%] ; Moravčík, Matúš [Autor, 30%] ; Wokoun, René [Recenzent] ; Viturka, Milan [Recenzent] ; Mezinárodní kolokvium o regionálních vědách, 21 [13.06.2018-15.06.2018, Kurdějov, Česko]. – [slovenčina]. – [OV 092]. – [abstrakt z podujatia - KP]. – DOI 10.5817/CZ.MUNI.P210-8970-2018-89 In: 21. mezinárodní kolokvium o regionálních vědách [textový dokument (print)] [elektronický dokument] : sborník příspěvků, Kurdějov 13. - 15. června 2018 = Conference Proceedings / Klímová, Viktorie [Zostavovateľ, editor] ; Žítek, Vladimír [Zostavovateľ, editor]. – 1. vyd. – Brno (Česko) : Masarykova univerzita, 2018. – ISBN 978-80-210-8969-3. – ISBN (online) 978-80-210-8970-9, s. 677-684 [tlačená forma] [online] </t>
  </si>
  <si>
    <t xml:space="preserve">Interpretácia zmien krajiny obce Ždiar so zameraním na cestovný ruch / Pucherová, Zuzana [Autor, UKFFPVKEE, 55%] ; Mišovičová, Regína [Autor, UKFFPVKEE, 20%] ; Bugár, Gabriel [Autor, UKFFPVKEE, 15%] ; Grežo, Henrich [Autor, UKFFPVKEE, 10%] ; Aktuální problémy cestovního ruchu, 14 [27.02.2019-28.02.2019, Jihlava, Česko]. – text. – [slovenčina]. – [OV 092]. – [abstrakt z podujatia - KP] In: Aktuální problémy cestovního ruchu [elektronický dokument] : „Cestovní ruch - příležitost pro venkov" : recenzovaný sborník z mezinárodní konference / Linderová, Ivica [Zostavovateľ, editor]. – 1 vyd. – Roč. 14. – Jihlava (Česko) : Vysoká škola polytechnická Jihlava, 2019. – ISBN 978-80-88064-43-5. – ISBN (online) 978-80-88064-42-8, s. 283-291 [online] [CD-ROM] </t>
  </si>
  <si>
    <t xml:space="preserve">Interpretative possibilities of exploring the motif of figural transformation in magical folk tales / Danišová, Nikola [Autor, UKFFFAULK, 100%] ; CER Comparative European Research 2019, 12 [28.10.2019-30.10.2019, Londýn, Veľká Británia]. – text. – [angličtina]. – [OV 020]. – [abstrakt z podujatia - KP] In: CER Comparative European Research 2019 [elektronický dokument] : proceedings/research track of the 12th biannual CER Comparative European Research conference / McGreevy, Michael [Zostavovateľ, editor] ; Rita, Robert [Zostavovateľ, editor]. – 1. vyd. – Roč. 6, č. 2. – Londýn (Veľká Británia) : Sciemcee. Sciemcee Publishing, 2019. – ISBN 978-1-9993071-5-8, s. 198-201 [online] [CD-ROM] </t>
  </si>
  <si>
    <t xml:space="preserve">Intervention programs as a means of developing linguistic, sociolinguistic and intercultural competence in romance languages / Rusnáková, Natália [Autor, UKFFFAKRO, 25%] ; Lalinská, Mária [Autor, UKFFFAKRO, 25%] ; Hučková, Jana [Autor, UKFFFAKMK, 25%] ; De Miguel Santos, César [Autor, UKFFFAKRO, 25%] ; International Technology, Education and Development Conference 2021, 15 [08.03.2021-09.03.2021, Valencia, Španielsko]. – text. – [angličtina]. – [OV 020]. – [abstrakt z podujatia - KP]. – DOI 10.21125/inted.2021.2186 In: INTED2021 [textový dokument (print)] [elektronický dokument] : 15th International Technology, Education and Development Conference : conference proceedings / Chova, Luis Goméz [Zostavovateľ, editor] ; López Martínez, Agustín [Zostavovateľ, editor] ; Candel Torres, Ignacio [Zostavovateľ, editor]. – 1. vyd. – Valencia (Španielsko) : IATED, 2021. – (INTED Proceedings, ISSN 2340-1079). – ISBN 978-84-09-27666-0. – ISSN 2340-1079, s. 5102-5111 [online] </t>
  </si>
  <si>
    <t xml:space="preserve">Intonačné stereotypy v slovenských médiách / Olšiak, Marcel [Autor, UKFFFASJL, 100%] ; Stereotipat v slavianskite ezici, literaturi i kulturi [26.04.2018-28.04.2018, Sofia, Bulharsko]. – text. – [slovenčina]. – [OV 020]. – [abstrakt z podujatia - KP]. – [recenzované] In: Stereotipat v slavianskite ezici, literaturi i kulturi (Tom I. Ezikoznanie) [textový dokument (print)] [elektronický dokument] : sbornik s dokladi ot Četirinadesetite meždunarodni slavistični četenija / Avramova, Cvetanka [Zostavovateľ, editor]. – 1. vyd. – Sofia (Bulharsko) : Universitetsko Izdatelstvo Sv. Kliment Okhridski, 2019. – ISBN 978-954-07-4883-2. – ISBN (online) 978-954-07-4895-5, s. 200-204 [tlačená forma] [online] </t>
  </si>
  <si>
    <t xml:space="preserve">Intonačné špecifiká súčasného televízneho spravodajstva / Petráš, Patrik [Autor, UKFFFASJL, 100%] ; Kolokvium mladých jazykovedcov, 24 [09.09.2015-11.09.2015, Praha, Česko]. – text. – [slovenčina]. – [OV 020]. – [abstrakt z podujatia - KP] In: Varia 24 [elektronický dokument] : zborník príspevkov z 24. kolokvia mladých jazykovedcov / Simeunovich-Skvortsova, Maria [Zostavovateľ, editor] ; Gajdošová, Katarína [Zostavovateľ, editor] ; Saicová Římalová, Lucie [Recenzent] ; Stranz-Nikitina, Veronika [Recenzent]. – 1. vyd. – Roč. 24. – Praha (Česko) : Univerzita Karlova v Praze, 2019. – ISBN 978-80-7308-757-9, s. 455-481 [online] </t>
  </si>
  <si>
    <t xml:space="preserve">Introduction To The Problematics Of Bullying, Cyberbullying and Cyber- aggression - Analysis Of Selected Methods Of Prevention and Intervention / Žovinec, Erik [Autor, UKFPFAKPE, 50%] ; Sender, Barbora [Autor, UKFPFAKPE, 50%] ; ICERI 2021, 14 [08.11.2021-09.11.2021, Seville, Španielsko]. – text. – [angličtina]. – [OV 010]. – [abstrakt z podujatia - KP]. – DOI 10.21125/iceri.2021 In: ICERI2021 [elektronický dokument] : 14th annual International Conference of Education, Research and Innovation / Gómez, Chova L. [Zostavovateľ, editor] ; López Martínez, Agustín [Zostavovateľ, editor] ; Candel Torres, Ignacio [Zostavovateľ, editor]. – 1. vyd. – Valencia (Španielsko) : IATED, 2021. – ISBN 978-84-09-34549-6. – ISSN 2340-1095, s. 3783-3794 [online] [USB kľúč] </t>
  </si>
  <si>
    <t xml:space="preserve">Intuition, Imagination and Visual Evidence in Geometry / Kmeťová, Mária [Autor, UKFFPVKMA, 100%] ; ICERI 2020 : International Conference of Education, Research and Innovation, 13 [09.11.2020-10.11.2020, Sevilla, Španielsko]. – text. – [angličtina]. – [OV 010, 240]. – [abstrakt z podujatia - KP] In: ICERI 2020 [elektronický dokument] : 13th international conference of education, research and innovation : transforming education, transforming lives / Gómez Chova, Luis [Zostavovateľ, editor] ; Martínez, Augustín López [Zostavovateľ, editor] ; Torres, I. Candel [Zostavovateľ, editor]. – 1. vyd. – Valencia (Španielsko) : IATED, 2020. – ISBN 978-84-09-24232-0. – ISSN 2340-1095, s. 6298-6304 [USB kľúč] </t>
  </si>
  <si>
    <t xml:space="preserve">Invest software as a modelling tool for ecosystem services assessment (example of pollinator abundance model for Nitra and surrounding area) / Jančovič, Martin [Autor, UKFFPVKEE, 100%] ; Useful Geography: Transfer from Research to Practice, 25 [12.10.2017-13.10.2017, Brno, Česko]. – text. – [angličtina]. – [OV 092]. – [abstrakt z podujatia - KP]. – [recenzované]. – WOS CC In: Useful Geography: Transfer from Research to Practice [textový dokument (print)] [elektronický dokument] : Proceedings of 25th Central European Conference, 12th-13th October 2017, Brno / Svobodová, Hana [Zostavovateľ, editor]. – 1. vyd. – Brno (Česko) : Masarykova univerzita, 2018. – ISBN 978-80-210-8907-5. – ISBN (online) 978-80-210-8908-2, s. 154-164 [tlačená forma] [online] </t>
  </si>
  <si>
    <t xml:space="preserve">Isothermal thermodilatometric study of illitic clay during sintering / Nosov, Dmytro [Autor, 50%] ; Trník, Anton [Autor, UKFFPVKFY, 50%] ; Central European Symposium on Thermophysics, 3 [01.09.2021-03.09.2021, Kazimierz Dolny, Poľsko]. – text. – [angličtina]. – [OV 091]. – [abstrakt z podujatia - KP]. – DOI 10.1063/5.0069692. – WOS CC ; SCO In: Proceedings of the 3rd Central European Symposium on Thermophysics [elektronický dokument] / Trník, Anton [Zostavovateľ, editor] ; Suchorab, Zbigniew [Zostavovateľ, editor]. – 1. vyd. – Melville, NY (USA) : American Institute of Physics . AIP Publishing, 2021. – ISBN 978-0-7354-4139-2, s. 1-15 [online] </t>
  </si>
  <si>
    <t xml:space="preserve">J. M. Lochman's inpiration by T. G. Masaryk / Pavlíková, Martina [Autor, UKFFFAKZU, 100%] ; SWS 2019, 6 [26.08.2019-01.09.2019, Albena, Bulharsko]. – text. – [angličtina]. – [OV 020]. – [abstrakt z podujatia - KP] In: SWS 2019 International Scientific Conference on Arts and Humanities (History, philosophy,archaeology,history of art, performing &amp; visual arts, architecture &amp;design, literature &amp;poetry, language &amp; linguistics : Arts and humanities) [textový dokument (print)] [elektronický dokument] / Sparitis, Ojaris [Autor] ; Bondur, Valeriy [Autor] ; Bursche, Aleksander [Recenzent] ; Ghergut, Alois [Recenzent]. – 1. vyd. – Roč. 6, č. 1. – Sofia (Bulharsko) : STEF92 Technology, 2019. – ISBN 978-619-7408-90-4. – ISSN 2682-9940, s. 115-120 [tlačená forma] [online] </t>
  </si>
  <si>
    <t xml:space="preserve">Jazyk a štýl v slovenských printových médiách vo Vojvodine (Srbsko) / Hlavatá, Renáta [Autor, UKFFFASJL, 100%] ; Stereotipat v slavianskite ezici, literaturi i kulturi [26.04.2018-28.04.2018, Sofia, Bulharsko]. – text. – [slovenčina]. – [OV 020]. – [abstrakt z podujatia - KP]. – [recenzované] In: Stereotipat v slavianskite ezici, literaturi i kulturi (Tom I. Ezikoznanie) [textový dokument (print)] [elektronický dokument] : sbornik s dokladi ot Četirinadesetite meždunarodni slavistični četenija / Avramova, Cvetanka [Zostavovateľ, editor]. – 1. vyd. – Sofia (Bulharsko) : Universitetsko Izdatelstvo Sv. Kliment Okhridski, 2019. – ISBN 978-954-07-4883-2. – ISBN (online) 978-954-07-4895-5, s. 205-212 [tlačená forma] [online] </t>
  </si>
  <si>
    <t xml:space="preserve">Jazykový obraz chuťových vlastností slovenského vína / Mikulcová, Katarína [Autor, UKFFFASJL, 100%] ; Király Péter 100 [22.11.2017-23.11.2017, Budapešť, Maďarsko]. – text. – [slovenčina]. – [OV 020]. – [abstrakt z podujatia - KP] In: Király Péter 100 [textový dokument (print)] : tanulmánykötet Király Péter tiszteletére II. / Császári, Éva [Zostavovateľ, editor] ; Imrichová, Mária [Zostavovateľ, editor] ; Banczerowski, Janusz [Recenzent] ; Lukács, István [Recenzent] ; Ripka, Ivor [Recenzent] ; Součková, Marta [Recenzent] ; Szabó, Tünde [Recenzent] ; Zoltán, András [Recenzent]. – 1. vyd. – Budapešť (Maďarsko) : Eötvös Loránd Tudományegyetem. ELTE Bölcsészettudományi Kar. Szláv filológiai tanszék, 2019. – (Opera Slavica Budapestinensia : Symposia Slavica, ISSN 1789-3976). – ISBN 978-963-489-066-9. – SIGN-PU FF-19 303/19, s. 89-99 [tlačená forma] </t>
  </si>
  <si>
    <t xml:space="preserve">Job search - information on possibilities of job application in the environment of marginalized Roma communities in Slovakia / Šatara, Erik [Autor, UKFFSVURS, 34%] ; Rusnáková, Jurina [Autor, UKFFSVURS, 33%] ; Gabčová, Lýdia [Autor, UKFFSVURS, 33%] ; Economic and Social Development Development - "Building Resilient Society", 63 [11.12.2020-12.12.2020, Záhreb, Chorvátsko]. – text. – [angličtina]. – [OV 060]. – [abstrakt z podujatia - KP] In: Economic and Social Development [elektronický dokument] : 63rd International Scientific Conference on Economic and Social Development Development - "Building Resilient Society", Zagreb, 11-12 December 2020 / Burilovic, Luka [Zostavovateľ, editor] ; Rados, Tomislav [Zostavovateľ, editor] ; Recker, Nicholas [Zostavovateľ, editor]. – 1. vyd. – Zagreb (Chorvátsko) : Varazdin Development and Entrepreneurship Agency, 2020. – ISSN (online) 1849-7535, s. 101-110 [online] </t>
  </si>
  <si>
    <t xml:space="preserve">Jozef Bem in the Polish and Hungarian Literature / Móri, Tomáš [Autor, UKFFSSUSJ, 100%] ; SGEM 2018 [19.03.2018-21.03.2018, Viedeň, Rakúsko]. – text. – [angličtina]. – [OV 020]. – [abstrakt z podujatia - KP]. – [recenzované] In: SGEM 2018 conference proccedings (6.1. Science &amp; Arts : cultural studies, ethnology and folklore literature and poetry, history of arts contemporary arts, performing and visual arts) [textový dokument (print)] [elektronický dokument] / [bez zostavovateľa] [Zostavovateľ, editor]. – 1. vyd. – Roč. 5. – Sofia (Bulharsko) : STEF92 Technology, 2018. – ISBN 978-619-7408-34-8. – ISSN 2367-5659, s. 243-249 [tlačená forma] [online] </t>
  </si>
  <si>
    <t xml:space="preserve">Jozef Bem v poľskej a maďarskej literatúre / Móri, Tomáš [Autor, UKFFSSUSJ, 100%] ; Fiatal Szlavisták Budapesti Nemzetközi Konferenciája, 8 [10.05.2018, Budapešť, Maďarsko]. – text. – [slovenčina]. – [OV 020]. – [abstrakt z podujatia - KP] In: Fiatal Szlavisták Budapesti Nemzetközi Konferenciája 8 [textový dokument (print)] [elektronický dokument] / Rágyanszki, György [Zostavovateľ, editor] ; Császári, Éva [Recenzent] ; Dudás, Előd [Recenzent]. – 1. vyd. – Budapešť (Maďarsko) : Eötvös Loránd Tudományegyetem, 2020. – ISBN 978-963-489-193-2, s. 59-62 [tlačená forma] [online] </t>
  </si>
  <si>
    <t xml:space="preserve">K fenoménu preberania cudzích lexikálnych prvkov (v kontexte stredoeurópskych jazykov) = To the Phenomenon of Adopting Foreign Lexical Items (Whiten a Context of Central European Languages) / Tkáč-Zabáková, Lenka [Autor, UKFFSSUSJ, 100%] ; Mezinárodní Masarykova konference pro doktorandy a mladé vědecké pracovníky 2018, 9 [17.12.2018-21.12.2018, Hradec Králové, Česko]. – text. – [slovenčina]. – [OV 020]. – [abstrakt z podujatia - KP] In: MMK 2018 [elektronický dokument] : recenzovaný sborník příspěvků mezinárodní vědecké konference : mezinárodní Masarykova konference pro doktorandy a mladé vědecké pracovníky / [bez zostavovateľa] [Zostavovateľ, editor] ; Lipowski, Jaroslav [Recenzent] ; Jaskułowski, Krzysztof [Recenzent] ; Kislingerová, Eva [Recenzent]. – 1 vyd. – Roč. 9. – Hradec Králové (Česko) : Magnanimitas akademické sdružení, 2018. – ISBN 978-80-87952-27-6, s. 893-896 [CD-ROM] </t>
  </si>
  <si>
    <t xml:space="preserve">K otázke evolúcie proprií v kultúrnych textoch pre deti. Vlastné mená a nominačný akt v literárnych textoch ako indikátor evolučného procesu z aspektu kognitívnej lingvistiky = Issue of the Evolution of Proper Nouns in Cultural Texts for Children. Proper Nouns and Nomination Act in Literary Texts as an Indicator of the Evolution Process from the Aspect of Cognitive Linguistics / Kováčová, Zuzana [Autor, UKFFFASJL, 100%] ; Propria a apelativa - aktuální otázky [24.04.2017-26.04.2017, Praha, Česko]. – text. – [slovenčina, angličtina]. – [OV 020, 010]. – [abstrakt z podujatia - KP] In: Propria a apelativa - aktuální otázky [textový dokument (print)] : sborník z konference konané v Praze ve dnech 24. - 26. dubna 2017 / Janovec, Ladislav [Zostavovateľ, editor] ; Krško, Jaromír [Recenzent] ; Štěpáník, Stanislav [Recenzent]. – 1. vyd. – Praha (Česko) : Univerzita Karlova v Praze, 2019. – ISBN 978-80-7603-007-7, s. 221-236 [tlačená forma] </t>
  </si>
  <si>
    <t xml:space="preserve">K prítomnosti arabskej filozofie v diele stredovekých talianskych básnikov / Šavelová, Monika [Autor, UKFFFAKRO, 100%] ; Mezinárodní Masarykova konference pro doktorandy a mladé vědecké pracovníky 2019, 10 [16.12.2019-18.12.2019, Hradec Králové, Česko]. – text. – [slovenčina]. – [OV 020]. – [abstrakt z podujatia - KP] In: MMK 2019 [elektronický dokument] : recenzovaný sborník příspěvků mezinárodní vědecké konference : Mezinárodní Masarykova konference pro doktorandy a mladé vědecké pracovníky 2019 / [bez zostavovateľa] [Zostavovateľ, editor] ; Lipowski, Jaroslav [Recenzent] ; Jaskułowski, Krzysztof [Recenzent] ; Kislingerová, Eva [Recenzent]. – 1. vyd. – Hradec Králové (Česko) : Magnanimitas akademické sdružení, 2019. – ISBN 978-80-87952-31-3, s. 1144-1153 [CD-ROM] [online] </t>
  </si>
  <si>
    <t xml:space="preserve">K problematike komunikačnej sféry každodených hovorených dialógov / Gallo, Ján [Autor, UKFFFAKRU, 100%] ; Jazyk i mežkuľturnyje kommunikacii [11.11.2019-12.11.2019, Minsk, Bielorusko (predtým ako Bieloruská SSR)]. – text. – [slovenčina]. – [OV 020]. – [abstrakt z podujatia - KP] In: Jazyk i mežkuľturnyje kommunikacii [textový dokument (print)] : sbornik naučnych statej VII Meždunarodnoj naučnoj konferencii "Jazyk i mežkuľturnyje kommunikacii"  11 - 12 nojabrja 2019 g. v Minske / Staričonok, Vladimir [Zostavovateľ, editor] ; Rovdo, Ivan [Recenzent] ; Bessonova, Ludmila [Recenzent]. – 1. vyd. – Minsk (Bielorusko (predtým ako Bieloruská SSR)) : Belorusskij gosudarstvennyj pedagogičeskij universitet imeni Maxima Tanka, 2019. – ISBN (chybné) 973-985-541-683-9, s. 41-46 </t>
  </si>
  <si>
    <t xml:space="preserve">Kariérny rast edukátora pôsobiaceho v sociálno-edukačnej starostlivosti o dospelých / Debnáriková, Miroslava [Autor, UKFPFAKPE, 100%] ; Vzdělávání dospělých 2019, 9 [11.12.2019-12.12.2019, Praha, Česko]. – text. – [slovenčina]. – [OV 010]. – [abstrakt z podujatia - KP] In: Vzdělávání dospělých 2019 - v kontextu profesního rozvoje a sociálního kapitálu [textový dokument (print)] [elektronický dokument] : sborník z 9. ročníku mezinárodní vědecké konference Vzdělávání dospělých 2019, konané v Praze 11. a 12. prosince 2019 / Dugac, Željko [Recenzent] ; Krystoň, Miroslav [Recenzent] ; Lukianova, Larysa [Recenzent] ; Marianowska, Anna [Recenzent] ; Martins, Valéria Farinazzo [Recenzent] ; Matouš, Zdeněk [Recenzent] ; Průcha, Jan [Recenzent] ; Pirohová, Ivana [Recenzent] ; Szarota, Zofia [Recenzent] ; Šip, Maroš [Recenzent] ; Tamášová, Viola [Recenzent]. – 1 vyd. – Praha (Česko) : Česká andragogická společnost, 2020. – ISBN 978-80-906894-8-0. – ISSN 2571-3841. – ISSN (online) 2571-385X, s. 257-264 [tlačená forma] [online] </t>
  </si>
  <si>
    <t xml:space="preserve">Kariérová adaptabilita a životná spokojnosť u zamestnaných ľudí = Career Adaptability and Life Satisfaction in Employed  People / Romanová, Martina [Autor, UKFFSVUAP, 34%] ; Hudáková, Miriama [Autor, UKFFSVUAP, 33%] ; Sollár, Tomáš [Autor, UKFFSVUAP, 33%] ; Řehan, Vladimír [Recenzent] ; Lečbych, Martin [Recenzent] ; PhD existence 2018, 8 [31.01.2018-01.02.2018, Olomouc, Česko]. – text. – [slovenčina]. – [OV 060]. – [abstrakt z podujatia - KP] In: PhD Existence 2018 [elektronický dokument] : nekonečno v psychologii = sborník příspěvků / Mierová, Eva [Zostavovateľ, editor] ; Viktorová, Lucie [Zostavovateľ, editor] ; Suchá, Jaroslava [Zostavovateľ, editor] ; Dolejš, Martin [Zostavovateľ, editor]. – 1. vyd. – Olomouc (Česko) : Univerzita Palackého v Olomouci, 2018. – (Acta Iuridica Olomucensia : Sborníky). – ISBN 978-80-244-5339-2, s. 1-7 [online] </t>
  </si>
  <si>
    <t xml:space="preserve">Kariérové kotvy vo vzťahu k hodnotám v populácii dospelých = Career anchors in relation to values in adult population / Baňasová, Katarína [Autor, UKFFSVUAP, 50%] ; Špalková, Barbora [Autor, 50%] ; PhD existence 2020, 10 [03.02.2020-04.02.2020, Olomouc, Česko]. – [slovenčina]. – [OV 060]. – [abstrakt z podujatia - KP]. – TRUNI ohlas E080508 In: PhD existence 10 [elektronický dokument] : "Člověk a čas" : česko-slovenská konference (nejen) pro doktorandy a o doktorandech / Maierová, Eva [Zostavovateľ, editor] ; Viktorová, Lucie [Zostavovateľ, editor] ; Dolejš, Martin [Zostavovateľ, editor] ; Dominik, Tomáš [Zostavovateľ, editor] ; Tomšik, Robert [Recenzent] ; Skopal, Ondřej [Recenzent]. – 1. vyd. – Olomouc (Česko) : Univerzita Palackého v Olomouci, 2020. – ISBN (online) 978-80-244-5731-4, s. 89-99 [online] </t>
  </si>
  <si>
    <t xml:space="preserve">Karneval zvierat - pohybové stvárnenie hudby vybraných skladieb = Suity the carnival of the animals - movement in musical performance of the selected compositions of the suite / Hubinská, Zuzana [Autor, UKFPFAKHU, 100%] ; Teorie a praxe hudební výchovy, 5 [09.10.2017-10.10.2017, Praha, Česko]. – text. – [slovenčina]. – [OV 010]. – [abstrakt z podujatia - KP] In: Teorie a praxe hudební výchovy V [textový dokument (print)] : sborník příspevků z konference studentů doktorandských a magisterských studií a pedagogů hudebního vzdělávání v zemích V4 konané v Praze ve dnech  9.-10. listopadu 2017 / Dunovská, Marie [Zostavovateľ, editor] ; Kodejška, Miloš [Zostavovateľ, editor] ; Králová, Eva [Zostavovateľ, editor] ; Slavíková, Petra [Zostavovateľ, editor] ; Kaščáková, Lenka [Zostavovateľ, editor] ; Hudáková, Jana [Zostavovateľ, editor] ; Slavíková, Marie [Recenzent] ; Kopčáková, Slávka [Recenzent]. – 1. vyd. – Praha (Česko) : Univerzita Karlova v Praze, 2018. – ISBN 978-80-7290-978-0. – TUAD PC016444. – SIGN-PU FF 193/18, s. 322-331 [tlačená forma] </t>
  </si>
  <si>
    <t xml:space="preserve">Két dél-szlovákiai települési önkormányzat Facebook-kommunikációjának nyelvi vizsgálata / Schulcz, Patrik [Autor, UKFFSSUML, 100%] ; A nemzeti összetartozás jegyében [11.03.2021-12.03.2021, Szeged, Maďarsko]. – text. – [maďarčina]. – [OV 020]. – [abstrakt z podujatia - KP]. – [recenzované] In: A nemzeti összetartozás jegyében [elektronický dokument] : Tanulmányok a doktori és posztdoktori képzésben résztvevő, külhoni magyar egyetemi hallgatók online PhD-konferencia előadásaiból / Fejős, Sándor [Zostavovateľ, editor] ; Kanyári, József [Zostavovateľ, editor]. – 1. vyd. – Szeged (Maďarsko) : ELTE Márton Áron Szakkollégium, 2021. – ISBN 978-963-87010-1-5, s. 159-171 [online] </t>
  </si>
  <si>
    <t xml:space="preserve">Kétnyelvűség az önkormányzati nyelvhasználatban szlovákiai magyar példák alapján = Bilingualism in the Language use of Local Councils in Slovakia with Slovak Hungarian Examples / Presinszky, Károly [Autor, UKFFSSUML, 100%] ; Egyetemi nyelvészeti napok. Nyelvek mezsgyéjén - A két és többnyelvűség interdiszciplináris megközelítése, 26 [06.11.2018, Nový Sad, Srbsko]. – [maďarčina]. – [OV 010]. – [abstrakt z podujatia - KP]. – [recenzované] In: 26. Egyetemi nyelvészeti napok. Nyelvek mezsgyéjén - A két- és többnyelvűség interdiszciplináris megközelítése [textový dokument (print)] : nemzetközi tudományos konferencia, Újvidék, 6.11.2018 / Pásztor-Kicsi, Mária [Zostavovateľ, editor]. – 1. vyd. – Nový Sad (Srbsko) : Újvidéki Egyetem Bölcsészettudományi Kar Magyar Nyelv és Irodalom Tanszék, 2018. – ISBN 978-86-6065-482-5, s. 41-49 [tlačená forma] </t>
  </si>
  <si>
    <t xml:space="preserve">Kierkegaard o viere / Dvorská, Simona [Autor, UKFFFAKFI, 100%] ; Doktorandské badatelské kolokvium na Svatém kopečku u Olomouce [23.10.2018-26.11.2018, Olomouc, Česko]. – text. – [slovenčina]. – [OV 020]. – [abstrakt z podujatia - KP] In: Sborník příspěvků z doktorandského badatelského kolokvia na Svatém Kopečku u Olomouce [textový dokument (print)] : Svatý Kopeček u Olomouce, 23.- 25. 10. 2017 / Muchová, Ludmila [Recenzent] ; Liguš, Ján [Recenzent] ; Bravená, Noemi [Recenzent]. – 1 vyd. – Praha (Česko) : Univerzita Karlova v Praze, 2018. – ISBN 978-80-87922-15-6, s. 4-14 [tlačená forma] </t>
  </si>
  <si>
    <t xml:space="preserve">Kinetic analysis of illite dehydroxylation from differential scanning calorimetry / Ondro, Tomáš [Autor, UKFFPVKFY, 33.334%] ; Al-Shantir, Omar [Autor, UKFFPVKFY, 33.333%] ; Trník, Anton [Autor, UKFFPVKFY, 33.333%] ; ICNAAM 2018, 16 [13.09.2018-18.09.2018, Rhodos, Grécko]. – text. – [angličtina]. – [OV 091]. – [abstrakt z podujatia - KP]. – [recenzované]. – DOI 10.1063/1.5114059. – WOS CC ; SCO In: 37th Meeting of Departments of Fluid Mechanics and Thermodynamics [elektronický dokument] : conference proceedings / Lenhard, Richard [Zostavovateľ, editor] ; Kaduchová, Katarína [Zostavovateľ, editor] ; Dzurenda, Ladislav [Zostavovateľ, editor] ; Banski, Adrián [Zostavovateľ, editor]. – 1. vyd. – Melwille (USA) : American Institute of Physics , 2018. – (AIP Conference Proceedings, ISSN 0094-243X, ISSN 1551-7616 ; 2000, SJR: 0,182 ; CiteScore: 0,5 ; SNIP: 0,377). – ISBN 978-0-7354-1716-8. – ISSN 0094-243X, s. 1-10 [online] </t>
  </si>
  <si>
    <t xml:space="preserve">Knowing the family - the basis for the development of teachers cooperative competence / Mendelová, Eleonóra [Autor, UKFPFAKPE, 50%] ; Zelená, Hana [Autor, UKFPFAKPE, 50%] ; SGEM 2018, 5 [24.08.2018-02.09.2018, Albena, Bulharsko]. – text. – [angličtina]. – [OV 010]. – [abstrakt z podujatia - KP]. – [recenzované] In: SGEM 2018 conference proceedings (3.5. Science and Society : education and educational research) [textový dokument (print)] [elektronický dokument] / [bez zostavovateľa] [Zostavovateľ, editor]. – 1. vyd. – Roč. 5. – Sofia (Bulharsko) : STEF92 Technology, 2018. – ISBN 978-619-7408-57-7. – ISSN 2367-5659, s. 475-482 [tlačená forma] [online] </t>
  </si>
  <si>
    <t xml:space="preserve">Kognitívna analýza konceptov emócií ako interpretačných konštruktov slovenského jazykovo-kultúrneho spoločenstva = Cognitive analysis of emotional concepts as interpretive constructs of Slovak linguistic-cultural community / Matiová, Mária [Autor, UKFFFASJL, 100%] ; Ballay, Miroslav [Recenzent] ; Benža, Mojmír [Recenzent] ; Medzinárodný zjazd slavistov v Belehrade, 16 [20.08.2018-27.08.2018, Belehrad, Srbsko]. – text. – [slovenčina]. – [OV 020]. – [článok z podujatia]. – SCO In: Slavica Slovaca [textový dokument (print)] [elektronický dokument] : orgán Slavistického ústavu Jána Stanislava SAV a Slovenského komitétu slavistov. – Bratislava (Slovensko) : Slovenská akadémia vied. Slavistický ústav Jána Stanislava. – ISSN 0037-6787. – ISSN (online) 1336-2364. – suppl. Roč. 53, č. 3-4 (2018), s. 117-131 [tlačená forma] [online] . – SJR: 0,1 ; CiteScore: 0,2 ; SNIP: 0,159 Scimago - Anthropology - Q4, Cultural studies - Q4, History - Q4, Language and linguistics - Q4, Linguistics and language - Q4 </t>
  </si>
  <si>
    <t xml:space="preserve">Kognitivnyje i jazykovyje predposylki razvitija navykov čtenija / Petríková, Anna [Autor, PUPFIIRS, 50%] ; Gallo, Ján [Autor, UKFFFAKRU, 50%] ; Archipova, Jelena [Recenzent] ; Vang, Lie [Recenzent] ; Liki rusistiki v informacionnom virtuaľnom prostranstve, 10 [28.09.2018-01.10.2018, Čchonan, Kórea]. – text. – [ruština]. – [OV 010, 020, 060]. – [abstrakt z podujatia - KP]. – SIGN-PU FF-19 549/18 In: Cross-cultural studies : Education and Science / Beyer, Thomas R. [Zostavovateľ, editor]. – 1. vyd. – Roč. 3, č. 3. – Middlebury (USA) : Russian Department, Middlebury College, 2018. – ISBN 978-9939-64-301-4. – ISSN 2470-1262, s. 318-326 [tlačená forma] </t>
  </si>
  <si>
    <t xml:space="preserve">Komárom/Komárno névszemiotikai tájképe / Bauko, Ján [Autor, UKFFSSUML, 100%] ; Heltai, János Imre [Recenzent] ; Tankó, Enikő [Recenzent] ; Nyelvi tájkép, nyelvi sokszínűség [22.09.2017-23.09.2017, Csíkszereda, Rumunsko]. – text. – [maďarčina]. – [OV 010]. – [abstrakt z podujatia - KP] In: Nyelvi tájkép, nyelvi sokszínűség (Második kötet : Nyelvhasználati terek és nyelvi sokszínűség) [textový dokument (print)] / Tódor, Erika-Mária [Zostavovateľ, editor]. – 1. vyd. – Kluž (Rumunsko) : Scientia Kiadó, 2018. – ISBN 978-606-975-019-3, s. 55-70 [tlačená forma] </t>
  </si>
  <si>
    <t xml:space="preserve">Komparácia metód stanovenia bazálneho metabolizmu u mladých dospelých osôb = Comparation of Methods for Basal Metabolism determination in Young Adult Individuals / Fatrcová Šramková, Katarína [Autor, SPUFAP16, 40%] ; Schwarzová, Marianna [Autor, SPUFAP16, 40%] ; Juríková, Tünde [Autor, UKFFSSUVP, 20%] ; Výživa a zdraví 2018, 22 [18.09.2018-20.09.2018, Teplice, Česko]. – text. – [slovenčina]. – [OV 190]. – [abstrakt z podujatia - KP]. – [recenzované] In: Výživa a zdraví 2018 [textový dokument (print)] : budoucnost výživy člověka, dny hygieny výživy Prof. MUDr. Stanislava Hrubého, DrSc., 18.-20. září 2018, Teplice / [bez zostavovateľa] [Zostavovateľ, editor]. – 1 vyd. – Ústí nad Labem (Česko) : Zdravotní ústav se sídlem v Ústí nad Labem, 2018. – ISBN 978-80-907323-0-8, s. 112-120 [tlačená forma] </t>
  </si>
  <si>
    <t xml:space="preserve">Kompetencie sestier v zariadeniach ambulantnej zdravotnej starostlivosti / Spáčilová, Zuzana [Autor, UKFFSVKOS, 34%] ; Zrubcová, Dana [Autor, UKFFSVKOS, 33%] ; Archalousová, Alexandra [Autor, UKFFSVKOS, 33%] ; Cesta poznávání a vzdělávání v ošetřovatelství XI. a jarní/podzimní konference ČAS Region plzeňský  „NURSING NOW“, 11 [17.09.2020, Plzeň, Česko]. – text. – [slovenčina]. – [OV 180]. – [abstrakt z podujatia - KP] In: Cesta poznávání a vzdělávání v ošetřovatelství XI. a jarní/podzimní konference ČAS Region plzeňský  „NURSING NOW“ [textový dokument (print)] : Kongres s mezinárodními příspěvky, konaný v Plzni dne 17. 9. 2020 / Frei, Jiří [Zostavovateľ, editor] ; Frei, Jiří [Recenzent] ; Krocová, Jitka [Recenzent] ; Doležal, Jaromír [Recenzent] ; Freiová, Romana [Recenzent] ; Hendrych Lorenzová, Eva [Recenzent]. – 1. vyd. – Roč. 11. – Plzeň (Česko) : Západočeská univerzita v Plzni, 2020. – ISBN 978-80-261-0963-1, s. 15-34 [tlačená forma] </t>
  </si>
  <si>
    <t xml:space="preserve">Komplexná analýza dostupnosti jaskýň v cestovnom ruchu Slovenska = Complex analysis of the availability of caves In the Slovak tourism / Vrbičanová, Gréta [Autor, UKFFPVKEE, 25%] ; Močko, Matej [Autor, UKFFPVKEE, 25%] ; Chomová, Iveta [Autor, 25%] ; Jakab, Imrich [Autor, UKFFPVKEE, 25%] ; Aktuální problémy cestovního ruchu, 14 [27.02.2019-28.02.2019, Jihlava, Česko]. – text. – [angličtina]. – [OV 100, 092]. – [abstrakt z podujatia - KP] In: Aktuální problémy cestovního ruchu [elektronický dokument] : „Cestovní ruch - příležitost pro venkov" : recenzovaný sborník z mezinárodní konference / Linderová, Ivica [Zostavovateľ, editor]. – 1 vyd. – Roč. 14. – Jihlava (Česko) : Vysoká škola polytechnická Jihlava, 2019. – ISBN 978-80-88064-43-5. – ISBN (online) 978-80-88064-42-8, s. 431-439 [online] [CD-ROM] </t>
  </si>
  <si>
    <t xml:space="preserve">Koncepcia predmetu Informatika v prírodných vedách a matematike [Conception of the subject Informatics in science and mathematics] / Andrejková, Gabriela [Autor, UPS14500, 10%] ; Ganajová, Mária [Autor, UPS14400, 10%] ; Ješková, Zuzana [Autor, UPS14201, 10%] ; Kaňuk, Ján [Autor, UPS14300, 10%] ; Kimáková, Katarína [Autor, UPS14100, 10%] ; Kireš, Marián [Autor, UPS14201, 10%] ; Kožurková, Mária [Autor, UPS14400, 10%] ; Krajči, Stanislav [Autor, UPS14500, 10%] ; Sekerák, Jozef [Autor, UPS99850, 10%] ; Tkáčová, Zuzana [Autor, UKFPFAKTT, 10%] ; DidInfo 2018, 24 [04.04.2018-06.04.2018, Liberec, Česko]. – text, tab. – [slovenčina]. – [OV 160]. – [abstrakt z podujatia - KP]. – signatúra UPJŠ SSEP 019541 In: Sborník konference Didinfo 2018 [elektronický dokument] / Drábková, Jindra [Zostavovateľ, editor] ; Berki, Jan [Zostavovateľ, editor] ; Andrejková, Gabriela [Recenzent] ; Berki, Jan [Recenzent] ; Černochová, Miroslava [Recenzent]. – 1. vyd. – Liberec (Česko) : Technická univerzita v Liberci, 2018. – ISBN 978-80-7494-424-6, s. 194-200 [online] </t>
  </si>
  <si>
    <t xml:space="preserve">Konceptualizácia pojmov emόcií v slovenskom jazyku / Matiová, Mária [Autor, UKFFFASJL, 100%] ; Kolokvium mladých jazykovedcov, 24 [09.09.2015-11.09.2015, Praha, Česko]. – text. – [slovenčina]. – [OV 020]. – [abstrakt z podujatia - KP] In: Varia 24 [elektronický dokument] : zborník príspevkov z 24. kolokvia mladých jazykovedcov / Simeunovich-Skvortsova, Maria [Zostavovateľ, editor] ; Gajdošová, Katarína [Zostavovateľ, editor] ; Saicová Římalová, Lucie [Recenzent] ; Stranz-Nikitina, Veronika [Recenzent]. – 1. vyd. – Roč. 24. – Praha (Česko) : Univerzita Karlova v Praze, 2019. – ISBN 978-80-7308-757-9, s. 383-396 [online] </t>
  </si>
  <si>
    <t xml:space="preserve">Konštruktová validita Multimetódovej objektívnej  testovej batérie záujmov (MOI) = Construct Validity of the Multimethod Objective Interests Test Battery (MOI) / Hudáková, Miriama [Autor, UKFFSVUAP, 50%] ; Sollár, Tomáš [Autor, UKFFSVUAP, 50%] ; Řehan, Vladimír [Recenzent] ; Lečbych, Martin [Recenzent] ; PhD existence 2018, 8 [31.01.2018-01.02.2018, Olomouc, Česko]. – text. – [slovenčina]. – [OV 060]. – [abstrakt z podujatia - KP] In: PhD Existence 2018 [elektronický dokument] : nekonečno v psychologii = sborník příspěvků / Mierová, Eva [Zostavovateľ, editor] ; Viktorová, Lucie [Zostavovateľ, editor] ; Suchá, Jaroslava [Zostavovateľ, editor] ; Dolejš, Martin [Zostavovateľ, editor]. – 1. vyd. – Olomouc (Česko) : Univerzita Palackého v Olomouci, 2018. – (Acta Iuridica Olomucensia : Sborníky). – ISBN 978-80-244-5339-2, s. 110-123 [online] </t>
  </si>
  <si>
    <t xml:space="preserve">Kontakty evanjelických cirkevných zborov vo Vojvodine / Michalík, Boris [Autor, UKFFFAKMK, 70%] ; Pap, Miroslav [Autor, UKFFFAKMK, 30%] ; Úloha cirkvi v živote dolnozemských Slovákov [16.03.2018-17.03.2018, Nadlak, Rumunsko]. – text. – [slovenčina]. – [OV 030]. – [abstrakt z podujatia - KP] In: Úloha cirkvi v živote dolnozemských Slovákov [textový dokument (print)] / Ambruš, Ivan Miroslav [Zostavovateľ, editor] ; Hlásnik, Pavel [Zostavovateľ, editor] ; Unc, Bianca [Zostavovateľ, editor] ; Dobrotková, Marta [Recenzent] ; Kožiak, Rastislav [Recenzent]. – 1. vyd. – Nadlak (Rumunsko) : Vydavateľstvo - Editura Ivan Krasko, 2018. – ISBN 978-973-107-134-3, s. 69-73 [tlačená forma] </t>
  </si>
  <si>
    <t xml:space="preserve">Kontext detských prekonceptov v odraze školských obsahov / Gunišová, Denisa [Autor, UKFPFAKPE, 50%] ; Kozárová, Nina [Autor, UKFPFAKPE, 50%] ; Mezinárodní Masarykova konference pro doktorandy a mladé vědecké pracovníky 2018, 9 [17.12.2018-21.12.2018, Hradec Králové, Česko]. – text. – [slovenčina]. – [OV 010]. – [abstrakt z podujatia - KP] In: MMK 2018 [elektronický dokument] : recenzovaný sborník příspěvků mezinárodní vědecké konference : mezinárodní Masarykova konference pro doktorandy a mladé vědecké pracovníky / [bez zostavovateľa] [Zostavovateľ, editor] ; Lipowski, Jaroslav [Recenzent] ; Jaskułowski, Krzysztof [Recenzent] ; Kislingerová, Eva [Recenzent]. – 1 vyd. – Roč. 9. – Hradec Králové (Česko) : Magnanimitas akademické sdružení, 2018. – ISBN 978-80-87952-27-6, s. 449-454 [CD-ROM] </t>
  </si>
  <si>
    <t xml:space="preserve">Konvergenčné tendencie v podmienkach regiónov SR = Convergence tendencies in the conditions of regions of the Slovak Republic / Levický, Michal [Autor, UKFFPVUMI, 20%] ; Urbaníková, Marta [Autor, UKFFPVUMI, 20%] ; Hudáková, Jarmila [Autor, UKFFPVUMI, 20%] ; Maroš, Milan [Autor, UKFFPVUMI, 20%] ; Štubňová, Michaela [Autor, UKFFPVUMI, 20%] ; Mezinárodní kolokvium o regionálních vědách, 22 [12.06.2019-14.06.2019, Velké Bílovice, Česko]. – text. – [slovenčina]. – [OV 060]. – [abstrakt z podujatia - KP]. – DOI 10.5817/CZ.MUNI.P210-9268-2019-2 In: 22. mezinárodní kolokvium o regionálních vědách [elektronický dokument] : sborník příspěvků / Klímová, Viktorie [Zostavovateľ, editor] ; Žítek, Vladimír [Zostavovateľ, editor] ; Žárska, Elena [Recenzent]. – 1. vyd. – Roč. 22. – Brno (Česko) : Masarykova univerzita, 2019. – ISBN 978-80-210-9268-6, s. 20-27 [online] </t>
  </si>
  <si>
    <t xml:space="preserve">Krajské mestá Slovenska v kontexte príčin smrti / Vilinová, Katarína [Autor, UKFFPVKGR, 90%] ; Kudlej, Jozef [Autor, 10%] ; Mezinárodní kolokvium o regionálních vědách, 24 [01.09.2021-03.09.2021, Brno, Česko]. – text. – [slovenčina]. – [OV 092]. – [abstrakt z podujatia - KP]. – [recenzované] In: 24. Mezinárodní kolokvium o regionálních vědách [elektronický dokument] : sborník příspěvků Brno 1.9-3.9.2021 / Klímová, Viktorie [Zostavovateľ, editor] ; Žítek, Vladimír [Zostavovateľ, editor]. – 1. vyd. – Roč. 24. – Brno (Česko) : Masarykova univerzita, 2021. – ISBN 978-80-210-9896-1, s. 524-531 [CD-ROM] [online] </t>
  </si>
  <si>
    <t xml:space="preserve">Kreatívne prístupy k spracovaniu témy umeleckého projektu = Creative Approaches to the Processing of an Art Project Theme / Hubinská, Zuzana [Autor, UKFPFAKHU, 100%] ; QUAERE 2021, 11 [28.06.2021-30.06.2021, Hradec Králové, Česko]. – text. – [slovenčina]. – [OV 010]. – [abstrakt z podujatia - KP] In: QUAERE 2021 [elektronický dokument] : recenzovaný sborník příspěvků interdisciplinární mezinárodní vědecké konference doktorandů a odborných asistentů, Hradec Králové 28.6.2021 - 30.6.2021 / [bez zostavovateľa] [Zostavovateľ, editor]. – 1. vyd. – Roč. 11. – Hradec Králové (Česko) : Magnanimitas akademické sdružení, 2021. – ISBN 978-80-87952-34-4, s. 545-550 [online] </t>
  </si>
  <si>
    <t xml:space="preserve">Kritičeskoje strukturirovanije učebnogo materiala (ne toľko) na urokach inostrannogo jazyka / Gallo, Ján [Autor, UKFFFAKRU, 100%] ; Prepodavanije inostrannych jazykov v polikuľturnom mire [26.03.2020, Belorusskij gosudarstvennyj pedagogičeskij universitet im. Maksima Tanka, Bielorusko (predtým ako Bieloruská SSR)]. – text. – [ruština]. – [OV 020, 010]. – [abstrakt z podujatia - KP] In: Prepodavanije inostrannych jazykov v polikuľturnom mire [textový dokument (print)] : tradicii, innovacii, perspektivy. Materialy naučno-praktičeskoj online-konferencii, g. Minsk, 26 marta 2020 goda / Šimanskaja, J. Oľga [Zostavovateľ, editor]. – 1. vyd. – Minsk (Bielorusko (predtým ako Bieloruská SSR)) : Belorusskij gosudarstvennyj pedagogičeskij universitet imeni Maxima Tanka, 2020. – ISBN 978-985-541-798-0, s. 22-30 [tlačená forma] </t>
  </si>
  <si>
    <t xml:space="preserve">Kuba není jen Varadero a kreativa Kubánců / Veselovský, Ján [Autor, UKFFPVKGR, 50%] ; Chalupa, Petr [Autor, UKFFPVKGR, 50%] ; Aktuální problémy cestovního ruchu, 15 [04.03.2020-05.03.2020, Jihlava, Česko]. – text. – [čeština]. – [OV 092]. – [abstrakt z podujatia - KP]. – [recenzované] In: Aktuální problémy cestovního ruchu [elektronický dokument] : Overtourism - riziko pro destinace / Linderová, Ivica [Zostavovateľ, editor]. – 1 vyd. – Jihlava (Česko) : Vysoká škola polytechnická Jihlava, 2020. – ISBN 978-80-88064-46-6. – ISBN 978-80-88064-47-3, s. 272-287 [CD-ROM] </t>
  </si>
  <si>
    <t xml:space="preserve">Kvalita života pacientov po cievnej mozgovej príhode vo vzťahu s osobnostnými vlastnosťami = Quality of life of patients after stroke in relation to personality characteristics / Dančová, Katarína [Autor, UKFFSVUAP, 50%] ; Sollár, Tomáš [Autor, UKFFSVUAP, 50%] ; PhD existence 2021, 11 [01.02.2021-02.02.2021, Olomouc, Česko]. – text. – [slovenčina]. – [OV 060]. – [abstrakt z podujatia - KP] In: PhD existence 11 [elektronický dokument] : "Jedeme dál" : česko-slovenská psychologická konference (nejen) pro doktorandy a o doktorandech  : sborník odborných příspěvků / Aigelová, Eva [Zostavovateľ, editor] ; Viktorová, Lucie [Zostavovateľ, editor] ; Dolejš, Martin [Zostavovateľ, editor] ; Tomšik, Robert [Recenzent] ; Skopal, Ondřej [Recenzent]. – 1. vyd. – Roč. 11. – Olomouc (Česko) : Univerzita Palackého v Olomouci, 2021. – ISBN 978-80-244-5947-9, s. 91-100 [online] </t>
  </si>
  <si>
    <t xml:space="preserve">LAN security analysis and design / Balogh, Zoltán [Autor, UKFFPVKIN, 40%] ; Koprda, Štefan [Autor, UKFFPVKIN, 30%] ; Francisti, Jan [Autor, UKFFPVKIN, 30%] ; AICT2018, 12 [17.10.2018-19.10.2018, Almaty, Kazachstan]. – text. – [angličtina]. – [OV 160]. – [abstrakt z podujatia - KP]. – [recenzované]. – DOI 10.1109/ICAICT.2018.8746912. – WOS CC ; SCO In: AICT2018 [textový dokument (print)] : IEEE 12th International Conference on Application of Information and Communication Technologies / [bez zostavovateľa] [Zostavovateľ, editor]. – 1. vyd. – New york (USA) : Curran Associates, 2018. – ISBN 978-1-5386-6467-4, s. 1-6 [tlačená forma] </t>
  </si>
  <si>
    <t xml:space="preserve">Landscape Fragmentation Around Us – Integrating the Issue into Educational Processes at Primary and Secondary Schools / Dostál, Ivan [Autor, 40%] ; Anděl, Petr [Autor, 25%] ; Havlíček, Marek [Autor, 20%] ; Petrovič, František [Autor, UKFFPVKEE, 15%] ; (Teaching) Regional Geography, 27 [17.10.2019, Brno, Česko]. – text. – [angličtina]. – [OV 100]. – [abstrakt z podujatia - KP] In: (Teaching) Regional Geography [textový dokument (print)] [elektronický dokument] : Proceedings of 27th Central European Conference, Brno, 17th October 2019 / Mísařová, Darina [Zostavovateľ, editor] ; Petráková, Jana [Zostavovateľ, editor]. – 1. vyd. – Brno (Česko) : Masaryk University Press, 2020. – ISBN 978-80-210-9693-6. – ISBN (online) 978-80-210-9694-3, s. 9-20 </t>
  </si>
  <si>
    <t xml:space="preserve">Language maturity in Roma children in the first year of school attendance / Vanková, Katarína [Autor, UKFFSVURS, 33.334%] ; Rosinský, Rastislav [Autor, UKFFSVURS, 33.333%] ; Čerešníková, Miroslava [Autor, UKFFSVURS, 33.333%] ; ICEEPSY 2018, 9 [02.10.2018-05.10.2018, Athens, Grécko]. – text. – [angličtina]. – [OV 060]. – [abstrakt z podujatia - KP]. – [recenzované]. – DOI 10.15405/epsbs.2019.01.78. – WOS CC In: 9th International Conference on Education and Educational Psychology [elektronický dokument] / Elkina, Irina M. [Zostavovateľ, editor]. – 1. vyd. – Moscow (Ruská federácia) : Institute of Art Education and Cultural Studies of the Russian Academy of Education, 2019. – (European Proceedings of Social and Behavioural Sciences, ISSN 2357-1330 ; 53), 794-802 [online] </t>
  </si>
  <si>
    <t xml:space="preserve">Latent Class Analysis and Comparison for the Adolescent Sexting in Slovakia / Hollá, Katarína [Autor, UKFPFAKPE, 100%] ; ICERI 2020 : International Conference of Education, Research and Innovation, 13 [09.11.2020-10.11.2020, Sevilla, Španielsko]. – text. – [angličtina]. – [OV 010, 060]. – [abstrakt z podujatia - KP] In: ICERI 2020 [elektronický dokument] : 13th international conference of education, research and innovation : transforming education, transforming lives / Gómez Chova, Luis [Zostavovateľ, editor] ; Martínez, Augustín López [Zostavovateľ, editor] ; Torres, I. Candel [Zostavovateľ, editor]. – 1. vyd. – Valencia (Španielsko) : IATED, 2020. – ISBN 978-84-09-24232-0. – ISSN 2340-1095, s. 8225-8232 [USB kľúč] </t>
  </si>
  <si>
    <t xml:space="preserve">Lexika češtiny v premenách času / Tkáč-Zabáková, Lenka [Autor, UKFFSSUSJ, 100%] ; Fiatal Szlavisták Budapesti Nemzetközi Konferenciája, 8 [10.05.2018, Budapešť, Maďarsko]. – text. – [slovenčina]. – [OV 020]. – [abstrakt z podujatia - KP] In: Fiatal Szlavisták Budapesti Nemzetközi Konferenciája 8 [textový dokument (print)] [elektronický dokument] / Rágyanszki, György [Zostavovateľ, editor] ; Császári, Éva [Recenzent] ; Dudás, Előd [Recenzent]. – 1. vyd. – Budapešť (Maďarsko) : Eötvös Loránd Tudományegyetem, 2020. – ISBN 978-963-489-193-2, s. 94-97 [tlačená forma] [online] </t>
  </si>
  <si>
    <t xml:space="preserve">Lexikálno-gramatické chyby strojového prekladu z angličtiny do slovenčiny ako flektívneho typu jazyka (so zameraním na texty návodov na použitie) / Petráš, Patrik [Autor, UKFFFASJL, 100%] ; Stereotipat v slavianskite ezici, literaturi i kulturi [26.04.2018-28.04.2018, Sofia, Bulharsko]. – text. – [slovenčina]. – [OV 020]. – [abstrakt z podujatia - KP]. – [recenzované] In: Stereotipat v slavianskite ezici, literaturi i kulturi (Tom I. Ezikoznanie) [textový dokument (print)] [elektronický dokument] : sbornik s dokladi ot Četirinadesetite meždunarodni slavistični četenija / Avramova, Cvetanka [Zostavovateľ, editor]. – 1. vyd. – Sofia (Bulharsko) : Universitetsko Izdatelstvo Sv. Kliment Okhridski, 2019. – ISBN 978-954-07-4883-2. – ISBN (online) 978-954-07-4895-5, s. 692-700 [tlačená forma] [online] </t>
  </si>
  <si>
    <t xml:space="preserve">Lifelong education of teachers in risk management of technical education / Tureková, Ivana [Autor, UKFPFAKTT, 40%] ; Harangozó, Jozef [Autor, UKFPFAKTT, 30%] ; Šebo, Miroslav [Autor, UKFPFAKTT, 30%] ; ICERI 2020 : International Conference of Education, Research and Innovation, 13 [09.11.2020-10.11.2020, Sevilla, Španielsko]. – text. – [angličtina]. – [OV 010]. – [abstrakt z podujatia - KP] In: ICERI 2020 [elektronický dokument] : 13th international conference of education, research and innovation : transforming education, transforming lives / Gómez Chova, Luis [Zostavovateľ, editor] ; Martínez, Augustín López [Zostavovateľ, editor] ; Torres, I. Candel [Zostavovateľ, editor]. – 1. vyd. – Valencia (Španielsko) : IATED, 2020. – ISBN 978-84-09-24232-0. – ISSN 2340-1095, s. 9954-9963 [USB kľúč] </t>
  </si>
  <si>
    <t xml:space="preserve">Lifelong learning of teachers of technical subjects / Depešová, Jana [Autor, UKFPFAKTT, 50%] ; Janíček, Patrik [Autor, UKFPFAKTT, 50%] ; ICERI 2021, 14 [08.11.2021-09.11.2021, Seville, Španielsko]. – text. – [angličtina]. – [OV 010]. – [abstrakt z podujatia - KP] In: ICERI2021 [elektronický dokument] : 14th annual International Conference of Education, Research and Innovation / Gómez, Chova L. [Zostavovateľ, editor] ; López Martínez, Agustín [Zostavovateľ, editor] ; Candel Torres, Ignacio [Zostavovateľ, editor]. – 1. vyd. – Valencia (Španielsko) : IATED, 2021. – ISBN 978-84-09-34549-6. – ISSN 2340-1095, s. 9335-9340 [online] [USB kľúč] </t>
  </si>
  <si>
    <t xml:space="preserve">Lifelong learning system in professional technical practice / Depešová, Jana [Autor, UKFPFAKTT, 50%] ; Janíček, Patrik [Autor, UKFPFAKTT, 50%] ; ICERI 2021, 14 [08.11.2021-09.11.2021, Seville, Španielsko]. – text. – [angličtina]. – [OV 010]. – [abstrakt z podujatia - KP] In: ICERI2021 [elektronický dokument] : 14th annual International Conference of Education, Research and Innovation / Gómez, Chova L. [Zostavovateľ, editor] ; López Martínez, Agustín [Zostavovateľ, editor] ; Candel Torres, Ignacio [Zostavovateľ, editor]. – 1. vyd. – Valencia (Španielsko) : IATED, 2021. – ISBN 978-84-09-34549-6. – ISSN 2340-1095, s. 9357-9364 [online] [USB kľúč] </t>
  </si>
  <si>
    <t xml:space="preserve">Linguistic image of the handicraft preserved in Slovak and Polish phraseology = Jazykový obraz remesla v slovenskej a poľskej frazeológii / Dudová, Katarína [Autor, UKFFFASJL, 100%] ; Ballay, Miroslav [Recenzent] ; Benža, Mojmír [Recenzent] ; Medzinárodný zjazd slavistov v Belehrade, 16 [20.08.2018-27.08.2018, Belehrad, Srbsko]. – text. – [angličtina]. – [OV 020]. – [článok z podujatia]. – SCO In: Slavica Slovaca [textový dokument (print)] [elektronický dokument] : orgán Slavistického ústavu Jána Stanislava SAV a Slovenského komitétu slavistov. – Bratislava (Slovensko) : Slovenská akadémia vied. Slavistický ústav Jána Stanislava. – ISSN 0037-6787. – ISSN (online) 1336-2364. – suppl. Roč. 53, č. 3-4 (2018), s. 19-28 [tlačená forma] [online] . – SJR: 0,1 ; CiteScore: 0,2 ; SNIP: 0,159 Scimago - Anthropology - Q4, Cultural studies - Q4, History - Q4, Language and linguistics - Q4, Linguistics and language - Q4 </t>
  </si>
  <si>
    <t xml:space="preserve">Literary discourse as social interaction : an interpersonal rhetoric approach / Miššíková, Gabriela [Autor, UKFFFAKAA, 100%] ; SWS International Scientific Conference on Arts And Humanities, 7 [25.08.2020-26.08.2020, Albena, Bulharsko]. – text. – [angličtina]. – [OV 010, 020]. – [abstrakt z podujatia - KP]. – DOI 10.5593/sws.iscah.2020.7.1/s26.26 In: 7th SWS International Scientific Conference on Arts and Humanities - ISCAH [elektronický dokument] / Racz, Aleksandr [Zostavovateľ, editor] ; Naghi, Laura [Recenzent] ; Lončar, Iris [Recenzent]. – 1. vyd. – Roč. 7, č. 1. – Sofia (Bulharsko) : SGEM WORLD SCIENCE (SWS) Society, 2020. – ISBN 978-619-7603-00-2, s. 215-222 [tlačená forma] </t>
  </si>
  <si>
    <t xml:space="preserve">Literary translation into Slovakia Hungarian? / Kozmács, István [Autor, UKFFSSUML, 100%] ; World Conference on Pluricentric Languages and Their Non-Dominant Varieties, 5 [08.07.2015-11.07.2015, Graz, Rakúsko]. – text. – [angličtina]. – [OV 020]. – [abstrakt z podujatia - KP]. – [recenzované] In: Pluricentric Languages and Non-Dominant Varieties Worldwide : New Pluricentric Languages – Old Problems / Muhr, Rudolf [Zostavovateľ, editor]. – 1. vyd. – Berlín (Nemecko) : Peter Lang, 2018. – ISBN 978-3-631-75623-2. – ISBN (online) 978-3-631-76710-8. – ISSN 1618-5714, s. 209-218 </t>
  </si>
  <si>
    <t xml:space="preserve">Living and Working in a Multicultural Society - A Comparative Study of Czech and Slovak Tourism Undergraduates’ Views / Sándorová, Zuzana [Autor, UKFPFAKLI, 70%] ; Bobáková, Hanne-Lore [Autor, 15%] ; Heinz, Krystina [Autor, 15%] ; 7th Academos Conference 2020 [07.10.2020-10.10.2020, Bukurešť, Rumunsko]. – text. – [angličtina]. – [OV 010]. – [abstrakt z podujatia - KP]. – DOI 10.26352/F701_2384-9509 In: Politics and Knowledge: New Trends in Social Research [elektronický dokument] : proceedings of 7th Academos Conference 2020 International Conference / Taranu, Andrei [Zostavovateľ, editor]. – 1. vyd. – Bologna (Taliansko) : Filodiritto Publisher, 2020. – ISBN 979-12-80225-00-9, s. 419-424 [online] </t>
  </si>
  <si>
    <t xml:space="preserve">Local, Regional and National Identity in Slovak Folk Music / Garaj, Bernard [Autor, UKFFFAKEF, 100%] ; Volksmusik und (Neo)Nationalismus [08.11.2017-10.11.2017, Graz, Rakúsko]. – text. – [angličtina]. – [OV 030]. – [abstrakt z podujatia - KP] In: Volksmusik und (Neo)Nationalismus [textový dokument (print)] [elektronický dokument] : Tagungsband zum Grazer Symposium zu Volksmusikforschung und - praxis, 8-10 november 2017 / Hois, Eva Maria [Zostavovateľ, editor]. – 1. vyd. – Graz (Rakúsko) : Verlag Steirisches Volksliedwerk, 2019. – ISBN 978-3-902516-37-4, s. 78-87 </t>
  </si>
  <si>
    <t xml:space="preserve">Lokality environmentálnych záťaží východného Slovenska ako limitujúce faktory regionálneho rozvoja = Lokality environmentálnych záťaží východného Slovenska ako limitujúce faktory regionálneho rozvoja / Boltižiar, Martin [Autor, UKFFPVKGR, 40%] ; Michaeli, Eva [Autor, PUPHUGG, 40%] ; Solár, Vladimír [Autor, PUPHUGG, 10%] ; Ivanová, Monika [Autor, PUPHUGG, 10%] ; Wokoun, René [Recenzent] ; Viturka, Milan [Recenzent] ; Mezinárodní kolokvium o regionálních vědách, 21 [13.06.2018-15.06.2018, Kurdějov, Česko]. – text. – [slovenčina]. – [OV 092]. – [abstrakt z podujatia - KP]. – DOI 10.5817/CZ.MUNI.P210-8970-2018-85. – SIGN-PU FHPV 332/18 In: 21. mezinárodní kolokvium o regionálních vědách [textový dokument (print)] [elektronický dokument] : sborník příspěvků, Kurdějov 13. - 15. června 2018 = Conference Proceedings / Klímová, Viktorie [Zostavovateľ, editor] ; Žítek, Vladimír [Zostavovateľ, editor]. – 1. vyd. – Brno (Česko) : Masarykova univerzita, 2018. – ISBN 978-80-210-8969-3. – ISBN (online) 978-80-210-8970-9, s. 648-654 [tlačená forma] [online] </t>
  </si>
  <si>
    <t xml:space="preserve">Low Personal Need for Structure and German Language Proficiency / Stančeková, Svetlana [Autor, UKFFFAKRO, 50%] ; Ďurková, Simona [Autor, UKFFFAKAA, 50%] ; SWS 2019, 6 [26.08.2019-01.09.2019, Albena, Bulharsko]. – [angličtina]. – [OV 020]. – [abstrakt z podujatia - KP] In: SWS 2019 International Scientific Conference on Arts and Humanities (History, philosophy,archaeology,history of art, performing &amp; visual arts, architecture &amp;design, literature &amp;poetry, language &amp; linguistics : Arts and humanities) [textový dokument (print)] [elektronický dokument] / Sparitis, Ojaris [Autor] ; Bondur, Valeriy [Autor] ; Bursche, Aleksander [Recenzent] ; Ghergut, Alois [Recenzent]. – 1. vyd. – Roč. 6, č. 1. – Sofia (Bulharsko) : STEF92 Technology, 2019. – ISBN 978-619-7408-90-4. – ISSN 2682-9940, s. 729-734 [tlačená forma] [online] </t>
  </si>
  <si>
    <t xml:space="preserve">Machiavelli's political philosophy and its impact on modern British fantasy: Terry Pratchett / Ondrušeková, Judita [Autor, UKFFFAKAA, 100%] ; SWS 2019, 6 [22.10.2019-24.10.2019, Florencia, Taliansko]. – text. – [angličtina]. – [OV 020]. – [abstrakt z podujatia - KP]. – [recenzované]. – DOI 10.5593/SWS.ISCAH.2019.2 In: SWS 2019 (2. Arts and humanities) : conference proceedings / [bez zostavovateľa] [Zostavovateľ, editor]. – 1. vyd. – Roč. 6. – Sofia (Bulharsko) : STEP92, 2019. – ISBN 978-619-7408-96-6. – ISSN 2682-9959, s. 215-220 [tlačená forma] </t>
  </si>
  <si>
    <t xml:space="preserve">Mainstreaming occupational safety and health into education. Case study of objectivization indoor quality / Tureková, Ivana [Autor, UKFPFAKTT, 34%] ; Brečka, Peter [Autor, UKFPFAKTT, 33%] ; Paučeková, Henrieta [Autor, 33%] ; ICERI 2018, 11 [12.11.2018-14.11.2018, Sevila, Španielsko]. – [angličtina]. – [OV 010]. – [abstrakt z podujatia - KP]. – [recenzované]. – WOS CC In: ICERI2018 Proceedings [elektronický dokument] : 11th annual International Conference of Education, Research and Innovation / Gómez Chova, Luis [Zostavovateľ, editor] ; López Martínez, Agustín [Zostavovateľ, editor] ; Candel Torres, Ignacio [Zostavovateľ, editor]. – 1. vyd. – Valencia (Španielsko) : IATED, 2018. – ISBN 978-84-09-05948-5. – ISSN 2340-1095, s. 7654-7662 [USB kľúč] </t>
  </si>
  <si>
    <t xml:space="preserve">Makro- és mikropórusok, szigetelőanyagok, nedvességtartalom / Tóth, Attila [Autor, UKFFSSUVP, 50%] ; Libant, Vladimír [Autor, 25%] ; Čaplovič, Ľubomír [Autor, 25%] ; 24. Apáczai-napok [19.11.2020-19.11.2020, Győr, Maďarsko]. – text. – [maďarčina]. – [OV 010]. – [abstrakt z podujatia - KP] In: Kizökkent világ - szokatlan és különleges élethelyzetek: a nemkonvenciális, nem "normális", nem kiszámítható jelenségek korszaka [elektronický dokument] / Makkos, Anikó [Zostavovateľ, editor] ; Kecskés, Petra [Zostavovateľ, editor] ; Kövecsesné Gősi, Viktória [Zostavovateľ, editor] ; Andrássy, Katalin [Recenzent] ; Baranyiné Kóczy, Judit [Recenzent]. – 1. vyd. – Győr (Maďarsko) : Széchenyi István Egyetem, 2021. – ISBN 978-615-5837-91-3, s. 497-510 [online] </t>
  </si>
  <si>
    <t xml:space="preserve">Manažment a marketing cestovného ruchu v mikroregióne Termál = Management and marketing of tourism in the Termál microregion / Oremusová, Daša [Autor, UKFFPVKGR, 20%] ; Kramáreková, Hilda [Autor, UKFFPVKGR, 40%] ; Dubcová, Alena [Autor, UKFFPVKGR, 40%] ; Aktuální problémy cestovního ruchu, 14 [27.02.2019-28.02.2019, Jihlava, Česko]. – text. – [slovenčina]. – [OV 092]. – [abstrakt z podujatia - KP]. – [recenzované] In: Aktuální problémy cestovního ruchu [elektronický dokument] : „Cestovní ruch - příležitost pro venkov" : recenzovaný sborník z mezinárodní konference / Linderová, Ivica [Zostavovateľ, editor]. – 1 vyd. – Roč. 14. – Jihlava (Česko) : Vysoká škola polytechnická Jihlava, 2019. – ISBN 978-80-88064-43-5. – ISBN (online) 978-80-88064-42-8, s. 220-230 [online] [CD-ROM] </t>
  </si>
  <si>
    <t xml:space="preserve">Manipulácia naprieč storočiami, naprieč kontinentom, napriek zdravému rozumu / Petrová, Elena [Autor, UKFFFAKZU, 100%] ; Mediální (r)evoluce [29.04.2019, Olomouc, Česko]. – text. – [slovenčina]. – [OV 060]. – [abstrakt z podujatia - KP] In: Mediální (r)evoluce: Revoluční příběhy [elektronický dokument] : sborník konference Mediální (r)evoluce konané na KMKSŽ, Olomouc 29. dubna 2019 / Horáková, Jitka [Zostavovateľ, editor] ; Trampota, Tomáš [Recenzent]. – 1. vyd. – Olomouc (Česko) : Univerzita Palackého v Olomouci, 2019. – ISBN (online) 978-80-244-5693-5, s. 42-51 </t>
  </si>
  <si>
    <t xml:space="preserve">Mapping and assessment of land use changes in coal mining area : a case study from Slovakia / Vojtek, Matej [Autor, UKFFPVKGR, 40%] ; Vojteková, Jana [Autor, UKFFPVKGR, 40%] ; Boltižiar, Martin [Autor, UKFFPVKGR, 20%] ; SGEM 2018, 5 [26.08.2018-01.09.2018, Albena, Bulharsko]. – text. – [angličtina]. – [OV 092]. – [abstrakt z podujatia - KP]. – [recenzované]. – DOI 10.5593/sgemsocial2018/5.2 In: SGEM 2018 conference proceedings (1.3. Modern Science : finance, economics and tourism) [elektronický dokument] / [bez zostavovateľa] [Zostavovateľ, editor]. – 1. vyd. – Roč. 5. – Albena (Bulharsko) : STEF92 Technology, 2018. – ISBN 978-619-7408-63-8. – ISSN 2367-5659, s. 439-446 [CD-ROM] </t>
  </si>
  <si>
    <t xml:space="preserve">Mathematics learners’ behaviour in CLIL bilingual lessons within L2 external setting / Naštická, Zuzana [Autor, UKFFPVKMA, 100%] ; ETC4, 4 [22.03.2018-24.03.2018, Drážďany, Nemecko]. – [angličtina]. – [OV 010]. – [abstrakt z podujatia - KP]. – [recenzované] In: ETC4 : Proceedings of the Fourth ERME Topic Conference ‘Classroom-based research on mathematics and language’ / Planas, Núria [Zostavovateľ, editor] ; Schütte, Marcus [Zostavovateľ, editor]. – 1. vyd. – Drážďany (Nemecko) : Technische Universität Dresden, 2018. – ISBN 978-3-86780-573-5, s. 117-123 </t>
  </si>
  <si>
    <t xml:space="preserve">Matúš Kavec and His Position in Slovak Literature / Guzmická, Hana [Autor, UKFFSSUSJ, 100%] ; SGEM 2018 [19.03.2018-21.03.2018, Viedeň, Rakúsko]. – [angličtina]. – [OV 020]. – [abstrakt z podujatia - KP]. – [recenzované]. – DOI 10.5593/sgemsocial2018H/61 In: SGEM 2018 conference proccedings (6.1. Science &amp; Arts : cultural studies, ethnology and folklore literature and poetry, history of arts contemporary arts, performing and visual arts) [textový dokument (print)] [elektronický dokument] / [bez zostavovateľa] [Zostavovateľ, editor]. – 1. vyd. – Roč. 5. – Sofia (Bulharsko) : STEF92 Technology, 2018. – ISBN 978-619-7408-34-8. – ISSN 2367-5659, s. 267-272 [tlačená forma] [online] </t>
  </si>
  <si>
    <t xml:space="preserve">Measurement of Economic Value of Bee Pollination through Bioeconomic Approach in Coditions of Slovak and Czech Republic / Levický, Michal [Autor, UKFFPVUMI, 100%] ; DOKBAT 2019, 15 [06.11.2019-07.11.2019, Zlín, Česko]. – text. – [angličtina]. – [OV 080]. – [abstrakt z podujatia - KP]. – DOI 10.7441/dokbat.2019.104. – WOS CC In: DOKBAT 2019 [elektronický dokument] : conference proceedings : 15th Annual International Bata Conference for Ph.D. Students and Young Researchers / Ondra, Pavel [Zostavovateľ, editor]. – 1. vyd. – Zlín (Česko) : Univerzita Tomáše Bati ve Zlíně. Fakulta managementu a ekonomiky, 2019. – ISBN (online) 978-80-7454-893-2, s. 656-665 [online] [CD-ROM] </t>
  </si>
  <si>
    <t xml:space="preserve">Measurement of Reading Comprehension in Second Foreign Language / Lalinská, Mária [Autor, UKFFFAKRO, 40%] ; Stranovská, Eva [Autor, UKFFFAKGE, 30%] ; Gadušová, Zdenka [Autor, UKFFFAKAA, 30%] ; International Technology, Education and Development Conference 2020, 14 [02.03.2020-04.03.2020, Valencia, Španielsko]. – text. – [angličtina]. – [OV 010]. – [abstrakt z podujatia - KP]. – DOI 10.21125/inted.2020.1373. – WOS CC In: INTED2020 Proceedings [elektronický dokument] : 14th International Technology, Education and Development Conference / Chova, Luis Goméz [Zostavovateľ, editor] ; López Martínez, Agustín [Zostavovateľ, editor] ; Candel Torres, Ignacio [Zostavovateľ, editor]. – 1. vyd. – Valencia (Španielsko) : IATED, 2020. – (INTED Proceedings, ISSN 2340-1079). – ISBN 978-84-09-17939-8. – ISSN 2340-1079, s. 5018-5026 [online] </t>
  </si>
  <si>
    <t xml:space="preserve">Measuring the Reading Comprehension Skills of Hungarian Secondary School Students in Slovakia / Kázmér, Klára [Autor, UKFFSSUML, 100%] ; QUAERE 2018, 8 [27.06.2018-29.06.2018, Hradec Králové, Česko]. – text. – [angličtina]. – [OV 010]. – [abstrakt z podujatia - KP]. – [recenzované] In: QUAERE 2018 [elektronický dokument] : recenzovaný sborník příspěvků vědecké interdisciplinární mezinárodní vědecké konference doktorandů a odborných asistentů / [bez zostavovateľa] [Zostavovateľ, editor]. – 1. vyd. – Roč. 8. – Hradec Králové (Česko) : Magnanimitas akademické sdružení, 2018. – ISBN 978-80-87952-26-9, s. 818-823 [CD-ROM] </t>
  </si>
  <si>
    <t xml:space="preserve">Measuring Tourism Students’ Creativity Based on Character Traits / Beták, Norbert [Autor, UKFFSSKCR, 50%] ; Sándorová, Zuzana [Autor, UKFFSSKCR, 50%] ; Education and social sciences, business and economics [17.03.2021, Skopje, Macedónsko]. – text. – [angličtina]. – [OV 010]. – [abstrakt z podujatia - KP]. – [recenzované] In: IAI Academic Conference Proceedings [elektronický dokument] : International Virtual Academic Conference : Education and Social Sciences, Business and Economics / Apostolovska-Stepanovska, Milena [Zostavovateľ, editor]. – 1. vyd. – Skopje (Macedónsko) : International Academic Institute, 2020. – ISSN 2671-3179, s. 1-5 [online] </t>
  </si>
  <si>
    <t xml:space="preserve">Media Competence Development through the Podcasts in the Interdisciplinary Overlap of Foreign Language Teaching and Journalism / Wrede, Oľga [Autor, UKFFFAKGE, 50%] ; Nováčiková, Daša [Autor, UKFFFAKZU, 50%] ; ICERI 2021, 14 [08.11.2021-09.11.2021, Seville, Španielsko]. – text. – [angličtina]. – [OV 020]. – [abstrakt z podujatia - KP] In: ICERI2021 [elektronický dokument] : 14th annual International Conference of Education, Research and Innovation / Gómez, Chova L. [Zostavovateľ, editor] ; López Martínez, Agustín [Zostavovateľ, editor] ; Candel Torres, Ignacio [Zostavovateľ, editor]. – 1. vyd. – Valencia (Španielsko) : IATED, 2021. – ISBN 978-84-09-34549-6. – ISSN 2340-1095, s. 9011-9016 [online] [USB kľúč] </t>
  </si>
  <si>
    <t xml:space="preserve">Medzi Scyllou drám vo sfére privatissima a Charibdou drám histórie / Beličová, Renáta [Autor, UKFFFAULK, 100%] ; Wiendl, Jan [Recenzent] ; Bauer, Michal [Recenzent] ; Role středoevropského spisovatele - intelektuála ve zlomových okamžicích dějin, 7 [28.03.2017-29.03.2017, Olomouc, Česko]. – [slovenčina]. – [OV 020]. – [abstrakt z podujatia - KP] In: Role středoevropského spisovatele - intelektuála ve zlomových okamžicích dějin [textový dokument (print)] / Hrabal, Jiří [Zostavovateľ, editor]. – 1. vyd. – Olomouc (Česko) : Univerzita Palackého v Olomouci, 2018. – ISBN 978-80-88278-21-4, s. 281-293 [tlačená forma] </t>
  </si>
  <si>
    <t xml:space="preserve">Mental maps in educational process and their impact on pupil’s learning performance / Koleňáková, Rebeka Štefánia [Autor, UKFPFAKPE, 100%] ; EDULEARN19, 11 [01.07.2019-03.07.2019, Palma de Mallorca, Španielsko]. – text. – [angličtina]. – [OV 010]. – [abstrakt z podujatia - KP]. – WOS CC In: EDULEARN19 proceedings [elektronický dokument] : 11th annual International Conference on Education and New Learning Technologies / Gómez Chova, Luis [Zostavovateľ, editor] ; López Martínez, Agustín [Zostavovateľ, editor] ; López, Agustín [Recenzent] ; Girós, Amparo [Recenzent]. – 1. vyd. – Roč. 11. – Valencia (Španielsko) : IATED, 2019. – ISBN 978-84-09-12031-4. – ISSN 2340-1117, s. 9786-9794 [CD-ROM] </t>
  </si>
  <si>
    <t xml:space="preserve">Metaetical Challenges Of Contemporary Social Thinking / Tvrdoň, Miroslav [Autor, UKFFSVKSP, 50%] ; Máhrik, Tibor [Autor, 50%] ; SWS 2019, 6 [26.08.2019-01.09.2019, Albena, Bulharsko]. – [angličtina]. – [OV 020]. – [abstrakt z podujatia - KP] In: SWS 2019 International Scientific Conference on Arts and Humanities (History, philosophy,archaeology,history of art, performing &amp; visual arts, architecture &amp;design, literature &amp;poetry, language &amp; linguistics : Arts and humanities) [textový dokument (print)] [elektronický dokument] / Sparitis, Ojaris [Autor] ; Bondur, Valeriy [Autor] ; Bursche, Aleksander [Recenzent] ; Ghergut, Alois [Recenzent]. – 1. vyd. – Roč. 6, č. 1. – Sofia (Bulharsko) : STEF92 Technology, 2019. – ISBN 978-619-7408-90-4. – ISSN 2682-9940, s. 121-126 [tlačená forma] [online] </t>
  </si>
  <si>
    <t xml:space="preserve">Metaphysics as a base for improving critical thinking / Králik, Roman [Autor, UKFFFAKAE 06.2022, 20%] ; Máhrik, Tibor [Autor, 80%] ; ICERI 2019, 12 [11.11.2019-13.11.2019, Seville, Španielsko]. – text. – [angličtina]. – [OV 020]. – [abstrakt z podujatia - KP]. – WOS CC In: ICERI2019 Proceedings [elektronický dokument] : 12th International conference of education, research and innovation / Gómez Chova, Luis [Zostavovateľ, editor] ; López Martínez, Agustín [Zostavovateľ, editor] ; Candel Torres, Ignacio [Zostavovateľ, editor]. – 1. vyd. – Valencia (Španielsko) : IATED, 2019. – ISBN 978-84-09-14755-7. – ISSN 2340-1095, s. 8901-8903 [USB kľúč] </t>
  </si>
  <si>
    <t xml:space="preserve">Methodology of “reading” wordless picture books at lower secondary school / Horváthová, Ivana [Autor, UKFFFAKAA, 100%] ; EDULEARN21 [05.07.2021-06.07.2021, Barcelona, Španielsko]. – text. – [angličtina]. – [OV 010]. – [abstrakt z podujatia - KP]. – [recenzované] In: EDULEARN21 [elektronický dokument] : 13th annual International Conference on Education and New Learning Technologies, Barcelona, 5th - 6th of July, 2021 / Chova, Luis Goméz [Zostavovateľ, editor] ; Martínez, Augustín López [Zostavovateľ, editor] ; Torres, I. [Zostavovateľ, editor]. – 1. vyd. – Roč. 13. – Barcelona (Španielsko) : IATED, 2021. – ISBN 978-84-09-31267-2. – ISSN 2340-1117, s. 7274-7279 [CD-ROM] [USB kľúč] </t>
  </si>
  <si>
    <t xml:space="preserve">Methods and principles of teaching reading comprehension in Slovak primers / Hlavatá, Renáta [Autor, UKFFFASJL, 50%] ; Dudová, Katarína [Autor, UKFFFASJL, 50%] ; International Technology, Education and Development Conference 2019, 13 [11.03.2019-13.03.2019, Valencia, Španielsko]. – text. – [angličtina]. – [OV 010]. – [abstrakt z podujatia - KP]. – [recenzované]. – WOS CC In: INTED2019 Proceedings [elektronický dokument] : 13th International Technology, Education and Development Conference / Chova, Luis Goméz [Zostavovateľ, editor] ; López Martínez, Agustín [Zostavovateľ, editor] ; Candel Torres, Ignacio [Zostavovateľ, editor]. – 1. vyd. – Valencia (Španielsko) : IATED, 2019. – (INTED Proceedings, ISSN 2340-1079). – ISBN 978-84-09-08619-1, s. 1750-1756 [CD-ROM] [USB kľúč] </t>
  </si>
  <si>
    <t xml:space="preserve">Microclimatic conditions of the educational process in elementary schools / Brečka, Peter [Autor, UKFPFAKTT, 34%] ; Tureková, Ivana [Autor, UKFPFAKTT, 33%] ; Králová, Nikola [Autor, 33%] ; ICERI 2018, 11 [12.11.2018-14.11.2018, Sevila, Španielsko]. – [angličtina]. – [OV 010]. – [abstrakt z podujatia - KP]. – [recenzované]. – WOS CC In: ICERI2018 Proceedings [elektronický dokument] : 11th annual International Conference of Education, Research and Innovation / Gómez Chova, Luis [Zostavovateľ, editor] ; López Martínez, Agustín [Zostavovateľ, editor] ; Candel Torres, Ignacio [Zostavovateľ, editor]. – 1. vyd. – Valencia (Španielsko) : IATED, 2018. – ISBN 978-84-09-05948-5. – ISSN 2340-1095, s. 7645-7653 [USB kľúč] </t>
  </si>
  <si>
    <t xml:space="preserve">Miedzy kiezem a dzielem  - próba spojrzenia z perspektywy nauczyciela i dziecka / Depešová, Jana [Autor, UKFPFAKTT, 34%] ; Piekarz, Ewelina [Autor, 33%] ; Malodobry, Zbigniew [Autor, 33%] ; Kicz w Sztuce, etosie i wychowaniu [15.10.2019, Ľvov, Ukrajina]. – text. – [poľština]. – [OV 010]. – [abstrakt z podujatia - KP] In: Kicz w sztuce, etosie i wychowaniu [textový dokument (print)] / [bez zostavovateľa] [Zostavovateľ, editor]. – 1. vyd. – Ľvov (Ukrajina) : Rastr-7, 2019. – ISBN 978-617-7726-65-3, s. 96-101 [tlačená forma] </t>
  </si>
  <si>
    <t xml:space="preserve">Migration as an insight in the creative marketing campaigns / Szabóová, Veronika [Autor, UKFFFAKMR, 50%] ; Spálová, Lucia [Autor, UKFFFAKMR, 50%] ; International Scientific Conference on Economic and Social Development, 43 [15.07.2019-16.07.2019, Aveiro, Portugalsko]. – text. – [angličtina]. – [OV 060]. – [abstrakt z podujatia - KP]. – WOS CC In: Economic and social development [textový dokument (print)] : 43rd International scientific conference on Economic and social development : book of proceedings / Ribeiro, Humberto [Zostavovateľ, editor] ; Costa, Marco [Zostavovateľ, editor] ; Cerovic, Ljerka [Zostavovateľ, editor]. – 1. vyd. – Varaždin (Chorvátsko) : Varazdin Development and Entrepreneurship Agency, 2019. – ISSN 1849-7535, s. 219-229 [tlačená forma] </t>
  </si>
  <si>
    <t xml:space="preserve">Migration Policy in the European Union - Methodological Modification of Psychosemantic Methods / Spálová, Lucia [Autor, UKFFFAKMR, 50%] ; Szabo, Peter [Autor, UKFFFAKMR, 50%] ; Baláž, Peter [Recenzent] ; Barcik, Agnieszka [Recenzent] ; International Conference on European Integration, 4 [17.05.2018-18.05.2018, Ostrava, Česko]. – [angličtina]. – [OV 020]. – [abstrakt z podujatia - KP]. – WOS CC In: ICEI 2018 [textový dokument (print)] [elektronický dokument] : proceedings of the 4th International Scientific Conference on European Integration : May 17-18, 2018, Ostrava, Czech Republic / Staníčková, Michaela [Zostavovateľ, editor]. – 1. vyd. – Ostrava (Česko) : Vysoká škola báňská – Technická univerzita Ostrava, 2018. – ISBN 978-80-248-4169-4. – ISSN 2571-029X, s. 1334-1342 [tlačená forma] [CD-ROM] </t>
  </si>
  <si>
    <t xml:space="preserve">Milan Rastislav Štefánik in Theatre Productions in Slovakia and the Czech Republic / Inštitorisová, Dagmar [Autor, UKFFFAKMR, 100%] ; CBU International Conference, 6 [21.03.2018-23.03.2018, Praha, Česko]. – [angličtina]. – [OV 020]. – [abstrakt z podujatia - KP]. – [recenzované]. – DOI 10.12955/cbup.v6.1222 In: CBU International Conference Proceedings 2018 [textový dokument (print)] [elektronický dokument] : Innovations in Science and Education : March 21-23, 2018, Prague, Czech Republic / Hájek, Petr [Zostavovateľ, editor] ; Vít, Ondřej [Zostavovateľ, editor]. – 1. vyd. – Praha (Česko) : CBU Research Institute, 2018. – ISBN 978-80-270-5037-6. – ISBN (online) 978-80-270-5038-3. – ISSN 1805-997X. – ISSN (online) 1805-9961, s. 616-623 [tlačená forma] [online] </t>
  </si>
  <si>
    <t xml:space="preserve">Minecraft: education edition as a game-based learning in Slovakia / Šajben, Jakub [Autor, UKFFPVKIN, 34%] ; Klimová, Nika [Autor, UKFFPVKIN, 33%] ; Lovászová, Gabriela [Autor, UKFFPVKIN, 33%] ; EDULEARN20, 12 [06.07.2020-07.07.2020, Palma de Mallorca, Španielsko]. – text. – [angličtina]. – [OV 160]. – [abstrakt z podujatia - KP] In: EDULEARN20 proceedings [elektronický dokument] : 12th International Conference on Education and New Learning Technologies / Gómez Chova, Luis [Zostavovateľ, editor] ; López Martínez, Agustín [Zostavovateľ, editor]. – 1. vyd. – Roč. 12. – Valencia (Španielsko) : IATED, 2020. – ISBN 978-84-09-17979-4. – ISSN 2340-1117, s. 7686-7693 [USB kľúč] </t>
  </si>
  <si>
    <t xml:space="preserve">Miroslav Košnár a jeho inovačný prínos pre akordeónovú pedagogiku na Slovensku = Miroslav Košnár and his innovational contribution to accordion pedagogy in Slovakia / Haragová, Paulína [Autor, UKFPFAKHU, 100%] ; Teorie a praxe hudební výchovy, 5 [09.10.2017-10.10.2017, Praha, Česko]. – text. – [slovenčina]. – [OV 010]. – [abstrakt z podujatia - KP] In: Teorie a praxe hudební výchovy V [textový dokument (print)] : sborník příspevků z konference studentů doktorandských a magisterských studií a pedagogů hudebního vzdělávání v zemích V4 konané v Praze ve dnech  9.-10. listopadu 2017 / Dunovská, Marie [Zostavovateľ, editor] ; Kodejška, Miloš [Zostavovateľ, editor] ; Králová, Eva [Zostavovateľ, editor] ; Slavíková, Petra [Zostavovateľ, editor] ; Kaščáková, Lenka [Zostavovateľ, editor] ; Hudáková, Jana [Zostavovateľ, editor] ; Slavíková, Marie [Recenzent] ; Kopčáková, Slávka [Recenzent]. – 1. vyd. – Praha (Česko) : Univerzita Karlova v Praze, 2018. – ISBN 978-80-7290-978-0. – TUAD PC016444. – SIGN-PU FF 193/18, s. 276-283 [tlačená forma] </t>
  </si>
  <si>
    <t xml:space="preserve">Misconceptions in Quantum Mechanics through Double Slit Experiment / Sitkey, Matúš [Autor, UKFFPVKFY, 100%] ; New perspectives in science education [21.03.2019-22.03.2019, Florenze, Taliansko]. – text. – [angličtina]. – [OV 091, 010]. – [abstrakt z podujatia - KP]. – [recenzované]. – WOS CC In: New perspectives in science education [textový dokument (print)] : Conference Proceedings / Kapelari, Suzanne [Zostavovateľ, editor] ; Kummert, Börge [Zostavovateľ, editor]. – 1. vyd. – Florence (Taliansko) : Pixel, 2019. – ISBN 978-88-85813-56-4. – ISSN 2420-9732, s. 380-384 [tlačená forma] </t>
  </si>
  <si>
    <t xml:space="preserve">Misconceptions in quantum physics arising from the classical physics / Sitkey, Matúš [Autor, UKFFPVKFY, 50%] ; Jindrová, Terézia [Autor, UKFFPVKFY, 50%] ; ICERI 2020 : International Conference of Education, Research and Innovation, 13 [09.11.2020-10.11.2020, Sevilla, Španielsko]. – text. – [angličtina]. – [OV 010, 091]. – [abstrakt z podujatia - KP] In: ICERI 2020 [elektronický dokument] : 13th international conference of education, research and innovation : transforming education, transforming lives / Gómez Chova, Luis [Zostavovateľ, editor] ; Martínez, Augustín López [Zostavovateľ, editor] ; Torres, I. Candel [Zostavovateľ, editor]. – 1. vyd. – Valencia (Španielsko) : IATED, 2020. – ISBN 978-84-09-24232-0. – ISSN 2340-1095, s. 2934-2938 [USB kľúč] </t>
  </si>
  <si>
    <t xml:space="preserve">Mit (nem)tanultunk informatikából a középiskolában / Szabó, Tibor [Autor, UKFFSSUVP, 50%] ; Pšenáková, Ildikó [Autor, TUTPFKMI, 40%] ; Pribilová, Katarína [Autor, TUTPFKMI, 10%] ; InfoDidact 2018, 11 [22.11.2018-24.11.2018, Zamárdi, Maďarsko]. – [maďarčina]. – [OV 240]. – [abstrakt z podujatia - KP]. – [recenzované]. – TUTPFKMI signatúra E074165 In: InfoDidact 2018 [elektronický dokument] : 11. Informatika Szakmódszertani : Konferencia / Szlávi, Péter [Zostavovateľ, editor] ; Zsakó, László [Zostavovateľ, editor]. – 1. vyd. – Budapešť (Maďarsko) : Webdidaktika Alapítvány, 2018. – ISBN 978-615-80608-2-0, s. 221-229 [online] </t>
  </si>
  <si>
    <t xml:space="preserve">Mobile Technologies and the Ways of Use in Teaching it Related Subjects / Burianová, Mária [Autor, UKFFPVKIN, 40%] ; Turčáni, Milan [Autor, UKFFPVKIN, 30%] ; Balogh, Zoltán [Autor, UKFFPVKIN, 20%] ; Mudrák, Marián [Autor, UKFFPVKIN, 10%] ; Fejfarová, Martina [Recenzent] ; Flégl, Martin [Recenzent] ; ERIE 2018, 15 [07.06.2018-08.06.2018, Praha, Česko]. – [angličtina]. – [OV 020]. – [abstrakt z podujatia - KP]. – WOS CC In: ERIE 2018 [textový dokument (print)] [elektronický dokument] : Proceedings of the 15th International Conference / Fejfar, Jiří [Zostavovateľ, editor] ; Fejfarová, Martina [Zostavovateľ, editor] ; Flégl, Martin [Zostavovateľ, editor]. – 1. vyd. – Praha (Česko) : Česká zemědelská univerzita v Praze, 2018. – ISBN 978-80-213-2858-7. – ISSN 2336-744X, s. 21-28 [online] [tlačená forma] </t>
  </si>
  <si>
    <t xml:space="preserve">Modeling of Uncertainty with Petri Nets / Kuchárik, Michal [Autor, UKFFPVKIN, 50%] ; Balogh, Zoltán [Autor, UKFFPVKIN, 50%] ; Lecture Notes in Computer Science (including subseries Lecture Notes in Artificial Intelligence and Lecture Notes in Bioinformatics), 11 [08.04.2019-11.04.2019, Yogyakarta, Indonézia]. – text. – [angličtina]. – [OV 160]. – [abstrakt z podujatia - KP]. – [recenzované]. – DOI 10.1007/978-3-030-14799-0_43. – WOS CC ; SCO In: Intelligent Informationand Database Systems (I. Part) : 11th Asian Conference, ACIIDS 2019 Yogyakarta, Indonesia, April 8–11, 2019 Proceedings / Nguyen, Ngoc Thanh [Zostavovateľ, editor] ; Lumban Gaol, Ford [Zostavovateľ, editor] ; Hong, Tzung-Pei [Zostavovateľ, editor] ; Trawiński, Bogdan [Zostavovateľ, editor]. – Cham (Švajčiarsko) : Springer Nature, 2019. – (Lecture Notes in Artificial Intelligence : Subseries of Lecture Notes in Computer Science, ISSN 0302-9743, ISSN 1611-3349 ; 11431, SJR: 0,427 ; CiteScore: 1,9 ; SNIP: 0,776) (Lecture Notes in Computer Science, ISSN 0302-9743, ISSN 1611-3349, SJR: 0,427 ; CiteScore: 1,9 ; SNIP: 0,776). – ISBN 978-3-030-14798-3. – ISBN (online) 978-3-030-14799-0, 499-509 Scimago - Computer science (miscellaneous) - Q2, Computer science (miscellaneous) - Q2, Theoretical computer science - Q3, Theoretical computer science - Q3 </t>
  </si>
  <si>
    <t xml:space="preserve">Modern digital web 2.0 devices and services supporting the teaching of technology and informatics / Molnár, György [Autor, 34%] ; Szüts, Zoltán [Autor, 33%] ; Balogh, Zoltán [Autor, UKFFPVKIN, 33%] ; IEEE 17th International Symposium on Intelligent Systems and Informatics, 17 [12.09.2019-14.09.2019, SUbotica, Srbsko]. – text. – [angličtina]. – [OV 160]. – [abstrakt z podujatia - KP]. – SCO In: 17th International Symposium on Intelligent Systems and Informatics [elektronický dokument] : proceedings / Szakál, Anikó [Zostavovateľ, editor]. – 1. vyd. – Budapešť (Maďarsko) : Institute of Electrical and Electronics Engineers, 2019. – ISBN 978-1-7281-2142-0, s. 89-94 [online] </t>
  </si>
  <si>
    <t xml:space="preserve">Modifikácia slovenskej verzie dotazníka školského sebapoňatia pre stredoškolákov (ASCQ) / Balážová, Miroslava [Autor, UKFFSVKPV, 50%] ; Popelková, Marta [Autor, UKFFSVKPV, 50%] ; Blatný, Marek [Recenzent] ; Jelínek, Martin [Recenzent] ; Sociální procesy a osobnost 2017 [18.09.2017-20.09.2017, Brno, Česko]. – text. – [slovenčina]. – [OV 060]. – [abstrakt z podujatia - KP] In: Sociální procesy a osobnost 2017 [elektronický dokument] : sborník příspěvků / Blatný, Marek [Zostavovateľ, editor] ; Jelínek, Martin [Zostavovateľ, editor] ; Květon, Petr [Zostavovateľ, editor] ; Vobořil, Dalibor [Zostavovateľ, editor]. – 1. vyd. – Praha (Česko) : Akademie věd České republiky, 2018. – ISBN (online) 978-80-86174-22-8, s. 20-24 [online] </t>
  </si>
  <si>
    <t xml:space="preserve">Motivational factors influencing primary school pupils’ interest in study at secondary vocational schools / Tomková, Viera [Autor, UKFPFAKTT, 50%] ; Pavelka, Jozef [Autor, PUPHUFMT, 50%] ; ICERI 2020 : International Conference of Education, Research and Innovation, 13 [09.11.2020-10.11.2020, Sevilla, Španielsko]. – text. – [angličtina]. – [OV 010]. – [abstrakt z podujatia - KP]. – SIGN-PU FHPV-21 282/20 In: ICERI 2020 [elektronický dokument] : 13th international conference of education, research and innovation : transforming education, transforming lives / Gómez Chova, Luis [Zostavovateľ, editor] ; Martínez, Augustín López [Zostavovateľ, editor] ; Torres, I. Candel [Zostavovateľ, editor]. – 1. vyd. – Valencia (Španielsko) : IATED, 2020. – ISBN 978-84-09-24232-0. – ISSN 2340-1095, s. 5660-5665 [USB kľúč] </t>
  </si>
  <si>
    <t xml:space="preserve">Motives for cyberbullying and sexting in adolescents / Bielčiková, Kristína [Autor, 30%] ; Hollá, Katarína [Autor, UKFPFAKPE, 70%] ; Mezinárodní Masarykova konference pro doktorandy a mladé vědecké pracovníky 2020, 11 [14.12.2020-16.12.2020, Hradec Králové, Česko]. – text. – [slovenčina]. – [OV 010]. – [abstrakt z podujatia - KP] In: MMK 2020 [elektronický dokument] : Mezinárodní Masarykova konference pro doktorandy a mladé vědecké pracovníky 2020 = recenzovaný sborník příspěvků mezinárodní vědecké konference / [bez zostavovateľa] [Zostavovateľ, editor] ; Lipowski, Jaroslav [Recenzent] ; Jaskułowski, Krzysztof [Recenzent]. – 1. vyd. – Roč. 11. – Hradec Králové (Česko) : Magnanimitas akademické sdružení, 2020. – ISBN 978-80-87952-33-7, s. 630-638 [CD-ROM] [online] </t>
  </si>
  <si>
    <t xml:space="preserve">Možnosti komunikácie náboženských hodnôt / Kondrla, Peter [Autor, UKFFFAKNS, 100%] ; Koudelková, Petra [Recenzent] ; Klabíková-Rábová, Tereza [Recenzent] ; Náboženská komunikace: Mediální obraz křesťanství, 5 [08.02.2018, Praha, Česko]. – text. – [čeština]. – [OV 020]. – [abstrakt z podujatia - KP] In: Náboženská komunikace: Mediální obraz křesťanství [textový dokument (print)] [elektronický dokument] : 08. 02. 2018 / Koudelková, Petra [Zostavovateľ, editor]. – 1. vyd. – Praha (Česko) : Univerzita Karlova v Praze, 2018. – ISBN 978-80-87404-66-9, s. 14-20 [tlačená forma] [online] </t>
  </si>
  <si>
    <t xml:space="preserve">Music as a reference phenomenon in subtitling for the deaf and hard of hearing / Zahorák, Andrej [Autor, UKFFFAKTR, 50%] ; Perez, Emília [Autor, UKFFFAKTR, 50%] ; Intersection of Cultures, 5 [20.06.2019-22.06.2019, Nur-Sultan, Kazachstan]. – text. – [angličtina]. – [OV 010, 020]. – [abstrakt z podujatia - KP] In: Intersection of Cultures [textový dokument (print)] : 5th International Symposium on Asian Languages and Literatures, Nur-Sultan, Kazakhstan, 20-22 June 2019 / Pilten, Pusat [Zostavovateľ, editor]. – 1. vyd. – Ankara (Turecko) : Akhmet Yassawi International Kazakh-Turkish University, 2020. – ISBN 978-9944-237-82-6, s. 23-42 [tlačená forma] </t>
  </si>
  <si>
    <t xml:space="preserve">Nadčasovosť antisemitizmu v slovenskej literatúre = Timelessness of Antisemitism in Slovak Literature / Adamická, Monika [Autor, UKFFSSUSJ, 100%] ; QUAERE 2020, 10 [22.06.2020-26.06.2020, Hradec Králové, Česko]. – text. – [slovenčina]. – [OV 020]. – [abstrakt z podujatia - KP] In: QUAERE 2020 [elektronický dokument] : recenzovaný sborník příspěvků interdisciplinární mezinárodní vědecké konference doktorandů a odborných asistentů, Hradec Králové, 22.- 26.6.2020 / [bez zostavovateľa] [Zostavovateľ, editor]. – 1. vyd. – Roč. 10. – Hradec Králové (Česko) : Magnanimitas akademické sdružení, 2020. – ISBN 978-80-87952-32-0, s. 1316-1323 [online] </t>
  </si>
  <si>
    <t xml:space="preserve">Naïve narrator - an effective means in humour creating / Waldnerová, Jana [Autor, UKFFFAKAA, 100%] ; Language, Literature and Culture in Education 2019 [05.12.2019-07.12.2019, Rím, Taliansko]. – text. – [angličtina]. – [OV 020]. – [abstrakt z podujatia - KP] In: Language, Literature and Culture in Education 2019 [textový dokument (print)] : proceedings / Pokrivčáková, Silvia [Zostavovateľ, editor]. – 1. vyd. – Nitra (Slovensko) : SlovakEdu, 2020. – ISBN 978-80-89864-15-7, s. 78-89 [tlačená forma] </t>
  </si>
  <si>
    <t xml:space="preserve">Nárečia dolnozemských Slovákov v konfrontácii s nárečiami stredoslovenského makroareálu / Bánik, Tomáš [Autor, UKFFFASJL, 100%] ; Király Péter 100 [22.11.2017-23.11.2017, Budapešť, Maďarsko]. – text. – [slovenčina]. – [OV 020]. – [abstrakt z podujatia - KP] In: Király Péter 100 [textový dokument (print)] : tanulmánykötet Király Péter tiszteletére I. / Császári, Éva [Zostavovateľ, editor] ; Imrichová, Mária [Zostavovateľ, editor] ; Banczerowski, Janusz [Recenzent] ; Lukács, István [Recenzent]. – 1. vyd. – Budapešť (Maďarsko) : Eötvös Loránd Tudományegyetem. ELTE Bölcsészettudományi Kar. Szláv filológiai tanszék, 2019. – ISBN 978-963-489-066-9. – ISSN 1789-3976. – SIGN-PU FF-19 302/19, s. 130-142 [tlačená forma] </t>
  </si>
  <si>
    <t xml:space="preserve">Narrative Function of Language in Terry Pratchett’s The Wee Free Men / Ondrušeková, Judita [Autor, UKFFFAKAA, 100%] ; NORDSCI International Conference on Social Sciences [19.08.2019-23.08.2019, Atény, Grécko]. – [angličtina]. – [OV 020]. – [abstrakt z podujatia - KP]. – DOI 10.32008/NORDSCI2019/B1/V2 In: NORDSCI conference on social sciences (Book 1 / Vol. 2 : Sections Education and Educational Research, History, Language and Linguistics, Philosophy, Sociology and Healthcare) [textový dokument (print)] [elektronický dokument] : Conference Proceedings / [bez zostavovateľa] [Zostavovateľ, editor]. – Sofia (Bulharsko) : SAIMA Consult, 2019. – ISBN 978-619-7495-05-8. – ISSN 2603-4107, s. 163-172 [tlačená forma] [online] </t>
  </si>
  <si>
    <t xml:space="preserve">Narrative Odyssey of a Congenital Immigrant : The Art of Storytelling in Rabih Alameddine’s The Angel of History / Dostálová, Zuzana [Autor, UKFPFAKLI, 100%] ; Silesian Studies in English 2018, 5 [06.09.2018-07.09.2018, Opava, Česko]. – text. – [angličtina]. – [OV 020]. – [abstrakt z podujatia - KP]. – WOS CC In: Silesian Studies in English 2018 [textový dokument (print)] : proceedings of  the 5th International Conference Of English And American Studies, 6th - 7th September 2018 / Crhová, Marie [Zostavovateľ, editor] ; Weiss, Michaela [Zostavovateľ, editor] ; Smiešková, Alena [Recenzent] ; Pelclová, Jana [Recenzent]. – 1. vyd. – Opava (Česko) : Slezská univerzita v Opavě, 2019. – ISBN 978-80-7510-398-7, s. 167-175 [tlačená forma] </t>
  </si>
  <si>
    <t xml:space="preserve">Natural aspects of the development of the landscape with dispersed settlement (example of the Hrušov village cadastral area) / Lacika, Ján [Autor, UKFFPVKGR, 50%] ; Hanušin, Ján [Autor, 50%] ; Lněnička, Libor [Recenzent] ; Mísařová, Darina [Recenzent] ; Useful Geography: Transfer from Research to Practice, 25 [12.10.2017-13.10.2017, Brno, Česko]. – text. – [angličtina]. – [OV 092]. – [abstrakt z podujatia - KP]. – DOI 10.5817/CZ.MUNI.P210-8908-2018. – WOS CC In: Useful Geography: Transfer from Research to Practice [textový dokument (print)] [elektronický dokument] : Proceedings of 25th Central European Conference, 12th-13th October 2017, Brno / Svobodová, Hana [Zostavovateľ, editor]. – 1. vyd. – Brno (Česko) : Masarykova univerzita, 2018. – ISBN 978-80-210-8907-5. – ISBN (online) 978-80-210-8908-2, s. 187-202 [tlačená forma] [online] </t>
  </si>
  <si>
    <t xml:space="preserve">Návrat antropologickej vážnosti umenia : umelecké dielo ako konceptuálny štvorec alebo symfónia života? / Pariláková, Eva [Autor, UKFFFAULK, 100%] ; Malicki, Jan [Recenzent] ; Raclavská, Jana [Recenzent] ; Studia humanitatis ars hermeneutica, 7 [09.05.2018-10.05.2018, Ostrava, Česko]. – text. – [slovenčina]. – [OV 020]. – [abstrakt z podujatia - KP] In: Studia humanitatis – Ars hermeneutica [textový dokument (print)] : metodologie a theurgie hermeneutické interpretace 7 / Mikulášek, Miroslav [Zostavovateľ, editor]. – 1. vyd. – Ostrava (Česko) : Ostravská univerzita, 2018. – ISBN 978-80-7599-026-6, s. 179-198 [tlačená forma] </t>
  </si>
  <si>
    <t xml:space="preserve">Návrh úvodného kurzu kvantovej mechaniky pre informatikov / Sitkey, Matúš [Autor, UKFFPVKFY, 100%] ; Trendy ve vzdělávaní 2018, 2 [16.05.2018-18.05.2018, Slatinice u Olomouce, Česko]. – text. – [slovenčina]. – [OV 010]. – [abstrakt z podujatia - KP]. – [recenzované] In: Trendy ve vzdělávaní 2018 [textový dokument (print)] [elektronický dokument] : Technika, informatika a inovace ve vzdělávaní : Sborník abstraktů z mezinárodní konference / Dostál, Jiří [Zostavovateľ, editor]. – 1. vyd. – Olomouc (Česko) : Univerzita Palackého v Olomouci, 2018. – ISBN 978-80-244-5318-7, s. 57-63 </t>
  </si>
  <si>
    <t xml:space="preserve">Necessities of an Unnecessary Woman : Journey of Arab American Novel in Rabih Alameddine’s “An Unnecessary Woman” / Tabačková, Zuzana [Autor, UKFPFAKLI, 100%] ; Al-Ashiri, Mahmoud [Recenzent] ; Ejibadze, Nino [Recenzent] ; History of Arabic Literature, 2 [19.05.2016-20.05.2016, Kyjev, Ukrajina]. – [angličtina]. – [OV 020]. – [abstrakt z podujatia - KP] In: History of Arabic Literature [textový dokument (print)] : Proceedings of the 2nd International Conference / Khomitska, Olena [Zostavovateľ, editor]. – 1. vyd. – Kyjev (Ukrajina) : Kyjivskij nacionaľnyj universitet imeni Tarasa Ševčenka, 2018. – ISBN 978-617-7652-10-5, s. 170-180 [tlačená forma] </t>
  </si>
  <si>
    <t xml:space="preserve">Need for post-editing in translators' training? / Welnitzová, Katarína [Autor, UKFFFAKTR, 50%] ; Munková, Daša [Autor, UKFFFAKTR, 50%] ; International Technology, Education and Development Conference 2021, 15 [08.03.2021-09.03.2021, Valencia, Španielsko]. – text. – [angličtina]. – [OV 020]. – [abstrakt z podujatia - KP]. – DOI 10.21125/inted.2021.1986 In: INTED2021 [textový dokument (print)] [elektronický dokument] : 15th International Technology, Education and Development Conference : conference proceedings / Chova, Luis Goméz [Zostavovateľ, editor] ; López Martínez, Agustín [Zostavovateľ, editor] ; Candel Torres, Ignacio [Zostavovateľ, editor]. – 1. vyd. – Valencia (Španielsko) : IATED, 2021. – (INTED Proceedings, ISSN 2340-1079). – ISBN 978-84-09-27666-0. – ISSN 2340-1079, s. 9499-9507 [online] </t>
  </si>
  <si>
    <t xml:space="preserve">Nelegálne zamestnávanie na Slovensku / Korenková, Marcela [Autor, UKFFPVUMI, 34%] ; Maroš, Milan [Autor, UKFFPVUMI, 33%] ; Levický, Michal [Autor, UKFFPVUMI, 33%] ; Mezinárodní kolokvium o regionálních vědách, 24 [01.09.2021-03.09.2021, Brno, Česko]. – text. – [slovenčina]. – [OV 060]. – [abstrakt z podujatia - KP]. – [recenzované] In: 24. Mezinárodní kolokvium o regionálních vědách [elektronický dokument] : sborník příspěvků Brno 1.9-3.9.2021 / Klímová, Viktorie [Zostavovateľ, editor] ; Žítek, Vladimír [Zostavovateľ, editor]. – 1. vyd. – Roč. 24. – Brno (Česko) : Masarykova univerzita, 2021. – ISBN 978-80-210-9896-1, s. 196-203 [CD-ROM] [online] </t>
  </si>
  <si>
    <t xml:space="preserve">Nemo contra Deum nisi Deus ipse : Wer darf Blumenberg infrage stellen außer Blumenberg selbst? = Nemo contra Deum nisi Deus ipse : Who can question Blumenberg except for Blumenberg himself / Horyna, Břetislav [Autor, UKFFFAKFI, 100%] ; 100 Jahre Hans Blumenberg [18.09.2019, Brno, Česko]. – text. – [nemčina]. – [OV 020]. – [článok z podujatia]. – [recenzované] In: Pro-Fil [elektronický dokument] : internetový časopis pro filosofii = an Internet Journal of Philosophy. – Brno (Česko) : Masarykova univerzita. Filozofická fakulta. Katedra filozofie. – ISSN (online) 1212-9097. – suppl. Roč. 21 (2020), s. 38-45 [online] . – SJR: 0,143 ; CiteScore: 0,1 ; SNIP: 0,436 Scimago - Philosophy - Q2 </t>
  </si>
  <si>
    <t xml:space="preserve">New bathymetric map of the tarn Zelené Kežmarské pleso (High Tatras) / Kapusta, Juraj [Autor, UKFFPVKEE, 25%] ; Izsóff, Martin [Autor, UKFFPVKEE, 25%] ; Celer, Slavomír [Autor, 25%] ; Tomko Králo, Dávid [Autor, UKFFPVKEE, 25%] ; SGEM 2018, 18 [02.07.2018-08.07.2018, Albena, Bulharsko]. – text. – [angličtina]. – [OV 100]. – [abstrakt z podujatia - KP]. – [recenzované]. – DOI 10.5593/sgem2018/2.3/S11.063. – SCO In: SGEM 2018 conference proceedings (2.3. Informatics, Geoinformatics and Remote Sensing : photogrammetry and remote sensing, cartography and gis) [textový dokument (print)] [elektronický dokument] / [bez zostavovateľa] [Zostavovateľ, editor]. – 1. vyd. – č. 18. – Sofia (Bulharsko) : STEF 92 Technology, 2018. – ISBN 978-619-7408-41-6. – ISSN 2367-5659, s. 495-501 [tlačená forma] [online] </t>
  </si>
  <si>
    <t xml:space="preserve">New evaluation of the step-wise transient measurements / Malinarič, Svetozár [Autor, UKFFPVKFY, 50%] ; Dieška, Peter [Autor, 50%] ; 2nd Central European Symposium on Thermophysics 2020, CEST 2020, 2 [02.09.2020-04.09.2020, Eger, Maďarsko]. – [angličtina]. – [OV 091, 150]. – [abstrakt z podujatia - KP]. – DOI 10.1063/5.0025894. – SCO In: Proceedings of the 2nd Central European Symposium on Thermophysics [textový dokument (print)] / Trník, Anton [Zostavovateľ, editor] ; Medveď, Igor [Zostavovateľ, editor]. – 1. vyd. – College Park, Maryland (USA) : American Institute of Physics , 2020. – (AIP Conference Proceedings, ISSN 0094-243X, ISSN 1551-7616 ; Volume 2275, SJR: 0,177 ; CiteScore: 0,7 ; SNIP: 0,314). – ISBN 978-0-7354-4005-0. – ISSN 0094243X. – ISSN (online) 15517616, s. 1-12 [tlačená forma] [online] </t>
  </si>
  <si>
    <t xml:space="preserve">Niekoľko poznámok k posunom v teórii a metodológii výskumu Slovákov na Dolnej zemi / Michalík, Boris [Autor, UKFFFAKMK, 90%] ; Ďurakov, Viktor [Autor, UKFFFAKMK, 10%] ; Dolnozemskí Slováci a rok 1918 [21.03.2019-24.03.2019, Nadlak, Rumunsko]. – text. – [slovenčina]. – [OV 030]. – [abstrakt z podujatia - KP] In: Dolnozemskí Slováci a rok 1918 [textový dokument (print)] : zborník prác z rovnomennej medzinárodnej konferencie / Ambruš, Ivan Miroslav [Zostavovateľ, editor] ; Hlásnik, Pavel [Zostavovateľ, editor] ; Unc, Bianca [Zostavovateľ, editor] ; Lenovský, Ladislav [Recenzent] ; Šmigeľ, Michal [Recenzent] ; Syrný, Marek [Recenzent]. – 1. vyd. – Nadlak (Rumunsko) : Vydavateľstvo - Editura Ivan Krasko, 2019. – ISBN 978-973-107-148-0, s. 123-127 [tlačená forma] </t>
  </si>
  <si>
    <t xml:space="preserve">Nitra wine region - the most diverse wine region in Slovakia / Némethová, Jana [Autor, UKFFPVKGR, 80%] ; Civáň, Marek [Autor, 20%] ; Lněnička, Libor [Recenzent] ; Mísařová, Darina [Recenzent] ; Useful Geography: Transfer from Research to Practice, 25 [12.10.2017-13.10.2017, Brno, Česko]. – [angličtina]. – [OV 092]. – [abstrakt z podujatia - KP]. – DOI 10.5817/CZ.MUNI.P210-8908-2018. – WOS CC In: Useful Geography: Transfer from Research to Practice [textový dokument (print)] [elektronický dokument] : Proceedings of 25th Central European Conference, 12th-13th October 2017, Brno / Svobodová, Hana [Zostavovateľ, editor]. – 1. vyd. – Brno (Česko) : Masarykova univerzita, 2018. – ISBN 978-80-210-8907-5. – ISBN (online) 978-80-210-8908-2, s. 494-505 [tlačená forma] [online] </t>
  </si>
  <si>
    <t xml:space="preserve">Non-Academic Self-Concept of Gifted Pupils / Hošová, Dominika [Autor, UKFPFAKPE, 50%] ; Duchovičová, Jana [Autor, UKFPFAKPE, 50%] ; Verbeke, Mark [Recenzent] ; Coleman, Hardin L. K. [Recenzent] ; The Future of Education, 9 [27.06.2019-28.06.2019, Florence, Taliansko]. – text. – [angličtina]. – [OV 010]. – [abstrakt z podujatia - KP]. – DOI 10.26352/D627_2384-9509_2019. – WOS CC In: The Future of Education [elektronický dokument] : Proceedings form 9 th International Conference, Florence, 27 - 28 June 2019 / [bez zostavovateľa] [Zostavovateľ, editor]. – 1. vyd. – Florence (Taliansko) : Filodiritto Publisher, 2019. – ISBN 978-88-85813-45-8. – ISSN 2384-9509, s. 282-287 [online] </t>
  </si>
  <si>
    <t xml:space="preserve">Non-Native Teachers' Foreign Language Speaking Anxiety - A Post-Communist Countries' Paradox / Kráľová, Zdena [Autor, UKFPFAKLI, 50%] ; Malá, Eva [Autor, UKFPFAKLI, 50%] ; Shonigerun, Charles A. [Recenzent] ; Akmayeva, Galyna [Recenzent] ; World Congress on Special Needs Education [11.12.2017-14.12.2017, Cambridge, Veľká Británia]. – [angličtina]. – [OV 010]. – [abstrakt z podujatia - KP]. – DOI 10.2053/WCSNE.2017.0016 In: LICE - ECSNE Proceedings [textový dokument (print)] : World Congress on Special Needs Education, University of Cambridge from the 11 to 14 th of December, 2017 / Akmayeva, Galyna [Zostavovateľ, editor]. – 1. vyd. – Cambridge (Veľká Británia) : University of Cambridge, 2018. – ISBN 978-1-908320-87-2, s. 63-68 [online] </t>
  </si>
  <si>
    <t xml:space="preserve">O inkluzívní edukaci v současné slovenské mateřské škole / Balážová, Jana [Autor, UKFPFAKPE, 100%] ; QUAERE 2021, 11 [28.06.2021-30.06.2021, Hradec Králové, Česko]. – text. – [čeština]. – [OV 010]. – [abstrakt z podujatia - KP]. – [recenzované] In: QUAERE 2021 [elektronický dokument] : recenzovaný sborník příspěvků interdisciplinární mezinárodní vědecké konference doktorandů a odborných asistentů, Hradec Králové 28.6.2021 - 30.6.2021 / [bez zostavovateľa] [Zostavovateľ, editor]. – 1. vyd. – Roč. 11. – Hradec Králové (Česko) : Magnanimitas akademické sdružení, 2021. – ISBN 978-80-87952-34-4, s. 685-690 [online] </t>
  </si>
  <si>
    <t xml:space="preserve">O potrebe kurzov slovenčiny pre budúcich učiteľov - neslovenčinárov / Glovňa, Juraj [Autor, UKFFFASJL, 100%] ; Nikolova, Nadka [Recenzent] ; Nábělková, Mira [Recenzent] ; Slovanské spisovné jazyky od teorie k praxi. Formování jazykového vědomí a postojů k jazyku, 16 [20.08.2018-27.08.2018, Belehrad, Srbsko]. – [čeština]. – [OV 020]. – [abstrakt z podujatia - KP] In: Slovanské spisovné jazyky od teorie k praxi. Formování jazykového vědomí a postojů k jazyku [textový dokument (print)] : sborník ze 16. mezinárodního sjezdu slavistů Bělehrad 20. - 27. 8. 2018 / Gladkova, H. [Zostavovateľ, editor]. – Praha (Česko) : Univerzita Karlova v Praze, 2018. – ISBN 978-80-7308-867-5, s. 59-66 </t>
  </si>
  <si>
    <t xml:space="preserve">Obraz prosveščenija klassika i sovremennosť / Lesčinskaja, Irina [Autor, 50%] ; Jakubovská, Viera [Autor, UKFFFAKFI, 50%] ; Filosofija i socijaľnyje nauki v sovremennom mire [26.09.2019-27.09.2019, Minsk, Bielorusko (predtým ako Bieloruská SSR)]. – text. – [ruština]. – [OV 020]. – [abstrakt z podujatia - KP] In: Filosofija i socijaľnyje nauki v sovremennom mire [textový dokument (print)] : Marerijali meždunarodnoj naučnoj konferenciji k 30-letiju Fakuľteta filosofiji i socijaľnych nauk Belorusskogo universiteta Minsk, 26-27 sentijabrija 2019 goda / Gigin, Vladisla F. [Zostavovateľ, editor]. – Minsk (Bielorusko (predtým ako Bieloruská SSR)) : Belorusskij gosudarstvennyj universitet, 2019. – ISBN 978-985-566-807-8, s. 76-81 </t>
  </si>
  <si>
    <t xml:space="preserve">Od morálnych konštrukcií sexuality k (ne)diskriminujúcemu prístupu v praxi / Marková, Dagmar [Autor, UKFFFAKAE 06.2022, 100%] ; Janigová, Emília [Recenzent] ; Dostál, Pavel [Recenzent] ; Kritika současných penitenciárních systémů a nové avantgardní resocializační směry [03.05.2017, Praha, Česko]. – [slovenčina]. – [OV 020]. – [abstrakt z podujatia - KP] In: Kritika současných penitenciárních systémů a nové avantgardní resocializační směry [textový dokument (print)] : sborník z konference, konané v Praze 3. května 2017 / Jůzl, Miloslav [Zostavovateľ, editor]. – 1. vyd. – Praha (Česko) : Univerzita Jana Amose Komenského Praha, 2018. – ISBN 978-80-7452-134-8, s. 115-141 [tlačená forma] </t>
  </si>
  <si>
    <t xml:space="preserve">Od zbližovania k sexu : výskumná sonda do súvislostí nekoitálnych a koitálnych sexuálnych aktivít / Marková, Dagmar [Autor, UKFFFAKAE 06.2022, 50%] ; Kocina, Petr [Autor, UKFFFAKAE 06.2022, 50%] ; Zouharová, Marie [Recenzent] ; Podroužek, Ladislav [Recenzent] ; Moravský regionální kongres k sexuální výchově, 8 [06.03.2018, Olomouc, Česko]. – [slovenčina]. – [OV 020]. – [abstrakt z podujatia - KP] In: 8. Moravský regionální kongres k sexuální výchově [textový dokument (print)] : Olomouc, 6. březen 2018 / Mitlöhner, Miroslav [Zostavovateľ, editor] ; Prouzová, Zuzana [Zostavovateľ, editor]. – Praha (Česko) : Společnost pro plánování rodiny a sexuální výchovu, 2018. – ISBN 978-80-905696-7-6, s. 49-75 [tlačená forma] </t>
  </si>
  <si>
    <t xml:space="preserve">Odkaz Veľkej Moravy v urbánnom priestore mesta Nitry = References to Great Moravia in Urbanonymy of the City of Nitra / Tkáč-Zabáková, Lenka [Autor, UKFFSSUSJ, 100%] ; QUAERE 2020, 10 [22.06.2020-26.06.2020, Hradec Králové, Česko]. – text. – [slovenčina]. – [OV 020]. – [abstrakt z podujatia - KP] In: QUAERE 2020 [elektronický dokument] : recenzovaný sborník příspěvků interdisciplinární mezinárodní vědecké konference doktorandů a odborných asistentů, Hradec Králové, 22.- 26.6.2020 / [bez zostavovateľa] [Zostavovateľ, editor]. – 1. vyd. – Roč. 10. – Hradec Králové (Česko) : Magnanimitas akademické sdružení, 2020. – ISBN 978-80-87952-32-0, s. 1277-1282 [online] </t>
  </si>
  <si>
    <t xml:space="preserve">Odpoveď rastlín ovsa siateho na abiotický a biotický stres : anatomicko-fyziologické hodnotenie = Response of oat plants to abiotic and biotic stress; anatomical-physiological evaluation / Rozsival, Marcel [Autor, UKFFPVKBG, 35%] ; Kuna, Roman [Autor, UKFFPVKBG, 35%] ; Boleček, Peter [Autor, UKFFPVKBG, 30%] ; Mezinárodní Masarykova konference pro doktorandy a mladé vědecké pracovníky 2020, 11 [14.12.2020-16.12.2020, Hradec Králové, Česko]. – text. – [slovenčina]. – [OV 130]. – [abstrakt z podujatia - KP] In: MMK 2020 [elektronický dokument] : Mezinárodní Masarykova konference pro doktorandy a mladé vědecké pracovníky 2020 = recenzovaný sborník příspěvků mezinárodní vědecké konference / [bez zostavovateľa] [Zostavovateľ, editor] ; Lipowski, Jaroslav [Recenzent] ; Jaskułowski, Krzysztof [Recenzent]. – 1. vyd. – Roč. 11. – Hradec Králové (Česko) : Magnanimitas akademické sdružení, 2020. – ISBN 978-80-87952-33-7, s. 1269-1278 [CD-ROM] [online] </t>
  </si>
  <si>
    <t xml:space="preserve">Odraz autenticity v cestovnom ruchu Žilinského kraja = Reflection of authenticity in the tourism of the Žilina region / Krogmann, Alfred [Autor, UKFFPVKGR, 34%] ; Nemčíková, Magdaléna [Autor, UKFFPVKGR, 33%] ; Oremusová, Daša [Autor, UKFFPVKGR, 33%] ; Aktuální problémy cestovního ruchu, 13 [28.02.2018-01.03.2018, Jihlava, Česko]. – text. – [slovenčina]. – [OV 092]. – [abstrakt z podujatia - KP]. – [recenzované]. – WOS CC In: Aktuální problémy cestovního ruchu [elektronický dokument] : „Autenticita v kontextu cestovního ruchu“ : recenzovaný sborník z mezinárodní konference / Linderová, Ivica [Zostavovateľ, editor] ; Pachrová, Stanislava [Zostavovateľ, editor]. – 1. vyd. – Roč. 13. – Jihlava (Česko) : Vysoká škola polytechnická Jihlava, 2018. – ISBN 978-80-88064-36-7, s. 228-238 [CD-ROM] </t>
  </si>
  <si>
    <t xml:space="preserve">Old Roads in Dolní Pomoraví in the Mikulčice and Kopčany Area : Hypotheses Supported By the Analysis of Old Maps and Aerial Imagery / Kolejka, Jaromír [Autor, 34%] ; Boltižiar, Martin [Autor, UKFFPVKGR, 33%] ; Vojtek, Matej [Autor, UKFFPVKGR, 33%] ; Lněnička, Libor [Recenzent] ; Mísařová, Darina [Recenzent] ; Useful Geography: Transfer from Research to Practice, 25 [12.10.2017-13.10.2017, Brno, Česko]. – text. – [angličtina]. – [OV 092]. – [abstrakt z podujatia - KP]. – DOI 10.5817/CZ.MUNI.P210-8908-2018. – WOS CC In: Useful Geography: Transfer from Research to Practice [textový dokument (print)] [elektronický dokument] : Proceedings of 25th Central European Conference, 12th-13th October 2017, Brno / Svobodová, Hana [Zostavovateľ, editor]. – 1. vyd. – Brno (Česko) : Masarykova univerzita, 2018. – ISBN 978-80-210-8907-5. – ISBN (online) 978-80-210-8908-2, s. 304-313 [tlačená forma] [online] </t>
  </si>
  <si>
    <t xml:space="preserve">One robot - 5 ways of programming / Voštinár, Patrik [Autor, UMBFP05, 33.334%] ; Škrinárová, Jarmila [Autor, UMBFP05, 33.333%] ; Klimová, Nika [Autor, UKFFPVKIN, 33.333%] ; International Technology, Education and Development Conference 2019, 13 [11.03.2019-13.03.2019, Valencia, Španielsko]. – text. – [angličtina]. – [OV 160]. – [abstrakt z podujatia - KP]. – [recenzované]. – TRUNI ohlas E075421. – WOS CC In: INTED2019 Proceedings [elektronický dokument] : 13th International Technology, Education and Development Conference / Chova, Luis Goméz [Zostavovateľ, editor] ; López Martínez, Agustín [Zostavovateľ, editor] ; Candel Torres, Ignacio [Zostavovateľ, editor]. – 1. vyd. – Valencia (Španielsko) : IATED, 2019. – (INTED Proceedings, ISSN 2340-1079). – ISBN 978-84-09-08619-1, s. 7127-7134 [CD-ROM] [USB kľúč] </t>
  </si>
  <si>
    <t xml:space="preserve">Online Game-Based Learning through Minecraft: Education Edition Programming Contest / Kvaššayová, Nika [Autor, UKFFPVKIN, 34%] ; Šajben, Jakub [Autor, UKFFPVKIN, 33%] ; Lovászová, Gabriela [Autor, UKFFPVKIN, 33%] ; EDUCON 2021 [21.04.2021-23.04.2021, Vienna, Rakúsko]. – text. – [angličtina]. – [OV 010]. – [ŠO 2508]. – [abstrakt z podujatia - KP]. – DOI 10.1109/EDUCON46332.2021.9453953. – WOS CC ; SCO In: EDUCON 2021 [elektronický dokument] : Women in Engineering. Proceedings of the IEEE Global Engineering Education Conference, 21-23 April, 2021, Vienna / Klinger, Thomas [Zostavovateľ, editor] ; Kollmitzer, Christian [Zostavovateľ, editor] ; Pester, Andreas [Zostavovateľ, editor]. – 1. vyd. – Piscataway (USA) : Institute of Electrical and Electronics Engineers, 2021. – ISBN 978-1-7281-8478-4. – ISSN 2165-9567, s. 1666-1674 [online] </t>
  </si>
  <si>
    <t xml:space="preserve">Online support of lectures by using of mobile devices / Žitný, Rastislav [Autor, UKFFSSUVP, 50%] ; Szabó, Tibor [Autor, UKFFSSUVP, 50%] ; EDULEARN20, 12 [06.07.2020-07.07.2020, Palma de Mallorca, Španielsko]. – text. – [angličtina]. – [OV 010]. – [abstrakt z podujatia - KP]. – WOS CC In: EDULEARN20 proceedings [elektronický dokument] : 12th International Conference on Education and New Learning Technologies / Gómez Chova, Luis [Zostavovateľ, editor] ; López Martínez, Agustín [Zostavovateľ, editor]. – 1. vyd. – Roč. 12. – Valencia (Španielsko) : IATED, 2020. – ISBN 978-84-09-17979-4. – ISSN 2340-1117, s. 4744-4752 [USB kľúč] </t>
  </si>
  <si>
    <t xml:space="preserve">Onomastics and school / Angyal, Ladislav [Autor, UKFFSSUML, 100%] ; International Technology, Education and Development Conference 2021, 15 [08.03.2021-09.03.2021, Valencia, Španielsko]. – text. – [angličtina]. – [OV 010]. – [abstrakt z podujatia - KP]. – DOI 10.21125/inted.2021.0594 In: INTED2021 [textový dokument (print)] [elektronický dokument] : 15th International Technology, Education and Development Conference : conference proceedings / Chova, Luis Goméz [Zostavovateľ, editor] ; López Martínez, Agustín [Zostavovateľ, editor] ; Candel Torres, Ignacio [Zostavovateľ, editor]. – 1. vyd. – Valencia (Španielsko) : IATED, 2021. – (INTED Proceedings, ISSN 2340-1079). – ISBN 978-84-09-27666-0. – ISSN 2340-1079, s. 2785-2791 [online] </t>
  </si>
  <si>
    <t xml:space="preserve">Opakovanie smútku z nespravodlivých dejín : (rekonštrukcia obrazu holokaustu v románe A. Kravitza Židovský pes) / Zeleňáková, Hana [Autor, UKFFFAULK, 100%] ; Metodologie a theurgie hermeneutické interpretace, 8 [22.09.2020-23.09.2020, Ostrava, Česko]. – text. – [slovenčina]. – [OV 020]. – [abstrakt z podujatia - KP] In: Studia humanitatis - Ars hermeneutica [textový dokument (print)] : metodologie a theurgie hermeneutické interpretace 8 / Mikulášek, Miroslav [Zostavovateľ, editor] ; Malicki, Jan [Recenzent] ; Raclavská, Jana [Recenzent]. – 1. vyd. – č. 8. – Ostrava (Česko) : Ostravská univerzita, 2020. – ISBN 978-80-7599-211-6, s. 127-139 </t>
  </si>
  <si>
    <t xml:space="preserve">Opinion mining of consumer reviews using deep neural networks with word-sentiment associations / Hajek, Petr [Autor, 33%] ; Barushka, Aliaksandr [Autor, 33%] ; Munk, Michal [Autor, UKFFPVKIN, 34%] ; International Conference on Artificial Intelligence Applications and Innovations, 16 [05.06.2020-07.06.2020, Marmaras, Grécko]. – text. – [angličtina]. – [OV 160]. – [abstrakt z podujatia - KP]. – [recenzované] In: Advances in Production Management Systems. Towards Smart and Digital Manufacturing [textový dokument (print)] [elektronický dokument] : IFIP WG 5.7 International Conference, APMS 2020, Novi Sad, Serbia, August 30 – September 3, 2020, Proceedings, Part II / Lalic, Bojan [Zostavovateľ, editor] ; Majstorovic, Vidosav [Zostavovateľ, editor]. – 1. vyd. – Cham (Švajčiarsko) : Springer Nature, 2020. – (IFIP Advances in Information and Communication Technology, ISSN 1868-4238, ISSN 1868-422X ; 592, SJR: 0,189 ; CiteScore: 1 ; SNIP: 0,39). – ISBN 978-3-030-57996-8. – ISBN (online) 978-3-030-57997-5, s. 1-14 [tlačená forma] [online] Scimago - Computer networks and communications - Q3, Information systems - Q4, Information systems and management - Q3 </t>
  </si>
  <si>
    <t xml:space="preserve">Opportunities to Educate Hungarian Roma in Slovakia in the Light of State Educational Programmes / Tóthová, Gizela [Autor, UKFFSSUML, 100%] ; International Technology, Education and Development Conference 2019, 13 [11.03.2019-13.03.2019, Valencia, Španielsko]. – text. – [angličtina]. – [OV 010]. – [abstrakt z podujatia - KP]. – [recenzované]. – WOS CC In: INTED2019 Proceedings [elektronický dokument] : 13th International Technology, Education and Development Conference / Chova, Luis Goméz [Zostavovateľ, editor] ; López Martínez, Agustín [Zostavovateľ, editor] ; Candel Torres, Ignacio [Zostavovateľ, editor]. – 1. vyd. – Valencia (Španielsko) : IATED, 2019. – (INTED Proceedings, ISSN 2340-1079). – ISBN 978-84-09-08619-1, s. 5406-5415 [CD-ROM] [USB kľúč] </t>
  </si>
  <si>
    <t xml:space="preserve">Opportunities to support orientation of pupil's for technical fields of study / Valentová, Monika [Autor, UKFPFAKTT, 50%] ; Širka, Ján [Autor, UKFPFAKTT, 50%] ; ICERI 2018, 11 [12.11.2018-14.11.2018, Sevila, Španielsko]. – [angličtina]. – [OV 010]. – [abstrakt z podujatia - KP]. – [recenzované]. – WOS CC In: ICERI2018 Proceedings [elektronický dokument] : 11th annual International Conference of Education, Research and Innovation / Gómez Chova, Luis [Zostavovateľ, editor] ; López Martínez, Agustín [Zostavovateľ, editor] ; Candel Torres, Ignacio [Zostavovateľ, editor]. – 1. vyd. – Valencia (Španielsko) : IATED, 2018. – ISBN 978-84-09-05948-5. – ISSN 2340-1095, s. 7872-7877 [USB kľúč] </t>
  </si>
  <si>
    <t xml:space="preserve">Optimális (egúttal hasznos) környezetkímélő műanyaghulladék likvidálás / Tóth, Attila [Autor, UKFFSSUVP, 60%] ; Csáky, Antal [Autor, UKFFSSUVP, 20%] ; Libant, Vladimír [Autor, 20%] ; Apáczai-napok Tudományos Konferencia, 22 [15.11.2018, Györ, Maďarsko]. – text. – [maďarčina]. – [OV 010]. – [abstrakt z podujatia - KP]. – [recenzované] In: 22. Apáczai-napok Tudományos Konferencia [textový dokument (print)] : Pedagógusképzés, oktatás a Kárpát-medencében, társadalmi kontextusok, Györ 15. november 2018 / Baranyiné Kóczy, Judit [Zostavovateľ, editor] ; Fehér, Agóta [Zostavovateľ, editor]. – Györ (Maďarsko) : Széchenyi István Egyetem. Apáczai Csere János Kar, 2019. – ISBN 978-615-5837-66-1, s. 25-29 </t>
  </si>
  <si>
    <t xml:space="preserve">Optimizing of Spatial Activities Monitoring Using the Raspberry Pi and RFID System / Balogh, Zoltán [Autor, UKFFPVKIN, 50%] ; Baláž, Ivan [Autor, UKFFPVKEE, 50%] ; Advances in Intelligent Systems and Computing. 4th International Conference on Intelligent Computing, Communication and Devices (ICCD 2018), 4 [07.12.2018-09.12.2018, Guangzhou, Čína]. – text. – [angličtina]. – [OV 100, 160]. – [abstrakt z podujatia - KP]. – SCO In: Recent Trends in Intelligent Computing, Communication and Devices [textový dokument (print)] [elektronický dokument] : Proceedings of ICCD 2018 / Jain, V. [Zostavovateľ, editor] ; Patnaik, S. [Zostavovateľ, editor]. – 1. vyd. – Guangzhou (Čína) : Springer Verlag, 2020. – (Advances in Intelligent Systems and Computing, ISSN 2194-5357, ISSN 2194-5365 ; 1006). – ISBN 978-981-13-9405-8. – ISBN (online) 978-981-13-9406-5, s. 615-622 [tlačená forma] [online] </t>
  </si>
  <si>
    <t xml:space="preserve">Options of Implementing Global Development Education in Teaching Geography  in the Slovak Republic / Kramáreková, Hilda [Autor, UKFFPVKGR, 25%] ; Moravčíková, Katarína [Autor, 25%] ; Nemčíková, Magdaléna [Autor, UKFFPVKGR, 25%] ; Oremusová, Daša [Autor, UKFFPVKGR, 25%] ; ICERI 2021, 14 [08.11.2021-09.11.2021, Seville, Španielsko]. – text. – [angličtina]. – [OV 092]. – [abstrakt z podujatia - KP]. – DOI 10.21125/iceri.2021 In: ICERI2021 [elektronický dokument] : 14th annual International Conference of Education, Research and Innovation / Gómez, Chova L. [Zostavovateľ, editor] ; López Martínez, Agustín [Zostavovateľ, editor] ; Candel Torres, Ignacio [Zostavovateľ, editor]. – 1. vyd. – Valencia (Španielsko) : IATED, 2021. – ISBN 978-84-09-34549-6. – ISSN 2340-1095, s. 5560-5568 [online] [USB kľúč] </t>
  </si>
  <si>
    <t xml:space="preserve">OSH Education at Secondary Schools: Evaluation of Current State in Slovak republic / Tomková, Viera [Autor, UKFPFAKTT, 50%] ; Tureková, Ivana [Autor, UKFPFAKTT, 50%] ; EDULEARN21 [05.07.2021-06.07.2021, Barcelona, Španielsko]. – text. – [angličtina]. – [OV 010]. – [abstrakt z podujatia - KP]. – [recenzované] In: EDULEARN21 [elektronický dokument] : 13th annual International Conference on Education and New Learning Technologies, Barcelona, 5th - 6th of July, 2021 / Chova, Luis Goméz [Zostavovateľ, editor] ; Martínez, Augustín López [Zostavovateľ, editor] ; Torres, I. [Zostavovateľ, editor]. – 1. vyd. – Roč. 13. – Barcelona (Španielsko) : IATED, 2021. – ISBN 978-84-09-31267-2. – ISSN 2340-1117, s. 4846-4854 [CD-ROM] [USB kľúč] </t>
  </si>
  <si>
    <t xml:space="preserve">Osobnosť a autenticita učiteľov základných škôl = Personality and authenticity of elementary school teachers / Hudáková, Miriama [Autor, UKFFSVUAP, 50%] ; Kureková, Iveta [Autor, 50%] ; PhD existence 2020, 10 [03.02.2020-04.02.2020, Olomouc, Česko]. – text. – [slovenčina]. – [OV 060]. – [abstrakt z podujatia - KP]. – TRUNI ohlas E080508 In: PhD existence 10 [elektronický dokument] : "Člověk a čas" : česko-slovenská konference (nejen) pro doktorandy a o doktorandech / Maierová, Eva [Zostavovateľ, editor] ; Viktorová, Lucie [Zostavovateľ, editor] ; Dolejš, Martin [Zostavovateľ, editor] ; Dominik, Tomáš [Zostavovateľ, editor] ; Tomšik, Robert [Recenzent] ; Skopal, Ondřej [Recenzent]. – 1. vyd. – Olomouc (Česko) : Univerzita Palackého v Olomouci, 2020. – ISBN (online) 978-80-244-5731-4, s. 107-118 [online] </t>
  </si>
  <si>
    <t xml:space="preserve">Osobnosť učiteľa nadaných žiakov / Hošová, Dominika [Autor, UKFPFAKPE, 100%] ; Chudý, Štefan [Recenzent] ; Szotkowski, René [Recenzent] ; Začínající učitel v měnící se společnosti [07.11.2017-08.11.2017, Olomouc, Česko]. – [slovenčina]. – [OV 010]. – [abstrakt z podujatia - KP] In: Začínající učitel v měnící se společnosti [textový dokument (print)] : zborník z mezinárodní vědecké konference studentů DSP, 7. -8. listopad 2017 Olomouc / Vyhnálková, Pavla [Zostavovateľ, editor]. – 1. vyd. – Olomouc (Česko) : Univerzita Palackého v Olomouci, 2019. – ISBN 978-80-244-5475-7, s. 28-35 </t>
  </si>
  <si>
    <t xml:space="preserve">Osobnostné a sociálne prediktory well-beingu u žiakov základných škôl = Personal and Social Predictors of Well-Being in Students Secondery School / Čerešník, Michal [Autor, UKFPFAKAP, 50%] ; Čerešníková, Miroslava [Autor, UKFFSVURS, 50%] ; Řehan, Vladimír [Recenzent] ; Lečbych, Martin [Recenzent] ; PhD existence 2018, 8 [31.01.2018-01.02.2018, Olomouc, Česko]. – text. – [slovenčina]. – [OV 060]. – [abstrakt z podujatia - KP] In: PhD Existence 2018 [elektronický dokument] : nekonečno v psychologii = sborník příspěvků / Mierová, Eva [Zostavovateľ, editor] ; Viktorová, Lucie [Zostavovateľ, editor] ; Suchá, Jaroslava [Zostavovateľ, editor] ; Dolejš, Martin [Zostavovateľ, editor]. – 1. vyd. – Olomouc (Česko) : Univerzita Palackého v Olomouci, 2018. – (Acta Iuridica Olomucensia : Sborníky). – ISBN 978-80-244-5339-2, s. 177-186 [online] </t>
  </si>
  <si>
    <t xml:space="preserve">Oversize Turizmus vo vybraných národných parkoch na Slovensku = Oversize Tourism in Selected National Parks in Slovakia / Mišovičová, Regína [Autor, UKFFPVKEE, 30%] ; Pucherová, Zuzana [Autor, UKFFPVKEE, 30%] ; Bugár, Gabriel [Autor, UKFFPVKEE, 20%] ; Grežo, Henrich [Autor, UKFFPVKEE, 20%] ; Aktuální problémy cestovního ruchu, 15 [04.03.2020-05.03.2020, Jihlava, Česko]. – text. – [slovenčina]. – [OV 100]. – [abstrakt z podujatia - KP]. – [recenzované] In: Aktuální problémy cestovního ruchu [elektronický dokument] : Overtourism - riziko pro destinace / Linderová, Ivica [Zostavovateľ, editor]. – 1 vyd. – Jihlava (Česko) : Vysoká škola polytechnická Jihlava, 2020. – ISBN 978-80-88064-46-6. – ISBN 978-80-88064-47-3, s. 117-126 [CD-ROM] </t>
  </si>
  <si>
    <t xml:space="preserve">Paralanguage system and its importance in consecutive interpreting / Welnitzová, Katarína [Autor, UKFFFAKTR, 60%] ; Ďuračková, Beáta [Autor, UKFFFAKTR, 40%] ; SWS International Scientific Conference on Arts And Humanities, 7 [25.08.2020-26.08.2020, Albena, Bulharsko]. – text. – [angličtina]. – [OV 010, 020]. – [abstrakt z podujatia - KP]. – DOI 10.5593/sws.iscah.2020.7.1/s26.26 In: 7th SWS International Scientific Conference on Arts and Humanities - ISCAH [elektronický dokument] / Racz, Aleksandr [Zostavovateľ, editor] ; Naghi, Laura [Recenzent] ; Lončar, Iris [Recenzent]. – 1. vyd. – Roč. 7, č. 1. – Sofia (Bulharsko) : SGEM WORLD SCIENCE (SWS) Society, 2020. – ISBN 978-619-7603-00-2, s. 231-238 [tlačená forma] </t>
  </si>
  <si>
    <t xml:space="preserve">Parental Control and Cyberbullying / Židová, Monika [Autor, UKFPFAKPE, 34%] ; Hollá, Katarína [Autor, UKFPFAKPE, 33%] ; Rybanský, Ľubomír [Autor, UKFFPVKMA, 33%] ; EDULEARN21 [05.07.2021-06.07.2021, Barcelona, Španielsko]. – text. – [angličtina]. – [OV 010]. – [abstrakt z podujatia - KP]. – DOI 10.21125/edulearn.2021.2072 In: EDULEARN21 [elektronický dokument] : 13th annual International Conference on Education and New Learning Technologies, Barcelona, 5th - 6th of July, 2021 / Chova, Luis Goméz [Zostavovateľ, editor] ; Martínez, Augustín López [Zostavovateľ, editor] ; Torres, I. [Zostavovateľ, editor]. – 1. vyd. – Roč. 13. – Barcelona (Španielsko) : IATED, 2021. – ISBN 978-84-09-31267-2. – ISSN 2340-1117, s. 10059-10068 [CD-ROM] [USB kľúč] </t>
  </si>
  <si>
    <t xml:space="preserve">Parenting style and academic self-concept in students of older school age / Popelková, Marta [Autor, UKFFSVKPV, 50%] ; Jurišová, Erika [Autor, UKFFSVKPV, 50%] ; EDULEARN20, 12 [06.07.2020-07.07.2020, Palma de Mallorca, Španielsko]. – text. – [angličtina]. – [OV 060]. – [abstrakt z podujatia - KP] In: EDULEARN20 proceedings [elektronický dokument] : 12th International Conference on Education and New Learning Technologies / Gómez Chova, Luis [Zostavovateľ, editor] ; López Martínez, Agustín [Zostavovateľ, editor]. – 1. vyd. – Roč. 12. – Valencia (Španielsko) : IATED, 2020. – ISBN 978-84-09-17979-4. – ISSN 2340-1117, s. 8778-8785 [USB kľúč] </t>
  </si>
  <si>
    <t xml:space="preserve">Paulo Freire a jeho vplyv na rozvoj pedagogiky utláčaných / Sondorová, Dominika [Autor, UKFPFAKHU, 100%] ; Mezinárodní Masarykova konference pro doktorandy a mladé vědecké pracovníky 2019, 10 [16.12.2019-18.12.2019, Hradec Králové, Česko]. – text. – [slovenčina]. – [OV 010]. – [abstrakt z podujatia - KP] In: MMK 2019 [elektronický dokument] : recenzovaný sborník příspěvků mezinárodní vědecké konference : Mezinárodní Masarykova konference pro doktorandy a mladé vědecké pracovníky 2019 / [bez zostavovateľa] [Zostavovateľ, editor] ; Lipowski, Jaroslav [Recenzent] ; Jaskułowski, Krzysztof [Recenzent] ; Kislingerová, Eva [Recenzent]. – 1. vyd. – Hradec Králové (Česko) : Magnanimitas akademické sdružení, 2019. – ISBN 978-80-87952-31-3, s. 1022-1026 [CD-ROM] [online] </t>
  </si>
  <si>
    <t xml:space="preserve">Péče o ženu s osteoporózou - přehledová studie / Archalousová, Alexandra [Autor, UKFFSVKOS, 50%] ; Andraščíková, Štefánia [Autor, 50%] ; Cesta poznávání a vzdělávání v ošetřovatelství XI. a jarní/podzimní konference ČAS Region plzeňský  „NURSING NOW“, 11 [17.09.2020, Plzeň, Česko]. – text. – [slovenčina]. – [OV 180]. – [abstrakt z podujatia - KP] In: Cesta poznávání a vzdělávání v ošetřovatelství XI. a jarní/podzimní konference ČAS Region plzeňský  „NURSING NOW“ [textový dokument (print)] : Kongres s mezinárodními příspěvky, konaný v Plzni dne 17. 9. 2020 / Frei, Jiří [Zostavovateľ, editor] ; Frei, Jiří [Recenzent] ; Krocová, Jitka [Recenzent] ; Doležal, Jaromír [Recenzent] ; Freiová, Romana [Recenzent] ; Hendrych Lorenzová, Eva [Recenzent]. – 1. vyd. – Roč. 11. – Plzeň (Česko) : Západočeská univerzita v Plzni, 2020. – ISBN 978-80-261-0963-1, s. 47-64 [tlačená forma] </t>
  </si>
  <si>
    <t xml:space="preserve">Pedagogical-didactic and hygienic factors influencing the realization of the educational process / Depešová, Jana [Autor, UKFPFAKTT, 33.334%] ; Tureková, Ivana [Autor, UKFPFAKTT, 33.333%] ; Tomková, Viera [Autor, UKFPFAKTT, 33.333%] ; EDULEARN20, 12 [06.07.2020-07.07.2020, Palma de Mallorca, Španielsko]. – text. – [angličtina]. – [OV 010]. – [abstrakt z podujatia - KP] In: EDULEARN20 proceedings [elektronický dokument] : 12th International Conference on Education and New Learning Technologies / Gómez Chova, Luis [Zostavovateľ, editor] ; López Martínez, Agustín [Zostavovateľ, editor]. – 1. vyd. – Roč. 12. – Valencia (Španielsko) : IATED, 2020. – ISBN 978-84-09-17979-4. – ISSN 2340-1117, s. 4960-4966 [USB kľúč] </t>
  </si>
  <si>
    <t xml:space="preserve">Pedagogická analýza skladby Miroslava Košnára: vals musette no.1 „televízna šou“ = Pedagogical Analysis of Composition by Miroslav Košnár: Vals Musette No.1 “Tv Show” / Haragová, Paulína [Autor, UKFPFAKHU, 100%] ; Sapere Aude 2018, 8 [28.05.2018-31.05.2018, Hradec Králové, Česko]. – text. – [slovenčina]. – [OV 010]. – [abstrakt z podujatia - KP]. – [recenzované] In: Sapere Aude 2018 [elektronický dokument] : učitel, žák, psycholog : recenzovaný sborník příspěvků vědecké konference s mezinárodní účastí / [bez zostavovateľa] [Zostavovateľ, editor]. – 1. vyd. – Roč. 8. – Hradec Králové (Česko) : Magnanimitas akademické sdružení, 2018. – ISBN 978-80-87952-25-2, s. 184-192 [CD-ROM] [online] </t>
  </si>
  <si>
    <t xml:space="preserve">Pedagogické aspekty hudobno-dramatických činnosti = Pedagogical aspects of music-and-drama activities / Kačmárová, Simona [Autor, UKFPFAKHU, 100%] ; Teorie a praxe hudební výchovy, 6 [14.11.2019-15.11.2019, Praha, Česko]. – text. – [slovenčina]. – [OV 010]. – [abstrakt z podujatia - KP] In: Teorie a praxe hudební výchovy 6 [textový dokument (print)] : sborník příspěvků z konference studentů doktorandských a magisterských studií a pedagogů hudebního vzdělávání v zemích V4 v roce 2019 v Praze / Slavíková, Petra [Zostavovateľ, editor] ; Kodejška, Miloš [Zostavovateľ, editor] ; Pazúrik, Milan [Zostavovateľ, editor] ; Králová, Eva [Zostavovateľ, editor] ; Kaščáková, Lenka [Zostavovateľ, editor] ; Slavíková, Marie [Recenzent] ; Kopčáková, Slávka [Recenzent]. – 1. vyd. – Praha (Česko) : Univerzita Karlova v Praze, 2020. – ISBN 978-80-7603-163-0. – SIGN-UKO PD HV/20. – TUAD PC017714, s. 289-295 [tlačená forma] </t>
  </si>
  <si>
    <t xml:space="preserve">Pedagogue as a determinant of the provided level of vocational education of pupils = Pedagóg ako determinant poskytovanej úrovne odborného vzdelávania žiakov / Bilčík, Alexander [Autor, 60%] ; Bilčíková, Jana [Autor, UKFPFAKTT, 40%] ; 14. mezinárodní vědecká konference. Didaktická konference 2021, 14 [27.05.2021, Brno, Česko]. – text. – [slovenčina]. – [OV 010]. – [abstrakt z podujatia - KP] In: 14. mezinárodní vědecká konference. Didaktická konference 2021 [elektronický dokument] : Sborník příspěvkú / Válek, Jan [Zostavovateľ, editor] ; Marinič, Peter [Zostavovateľ, editor] ; Pecina, Pavel [Zostavovateľ, editor] ; Krištofiaková, Lucia [Recenzent] ; Adamec, Petr [Recenzent]. – 1. vyd. – Brno (Česko) : Masarykova univerzita, 2021. – ISBN (online) 978-80-210-9998-2, s. 30-37 [online] </t>
  </si>
  <si>
    <t xml:space="preserve">Perceived parenting style and gender as predictors of adolescent risk behavior in context of education of future teachers / Verešová, Marcela [Autor, UKFPFAKAP, 100%] ; ICERI 2021, 14 [08.11.2021-09.11.2021, Seville, Španielsko]. – text. – [angličtina]. – [OV 010]. – [abstrakt z podujatia - KP] In: ICERI2021 [elektronický dokument] : 14th annual International Conference of Education, Research and Innovation / Gómez, Chova L. [Zostavovateľ, editor] ; López Martínez, Agustín [Zostavovateľ, editor] ; Candel Torres, Ignacio [Zostavovateľ, editor]. – 1. vyd. – Valencia (Španielsko) : IATED, 2021. – ISBN 978-84-09-34549-6. – ISSN 2340-1095, s. 2717-2726 [online] [USB kľúč] </t>
  </si>
  <si>
    <t xml:space="preserve">Percepcia podujatí cestovného ruchu v meste Nitra ich návštevníkmi = Perception of tourism events in the  city of Nitra by their visitors / Krogmann, Alfred [Autor, UKFFPVKGR, 34%] ; Petrikovičová, Lucia [Autor, UKFFPVKGR, 33%] ; Kramáreková, Hilda [Autor, UKFFPVKGR, 33%] ; Mezinárodní kolokvium o regionálních vědách, 24 [01.09.2021-03.09.2021, Brno, Česko]. – text. – [slovenčina]. – [OV 092]. – [abstrakt z podujatia - KP]. – [recenzované]. – DOI 10.5817/CZ.MUNI.P210-9896-2021-29 In: 24. Mezinárodní kolokvium o regionálních vědách [elektronický dokument] : sborník příspěvků Brno 1.9-3.9.2021 / Klímová, Viktorie [Zostavovateľ, editor] ; Žítek, Vladimír [Zostavovateľ, editor]. – 1. vyd. – Roč. 24. – Brno (Česko) : Masarykova univerzita, 2021. – ISBN 978-80-210-9896-1, s. 237-244 [CD-ROM] [online] </t>
  </si>
  <si>
    <t xml:space="preserve">Perception of canistherapy as a supportive method in the educational process / Juhásová, Andrea [Autor, UKFPFAKAP, 50%] ; Martišková [Autor, 50%] ; ICERI 2020 : International Conference of Education, Research and Innovation, 13 [09.11.2020-10.11.2020, Sevilla, Španielsko]. – text. – [angličtina]. – [OV 010]. – [abstrakt z podujatia - KP] In: ICERI 2020 [elektronický dokument] : 13th international conference of education, research and innovation : transforming education, transforming lives / Gómez Chova, Luis [Zostavovateľ, editor] ; Martínez, Augustín López [Zostavovateľ, editor] ; Torres, I. Candel [Zostavovateľ, editor]. – 1. vyd. – Valencia (Španielsko) : IATED, 2020. – ISBN 978-84-09-24232-0. – ISSN 2340-1095, s. 559-564 [USB kľúč] </t>
  </si>
  <si>
    <t xml:space="preserve">Perception of Hungarian as a foreign language among language learners at the university of Nitra / Presinszky, Károly [Autor, UKFFSSUML, 100%] ; ICERI 2021, 14 [08.11.2021-09.11.2021, Seville, Španielsko]. – text. – [angličtina]. – [OV 010]. – [abstrakt z podujatia - KP] In: ICERI2021 [elektronický dokument] : 14th annual International Conference of Education, Research and Innovation / Gómez, Chova L. [Zostavovateľ, editor] ; López Martínez, Agustín [Zostavovateľ, editor] ; Candel Torres, Ignacio [Zostavovateľ, editor]. – 1. vyd. – Valencia (Španielsko) : IATED, 2021. – ISBN 978-84-09-34549-6. – ISSN 2340-1095, s. 3280-3285 [online] [USB kľúč] </t>
  </si>
  <si>
    <t xml:space="preserve">Perevod i vosprijatije precedentnych fenomenov v dialoge kuľtur / Zahorák, Andrej [Autor, UKFFFAKTR, 100%] ; Jazyk i mežkuľturnyje kommunikacii [11.11.2019-12.11.2019, Minsk, Bielorusko (predtým ako Bieloruská SSR)]. – text. – [ruština]. – [OV 020]. – [abstrakt z podujatia - KP] In: Jazyk i mežkuľturnyje kommunikacii [textový dokument (print)] : sbornik naučnych statej VII Meždunarodnoj naučnoj konferencii "Jazyk i mežkuľturnyje kommunikacii"  11 - 12 nojabrja 2019 g. v Minske / Staričonok, Vladimir [Zostavovateľ, editor] ; Rovdo, Ivan [Recenzent] ; Bessonova, Ludmila [Recenzent]. – 1. vyd. – Minsk (Bielorusko (predtým ako Bieloruská SSR)) : Belorusskij gosudarstvennyj pedagogičeskij universitet imeni Maxima Tanka, 2019. – ISBN (chybné) 973-985-541-683-9, s. 84-89 </t>
  </si>
  <si>
    <t xml:space="preserve">Personality of students, their motivation and academic achievement in learning foreign language / Karasová, Rebeka [Autor, 50%] ; Uhláriková, Jana [Autor, UKFFSVKPV, 50%] ; EDULEARN20, 12 [06.07.2020-07.07.2020, Palma de Mallorca, Španielsko]. – text. – [angličtina]. – [OV 060]. – [abstrakt z podujatia - KP] In: EDULEARN20 proceedings [elektronický dokument] : 12th International Conference on Education and New Learning Technologies / Gómez Chova, Luis [Zostavovateľ, editor] ; López Martínez, Agustín [Zostavovateľ, editor]. – 1. vyd. – Roč. 12. – Valencia (Španielsko) : IATED, 2020. – ISBN 978-84-09-17979-4. – ISSN 2340-1117, s. 1160-1166 [USB kľúč] </t>
  </si>
  <si>
    <t xml:space="preserve">Personalized learning and current technologies in teaching IT related subjects / Balogh, Zoltán [Autor, UKFFPVKIN, 25%] ; Turčáni, Milan [Autor, UKFFPVKIN, 40%] ; Burianová, Mária [Autor, UKFFPVKIN, 35%] ; International symposium on educational technology [02.07.2019-04.07.2019, Hradec Králové, Česko]. – text. – [angličtina]. – [OV 160]. – [abstrakt z podujatia - KP]. – [recenzované]. – DOI 10.1109/ISET.2019.00034. – WOS CC ; SCO In: ISET 2019 [textový dokument (print)] : proceedings : 2-4 July 2019 Hradec Králové, Czech Republic / Wang, Fu Lee [Zostavovateľ, editor] ; Au, Oliver [Zostavovateľ, editor] ; Klímová, Blanka [Zostavovateľ, editor] ; Hynek, Josef [Zostavovateľ, editor] ; Poulová, Petra [Zostavovateľ, editor]. – 1. vyd. – Los Alamitos (USA) : Institute of Electrical and Electronics Engineers. IEEE Computer Society, 2019. – ISBN 978-1-7281-3387-4, s. 124-126 [tlačená forma] </t>
  </si>
  <si>
    <t xml:space="preserve">Perspectives and innovations in tertiary education in Slovakia / Országhová, Dana [Autor, SPUFEM07, 35%] ; Hornyák Gregáňová, Radomíra [Autor, SPUFEM07, 35%] ; Papcunová, Viera [Autor, UKFFPVUMI, 30%] ; ICERI 2018, 11 [12.11.2018-14.11.2018, Sevila, Španielsko]. – [angličtina]. – [OV 240]. – [abstrakt z podujatia - KP]. – WOS CC In: ICERI2018 Proceedings [elektronický dokument] : 11th annual International Conference of Education, Research and Innovation / Gómez Chova, Luis [Zostavovateľ, editor] ; López Martínez, Agustín [Zostavovateľ, editor] ; Candel Torres, Ignacio [Zostavovateľ, editor]. – 1. vyd. – Valencia (Španielsko) : IATED, 2018. – ISBN 978-84-09-05948-5. – ISSN 2340-1095, s. 5456-5464 [USB kľúč] </t>
  </si>
  <si>
    <t xml:space="preserve">Philosophy for Children Programme as a Tool Leading Toward Independent Thinking / Borisová, Simona [Autor, UKFPFAKPE, 100%] ; Biannual CER Comparative European Research Conference, 14 [26.10.2020-28.10.2020, Londýn, Veľká Británia]. – text. – [angličtina]. – [OV 010]. – [abstrakt z podujatia - KP]. – [recenzované] In: CER Comparative European Research 2020 [elektronický dokument] : proceedings of the 14th Biannual CER Comparative European Research Conference / McGreevy, Michael [Zostavovateľ, editor] ; Rita, Robert [Zostavovateľ, editor]. – 1. vyd. – Roč. 7, č. 2. – Londýn (Veľká Británia) : SCI-EMCEE, 2020. – ISBN 978-1-9993071-6-5, s. 192-195 [online] </t>
  </si>
  <si>
    <t xml:space="preserve">Phonetic deviations in German pronunciation with a  focus on assimilation / Grežová, Ivana [Autor, 99%] ; Grežo, Henrich [Autor, UKFFPVKEE, 1%] ; International Technology, Education and Development Conference 2021, 15 [08.03.2021-09.03.2021, Valencia, Španielsko]. – text. – [angličtina]. – [OV 100]. – [abstrakt z podujatia - KP]. – [recenzované]. – DOI 10.21125/edulearn.2021.1973 In: INTED2021 [textový dokument (print)] [elektronický dokument] : 15th International Technology, Education and Development Conference : conference proceedings / Chova, Luis Goméz [Zostavovateľ, editor] ; López Martínez, Agustín [Zostavovateľ, editor] ; Candel Torres, Ignacio [Zostavovateľ, editor]. – 1. vyd. – Valencia (Španielsko) : IATED, 2021. – (INTED Proceedings, ISSN 2340-1079). – ISBN 978-84-09-27666-0. – ISSN 2340-1079, s. 9770-9776 [online] </t>
  </si>
  <si>
    <t xml:space="preserve">Phonetische Übungen als Mittel zur Verbesserung der Deutschen Aussprache bei Slowakischen Lernenden / Molnárová, Andrea [Autor, UKFFFAKMK, 50%] ; Chebenová, Viera [Autor, UKFFFAKGE, 50%] ; Vyššee gumanitarnoe obrazovanie 21 veka: problemy i perspektivy, 15 [14.10.2020, Samara, Ruská federácia]. – text. – [angličtina]. – [OV 060]. – [abstrakt z podujatia - KP] In: Vyššee gumanitarnoe obrazovanie 21 veka: problemy i perspektivy [textový dokument (print)] : materialy piatnadcatoj meždunarodnoj naučno-praktičeskoj konferencii, Samara 14. oktiabria 2020 / Veršinina, L.V. [Zostavovateľ, editor]. – 1. vyd. – Roč. 15. – Samara (Ruská federácia) : Samarskoj gosudarstvennyj socijaľno-pedagogičeskij universitet, 2020. – ISBN 978-5-8428-1162-5, s. 215-222 [tlačená forma] </t>
  </si>
  <si>
    <t xml:space="preserve">Phonological skills as predictors of literacy / Melišeková Dojčanová, Adela [Autor, UKFPFAKPE, 50%] ; Zajacová, Zuzana [Autor, UKFPFAKPE, 50%] ; Biannual CER Comparative European Research 2019, 11 [25.03.2019-27.03.2019, Londýn, Veľká Británia]. – text. – [angličtina]. – [OV 010]. – [abstrakt z podujatia - KP]. – [recenzované] In: CER Comparative European Research 2019 [elektronický dokument] : proceedings/research track of the 11th biannual conference / McGreevy, Michael [Zostavovateľ, editor] ; Rita, Robert [Zostavovateľ, editor]. – 1 vyd. – Roč. 6, č. 1. – Londýn (Veľká Británia) : Sciemcee. Sciemcee Publishing, 2019. – ISBN 978-1-9993071-2-7, s. 109-113 [CD-ROM] [online] </t>
  </si>
  <si>
    <t xml:space="preserve">Physical and chemical characteristics of heat resistant materials based on high alumina cement / Koňáková, Dana [Autor, 17%] ; Vejmelková, Eva [Autor, 17%] ; Pommer, Vojtěch [Autor, 17%] ; Keppert, Martin [Autor, 17%] ; Trník, Anton [Autor, UKFFPVKFY, 16%] ; Černý, Robert [Autor, 16%] ; Central European Symposium on Thermophysics, 3 [01.09.2021-03.09.2021, Kazimierz Dolny, Poľsko]. – text. – [angličtina]. – [OV 091]. – [abstrakt z podujatia - KP]. – DOI 10.1063/5.0070352. – SCO In: Proceedings of the 3rd Central European Symposium on Thermophysics [elektronický dokument] / Trník, Anton [Zostavovateľ, editor] ; Suchorab, Zbigniew [Zostavovateľ, editor]. – 1. vyd. – Melville, NY (USA) : American Institute of Physics . AIP Publishing, 2021. – ISBN 978-0-7354-4139-2, s. 1-18 [online] </t>
  </si>
  <si>
    <t xml:space="preserve">Physical literacy of urgent health care students and its possible impact on the quality of the rescuer's work / Balázsiová, Zuzana [Autor, UKOLFULFB, 80%] ; Mankovecká, Monika [Autor, UKFFSVKUM, 20%] ; EDULEARN19, 11 [01.07.2019-03.07.2019, Palma de Mallorca, Španielsko]. – text, tab. – [angličtina]. – [OV 180]. – [abstrakt z podujatia - KP]. – SIGN-UKO LF ULFB/19. – WOS CC In: EDULEARN19 proceedings [elektronický dokument] : 11th annual International Conference on Education and New Learning Technologies / Gómez Chova, Luis [Zostavovateľ, editor] ; López Martínez, Agustín [Zostavovateľ, editor] ; López, Agustín [Recenzent] ; Girós, Amparo [Recenzent]. – 1. vyd. – Roč. 11. – Valencia (Španielsko) : IATED, 2019. – ISBN 978-84-09-12031-4. – ISSN 2340-1117, s. 1276-1280 [CD-ROM] </t>
  </si>
  <si>
    <t xml:space="preserve">Physics textbooks and its network structures / Králiková, Petra [Autor, UKFFPVKFY, 50%] ; Teleki, Aba [Autor, UKFFPVKFY, 50%] ; 11th World Conference on Educational Sciences, 11 [07.02.2019-10.02.2019, Milano, Taliansko]. – text. – [angličtina]. – [OV 010]. – [abstrakt z podujatia - KP]. – [recenzované]. – DOI 10.18844/prosoc.v6i1.4152 In: 11th World Conference on Educational Sciences (WCES-2019) [elektronický dokument] / Laborda, Jesus Garcia [Zostavovateľ, editor]. – 1. vyd. – Milano (Taliansko) : Bulzoni Editore, 2019. – (New Trends and Issues Proceedings on Humanities and Social Sciences, ISSN 2547-8818). – ISSN 2547-8818, s. 30-37 [online] </t>
  </si>
  <si>
    <t xml:space="preserve">Pigment Profiles of Selected Eatables Identified Using a School Measurement System and a Spectrometer / Jenisová, Zita [Autor, UKFFPVKCH, 60%] ; Tokárová, Barbora [Autor, 40%] ; International Technology, Education and Development Conference 2020, 14 [02.03.2020-04.03.2020, Valencia, Španielsko]. – text. – [angličtina]. – [OV 120]. – [abstrakt z podujatia - KP]. – WOS CC In: INTED2020 Proceedings [elektronický dokument] : 14th International Technology, Education and Development Conference / Chova, Luis Goméz [Zostavovateľ, editor] ; López Martínez, Agustín [Zostavovateľ, editor] ; Candel Torres, Ignacio [Zostavovateľ, editor]. – 1. vyd. – Valencia (Španielsko) : IATED, 2020. – (INTED Proceedings, ISSN 2340-1079). – ISBN 978-84-09-17939-8. – ISSN 2340-1079, s. 3569-3575 [online] </t>
  </si>
  <si>
    <t xml:space="preserve">Playing together - the challenge for preschool teachers / Klimentová, Anna [Autor, UKFPFAKPE, 40%] ; Grofčíková, Soňa [Autor, UKFPFAKPE, 20%] ; Máčajová, Monika [Autor, UKFPFAKPE, 10%] ; Turzák, Tomáš [Autor, UKFPFAKPE, 10%] ; Kurincová, Viera [Autor, UKFPFAKPE, 10%] ; Mendelová, Eleonóra [Autor, UKFPFAKPE, 10%] ; EDULEARN19, 11 [01.07.2019-03.07.2019, Palma de Mallorca, Španielsko]. – text. – [angličtina]. – [OV 010]. – [abstrakt z podujatia - KP]. – WOS CC In: EDULEARN19 proceedings [elektronický dokument] : 11th annual International Conference on Education and New Learning Technologies / Gómez Chova, Luis [Zostavovateľ, editor] ; López Martínez, Agustín [Zostavovateľ, editor] ; López, Agustín [Recenzent] ; Girós, Amparo [Recenzent]. – 1. vyd. – Roč. 11. – Valencia (Španielsko) : IATED, 2019. – ISBN 978-84-09-12031-4. – ISSN 2340-1117, s. 6475-6479 [CD-ROM] </t>
  </si>
  <si>
    <t xml:space="preserve">Playing-2-gether: Teacher sensitivity as a basis for inclusion in preschool - new challenge for preschool teachers in Slovakia / Klimentová, Anna [Autor, UKFPFAKPE, 60%] ; Grofčíková, Soňa [Autor, UKFPFAKPE, 40%] ; SWS 2019, 6 [26.08.2019-01.09.2019, Albena, Bulharsko]. – text. – [angličtina]. – [OV 010]. – [abstrakt z podujatia - KP] In: SWS International Scientific Conference on Social Sciences 2019 (Education and Educational Research) [textový dokument (print)] [elektronický dokument] : conference proceeding / [bez zostavovateľa] [Zostavovateľ, editor]. – 1. vyd. – Roč. 6, č. 4. – Sofia (Bulharsko) : STEF92 Technology, 2019. – ISBN 978-619-7408-94-2. – ISSN 2682-9959, s. 379-386 [tlačená forma] [online] </t>
  </si>
  <si>
    <t xml:space="preserve">Pneumatic and hydraulic systems in tertiary education / Bánesz, Gabriel [Autor, UKFPFAKTT, 34%] ; Hašková, Alena [Autor, UKFPFAKTT, 33%] ; Lukáčová, Danka [Autor, UKFPFAKTT, 33%] ; Adamov, Abzetdin [Recenzent] ; Kureichik, Victor [Recenzent] ; AICT2018, 12 [17.10.2018-19.10.2018, Almaty, Kazachstan]. – text. – [angličtina]. – [OV 010]. – [abstrakt z podujatia - KP]. – DOI 10.1109/ICAICT.2018.8747124. – WOS CC ; SCO In: AICT2018 [textový dokument (print)] : IEEE 12th International Conference on Application of Information and Communication Technologies / [bez zostavovateľa] [Zostavovateľ, editor]. – 1. vyd. – New york (USA) : Curran Associates, 2018. – ISBN 978-1-5386-6467-4, s. 390-394 [tlačená forma] </t>
  </si>
  <si>
    <t xml:space="preserve">Podcast as a (Re)discovered Genre and Dynamically Developed Media Convergence Example / Nováčiková, Daša [Autor, UKFFFAKZU, 100%] ; ICERI 2021, 14 [08.11.2021-09.11.2021, Seville, Španielsko]. – text. – [angličtina]. – [OV 020]. – [abstrakt z podujatia - KP] In: ICERI2021 [elektronický dokument] : 14th annual International Conference of Education, Research and Innovation / Gómez, Chova L. [Zostavovateľ, editor] ; López Martínez, Agustín [Zostavovateľ, editor] ; Candel Torres, Ignacio [Zostavovateľ, editor]. – 1. vyd. – Valencia (Španielsko) : IATED, 2021. – ISBN 978-84-09-34549-6. – ISSN 2340-1095, s. 9373-9377 [online] [USB kľúč] </t>
  </si>
  <si>
    <t xml:space="preserve">Politický (mediálny) diskurz Slovákov vo Vojvodine, Srbsko : predvolebná kampaň k voľbám do Národnostných menšín - slovenskej národnostnej menšiny v roku 2010 a 2014 / Koruniak, Samuel [Autor, UKFFFASJL, 100%] ; Kolokvium mladých jazykovedcov, 24 [09.09.2015-11.09.2015, Praha, Česko]. – text. – [slovenčina]. – [OV 020]. – [abstrakt z podujatia - KP] In: Varia 24 [elektronický dokument] : zborník príspevkov z 24. kolokvia mladých jazykovedcov / Simeunovich-Skvortsova, Maria [Zostavovateľ, editor] ; Gajdošová, Katarína [Zostavovateľ, editor] ; Saicová Římalová, Lucie [Recenzent] ; Stranz-Nikitina, Veronika [Recenzent]. – 1. vyd. – Roč. 24. – Praha (Česko) : Univerzita Karlova v Praze, 2019. – ISBN 978-80-7308-757-9, s. 247-267 [online] </t>
  </si>
  <si>
    <t xml:space="preserve">Poľnohospodárske brownfieldy v okrese Zlaté Moravce = Agricultural brownfields in the Zlaté Moravce district / Némethová, Jana [Autor, UKFFPVKGR, 80%] ; Dvořáková Líšková, Zuzana [Autor, 20%] ; Mezinárodní kolokvium o regionálních vědách, 23 [17.06.2020-19.06.2020, Brno, Česko]. – text. – [slovenčina]. – [OV 092]. – [abstrakt z podujatia - KP]. – DOI 10.5817/CZ.MUNI.P210-9610-2020-64 In: 23. mezinárodní kolokvium o regionálních vědách [elektronický dokument] : sborník příspěvků, Brno, 2020 = 23rd International colloquium on regionals sciences, conference proceedings, Brno, 2020 / Klímová, Viktorie [Zostavovateľ, editor] ; Žítek, Vladimír [Zostavovateľ, editor]. – 1 vyd. – Brno (Česko) : Masarykova univerzita, 2020. – ISBN 978-80-210-9610-3, s. 505-512 [online] </t>
  </si>
  <si>
    <t xml:space="preserve">Ponitrianska cyklomagistrála ako súčasť poznávania regiónu = Cycle route Ponitrianska cyklomagistrala  as a part of getting to know the region / Grežo, Henrich [Autor, UKFFPVKEE, 34%] ; Michalina, Denis [Autor, UKFFPVKGR, 33%] ; Szabová, Lucia [Autor, UKFFPVKEE, 33%] ; Aktuální problémy cestovního ruchu, 14 [27.02.2019-28.02.2019, Jihlava, Česko]. – text. – [angličtina]. – [OV 100, 092]. – [abstrakt z podujatia - KP] In: Aktuální problémy cestovního ruchu [elektronický dokument] : „Cestovní ruch - příležitost pro venkov" : recenzovaný sborník z mezinárodní konference / Linderová, Ivica [Zostavovateľ, editor]. – 1 vyd. – Roč. 14. – Jihlava (Česko) : Vysoká škola polytechnická Jihlava, 2019. – ISBN 978-80-88064-43-5. – ISBN (online) 978-80-88064-42-8, s. 84-93 [online] [CD-ROM] </t>
  </si>
  <si>
    <t xml:space="preserve">Ponorení v čase. Poetologické a komunikačné kvality žánru živej fotografie (Expandované pole času v tvorbe Mira Nicza) = Immersion In Time. Poetological And Communicative Qualities Of The Genre Of Live Photography (Expanded Field Of Time In The Artwork Of Miro Nicz) / Kapsová, Eva [Autor, UKFFFAULK, 100%] ; Metodologie a theurgie hermeneutické interpretace, 8 [22.09.2020-23.09.2020, Ostrava, Česko]. – text. – [slovenčina]. – [OV 020]. – [abstrakt z podujatia - KP] In: Studia humanitatis - Ars hermeneutica [textový dokument (print)] : metodologie a theurgie hermeneutické interpretace 8 / Mikulášek, Miroslav [Zostavovateľ, editor] ; Malicki, Jan [Recenzent] ; Raclavská, Jana [Recenzent]. – 1. vyd. – č. 8. – Ostrava (Česko) : Ostravská univerzita, 2020. – ISBN 978-80-7599-211-6, s. 215-230 </t>
  </si>
  <si>
    <t xml:space="preserve">Popular literature in the classroom: theoretical aspects and practical suggestions / Benyovszky, Kristian [Autor, UKFFSSUML, 100%] ; International Technology, Education and Development Conference 2020, 14 [02.03.2020-04.03.2020, Valencia, Španielsko]. – text. – [angličtina]. – [OV 020]. – [abstrakt z podujatia - KP]. – [recenzované]. – WOS CC In: INTED2020 Proceedings [elektronický dokument] : 14th International Technology, Education and Development Conference / Chova, Luis Goméz [Zostavovateľ, editor] ; López Martínez, Agustín [Zostavovateľ, editor] ; Candel Torres, Ignacio [Zostavovateľ, editor]. – 1. vyd. – Valencia (Španielsko) : IATED, 2020. – (INTED Proceedings, ISSN 2340-1079). – ISBN 978-84-09-17939-8. – ISSN 2340-1079, s. 4080-4084 [online] </t>
  </si>
  <si>
    <t xml:space="preserve">Popularization of natural and historical potential of the special natural reserve Obedska Bara (Serbia) using a form of educational trail / Laco, Ivan [Autor, UKFFPVKEE, 25%] ; Kováč, Tomáš [Autor, UKFFPVKGR, 25%] ; Stašová, Simona [Autor, UKFFPVKEE, 25%] ; Moyzeová, Milena [Autor, 25%] ; Public recreation and landscape protection - with nature hand in hand! [02.05.2018-04.05.2018, Křtiny, Česko]. – text. – [angličtina]. – [OV 100]. – [abstrakt z podujatia - KP]. – [recenzované]. – WOS CC ; SCO In: Public recreation and landscape protection - with nature hand in hand! [textový dokument (print)] [elektronický dokument] : Conference proceeding / Fialová, Jitka [Zostavovateľ, editor]. – 1. vyd. – Brno (Česko) : Mendelova univerzita v Brně, 2018. – ISBN 978-80-7509-550-3. – ISBN (online) 978-80-7509-551-0. – ISSN 2336-6311. – ISSN (online) 2336-632X, s. 284-289 [tlačená forma] [online] </t>
  </si>
  <si>
    <t xml:space="preserve">Porovnanie výhodnosti hlavných druhov verejnej  dopravy na území Trnavského samosprávneho kraja pre pravidelné dochádzanie do krajského mesta = Comparation of expediency of main modes of public transport in Trnava self-governing region for regular attendance to the provincial city / Trembošová, Miroslava [Autor, UKFFPVKGR, 80%] ; Kohutiar, Samuel [Autor, 10%] ; Dubcová, Alena [Autor, UKFFPVKGR, 10%] ; Region in the Development of Society 2018, 9 [18.10.2018-19.10.2018, Brno, Česko]. – text. – [angličtina]. – [OV 092]. – [abstrakt z podujatia - KP]. – [recenzované] In: Region in the Development of Society 2018 [elektronický dokument] : Proceedings of the International Scientific Conference / Pavlík, Ivo [Zostavovateľ, editor]. – 1. vyd. – Brno (Česko) : Mendelova univerzita v Brně, 2019. – ISBN 978-80-7509-658-6, s. 594-602 [online] </t>
  </si>
  <si>
    <t xml:space="preserve">Positive interpersonal relationships in terms of developing creativity and critical thinking / Jonášková, Gabriela [Autor, UKFFFAKFI, 50%] ; Predanocyová, Ľubica [Autor, UKFFFAKFI, 50%] ; NORDSCI [12.10.2020-14.10.2020, Sofia, Bulharsko]. – text. – [angličtina]. – [OV 020]. – [abstrakt z podujatia - KP] In: NORDSCI International Conference (Book 1 / Volume 3. Education and Educational Research, Language and Linguistic, Philosophy, Sociology and Healthcare) [textový dokument (print)] [elektronický dokument] : Conference Proceedings / [bez zostavovateľa] [Zostavovateľ, editor]. – Sofia (Bulharsko) : SAIMA Consult, 2020. – ISBN 978-619-7495-11-9. – ISSN 2603-4107, s. 75-83 [tlačená forma] [online] </t>
  </si>
  <si>
    <t xml:space="preserve">Possibilities and Obstacles in the Establishment of School Social Work of Selected Secondary Schools in the Nitra Region / Tvrdoň, Miroslav [Autor, UKFFSVKSP, 33.334%] ; Šimonová, Veronika [Autor, UKFFSVKSP, 33.333%] ; Kondrla, Peter [Autor, UKFFFAKNS, 33.333%] ; International Technology, Education and Development Conference 2020, 14 [02.03.2020-04.03.2020, Valencia, Španielsko]. – text. – [angličtina]. – [OV 010, 020]. – [abstrakt z podujatia - KP]. – [recenzované]. – WOS CC In: INTED2020 Proceedings [elektronický dokument] : 14th International Technology, Education and Development Conference / Chova, Luis Goméz [Zostavovateľ, editor] ; López Martínez, Agustín [Zostavovateľ, editor] ; Candel Torres, Ignacio [Zostavovateľ, editor]. – 1. vyd. – Valencia (Španielsko) : IATED, 2020. – (INTED Proceedings, ISSN 2340-1079). – ISBN 978-84-09-17939-8. – ISSN 2340-1079, s. 5535-5541 [online] </t>
  </si>
  <si>
    <t xml:space="preserve">Possibilities of archaeological research on the World War II battlefields in Slovakia / Šteiner, Pavol [Autor, UKFFFAKMU, 100%] ; Archaeology of Conflicts, 1 [10.09.2019-12.09.2019, Hradec Králové, Česko]. – text. – [angličtina]. – [OV 030]. – [abstrakt z podujatia - KP] In: Archaeology of Conflicts [textový dokument (print)] : 1st year of the International conference, 10th-12th September 2019 Hradec Králové, / Hejkal, Petr [Zostavovateľ, editor] ; Drnovský, Pavel [Zostavovateľ, editor] ; Matoušek, Václav [Recenzent] ; Žákovský, Petr [Recenzent]. – 1. vyd. – Roč. 1. – Hredec Králové (Česko) : Univerzita Hradec Králové, 2020. – ISBN 978-80-7465-469-5, s. 207-222 </t>
  </si>
  <si>
    <t xml:space="preserve">Possibilities of developing social competence in pupils with specific learning disabilities / Rapsová, Lucia [Autor, UKFPFAKPE, 100%] ; CER Comparative European Research Conference, 10 [29.10.2018-31.10.2018, Londýn, Veľká Británia]. – [angličtina]. – [OV 010]. – [abstrakt z podujatia - KP] In: CER Comparative European research 2018 [elektronický dokument] : proceedings / research track of the 10th Biannual CER Comparative European Research Conference / McGreevy, Michael [Zostavovateľ, editor] ; Rita, Robert [Zostavovateľ, editor] ; Mizerek, Henryk [Recenzent] ; Blašková, Martina [Recenzent] ; Mura, Ladislav [Recenzent]. – 1. vyd. – Roč. 5, č. 2. – London (Veľká Británia) : Sciemcee. Sciemcee Publishing, 2018. – ISBN 978-0-9935191-9-2, s. 135-138 [online] </t>
  </si>
  <si>
    <t xml:space="preserve">Possibilities of Development of Spatial Imagination / Tóth, Attila [Autor, UKFFSSUVP, 30%] ; Žitný, Rastislav [Autor, UKFFSSUVP, 25%] ; Szabó, Tibor [Autor, UKFFSSUVP, 15%] ; Csáky, Antal [Autor, UKFFSSUVP, 15%] ; Kárpáti, Andrea [Autor, UKFFSSUVP, 15%] ; ICERI 2020 : International Conference of Education, Research and Innovation, 13 [09.11.2020-10.11.2020, Sevilla, Španielsko]. – text. – [angličtina]. – [OV 010]. – [abstrakt z podujatia - KP]. – DOI 10.21125/iceri.2020.0184 In: ICERI 2020 [elektronický dokument] : 13th international conference of education, research and innovation : transforming education, transforming lives / Gómez Chova, Luis [Zostavovateľ, editor] ; Martínez, Augustín López [Zostavovateľ, editor] ; Torres, I. Candel [Zostavovateľ, editor]. – 1. vyd. – Valencia (Španielsko) : IATED, 2020. – ISBN 978-84-09-24232-0. – ISSN 2340-1095, s. 565-573 [USB kľúč] </t>
  </si>
  <si>
    <t xml:space="preserve">Possibilities of individual recreation in the districts of Nitra during the COVID-19 pandemic / Mišovičová, Regína [Autor, UKFFPVKEE, 30%] ; Grežo, Henrich [Autor, UKFFPVKEE, 30%] ; Pucherová, Zuzana [Autor, UKFFPVKEE, 30%] ; Bugár, Gabriel [Autor, UKFFPVKEE, 10%] ; Public recreation and landscape protection - with sense hand in hand! [10.05.2021-11.05.2021, Brno, Česko]. – text. – [angličtina]. – [OV 100]. – [abstrakt z podujatia - KP]. – SCO In: Public recreation and landscape protection - with sense hand in hand! [textový dokument (print)] [elektronický dokument] : conference proceedings / Fialová, Jitka [Zostavovateľ, editor]. – st. vyd. – Brno (Česko) : Mendelova univerzita v Brně, 2021. – ISBN 978-80-7509-779-8. – ISBN (online) 978-80-7509-780-4. – ISSN 2336-6311. – ISSN (online) 2336-632X, s. 371-375 [tlačená forma] [online] </t>
  </si>
  <si>
    <t xml:space="preserve">Possibilities of using the contingent evaluation method on the example of selected ecosystem service / Levický, Michal [Autor, UKFFPVUMI, 50%] ; Vojtech, František [Autor, VŠEMVSÚEMKMSP, 50%] ; Environmental, Economic and Social Challenges after 2020, 17 [05.06.2020, Gyöngyös, Maďarsko]. – text. – [angličtina]. – [OV 060]. – [abstrakt z podujatia - KP] In: Environmental, Economic and Social Challenges after 2020 : 17th international scientific days (online conference), Gyöngyös, 5. June 2020 / Bujdosó, Zoltán [Zostavovateľ, editor] ; Dinya, László [Zostavovateľ, editor] ; Novák, Tamás [Recenzent]. – 1. vyd. – Gyöngyös (Maďarsko) : Eszterházy Károly Egyetem, 2020. – ISBN (online) 978-615-5969-02-7, s. 727-733 </t>
  </si>
  <si>
    <t xml:space="preserve">Postcolonial Novel of Anton Baláž: The Land of Forgetting / Adamická, Monika [Autor, UKFFSSUSJ, 100%] ; SGEM 2019, 6 [11.04.2019-14.04.2019, Viedeň, Rakúsko]. – [angličtina]. – [OV 020]. – [abstrakt z podujatia - KP] In: SGEM 2019 conference proceedings (6.1. Science &amp; Arts : Cultural Studies, Ethnology and Folklore, Literature and Poetry, History of Arts, Contemporary Arts, Performing and Visual Arts, Architecture and Design) [textový dokument (print)] : International Multidisciplinary Scientific Conference on Social Sciences and Arts / [bez zostavovateľa] [Zostavovateľ, editor] ; Cristea, Lidia [Recenzent] ; Grecevičius, Petras [Recenzent]. – 1. vyd. – Roč. 6. – Sofia (Bulharsko) : STEF92 Technology, 2019. – ISBN 978-619-7408-75-1. – ISSN 2367-5659, s. 189-196 [tlačená forma] </t>
  </si>
  <si>
    <t xml:space="preserve">Post-covid challenges for social work / Tvrdoň, Miroslav [Autor, UKFFSVKSP, 40%] ; Králik, Roman [Autor, 30%] ; Máhrik, Tibor [Autor, 30%] ; ICERI 2021, 14 [08.11.2021-09.11.2021, Seville, Španielsko]. – text. – [angličtina]. – [OV 060]. – [abstrakt z podujatia - KP] In: ICERI2021 [elektronický dokument] : 14th annual International Conference of Education, Research and Innovation / Gómez, Chova L. [Zostavovateľ, editor] ; López Martínez, Agustín [Zostavovateľ, editor] ; Candel Torres, Ignacio [Zostavovateľ, editor]. – 1. vyd. – Valencia (Španielsko) : IATED, 2021. – ISBN 978-84-09-34549-6. – ISSN 2340-1095, s. 6617-6622 [online] [USB kľúč] </t>
  </si>
  <si>
    <t xml:space="preserve">Post-editing of publicistic texts in the context of thinking and editing time / Welnitzová, Katarína [Autor, UKFFFAKTR, 100%] ; SWS International Scientific Conference on Arts And Humanities, 7 [25.08.2020-26.08.2020, Albena, Bulharsko]. – text. – [angličtina]. – [OV 010, 020]. – [abstrakt z podujatia - KP]. – DOI 10.5593/sws.iscah.2020.7.1/s26.26 In: 7th SWS International Scientific Conference on Arts and Humanities - ISCAH [elektronický dokument] / Racz, Aleksandr [Zostavovateľ, editor] ; Naghi, Laura [Recenzent] ; Lončar, Iris [Recenzent]. – 1. vyd. – Roč. 7, č. 1. – Sofia (Bulharsko) : SGEM WORLD SCIENCE (SWS) Society, 2020. – ISBN 978-619-7603-00-2, s. 239-246 [tlačená forma] </t>
  </si>
  <si>
    <t xml:space="preserve">Poster projects in teaching philosophy at upper secondary school / Pavlíková, Martina [Autor, UKFFFAKZU, 50%] ; Ambrozy, Marián [Autor, ISMNEKSV, 50%] ; ICERI 2019, 12 [11.11.2019-13.11.2019, Seville, Španielsko]. – text. – [angličtina]. – [OV 020, 010]. – [abstrakt z podujatia - KP]. – WOS CC In: ICERI2019 Proceedings [elektronický dokument] : 12th International conference of education, research and innovation / Gómez Chova, Luis [Zostavovateľ, editor] ; López Martínez, Agustín [Zostavovateľ, editor] ; Candel Torres, Ignacio [Zostavovateľ, editor]. – 1. vyd. – Valencia (Španielsko) : IATED, 2019. – ISBN 978-84-09-14755-7. – ISSN 2340-1095, s. 6494-6498 [USB kľúč] </t>
  </si>
  <si>
    <t xml:space="preserve">Potenciál stredoslovenského regiónu pre archeológiu moderných militárií / Bordáč, Miloš [Autor, UKFFFAKAR, 100%] ; 10 let archeologie na Olomoucké univerzitě, 2 [27.04.2018, Olomouc, Česko]. – [slovenčina]. – [OV 030]. – [abstrakt z podujatia - KP]. – [recenzované] In: Sborník prací 2. studentské archeologické konference 10 let archeologie na Olomoucké univerzitě [textový dokument (print)] : Olomouc 27. dubna 2018 / Mírová, Zuzana [Zostavovateľ, editor] ; Záhorák, Vít [Zostavovateľ, editor]. – 1. – Olomouc (Česko) : Univerzita Palackého v Olomouci, 2019. – ISBN 978-80-7568-131-7, s. 88-95 [tlačená forma] </t>
  </si>
  <si>
    <t xml:space="preserve">Potential of ICT in Teaching English as a Foreign Language Focused on Autistic Spectrum Learners / Jelínková, Beáta [Autor, UKFPFAKLI, 100%] ; SHS Web of Conferences 88, 88 [10.11.2020-11.11.2020, Moskva, Ruská federácia]. – text. – [angličtina]. – [OV 010]. – [abstrakt z podujatia - KP]. – DOI 10.1051/shsconf/20208802012 In: International Scientific Forum Issues of Modern Linguistics and the Study of Foreign Languages in the Era of Artificial Intelligence [elektronický dokument] / [bez zostavovateľa] [Zostavovateľ, editor]. – 1. vyd. – Les Ulis (Francúzsko) : EDP Sciences - Web of Conferences, 2020. – (SHS Web of Conferences, ISSN 2261-2424 ; 88), s. 1-8 [online] </t>
  </si>
  <si>
    <t xml:space="preserve">Potential of the tourism development in municipalities of the local action group Horný Liptov / Vrbičanová, Gréta [Autor, UKFFPVKEE, 70%] ; Kramáreková, Hilda [Autor, UKFFPVKGR, 30%] ; Lněnička, Libor [Recenzent] ; Mísařová, Darina [Recenzent] ; Useful Geography: Transfer from Research to Practice, 25 [12.10.2017-13.10.2017, Brno, Česko]. – text. – [angličtina]. – [OV 092]. – [abstrakt z podujatia - KP]. – DOI 10.5817/CZ.MUNI.P210-8908-2018. – WOS CC In: Useful Geography: Transfer from Research to Practice [textový dokument (print)] [elektronický dokument] : Proceedings of 25th Central European Conference, 12th-13th October 2017, Brno / Svobodová, Hana [Zostavovateľ, editor]. – 1. vyd. – Brno (Česko) : Masarykova univerzita, 2018. – ISBN 978-80-210-8907-5. – ISBN (online) 978-80-210-8908-2, s. 553-563 [tlačená forma] [online] </t>
  </si>
  <si>
    <t xml:space="preserve">Použitie autokorektívnych kariet na hodinách chémie : The Usage of Self-correcting Cards in Chemistry Lessons / Braniša, Jana [Autor, UKFFPVKCH, 25%] ; Matejčíková, Daniela [Autor, 25%] ; Bozóová, Eva [Autor, 25%] ; Jenisová, Zita [Autor, UKFFPVKCH, 25%] ; DidSci PLUS [25.06.2018-27.06.2018, Praha, Česko]. – text. – [slovenčina]. – [OV 010]. – [abstrakt z podujatia - KP] In: DidSci Plus - Research in Didactics of Science PLUS [elektronický dokument] : Proceedings of the International Conference, Charles University - Faculty of Science / Čtrnáctová, Hana [Zostavovateľ, editor] ; Nesměrák, Karel [Zostavovateľ, editor] ; Teplá, Milada [Zostavovateľ, editor]. – 1. vyd. – Praha (Česko) : Univerzita Karlova v Praze, 2018. – ISBN 978-80-7444-065-6, s. 25-32 [CD-ROM] [online] </t>
  </si>
  <si>
    <t xml:space="preserve">Povídka Pan učitel a mravoučná beletrie „pro dítky a přátele jejich“ : se zřetelem k portrétu autority / Mikulášek, Alexej [Autor, UKFFSSUSJ, 100%] ; Božena Němcová a Slovensko (200 rokov od narodenia) [25.08.2020, Praha, Česko]. – text. – [čeština]. – [OV 020]. – [abstrakt z podujatia - KP] In: Božena Němcová a Slovensko (200 rokov od narodenia) [textový dokument (print)] : zborník príspevkov z konferencie konanej v Prahe 25. 8. 2020 / Žatovský, Petr [Zostavovateľ, editor] ; Skalský, Vladimír [Zostavovateľ, editor] ; Leikert, Jozef [Recenzent] ; Žantovská, Irena [Recenzent]. – 1. vyd. – Praha (Česko) : Slovensko-český klub, 2021. – ISBN 978-80-87016-20-6, s. 57-67 </t>
  </si>
  <si>
    <t xml:space="preserve">Práca s internetom ako indikátor počítačovej gramotnosti obyvateľstva Slovenska = Internet work as an indicator of computer literacy of the population in Slovakia / Vilinová, Katarína [Autor, UKFFPVKGR, 45%] ; Petrikovičová, Lucia [Autor, UKFFPVKGR, 50%] ; Babjaková, Laura [Autor, 5%] ; Mezinárodní kolokvium o regionálních vědách, 23 [17.06.2020-19.06.2020, Brno, Česko]. – text. – [slovenčina]. – [OV 092]. – [abstrakt z podujatia - KP]. – DOI 10.5817/CZ.MUNI.P210-9610-2020-37 In: 23. mezinárodní kolokvium o regionálních vědách [elektronický dokument] : sborník příspěvků, Brno, 2020 = 23rd International colloquium on regionals sciences, conference proceedings, Brno, 2020 / Klímová, Viktorie [Zostavovateľ, editor] ; Žítek, Vladimír [Zostavovateľ, editor]. – 1 vyd. – Brno (Česko) : Masarykova univerzita, 2020. – ISBN 978-80-210-9610-3, s. 288-295 [online] </t>
  </si>
  <si>
    <t xml:space="preserve">Práca s mikrofónom, ako súčasť hlasovej výchovy pri príprave budúcich učiteľov hudobno-dramatického odboru / Štrbák Pandiová, Iveta [Autor, UKFPFAKHU, 100%] ; Sapere Aude 2019, 9 [27.05.2019-29.05.2019, Hradec Králové, Česko]. – text. – [slovenčina]. – [OV 010]. – [abstrakt z podujatia - KP] In: Sapere Aude 2019 [elektronický dokument] : společnost a profese učitele : recenzovaný sborník příspěvků vědecké konference s mezinárodní účastí / [bez zostavovateľa] [Zostavovateľ, editor]. – 1. vyd. – Roč. 9. – Hradec Králové (Česko) : Magnanimitas akademické sdružení, 2019. – ISBN 978-80-87952-29-0, s. 112-115 [online] [CD-ROM] </t>
  </si>
  <si>
    <t xml:space="preserve">Práca učiteľa s prekonceptmi na prahu vzdelávania / Koleňáková, Rebeka Štefánia [Autor, UKFPFAKPE, 50%] ; Teleková, Radka [Autor, 50%] ; Mezinárodní Masarykova konference pro doktorandy a mladé vědecké pracovníky 2019, 10 [16.12.2019-18.12.2019, Hradec Králové, Česko]. – text. – [slovenčina]. – [OV 010]. – [abstrakt z podujatia - KP] In: MMK 2019 [elektronický dokument] : recenzovaný sborník příspěvků mezinárodní vědecké konference : Mezinárodní Masarykova konference pro doktorandy a mladé vědecké pracovníky 2019 / [bez zostavovateľa] [Zostavovateľ, editor] ; Lipowski, Jaroslav [Recenzent] ; Jaskułowski, Krzysztof [Recenzent] ; Kislingerová, Eva [Recenzent]. – 1. vyd. – Hradec Králové (Česko) : Magnanimitas akademické sdružení, 2019. – ISBN 978-80-87952-31-3, s. 564-569 [CD-ROM] [online] </t>
  </si>
  <si>
    <t xml:space="preserve">Pracovná identita vysokoškolských študentov rôznych odborov / Baňasová, Katarína [Autor, UKFFSVUAP, 34%] ; Paulovičová, Radka [Autor, 33%] ; Dančová, Katarína [Autor, 33%] ; PhD existence 2019, 9 [21.01.2019-22.01.2019, Olomouc, Česko]. – text. – [slovenčina]. – [OV 060]. – [abstrakt z podujatia - KP] In: PhD existence 9 [elektronický dokument] : česko-slovenská konference (nejen) pro doktorandy a o doktorandech : „Telo a mysl“ : konferenční DVD / Maierová, Eva [Zostavovateľ, editor] ; Viktorová, Lucie [Zostavovateľ, editor] ; Dolejš, Martin [Zostavovateľ, editor]. – Olomouc (Česko) : Univerzita Palackého v Olomouci, 2019. – ISBN (online) 978-80-244-5594-5, s. 194-207 [DVD] </t>
  </si>
  <si>
    <t xml:space="preserve">Pracovné prostredie študentov počas dištančnej výučby = The work environment of students during distance  learning / Bilčíková, Jana [Autor, UKFPFAKTT, 34%] ; Harangozó, Jozef [Autor, UKFPFAKTT, 33%] ; Tureková, Ivana [Autor, UKFPFAKTT, 33%] ; Schola nova, quo vadis? 2021, 6 [03.12.2021, Praha, Česko]. – text. – [slovenčina]. – [OV 010]. – [abstrakt z podujatia - KP] In: Schola nova, quo vadis? 2021 [elektronický dokument] / Krpálek, Pavel [Zostavovateľ, editor] ; Krpálková Krelová, Katarína [Zostavovateľ, editor] ; Berková, Kateřina [Zostavovateľ, editor]. – 1. vyd. – Praha (Česko) : Extrasystem Praha, 2021. – ISBN 978-80-87570-57-9, s. 27-32 [online] </t>
  </si>
  <si>
    <t xml:space="preserve">Practical Use of Innovative Didactic Tools in Dance Education / Hubinská, Zuzana [Autor, UKFPFAKHU, 100%] ; Biannual CER Comparative European Research Conference, 14 [26.10.2020-28.10.2020, Londýn, Veľká Británia]. – text. – [angličtina]. – [OV 010]. – [abstrakt z podujatia - KP]. – [recenzované] In: CER Comparative European Research 2020 [elektronický dokument] : proceedings of the 14th Biannual CER Comparative European Research Conference / McGreevy, Michael [Zostavovateľ, editor] ; Rita, Robert [Zostavovateľ, editor]. – 1. vyd. – Roč. 7, č. 2. – Londýn (Veľká Británia) : SCI-EMCEE, 2020. – ISBN 978-1-9993071-6-5, s. 150-153 [online] </t>
  </si>
  <si>
    <t xml:space="preserve">Practice in primary education : hygiene work and health protection / Feszterová, Melánia [Autor, UKFFPVKCH, 100%] ; International Technology, Education and Development Conference 2019, 13 [11.03.2019-13.03.2019, Valencia, Španielsko]. – text. – [angličtina]. – [OV 010]. – [abstrakt z podujatia - KP]. – [recenzované]. – WOS CC In: INTED2019 Proceedings [elektronický dokument] : 13th International Technology, Education and Development Conference / Chova, Luis Goméz [Zostavovateľ, editor] ; López Martínez, Agustín [Zostavovateľ, editor] ; Candel Torres, Ignacio [Zostavovateľ, editor]. – 1. vyd. – Valencia (Španielsko) : IATED, 2019. – (INTED Proceedings, ISSN 2340-1079). – ISBN 978-84-09-08619-1, s. 9966-9974 [CD-ROM] [USB kľúč] </t>
  </si>
  <si>
    <t xml:space="preserve">Právo na vzdelanie ako garancia prístupu k vedeckým informáciám v oblasti sexuálneho a reprodukčného zdravia v súvislostiach s kvalitou života mladých ľudí / Kocina, Petr [Autor, UKFFFAKAE 06.2022, 34%] ; Marková, Dagmar [Autor, UKFFFAKAE 06.2022, 33%] ; Turčan, Ciprian [Autor, UKFFFAKAE 06.2022, 33%] ; Celostátní kongres k suxuální výchově v České republice, 27 [10.10.2019-11.10.2019, Pardubice, Česko]. – text. – [slovenčina]. – [OV 020]. – [abstrakt z podujatia - KP] In: 27. celostátní kongres k sexuální výchově v České republice [textový dokument (print)] / Mitlöhner, Miroslav [Zostavovateľ, editor] ; Prouzová, Zuzana [Zostavovateľ, editor] ; Zouharová, Marie [Recenzent] ; Podroužek, Ladislav [Recenzent]. – 1. vyd. – Praha (Česko) : Společnost pro plánování rodiny a sexuální výchovu, 2019. – ISBN 978-80-905696-9-0, s. 33-36 [tlačená forma] </t>
  </si>
  <si>
    <t xml:space="preserve">Präsentation der Slowakei durch die Ansätze der Landeskunde / Molnárová, Andrea [Autor, UKFFFAKMK, 50%] ; Záhumenská, Lucia [Autor, UKFFFAKMK, 50%] ; Vysšee gumanitarnoje obrazovanije 21 veka: problemy i perspektivy, 40 [09.10.2019, Samara, Ruská federácia]. – [nemčina]. – [OV 020, 060]. – [abstrakt z podujatia - KP] In: Vysšee gumanitarnoje obrazovanije 21. veka: problemy i perspektivy [textový dokument (print)] : materijaly 40. meždunarodnoj naučno-praktičeskoj konferencii, Samara 9. 10. 2019 / Veršinina, L.V. [Zostavovateľ, editor]. – 1. vyd. – Samara (Ruská federácia) : Samarskoj gosudarstvennyj socijaľno-pedagogičeskij universitet, 2019. – ISBN 978-5-8428-1140-3, s. 138-144 [tlačená forma] </t>
  </si>
  <si>
    <t xml:space="preserve">Preconceptions of Gifted and Ungifted Pupils of Younger School Age on the Selected Phenomenon “Learning” / Koleňáková, Rebeka Štefánia [Autor, UKFPFAKPE, 50%] ; Duchovičová, Jana [Autor, UKFPFAKPE, 50%] ; International Conference the Future of Education, 10 [18.06.2020-19.06.2020, Florencia, Taliansko]. – text. – [angličtina]. – [OV 010]. – [abstrakt z podujatia - KP] In: 10 th International Conference the Future of Education [elektronický dokument] : International conference, Florence 18-19 June 2020 / [bez zostavovateľa] [Zostavovateľ, editor]. – 1. vyd. – Florencia (Taliansko) : Filodiritto Publisher, 2020. – ISBN (online) 978-88-85813-87-8. – ISSN (online) 2384-9509, s. 507-513 [online] </t>
  </si>
  <si>
    <t xml:space="preserve">Predictive role of self-reflection in teacher's professional improvement / Máčajová, Monika [Autor, UKFPFAKPE, 50%] ; Zajacová, Zuzana [Autor, UKFPFAKPE, 50%] ; International Technology, Education and Development Conference 2019, 13 [11.03.2019-13.03.2019, Valencia, Španielsko]. – text. – [angličtina]. – [OV 010]. – [abstrakt z podujatia - KP]. – [recenzované]. – WOS CC In: INTED2019 Proceedings [elektronický dokument] : 13th International Technology, Education and Development Conference / Chova, Luis Goméz [Zostavovateľ, editor] ; López Martínez, Agustín [Zostavovateľ, editor] ; Candel Torres, Ignacio [Zostavovateľ, editor]. – 1. vyd. – Valencia (Španielsko) : IATED, 2019. – (INTED Proceedings, ISSN 2340-1079). – ISBN 978-84-09-08619-1, s. 8224-8234 [CD-ROM] [USB kľúč] </t>
  </si>
  <si>
    <t xml:space="preserve">Preferencie stravovania a obľúbenosť tradičných jedál regiónu Ponitrie návštevníkmi pohostinských zariadení = The preferences on the field of eating and popularity of traditional meals of Ponitrie region by customers of restaurants / Kompasová, Katarína [Autor, UKFFFAKMK, 75%] ; Števková, Barbora [Autor, 25%] ; Aktuální problémy cestovního ruchu, 13 [28.02.2018-01.03.2018, Jihlava, Česko]. – text. – [slovenčina]. – [OV 060]. – [abstrakt z podujatia - KP]. – [recenzované]. – WOS CC In: Aktuální problémy cestovního ruchu [elektronický dokument] : „Autenticita v kontextu cestovního ruchu“ : recenzovaný sborník z mezinárodní konference / Linderová, Ivica [Zostavovateľ, editor] ; Pachrová, Stanislava [Zostavovateľ, editor]. – 1. vyd. – Roč. 13. – Jihlava (Česko) : Vysoká škola polytechnická Jihlava, 2018. – ISBN 978-80-88064-36-7, s. 145-152 [CD-ROM] </t>
  </si>
  <si>
    <t xml:space="preserve">Pre-gradual teacher training in the area of didactic technological competencies / Záhorec, Ján [Autor, UKOPDDPP, 50%] ; Hašková, Alena [Autor, UKFPFAKTT, 50%] ; Efficiency and Responsibility in Education 2020 [04.06.2020-05.06.2020, Praha, Česko]. – text, tab. – [angličtina]. – [OV 010]. – [abstrakt z podujatia - KP]. – SIGN-UKO PD DP/20. – CPCI-SSH ; WOS CC In: Efficiency and Responsibility in Education 2020 [textový dokument (print)] [elektronický dokument] : Proceedings of the 17th International Conference / Fejfar, Jiří [Zostavovateľ, editor] ; Flégl, Martin [Zostavovateľ, editor]. – 1. vyd. – Praha (Česko) : Česká zemědelská univerzita v Praze, 2020. – ISBN 978-80-213-3022-1. – ISSN 2336-744X, s. 332-338 [tlačená forma] [online] </t>
  </si>
  <si>
    <t xml:space="preserve">Prechodové programy - podpora adaptácie žiaka na začiatku školskej dochádzky = The Transition Programs - the Support for adaptation of Pupils at the School Attrndance Start / Teleková, Radka [Autor, UKFPFAKPE, 50%] ; Marcineková, Tatiana [Autor, UKFPFAKPE, 50%] ; QUAERE 2020, 10 [22.06.2020-26.06.2020, Hradec Králové, Česko]. – text. – [slovenčina]. – [OV 020]. – [abstrakt z podujatia - KP] In: QUAERE 2020 [elektronický dokument] : recenzovaný sborník příspěvků interdisciplinární mezinárodní vědecké konference doktorandů a odborných asistentů, Hradec Králové, 22.- 26.6.2020 / [bez zostavovateľa] [Zostavovateľ, editor]. – 1. vyd. – Roč. 10. – Hradec Králové (Česko) : Magnanimitas akademické sdružení, 2020. – ISBN 978-80-87952-32-0, s. 868-873 [online] </t>
  </si>
  <si>
    <t xml:space="preserve">Prejavy a dôsledky overturizmu v kúpeľnom mieste = Manifestations and Consequences of Overturism in a Spa Place / Trembošová, Miroslava [Autor, UKFFPVKGR, 80%] ; Dubcová, Alena [Autor, UKFFPVKGR, 20%] ; Aktuální problémy cestovního ruchu, 15 [04.03.2020-05.03.2020, Jihlava, Česko]. – text. – [slovenčina]. – [OV 100]. – [abstrakt z podujatia - KP]. – [recenzované] In: Aktuální problémy cestovního ruchu [elektronický dokument] : Overtourism - riziko pro destinace / Linderová, Ivica [Zostavovateľ, editor]. – 1 vyd. – Jihlava (Česko) : Vysoká škola polytechnická Jihlava, 2020. – ISBN 978-80-88064-46-6. – ISBN 978-80-88064-47-3, s. 246-255 [CD-ROM] </t>
  </si>
  <si>
    <t xml:space="preserve">Prejavy hrania digitálnych hier a rizikové správanie dospievajúcich v systéme nižšieho sekundárneho vzdelávania = Digital games playing symptoms and risk behavior of adolescents in system of lower secondary education / Čerešník, Michal [Autor, PEUFPSUVP, 50%] ; Čerešníková, Miroslava [Autor, UKFFSVURS, 40%] ; Lenghart, Daniel [Autor, UKFPFAKAP, 10%] ; PhD existence 2021, 11 [01.02.2021-02.02.2021, Olomouc, Česko]. – text. – [slovenčina]. – [OV 060, 010]. – [ŠO 7701]. – [abstrakt z podujatia - KP]. – PEVŠ ID-312187 In: PhD existence 11 [elektronický dokument] : "Jedeme dál" : česko-slovenská psychologická konference (nejen) pro doktorandy a o doktorandech  : sborník odborných příspěvků / Aigelová, Eva [Zostavovateľ, editor] ; Viktorová, Lucie [Zostavovateľ, editor] ; Dolejš, Martin [Zostavovateľ, editor] ; Tomšik, Robert [Recenzent] ; Skopal, Ondřej [Recenzent]. – 1. vyd. – Roč. 11. – Olomouc (Česko) : Univerzita Palackého v Olomouci, 2021. – ISBN 978-80-244-5947-9, s. 156-167 [online] </t>
  </si>
  <si>
    <t xml:space="preserve">Premena energie na základe fotovoltiky pomocou integrovaného e-learningu / Jindrová, Terézia [Autor, UKFFPVKFY, 100%] ; Trendy ve vzdělávaní 2018, 2 [16.05.2018-18.05.2018, Slatinice u Olomouce, Česko]. – text. – [slovenčina]. – [OV 010]. – [abstrakt z podujatia - KP]. – [recenzované]. – DOI 10.5507/tvv.2018.001 In: Trendy ve vzdělávaní 2018 [textový dokument (print)] [elektronický dokument] : Technika, informatika a inovace ve vzdělávaní : Sborník abstraktů z mezinárodní konference / Dostál, Jiří [Zostavovateľ, editor]. – 1. vyd. – Olomouc (Česko) : Univerzita Palackého v Olomouci, 2018. – ISBN 978-80-244-5318-7, s. 53-62 </t>
  </si>
  <si>
    <t xml:space="preserve">Prepojenie literatúry a filozofie v súčasnej edukácii = Interconnection of Literature and Philosophy in Current Education / Borisová, Simona [Autor, UKFPFAKPE, 100%] ; QUAERE 2020, 10 [22.06.2020-26.06.2020, Hradec Králové, Česko]. – text. – [slovenčina]. – [OV 010]. – [abstrakt z podujatia - KP] In: QUAERE 2020 [elektronický dokument] : recenzovaný sborník příspěvků interdisciplinární mezinárodní vědecké konference doktorandů a odborných asistentů, Hradec Králové, 22.- 26.6.2020 / [bez zostavovateľa] [Zostavovateľ, editor]. – 1. vyd. – Roč. 10. – Hradec Králové (Česko) : Magnanimitas akademické sdružení, 2020. – ISBN 978-80-87952-32-0, s. 1024-1030 [online] </t>
  </si>
  <si>
    <t xml:space="preserve">Presahy obsahu prvouky do prírodovednej a kultúrnej gramotnosti = Education Content of the elementary Realia and its Overlaps to the Science and Cultural Literacy / Nagyová, Alexandra [Autor, UKFPFAKPE, 100%] ; QUAERE 2020, 10 [22.06.2020-26.06.2020, Hradec Králové, Česko]. – text. – [slovenčina]. – [OV 010]. – [abstrakt z podujatia - KP] In: QUAERE 2020 [elektronický dokument] : recenzovaný sborník příspěvků interdisciplinární mezinárodní vědecké konference doktorandů a odborných asistentů, Hradec Králové, 22.- 26.6.2020 / [bez zostavovateľa] [Zostavovateľ, editor]. – 1. vyd. – Roč. 10. – Hradec Králové (Česko) : Magnanimitas akademické sdružení, 2020. – ISBN 978-80-87952-32-0, s. 922-928 [online] </t>
  </si>
  <si>
    <t xml:space="preserve">Presentation of Environmental Topics against the Background of Key Features of Online Media / Nováčiková, Daša [Autor, UKFFFAKZU, 100%] ; ICERI 2020 : International Conference of Education, Research and Innovation, 13 [09.11.2020-10.11.2020, Sevilla, Španielsko]. – text. – [angličtina]. – [OV 020, 060]. – [abstrakt z podujatia - KP] In: ICERI 2020 [elektronický dokument] : 13th international conference of education, research and innovation : transforming education, transforming lives / Gómez Chova, Luis [Zostavovateľ, editor] ; Martínez, Augustín López [Zostavovateľ, editor] ; Torres, I. Candel [Zostavovateľ, editor]. – 1. vyd. – Valencia (Španielsko) : IATED, 2020. – ISBN 978-84-09-24232-0. – ISSN 2340-1095, s. 7084-7091 [USB kľúč] </t>
  </si>
  <si>
    <t xml:space="preserve">Pre–service teachers' education: first aid for chemical waste intoxication / Feszterová, Melánia [Autor, UKFFPVKCH, 100%] ; EDULEARN19, 11 [01.07.2019-03.07.2019, Palma de Mallorca, Španielsko]. – text. – [angličtina]. – [OV 010]. – [abstrakt z podujatia - KP]. – WOS CC In: EDULEARN19 proceedings [elektronický dokument] : 11th annual International Conference on Education and New Learning Technologies / Gómez Chova, Luis [Zostavovateľ, editor] ; López Martínez, Agustín [Zostavovateľ, editor] ; López, Agustín [Recenzent] ; Girós, Amparo [Recenzent]. – 1. vyd. – Roč. 11. – Valencia (Španielsko) : IATED, 2019. – ISBN 978-84-09-12031-4. – ISSN 2340-1117, s. 9838-9845 [CD-ROM] </t>
  </si>
  <si>
    <t xml:space="preserve">Prevention against health and ergonomic risks by work with computers / Tureková, Ivana [Autor, UKFPFAKTT, 33.334%] ; Šebo, Miroslav [Autor, UKFPFAKTT, 33.333%] ; Turčeková, Natália [Autor, 33.333%] ; EDULEARN20, 12 [06.07.2020-07.07.2020, Palma de Mallorca, Španielsko]. – text. – [angličtina]. – [OV 010]. – [abstrakt z podujatia - KP] In: EDULEARN20 proceedings [elektronický dokument] : 12th International Conference on Education and New Learning Technologies / Gómez Chova, Luis [Zostavovateľ, editor] ; López Martínez, Agustín [Zostavovateľ, editor]. – 1. vyd. – Roč. 12. – Valencia (Španielsko) : IATED, 2020. – ISBN 978-84-09-17979-4. – ISSN 2340-1117, s. 2803-2812 [USB kľúč] </t>
  </si>
  <si>
    <t xml:space="preserve">Príbeh a jeho miesto v etickej výchove / Magová, Lenka [Autor, UKFFFAKAE 06.2022, 100%] ; Mezinárodní Masarykova konference pro doktorandy a mladé vědecké pracovníky 2019, 10 [16.12.2019-18.12.2019, Hradec Králové, Česko]. – text. – [slovenčina]. – [OV 020]. – [abstrakt z podujatia - KP] In: MMK 2019 [elektronický dokument] : recenzovaný sborník příspěvků mezinárodní vědecké konference : Mezinárodní Masarykova konference pro doktorandy a mladé vědecké pracovníky 2019 / [bez zostavovateľa] [Zostavovateľ, editor] ; Lipowski, Jaroslav [Recenzent] ; Jaskułowski, Krzysztof [Recenzent] ; Kislingerová, Eva [Recenzent]. – 1. vyd. – Hradec Králové (Česko) : Magnanimitas akademické sdružení, 2019. – ISBN 978-80-87952-31-3, s. 757-762 [CD-ROM] [online] </t>
  </si>
  <si>
    <t xml:space="preserve">Priestorové analýzy geografických informačných systémov v službách cestovného ruchu / Vrbičanová, Gréta [Autor, UKFFPVKEE, 40%] ; Močko, Matej [Autor, UKFFPVKEE, 40%] ; Jakab, Imrich [Autor, UKFFPVKEE, 20%] ; Linderová, Ivica [Recenzent] ; Pachrová, Stanislava [Recenzent] ; Aktuální problémy cestovního ruchu, 13 [28.02.2018-01.03.2018, Jihlava, Česko]. – text. – [slovenčina]. – [OV 100]. – [abstrakt z podujatia - KP]. – WOS CC In: Aktuální problémy cestovního ruchu [elektronický dokument] : „Autenticita v kontextu cestovního ruchu“ : recenzovaný sborník z mezinárodní konference / Linderová, Ivica [Zostavovateľ, editor] ; Pachrová, Stanislava [Zostavovateľ, editor]. – 1. vyd. – Roč. 13. – Jihlava (Česko) : Vysoká škola polytechnická Jihlava, 2018. – ISBN 978-80-88064-36-7, s. 510-517 [CD-ROM] </t>
  </si>
  <si>
    <t xml:space="preserve">Priestorové aspekty vývoja osídlenia Novej Bane a Žarnovice v kontexte prírodných a socioekonomických podmienok = Spatial aspects of settlement development of Nová Baňa and Žarnovica in the context of natural and socioeconomic conditions / Petrikovičová, Lucia [Autor, UKFFPVKGR, 50%] ; Vilinová, Katarína [Autor, UKFFPVKGR, 50%] ; Mezinárodní kolokvium o regionálních vědách, 23 [17.06.2020-19.06.2020, Brno, Česko]. – text. – [slovenčina]. – [OV 092]. – [abstrakt z podujatia - KP]. – DOI 10.5817/CZ.MUNI.P210-9610-2020-69 In: 23. mezinárodní kolokvium o regionálních vědách [elektronický dokument] : sborník příspěvků, Brno, 2020 = 23rd International colloquium on regionals sciences, conference proceedings, Brno, 2020 / Klímová, Viktorie [Zostavovateľ, editor] ; Žítek, Vladimír [Zostavovateľ, editor]. – 1 vyd. – Brno (Česko) : Masarykova univerzita, 2020. – ISBN 978-80-210-9610-3, s. 546-553 [online] </t>
  </si>
  <si>
    <t xml:space="preserve">Priestorové disparity socio-patologického javu kvality života na príklade kriminality v Bratislavskom samosprávnom kraji = Spatial disparities of the socio-pathological phenomenon of quality of life on the example of criminality in the Bratislava Self-governing Region / Trembošová, Miroslava [Autor, UKFFPVKGR, 33.334%] ; Dubcová, Alena [Autor, UKFFPVKGR, 33.333%] ; Dragula, Miroslav [Autor, 33.333%] ; Mezinárodní kolokvium o regionálních vědách, 23 [17.06.2020-19.06.2020, Brno, Česko]. – text. – [slovenčina]. – [OV 092, 060]. – [abstrakt z podujatia - KP]. – DOI 10.5817/CZ.MUNI.P210-9610-2020-51 In: 23. mezinárodní kolokvium o regionálních vědách [elektronický dokument] : sborník příspěvků, Brno, 2020 = 23rd International colloquium on regionals sciences, conference proceedings, Brno, 2020 / Klímová, Viktorie [Zostavovateľ, editor] ; Žítek, Vladimír [Zostavovateľ, editor]. – 1 vyd. – Brno (Česko) : Masarykova univerzita, 2020. – ISBN 978-80-210-9610-3, s. 401-408 [online] </t>
  </si>
  <si>
    <t xml:space="preserve">Prínos časopisu Dolnozemský Slovák do jazykového a kultúrneho života dolnozemských Slovákov / Hlavatá, Renáta [Autor, UKFFFASJL, 100%] ; Dolnozemskí Slováci a rok 1918 [21.03.2019-24.03.2019, Nadlak, Rumunsko]. – text. – [slovenčina]. – [OV 060, 020]. – [abstrakt z podujatia - KP] In: Dolnozemskí Slováci a rok 1918 [textový dokument (print)] : zborník prác z rovnomennej medzinárodnej konferencie / Ambruš, Ivan Miroslav [Zostavovateľ, editor] ; Hlásnik, Pavel [Zostavovateľ, editor] ; Unc, Bianca [Zostavovateľ, editor] ; Lenovský, Ladislav [Recenzent] ; Šmigeľ, Michal [Recenzent] ; Syrný, Marek [Recenzent]. – 1. vyd. – Nadlak (Rumunsko) : Vydavateľstvo - Editura Ivan Krasko, 2019. – ISBN 978-973-107-148-0, s. 243-251 [tlačená forma] </t>
  </si>
  <si>
    <t xml:space="preserve">Príprava suspenzných kultúr embryogénnych línií Pinus nigra Arn = Establishment of suspension cultures from embryogenic cell lines of Pinus nigra Arn / Ihradská, Veronika [Autor, UKOPRBGE, 50%] ; Perniš, Miroslav [Autor, UKFFPVKBG, 15%] ; Salaj, Terézia [Autor, 15%] ; Klubicová, Katarína [Autor, 20%] ; Vliv abiotických a biotických stresorů na vlastnosti rostlin [03.09.2019-05.09.2019, Praha, Česko]. – text, fotogr., tab. – [slovenčina]. – [OV 130]. – [abstrakt z podujatia - KP]. – SIGN-UKO PR 1173/19 In: Vliv abiotických a biotických stresorů na vlastnosti rostlin 2019 [textový dokument (print)] [elektronický dokument] : sborník recenzovaných vědeckých prací = proceedings of scientific articles / Kožnarová, Věra [Zostavovateľ, editor] ; Novák, Ján [Recenzent]. – 1 vyd. – Praha (Česko) : Česká zemědelská univerzita v Praze ; Bratislava (Slovensko) : Slovenská akadémia vied. Pracoviská SAV. Ústav ekológie lesa, 2019. – ISBN 978-80-213-2949-2. – ISBN 978-80-89408-35-1, s. 53-56 [tlačená forma] [online] </t>
  </si>
  <si>
    <t xml:space="preserve">Priscilla - Proposal of System Architecture for Programming Learning and Teaching Environment / Skalka, Ján [Autor, UKFFPVKIN, 50%] ; Drlík, Martin [Autor, UKFFPVKIN, 50%] ; Adamov, Abzetdin [Recenzent] ; Kureichik, Victor [Recenzent] ; AICT2018, 12 [17.10.2018-19.10.2018, Almaty, Kazachstan]. – [angličtina]. – [OV 160]. – [abstrakt z podujatia - KP]. – DOI 10.1109/ICAICT.2018.8746921. – WOS CC ; SCO In: AICT2018 [textový dokument (print)] : IEEE 12th International Conference on Application of Information and Communication Technologies / [bez zostavovateľa] [Zostavovateľ, editor]. – 1. vyd. – New york (USA) : Curran Associates, 2018. – ISBN 978-1-5386-6467-4, s. 414-419 [tlačená forma] </t>
  </si>
  <si>
    <t xml:space="preserve">Problematika používania nesklonných pomenovaní v súčasnej slovenčine (na príklade iniciálových skratiek z oblasti informačno-komunikačných technológií) / Petráš, Patrik [Autor, UKFFFASJL, 100%] ; Király Péter 100 [22.11.2017-23.11.2017, Budapešť, Maďarsko]. – text. – [slovenčina]. – [OV 020]. – [abstrakt z podujatia - KP] In: Király Péter 100 [textový dokument (print)] : tanulmánykötet Király Péter tiszteletére I. / Császári, Éva [Zostavovateľ, editor] ; Imrichová, Mária [Zostavovateľ, editor] ; Banczerowski, Janusz [Recenzent] ; Lukács, István [Recenzent]. – 1. vyd. – Budapešť (Maďarsko) : Eötvös Loránd Tudományegyetem. ELTE Bölcsészettudományi Kar. Szláv filológiai tanszék, 2019. – ISBN 978-963-489-066-9. – ISSN 1789-3976. – SIGN-PU FF-19 302/19, s. 90-101 [tlačená forma] </t>
  </si>
  <si>
    <t xml:space="preserve">Problems of orthography and reading comprehension / Kozmács, István [Autor, UKFFSSUML, 50%] ; Vančo, Ildikó [Autor, UKFFSSUML, 50%] ; EDULEARN21 [05.07.2021-06.07.2021, Barcelona, Španielsko]. – text. – [angličtina]. – [OV 010]. – [abstrakt z podujatia - KP]. – DOI 10.21125/edulearn.2021.0584 In: EDULEARN21 [elektronický dokument] : 13th annual International Conference on Education and New Learning Technologies, Barcelona, 5th - 6th of July, 2021 / Chova, Luis Goméz [Zostavovateľ, editor] ; Martínez, Augustín López [Zostavovateľ, editor] ; Torres, I. [Zostavovateľ, editor]. – 1. vyd. – Roč. 13. – Barcelona (Španielsko) : IATED, 2021. – ISBN 978-84-09-31267-2. – ISSN 2340-1117, s. 2679-2685 [CD-ROM] [USB kľúč] </t>
  </si>
  <si>
    <t xml:space="preserve">Problems of pedagogical practice: disinformation in media and credibility factors in a group of high school students in Slovakia / Tkáčová, Hedviga [Autor, KURFIZU, 60%] ; Pavlíková, Martina [Autor, UKFFFAKZU, 20%] ; Maturkanič, Patrik [Autor, 19%] ; Kobylarek, Aleksander [Autor, 1%] ; ICERI 2021, 14 [08.11.2021-09.11.2021, Seville, Španielsko]. – text. – [angličtina]. – [OV 010]. – [abstrakt z podujatia - KP] In: ICERI2021 [elektronický dokument] : 14th annual International Conference of Education, Research and Innovation / Gómez, Chova L. [Zostavovateľ, editor] ; López Martínez, Agustín [Zostavovateľ, editor] ; Candel Torres, Ignacio [Zostavovateľ, editor]. – 1. vyd. – Valencia (Španielsko) : IATED, 2021. – ISBN 978-84-09-34549-6. – ISSN 2340-1095, s. 3514-3522 [online] [USB kľúč] </t>
  </si>
  <si>
    <t xml:space="preserve">Problémy žiakov v ranej adolescencii vo vzťahu s klímou v školskej triede / Popelková, Marta [Autor, UKFFSVKPV, 50%] ; Balaban, Dunja [Autor, 50%] ; Blatný, Marek [Recenzent] ; Jelínek, Martin [Recenzent] ; Sociální procesy a osobnost 2017 [18.09.2017-20.09.2017, Brno, Česko]. – text. – [slovenčina]. – [OV 060]. – [abstrakt z podujatia - KP] In: Sociální procesy a osobnost 2017 [elektronický dokument] : sborník příspěvků / Blatný, Marek [Zostavovateľ, editor] ; Jelínek, Martin [Zostavovateľ, editor] ; Květon, Petr [Zostavovateľ, editor] ; Vobořil, Dalibor [Zostavovateľ, editor]. – 1. vyd. – Praha (Česko) : Akademie věd České republiky, 2018. – ISBN (online) 978-80-86174-22-8, s. 315-319 [online] </t>
  </si>
  <si>
    <t xml:space="preserve">Procedures and ways of working a teacher with the curriculum leading to the development of assessment and critical thinking of students / Gunišová, Denisa [Autor, UKFPFAKPE, 100%] ; International Technology, Education and Development Conference 2021, 15 [08.03.2021-09.03.2021, Valencia, Španielsko]. – text. – [angličtina]. – [OV 010]. – [abstrakt z podujatia - KP] In: INTED2021 [textový dokument (print)] [elektronický dokument] : 15th International Technology, Education and Development Conference : conference proceedings / Chova, Luis Goméz [Zostavovateľ, editor] ; López Martínez, Agustín [Zostavovateľ, editor] ; Candel Torres, Ignacio [Zostavovateľ, editor]. – 1. vyd. – Valencia (Španielsko) : IATED, 2021. – (INTED Proceedings, ISSN 2340-1079). – ISBN 978-84-09-27666-0. – ISSN 2340-1079, s. 597-603 [online] </t>
  </si>
  <si>
    <t xml:space="preserve">Process Modelling and Creating Predictive Models of Sensory Networks Using Fuzzy Petri Nets / Fodor, Kristián [Autor, UKFFPVKIN, 50%] ; Balogh, Zoltán [Autor, UKFFPVKIN, 50%] ; Big Data, IoT, and AI for a Smarter Future [16.06.2021-18.06.2021, Malvern, USA]. – text, graf. – [angličtina]. – [OV 160]. – [abstrakt z podujatia - KP]. – DOI 10.1016/j.procs.2021.05.004. – WOS CC ; SCO In: Procedia Computer Science (185) [elektronický dokument] / Srinivasan, Satish Mahadevan [Zostavovateľ, editor] ; Dagli, Cihan H. [Zostavovateľ, editor]. – 1. vyd. – Malvern (USA) : [s.n.], 2021. – ISSN (online) 18770509, s. 28-36 [online] </t>
  </si>
  <si>
    <t xml:space="preserve">Professional Competencies of English Kindergarten Teacher in Slovakia / Horváthová, Ivana [Autor, UKFFFAKAA, 100%] ; MAC 2018 [07.12.2018-09.12.2018, Prague, Česko]. – [angličtina]. – [OV 010]. – [abstrakt z podujatia - KP]. – [recenzované] In: Proceedings of MAC 2018 in Prague [textový dokument (print)] : International Conference, 7th-9th December 2018 / Vopava, Jiŕí [Zostavovateľ, editor] ; Douda, Vladimír [Zostavovateľ, editor]. – 1. vyd. – Praha (Česko) : MAC Prague consulting, 2018. – ISBN 978-80-88085-22-5, s. 198-206 [tlačená forma] </t>
  </si>
  <si>
    <t xml:space="preserve">Programa de investigación sobre competencia lectora de lenguas maternas y extranjeras en escuelas de educación primaria y secundaria de Eslovaquia / De Miguel Santos, César [Autor, UKFFFAKRO, 100%] ; CEMUN 2020, 1 [17.06.2020-19.06.2020, Santiago de Chile, Čile]. – text. – [španielčina]. – [OV 020]. – [abstrakt z podujatia - KP]. – [recenzované] In: CEMUN 2020 : 1. Congresso International de Educación Para un Nuevo Mundo, 15-17 de junio de 2020, Santiago de Chile / César Arboleda Aparicio, Julio [Zostavovateľ, editor]. – 1. vyd. – New York (USA) : Redipe Capítulo, 2020. – ISBN 978-1-951198-32-9, s. 329-344 </t>
  </si>
  <si>
    <t xml:space="preserve">Project Training Company in Slovak Republic / Hudáková, Jarmila [Autor, UKFFPVUMI, 50%] ; Papcunová, Viera [Autor, UKFFPVUMI, 50%] ; ICESD 2019 [19.01.2019-20.01.2019, Shenzhen, Čína]. – [angličtina]. – [OV 060]. – [abstrakt z podujatia - KP]. – [recenzované]. – WOS CC In: ICESD 2019 [textový dokument (print)] : 4th International Conference on Education Science and Development, Shenzhen, China, during Jan 19-20, 2019 / [bez zostavovateľa] [Zostavovateľ, editor]. – Lancaster (USA) : DEStech Publications, 2019. – ISBN 978-1-60595-593-3, s. 21-34 </t>
  </si>
  <si>
    <t xml:space="preserve">Pronunciation Stategies at Primary and Secondary Level of TEFL / Reid, Eva [Autor, UKFPFAKLI, 50%] ; Horváthová, Božena [Autor, UKFPFAKLI, 50%] ; Sambanis, Michaela [Recenzent] ; Böttger, Heiner [Recenzent] ; Focus on Evidence, 2 [07.12.2018-08.12.2018, Berlín, Nemecko]. – text. – [angličtina]. – [OV 010]. – [abstrakt z podujatia - KP] In: Focus on Evidence 2 [textový dokument (print)] : Netzwerke zwischen Fremdsprachendidaktik und Neurowissenschaften / Böttger, Heiner [Zostavovateľ, editor] ; Sambanis, Michaela [Zostavovateľ, editor]. – 1. vyd. – Tübingen (Nemecko) : Narr Francke Attempto Verlag, 2018. – ISBN 978-3-8233-8120-4. – ISBN (online) 978-3-8233-9120-3, s. 227-236 [tlačená forma] </t>
  </si>
  <si>
    <t xml:space="preserve">Proposal of Learning Analytics Architecture Integration into University IT Infrastructure / Drlík, Martin [Autor, UKFFPVKIN, 25%] ; Skalka, Ján [Autor, UKFFPVKIN, 25%] ; Švec, Peter [Autor, UKFFPVKIN, 25%] ; Kapusta, Jozef [Autor, UKFFPVKIN, 25%] ; Adamov, Abzetdin [Recenzent] ; Kureichik, Victor [Recenzent] ; AICT2018, 12 [17.10.2018-19.10.2018, Almaty, Kazachstan]. – [angličtina]. – [OV 160]. – [abstrakt z podujatia - KP]. – DOI 10.1109/ICAICT.2018.8747068. – WOS CC ; SCO In: AICT2018 [textový dokument (print)] : IEEE 12th International Conference on Application of Information and Communication Technologies / [bez zostavovateľa] [Zostavovateľ, editor]. – 1. vyd. – New york (USA) : Curran Associates, 2018. – ISBN 978-1-5386-6467-4, s. 265-271 [tlačená forma] </t>
  </si>
  <si>
    <t xml:space="preserve">Prosodic entrainment and trust in human-computer interaction / Beňuš, Štefan [Autor, UKFFFAKAA, 70%] ; Trnka, Marian [Autor, 5%] ; Kuric, Eduard [Autor, 070200, 5%] ; Marták, Lukáš Samuel [Autor, 070400, 5%] ; Gravano, Augustin [Autor, 5%] ; Hirschberg, Julia [Autor, 5%] ; Levitan, Rivka [Autor, 5%] ; Klessa, Katarzyna [Recenzent] ; Bachan, Jolanta [Recenzent] ; International Conference on Speech Prosody 2018, 9 [13.06.2018-16.06.2018, Poznaň, Poľsko]. – text. – [angličtina]. – [OV 020, 160]. – [abstrakt z podujatia - KP]. – DOI 10.21437/SpeechProsody.2018-76. – SCO In: 9th International Conference on Speech Prosody 2018 [textový dokument (print)] : Conference Proceedings / [bez zostavovateľa] [Zostavovateľ, editor]. – 1. vyd. – Bonn (Nemecko) : International Science Community Association, 2018. – ISSN 2333-2042, s. 220-224 [tlačená forma] </t>
  </si>
  <si>
    <t xml:space="preserve">Protichodné významy slovensko-slovinských interlingválnych homoným / Ternová, Alica [Autor, UKFFFASJL, 100%] ; Király Péter 100 [22.11.2017-23.11.2017, Budapešť, Maďarsko]. – text. – [slovenčina]. – [OV 020]. – [abstrakt z podujatia - KP] In: Király Péter 100 [textový dokument (print)] : tanulmánykötet Király Péter tiszteletére I. / Császári, Éva [Zostavovateľ, editor] ; Imrichová, Mária [Zostavovateľ, editor] ; Banczerowski, Janusz [Recenzent] ; Lukács, István [Recenzent]. – 1. vyd. – Budapešť (Maďarsko) : Eötvös Loránd Tudományegyetem. ELTE Bölcsészettudományi Kar. Szláv filológiai tanszék, 2019. – ISBN 978-963-489-066-9. – ISSN 1789-3976. – SIGN-PU FF-19 302/19, s. 326-338 [tlačená forma] </t>
  </si>
  <si>
    <t xml:space="preserve">Průniky a míjení : několik poznámek ke slovenské dramatizaci povídky Ivany Blahutové Milenec / Mikulášek, Alexej [Autor, UKFFSSUSJ, 100%] ; Žantovská, Irena [Recenzent] ; Macková, Mária [Recenzent] ; Průniky české a slovenské literatury - sto let poté [30.10.2018, Praha, Česko]. – [čeština]. – [OV 020]. – [abstrakt z podujatia - KP] In: Průniky české a slovenské literatury - sto let poté [textový dokument (print)] : sborník textů z konference / Žantovský, Petr [Zostavovateľ, editor]. – 1. vyd. – Praha (Česko) : Medias res - spolek pro vědu a vzdělávání, 2018. – ISBN 978-80-87957-16-5, s. 63-76 [tlačená forma] </t>
  </si>
  <si>
    <t xml:space="preserve">Prvouka ako dynamický prvok v edukácii / Nagyová, Alexandra [Autor, UKFPFAKPE, 100%] ; Aktuální problémy pedagogiky ve výzkumech studentů doktorských studijních programů, 14 [07.11.2018-08.11.2018, Olomouc, Česko]. – text. – [slovenčina]. – [OV 010]. – [abstrakt z podujatia - KP] In: Aktuální problémy pedagogiky ve výzkumech studentů doktorských studijních programů 14 [elektronický dokument] : interkulturní perspektivy studentů doktorských programů a jejich příprava se zaměřením na mezioborovou pestrost : recenzovaný sborník příspěvků z mezinárodní vědecké konference konané ve dnech 7.-8. listopadu 2018 v Olomouci / Vyhnálková, Pavla [Zostavovateľ, editor] ; Plischke, Jitka [Zostavovateľ, editor] ; Buchtová, Tereza [Recenzent] ; Cibáková, Dana [Recenzent]. – 1. vyd. – Roč. 14. – Olomouc (Česko) : Univerzita Palackého v Olomouci, 2020. – (Sborníky). – ISBN (online) 978-80-244-5682-9. – ISBN (online) 978-80-244-5681-2, s. 111-118 [online] [CD-ROM] </t>
  </si>
  <si>
    <t xml:space="preserve">Psychodidactic aspects of knowledge coding in language education of adults = Psychodidaktické aspekty kódovania poznatkov v jazykovom vzdelávaní dospelých / Kozárová, Nina [Autor, UKFPFAKPE, 50%] ; Petrová, Gabriela [Autor, UKFPFAKPE, 50%] ; Szarota, Zofia [Recenzent] ; Ullrich, David [Recenzent] ; Adult Education 2017, 7 [11.12.2017-12.12.2017, Praha, Česko]. – text. – [angličtina]. – [OV 010]. – [abstrakt z podujatia - KP] In: Vzdělávání dospělých 2017 – v době rezonujících společenských změn [textový dokument (print)] : proceedings of the 7th International Adult Education Conference / Veteška, Jaroslav [Zostavovateľ, editor]. – 1. vyd. – Praha (Česko) : Česká andragogická společnost, 2018. – ISBN 978-80-906894-2-8, s. 255-264 [tlačená forma] </t>
  </si>
  <si>
    <t xml:space="preserve">Psychodidaktická a neurodidaktická reflexia Vzdelávania dospelých = Psychodidactic and Neurodidactic Reflection of Adult Education / Kozárová, Nina [Autor, UKFPFAKPE, 100%] ; QUAERE 2020, 10 [22.06.2020-26.06.2020, Hradec Králové, Česko]. – text. – [slovenčina]. – [OV 010]. – [abstrakt z podujatia - KP] In: QUAERE 2020 [elektronický dokument] : recenzovaný sborník příspěvků interdisciplinární mezinárodní vědecké konference doktorandů a odborných asistentů, Hradec Králové, 22.- 26.6.2020 / [bez zostavovateľa] [Zostavovateľ, editor]. – 1. vyd. – Roč. 10. – Hradec Králové (Česko) : Magnanimitas akademické sdružení, 2020. – ISBN 978-80-87952-32-0, s. 985-990 [online] </t>
  </si>
  <si>
    <t xml:space="preserve">Psychometrické vlastnosti multimetódového prístupu k diagnostike kariérových záujmov / Hudáková, Miriama [Autor, UKFFSVUAP, 99%] ; Dančová, Katarína [Autor, UKFFSVUAP, 1%] ; PhD existence 2019, 9 [21.01.2019-22.01.2019, Olomouc, Česko]. – text. – [slovenčina]. – [OV 060]. – [abstrakt z podujatia - KP] In: PhD existence 9 [elektronický dokument] : česko-slovenská konference (nejen) pro doktorandy a o doktorandech : „Telo a mysl“ : konferenční DVD / Maierová, Eva [Zostavovateľ, editor] ; Viktorová, Lucie [Zostavovateľ, editor] ; Dolejš, Martin [Zostavovateľ, editor]. – Olomouc (Česko) : Univerzita Palackého v Olomouci, 2019. – ISBN (online) 978-80-244-5594-5, s. 232-244 [DVD] </t>
  </si>
  <si>
    <t xml:space="preserve">Psychomotor skills of primary school pupils in the technology subject in the Slovak Republic / Bánesz, Gabriel [Autor, UKFPFAKTT, 33.333%] ; Felixová, Eva [Autor, 33.334%] ; Lukáčová, Danka [Autor, UKFPFAKTT, 33.333%] ; EDULEARN20, 12 [06.07.2020-07.07.2020, Palma de Mallorca, Španielsko]. – text. – [angličtina]. – [OV 010]. – [abstrakt z podujatia - KP] In: EDULEARN20 proceedings [elektronický dokument] : 12th International Conference on Education and New Learning Technologies / Gómez Chova, Luis [Zostavovateľ, editor] ; López Martínez, Agustín [Zostavovateľ, editor]. – 1. vyd. – Roč. 12. – Valencia (Španielsko) : IATED, 2020. – ISBN 978-84-09-17979-4. – ISSN 2340-1117, s. 1065-1070 [USB kľúč] </t>
  </si>
  <si>
    <t xml:space="preserve">Publicistika v češtine, čeština v publicistike / Tkáč-Zabáková, Lenka [Autor, UKFFSSUSJ, 100%] ; Andalusian Slavic Studies Workdays, 5 [09.07.2019-11.07.2019, Granada, Španielsko]. – text. – [slovenčina]. – [OV 020, 060]. – [abstrakt z podujatia - KP] In: New Trends in Slavic Studies [elektronický dokument] [textový dokument (print)] / Cuadros, Suáres [Zostavovateľ, editor]. – 1. vyd. – č. 2. – Moskva (Ruská federácia) : URSS publishing group, 2021. – ISBN 978-5-396-01059-8, s. 813-819 [online] </t>
  </si>
  <si>
    <t xml:space="preserve">Pupils' conceptions of part - whole subconstruct of fractions / Pavlovičová, Gabriela [Autor, UKFFPVKMA, 50%] ; Vargová, Lucia [Autor, UKFFPVKMA, 50%] ; ICERI 2019, 12 [11.11.2019-13.11.2019, Seville, Španielsko]. – text. – [angličtina]. – [OV 010, 240]. – [abstrakt z podujatia - KP]. – WOS CC In: ICERI2019 Proceedings [elektronický dokument] : 12th International conference of education, research and innovation / Gómez Chova, Luis [Zostavovateľ, editor] ; López Martínez, Agustín [Zostavovateľ, editor] ; Candel Torres, Ignacio [Zostavovateľ, editor]. – 1. vyd. – Valencia (Španielsko) : IATED, 2019. – ISBN 978-84-09-14755-7. – ISSN 2340-1095, s. 6965-6972 [USB kľúč] </t>
  </si>
  <si>
    <t xml:space="preserve">Pupil's home social environment and its impact on reading comprehension in the foreign language education / Stranovská, Eva [Autor, UKFFFAKGE, 34%] ; Szabó, Erzsébet [Autor, UKFFFAKGE, 33%] ; Havettová, Romana [Autor, UKFFFAKRO, 33%] ; EDULEARN21 [05.07.2021-06.07.2021, Barcelona, Španielsko]. – text. – [angličtina]. – [OV 010]. – [abstrakt z podujatia - KP]. – DOI 10.21125/edulearn.2021.1230 In: EDULEARN21 [elektronický dokument] : 13th annual International Conference on Education and New Learning Technologies, Barcelona, 5th - 6th of July, 2021 / Chova, Luis Goméz [Zostavovateľ, editor] ; Martínez, Augustín López [Zostavovateľ, editor] ; Torres, I. [Zostavovateľ, editor]. – 1. vyd. – Roč. 13. – Barcelona (Španielsko) : IATED, 2021. – ISBN 978-84-09-31267-2. – ISSN 2340-1117, s. 6099-6108 [CD-ROM] [USB kľúč] </t>
  </si>
  <si>
    <t xml:space="preserve">Q methodology / Schlosserová, Zuzana [Autor, UKFFFAKMR, 100%] ; CER Comparative European Research 2019, 12 [28.10.2019-30.10.2019, Londýn, Veľká Británia]. – text. – [angličtina]. – [OV 060]. – [abstrakt z podujatia - KP] In: CER Comparative European Research 2019 [elektronický dokument] : proceedings/research track of the 12th biannual CER Comparative European Research conference / McGreevy, Michael [Zostavovateľ, editor] ; Rita, Robert [Zostavovateľ, editor]. – 1. vyd. – Roč. 6, č. 2. – Londýn (Veľká Británia) : Sciemcee. Sciemcee Publishing, 2019. – ISBN 978-1-9993071-5-8, s. 115-120 [online] [CD-ROM] </t>
  </si>
  <si>
    <t xml:space="preserve">Quality of education process in context of factors influencing on the performance of educational pupils / Depešová, Jana [Autor, UKFPFAKTT, 50%] ; Ažaltovičová, Michaela [Autor, UKFPFAKTT, 50%] ; ICERI 2019, 12 [11.11.2019-13.11.2019, Seville, Španielsko]. – text. – [angličtina]. – [OV 010]. – [abstrakt z podujatia - KP]. – WOS CC In: ICERI2019 Proceedings [elektronický dokument] : 12th International conference of education, research and innovation / Gómez Chova, Luis [Zostavovateľ, editor] ; López Martínez, Agustín [Zostavovateľ, editor] ; Candel Torres, Ignacio [Zostavovateľ, editor]. – 1. vyd. – Valencia (Španielsko) : IATED, 2019. – ISBN 978-84-09-14755-7. – ISSN 2340-1095, s. 10507-10513 [USB kľúč] </t>
  </si>
  <si>
    <t xml:space="preserve">Quality of internal environment in school classroom as factor of the effectiveness of primary school pupil's education / Tomková, Viera [Autor, UKFPFAKTT, 25%] ; Depešová, Jana [Autor, UKFPFAKTT, 25%] ; Tureková, Ivana [Autor, UKFPFAKTT, 25%] ; Vallo, Dušan [Autor, UKFFPVKMA, 25%] ; EDULEARN19, 11 [01.07.2019-03.07.2019, Palma de Mallorca, Španielsko]. – text. – [angličtina]. – [OV 010]. – [abstrakt z podujatia - KP]. – WOS CC In: EDULEARN19 proceedings [elektronický dokument] : 11th annual International Conference on Education and New Learning Technologies / Gómez Chova, Luis [Zostavovateľ, editor] ; López Martínez, Agustín [Zostavovateľ, editor] ; López, Agustín [Recenzent] ; Girós, Amparo [Recenzent]. – 1. vyd. – Roč. 11. – Valencia (Španielsko) : IATED, 2019. – ISBN 978-84-09-12031-4. – ISSN 2340-1117, s. 9406-9413 [CD-ROM] </t>
  </si>
  <si>
    <t xml:space="preserve">Raising awareness of school social work in Slovakia / Šimonová, Veronika [Autor, UKFFSVKSP, 50%] ; Tvrdoň, Miroslav [Autor, UKFFSVKSP, 50%] ; CBU International Conference, 7 [20.03.2019-22.03.2019, Praha, Česko]. – text. – [angličtina]. – [OV 060]. – [abstrakt z podujatia - KP]. – DOI 10.12955/cbup.v7.1430 In: CBU International Conference Proceedings 2019 [textový dokument (print)] [elektronický dokument] : Innovations in Science and Education / Hájek, Petr [Zostavovateľ, editor] ; Vít, Ondřej [Zostavovateľ, editor]. – 1. vyd. – Roč. 7. – Praha (Česko) : CBU Research Institute, 2019. – ISBN 978-80-907722-0-5. – ISBN (online) 978-80-907722-1-2. – ISSN 1805-997X. – ISSN (online) 1805-9961, s. 629-635 [tlačená forma] [online] </t>
  </si>
  <si>
    <t xml:space="preserve">Ravasz József és Szécsi Magda meséinek vizsgálata az elsődleges szocializáció tűkrében / Tóthová, Gizela [Autor, UKFFSSUML, 100%] ; Csiszár, Beáta [Recenzent] ; Hayden, Zsófia [Recenzent] ; Interdiszciplináris Doktorandusz Konferencia, 7 [17.05.2018-19.05.2018, Pécs, Maďarsko]. – [maďarčina]. – [OV 010]. – [abstrakt z podujatia - KP] In: 7. Interdiszciplináris Doktorandusz Konferencia 2018 [textový dokument (print)] : Tanulmánykötet / Bódog, Ferenc [Zostavovateľ, editor]. – 1. vyd. – Pécs (Maďarsko) : Pécsi Tudományegyetem. Doktorandusz Önkormányzat, 2018. – ISBN 978-963-429-211-1, s. 444-453 [tlačená forma] </t>
  </si>
  <si>
    <t xml:space="preserve">Ravasz József vizsgálata az elsődleges szocializáció tükrében / Tóthová, Gizela [Autor, UKFFSSUML, 100%] ; Bajmóczy, Péter [Recenzent] ; Baracza, Mátyás Krisztián [Recenzent] ; Tavaszi szél - Spring Wind 2018, 3 [04.05.2018-06.05.2018, Győr, Maďarsko]. – text. – [maďarčina]. – [OV 020]. – [abstrakt z podujatia - KP] In: Tavaszi szél - Spring Wind 2018 [textový dokument (print)] : Tavaszi Szél Konferencia-sorozat / Keresztes, Gábor [Zostavovateľ, editor] ; Szabó, Csaba [Zostavovateľ, editor]. – 1. vyd. – Roč. 3. – Budapešť (Maďarsko) : Doktoranduszok Országos Szövetsége, 2018. – ISBN 978-615-5586-31-6, s. 562-572 </t>
  </si>
  <si>
    <t xml:space="preserve">Razvitije mežkuľturnoj kompetencii v prepodavanii inostrannych jazykov = Development of Cross-Cultural Competence in Teaching Foreign Languages / Gallo, Ján [Autor, UKFFFAKRU, 100%] ; Zapad-Vostok: peresečenija kuľtur, 2 [02.10.2019-06.10.2019, Kjóto, Japonsko]. – [ruština]. – [OV 020, 010]. – [abstrakt z podujatia - KP] In: Zapad-vostok: peresečenija kuľtur (2) [textový dokument (print)] : II Vsemirnyj kongress v reaľnom i virtuaľnom režime / Kľukanov, Igor Engelevič [Recenzent] ; Gojchman, Oskar Jakovlevič [Recenzent] ; Čovič, Larisa Ivanovna [Recenzent]. – 1 vyd. – Kjóto (Japonsko) : Kyoto Sangyo University, 2019. – ISBN 978-4-905726-36-4, s. 221-227 [tlačená forma] </t>
  </si>
  <si>
    <t xml:space="preserve">Reading Comprehension in Foreign Language Learning and Personal Need for Structure / Stranovská, Eva [Autor, UKFFFAKGE, 34%] ; Hvozdíková, Silvia [Autor, UKFFFAKAA, 33%] ; Munková, Daša [Autor, UKFFFAKTR, 33%] ; International Technology, Education and Development Conference 2019, 13 [11.03.2019-13.03.2019, Valencia, Španielsko]. – text. – [angličtina]. – [OV 010]. – [abstrakt z podujatia - KP]. – [recenzované]. – WOS CC In: INTED2019 Proceedings [elektronický dokument] : 13th International Technology, Education and Development Conference / Chova, Luis Goméz [Zostavovateľ, editor] ; López Martínez, Agustín [Zostavovateľ, editor] ; Candel Torres, Ignacio [Zostavovateľ, editor]. – 1. vyd. – Valencia (Španielsko) : IATED, 2019. – (INTED Proceedings, ISSN 2340-1079). – ISBN 978-84-09-08619-1, s. 1164-1169 [CD-ROM] [USB kľúč] </t>
  </si>
  <si>
    <t xml:space="preserve">Reading comprehension: the idea and reality. Primary school pupils’ reading comprehension skills based on self-assessment and test results / Gergelyová, Viktória [Autor, UKFFSSUML, 100%] ; SWS International Scientific Conference on Social Sciences - ISCSS 2020 [09.12.2020-10.12.2020, Wien, Rakúsko]. – text. – [angličtina]. – [OV 010]. – [abstrakt z podujatia - KP] In: 7th SWS International Scientific Conference on Social Sciences - ISCSS 2020 (7.2. SWS International Scientific Conferences on SOCIAL SCIENCES - ISCSS : SWS Vienna Art Extended Sessions) [textový dokument (print)] [elektronický dokument] : conference proceedings of selected articles / [bez zostavovateľa] [Zostavovateľ, editor]. – 1. vyd. – Roč. 7, č. 2. – Sofia (Bulharsko) : STEP92 ; Viedeň (Rakúsko) : SGEM WORLD SCIENCE (SWS) Society, 2020. – ISBN 978-619-7603-15-6. – ISSN 2682-9959, s. 59-66 [tlačená forma] [CD-ROM] </t>
  </si>
  <si>
    <t xml:space="preserve">Reading Literacy in the Foreign Language. The Key Position of the Input Text and its Selection / Rusnáková, Natália [Autor, UKFFFAKRO, 60%] ; Kučerková, Magda [Autor, UKFFFAKRO, 40%] ; International Technology, Education and Development Conference 2021, 15 [08.03.2021-09.03.2021, Valencia, Španielsko]. – text. – [angličtina]. – [OV 020]. – [abstrakt z podujatia - KP]. – DOI 10.21125/inted.2021.1830 In: INTED2021 [textový dokument (print)] [elektronický dokument] : 15th International Technology, Education and Development Conference : conference proceedings / Chova, Luis Goméz [Zostavovateľ, editor] ; López Martínez, Agustín [Zostavovateľ, editor] ; Candel Torres, Ignacio [Zostavovateľ, editor]. – 1. vyd. – Valencia (Španielsko) : IATED, 2021. – (INTED Proceedings, ISSN 2340-1079). – ISBN 978-84-09-27666-0. – ISSN 2340-1079, s. 8762-8767 [online] </t>
  </si>
  <si>
    <t xml:space="preserve">Reakcia východného a západného sveta na udalosti v Československu v roku 1968 (k 50. výročiu okupácie) = Reaction of the eastern and western world to the happening in Czechoslovakia in 1968 (to the 50th anniversary of the occupation) / Tkáč-Zabáková, Lenka [Autor, UKFFSSUSJ, 100%] ; QUAERE 2018, 8 [27.06.2018-29.06.2018, Hradec Králové, Česko]. – text. – [slovenčina]. – [OV 020]. – [abstrakt z podujatia - KP]. – [recenzované] In: QUAERE 2018 [elektronický dokument] : recenzovaný sborník příspěvků vědecké interdisciplinární mezinárodní vědecké konference doktorandů a odborných asistentů / [bez zostavovateľa] [Zostavovateľ, editor]. – 1. vyd. – Roč. 8. – Hradec Králové (Česko) : Magnanimitas akademické sdružení, 2018. – ISBN 978-80-87952-26-9, s. 1511-1517 [CD-ROM] </t>
  </si>
  <si>
    <t xml:space="preserve">Real Estate Tax as Part of Municipal Tax Incomes (case study) / Papcunová, Viera [Autor, UKFFPVUMI, 80%] ; Nováková, Božena [Autor, 20%] ; Public Economics and Administration 2019, 13 [10.09.2019-11.09.2019, Ostrava, Česko]. – text. – [angličtina]. – [OV 060]. – [abstrakt z podujatia - KP]. – WOS CC In: Public Economics and Administration 2019 [textový dokument (print)] : proceedings of the 13th International Scientific Conference Public Economics and Administration 2019 / Vaňková, Ivana [Zostavovateľ, editor]. – 1. vyd. – Ostrava (Česko) : Vysoká škola báňská – Technická univerzita Ostrava, 2019. – ISBN 978-80-248-4356-8. – ISSN 1805-9104, s. 327-330 [tlačená forma] </t>
  </si>
  <si>
    <t xml:space="preserve">Recommender system for post-editing of machine translation / Kapusta, Jozef [Autor, UKFFPVKIN, 50%] ; Benko, Ľubomír [Autor, UKFFPVKIN, 50%] ; APSAC 2017, 2 [27.09.2017-29.09.2017, Dubrovník, Chorvátsko]. – text. – [angličtina]. – [OV 160]. – [abstrakt z podujatia - KP]. – DOI 10.1007/978-3-319-75605-9_24. – SCO In: Applied Physics, System Science and Computers 2 [elektronický dokument] [textový dokument (print)] : Proceedings of the 2nd International Conference on Applied Physics, System Science and Computers (APSAC2017), September 27-29, 2017, Dubrovnik, Croatia / Ntalianis, Klimis [Zostavovateľ, editor] ; Croitoru, Anca [Zostavovateľ, editor]. – 1. vyd. – Berlín (Nemecko) : Springer Nature. Springer International Publishing AG, 2019. – (Lecture Notes in Electrical Engineering, ISSN 1876-1100, ISSN 1876-1119 ; 489, SJR: 0,138 ; CiteScore: 0,5 ; SNIP: 0,192). – ISBN 978-3-319-75604-2. – ISBN (online) 978-3-319-75605-9, s. 170-175 [tlačená forma] [online] Scimago - Industrial and manufacturing engineering - Q3 </t>
  </si>
  <si>
    <t xml:space="preserve">Reconstruction of alpine lake in dry morainic lake basin (Dolina zelenÉho plesa valley, high tatras, slovakia) / Kapusta, Juraj [Autor, UKFFPVKEE, 50%] ; Hreško, Juraj [Autor, UKFFPVKEE, 50%] ; SGEM 2018, 18 [02.07.2018-08.07.2018, Albena, Bulharsko]. – text. – [angličtina]. – [OV 100]. – [abstrakt z podujatia - KP]. – [recenzované]. – DOI 10.5593/sgem2018/2.3/S11.0678. – SCO In: SGEM 2018 conference proceedings (2.3. Informatics, Geoinformatics and Remote Sensing : photogrammetry and remote sensing, cartography and gis) [textový dokument (print)] [elektronický dokument] / [bez zostavovateľa] [Zostavovateľ, editor]. – 1. vyd. – č. 18. – Sofia (Bulharsko) : STEF 92 Technology, 2018. – ISBN 978-619-7408-41-6. – ISSN 2367-5659, s. 527-533 [tlačená forma] [online] </t>
  </si>
  <si>
    <t xml:space="preserve">Reflexia a komparácia vybraných vyučovacích metód / Magová, Lenka [Autor, UKFFFAKAE 06.2022, 50%] ; Baďová, Petra [Autor, UKFFFAULK, 50%] ; Mezinárodní Masarykova konference pro doktorandy a mladé vědecké pracovníky 2018, 9 [17.12.2018-21.12.2018, Hradec Králové, Česko]. – text. – [slovenčina]. – [OV 010]. – [abstrakt z podujatia - KP] In: MMK 2018 [elektronický dokument] : recenzovaný sborník příspěvků mezinárodní vědecké konference : mezinárodní Masarykova konference pro doktorandy a mladé vědecké pracovníky / [bez zostavovateľa] [Zostavovateľ, editor] ; Lipowski, Jaroslav [Recenzent] ; Jaskułowski, Krzysztof [Recenzent] ; Kislingerová, Eva [Recenzent]. – 1 vyd. – Roč. 9. – Hradec Králové (Česko) : Magnanimitas akademické sdružení, 2018. – ISBN 978-80-87952-27-6, s. 705-711 [CD-ROM] </t>
  </si>
  <si>
    <t xml:space="preserve">Reflexia etnických stereotypov v slovenskom folklóre / Hlavinová Tekeliová, Dominika [Autor, UKFFSSUSJ, 100%] ; Andalusian Slavic Studies Workdays, 5 [09.07.2019-11.07.2019, Granada, Španielsko]. – text. – [slovenčina]. – [OV 020, 060]. – [abstrakt z podujatia - KP] In: New Trends in Slavic Studies [elektronický dokument] [textový dokument (print)] / Cuadros, Suáres [Zostavovateľ, editor]. – 1. vyd. – č. 2. – Moskva (Ruská federácia) : URSS publishing group, 2021. – ISBN 978-5-396-01059-8, s. 469-477 [online] </t>
  </si>
  <si>
    <t xml:space="preserve">Regional Libraries as part of Cultures Services at Regional Level / Papcunová, Viera [Autor, UKFFPVUMI, 50%] ; Hudáková, Jarmila [Autor, UKFFPVUMI, 50%] ; Mezinárodní kolokvium o regionálních vědách, 23 [17.06.2020-19.06.2020, Brno, Česko]. – text. – [angličtina]. – [OV 060]. – [abstrakt z podujatia - KP]. – DOI 10.5817/CZ.MUNI.P210-9610-2020-58 In: 23. mezinárodní kolokvium o regionálních vědách [elektronický dokument] : sborník příspěvků, Brno, 2020 = 23rd International colloquium on regionals sciences, conference proceedings, Brno, 2020 / Klímová, Viktorie [Zostavovateľ, editor] ; Žítek, Vladimír [Zostavovateľ, editor]. – 1 vyd. – Brno (Česko) : Masarykova univerzita, 2020. – ISBN 978-80-210-9610-3, s. 454-461 [online] </t>
  </si>
  <si>
    <t xml:space="preserve">Regional products offered by tourist information centers in Slovakia / Mazúchová, Ľudmila [Autor, UKFFSSKCR, 60%] ; Pančíková, Kristína [Autor, 40%] ; Mezinárodní kolokvium o regionálních vědách, 22 [12.06.2019-14.06.2019, Velké Bílovice, Česko]. – text. – [angličtina]. – [OV 080]. – [abstrakt z podujatia - KP]. – DOI 10.5817/CZ.MUNI.P210-9268-2019-66. – WOS CC In: 22. mezinárodní kolokvium o regionálních vědách [elektronický dokument] : sborník příspěvků / Klímová, Viktorie [Zostavovateľ, editor] ; Žítek, Vladimír [Zostavovateľ, editor] ; Žárska, Elena [Recenzent]. – 1. vyd. – Roč. 22. – Brno (Česko) : Masarykova univerzita, 2019. – ISBN 978-80-210-9268-6, s. 523-530 [online] </t>
  </si>
  <si>
    <t xml:space="preserve">Regional tourism organization Tekov and sustainable tourism development: Preferences of local residents and stakeholders / Kalivodová, Michaela [Autor, UKFFPVKEE, 16.67%] ; Laco, Ivan [Autor, UKFFPVKEE, 16.666%] ; Raniak, Andrej [Autor, UKFFPVKEE, 16.666%] ; Miklósová, Viktória [Autor, 16.666%] ; Stašová, Simona [Autor, UKFFPVKEE, 16.666%] ; Kováč, Tomáš [Autor, UKFFPVKGR, 16.666%] ; Public Recreation and Landscape Protection - With sense Hand in Hand [13.05.2019-15.05.2019, Brno Křtiny, Česko]. – text. – [angličtina]. – [OV 100]. – [abstrakt z podujatia - KP]. – [recenzované]. – WOS CC ; SCO In: Public recreation and landscape protection  -  with sense hand in hand? [textový dokument (print)] [elektronický dokument] : Conference proceedings, 11th - 13th May 2020 Křtiny / Fialová, Jitka [Zostavovateľ, editor]. – 1. vyd. – Brno (Česko) : Mendelova univerzita v Brně, 2020. – ISBN 978-80-7509-715-6. – ISBN (online) 978-80-7509-716-3. – ISSN 2336-6311. – ISSN (online) 2336-632X, s. 334-338 [tlačená forma] [online] </t>
  </si>
  <si>
    <t xml:space="preserve">Regionálne disparity objektívnej dimenzie chudoby na príklade okresov Banskobystrického kraja (Slovensko) = Regional disparities of the objective dimension of poverty on the example of the district of the Banská Bystrica Region (Slovakia) / Trembošová, Miroslava [Autor, UKFFPVKGR, 80%] ; Dubcová, Alena [Autor, UKFFPVKGR, 5%] ; Oremusová, Daša [Autor, UKFFPVKGR, 5%] ; Kundla, Patrik [Autor, 5%] ; Veselovský, Ján [Autor, UKFFPVKGR, 5%] ; Mezinárodní kolokvium o regionálních vědách, 24 [01.09.2021-03.09.2021, Brno, Česko]. – text. – [slovenčina]. – [OV 092]. – [abstrakt z podujatia - KP]. – DOI 10.5817/CZ.MUNI.P210-9896-2021-15 In: 24. Mezinárodní kolokvium o regionálních vědách [elektronický dokument] : sborník příspěvků Brno 1.9-3.9.2021 / Klímová, Viktorie [Zostavovateľ, editor] ; Žítek, Vladimír [Zostavovateľ, editor]. – 1. vyd. – Roč. 24. – Brno (Česko) : Masarykova univerzita, 2021. – ISBN 978-80-210-9896-1, s. 125-132 [CD-ROM] [online] </t>
  </si>
  <si>
    <t xml:space="preserve">Relations Between Generalisation and Reasoning in Solving Mathematical Problems / Medová, Janka [Autor, UKFFPVKMA, 34%] ; Bulková, Kristína [Autor, UKFFPVKMA, 33%] ; Čeretková, Soňa [Autor, UKFFPVKMA, 33%] ; ERIE 2019, 16 [06.06.2019-07.06.2019, Praha, Česko]. – text. – [angličtina]. – [OV 010, 240]. – [abstrakt z podujatia - KP]. – [recenzované]. – WOS CC In: Efficiency and Responsibility in Education 2019 [textový dokument (print)] : proceedings of the 16th International Conference, 06. - 07. June 2019, Prague, Czech Republic / [bez zostavovateľa] [Zostavovateľ, editor]. – 1 vyd. – Praha (Česko) : Česká zemědelská univerzita v Praze, 2019. – ISBN 978-80-213-2878-5. – ISSN 2336-744X, s. 183-189 [tlačená forma] </t>
  </si>
  <si>
    <t xml:space="preserve">Religiosity in the dynamics of current media world / Lesková, Andrea [Autor, UKFFFAKAE 06.2022, 50%] ; Lenghart, Patrik [Autor, UKFFFAKZU, 50%] ; SWS 2019, 6 [26.08.2019-01.09.2019, Albena, Bulharsko]. – text. – [angličtina]. – [OV 020]. – [abstrakt z podujatia - KP] In: SWS International Scientific Conference on Social Sciences 2019 (Cultural Studies Media &amp; Communications, Information &amp; Library Science, Human Geography and Demography Urban Studies, Planning &amp; Development) [textový dokument (print)] : conference proceeding / [bez zostavovateľa] [Zostavovateľ, editor]. – 1. vyd. – Roč. 6, č. 5. – Sofia (Bulharsko) : STEF 92 Technology, 2019. – ISBN 978-619-7408-95-9. – ISSN 2682-9959, s. 175-180 </t>
  </si>
  <si>
    <t xml:space="preserve">Requiered competencies at the European union vs. competencies provided by a university study program in the field of administration / Schulcz, Patrik [Autor, UKFFSSUML, 100%] ; Biannual CER Comparative European Research Conference, 14 [26.10.2020-28.10.2020, Londýn, Veľká Británia]. – text. – [angličtina]. – [OV 020]. – [abstrakt z podujatia - KP] In: CER Comparative European Research 2020 [elektronický dokument] : proceedings of the 14th Biannual CER Comparative European Research Conference / McGreevy, Michael [Zostavovateľ, editor] ; Rita, Robert [Zostavovateľ, editor]. – 1. vyd. – Roč. 7, č. 2. – Londýn (Veľká Británia) : SCI-EMCEE, 2020. – ISBN 978-1-9993071-6-5, s. 56-59 [online] </t>
  </si>
  <si>
    <t xml:space="preserve">Requirements on math and ICT competences within the study branches transport and automotive service and repair / Hašková, Alena [Autor, UKFPFAKTT, 34%] ; Zatkalík, Dominik [Autor, 33%] ; Zatkalik, Martin [Autor, 33%] ; International Conference on Interactive Collaborative Learning, 23 [23.09.2020-25.09.2020, Tallin, Estónsko]. – text. – [angličtina]. – [OV 010]. – [abstrakt z podujatia - KP]. – DOI 10.1007/978-3-030-68201-9_66. – SCO In: Educating Engineers for Future Industrial Revolutions (2) [textový dokument (print)] [elektronický dokument] : Proceedings of the 23rd International Conference on Interactive Collaborative Learning (ICL2020) / Auer, Michael [Zostavovateľ, editor] ; Rüütmann, Tiia [Zostavovateľ, editor]. – 1. vyd. – č. 1328. – Cham (Švajčiarsko) : Springer Verlag, 2021. – ISBN 978-3-030-68200-2. – ISBN (online) 978-3-030-68201-9, s. 677-689 </t>
  </si>
  <si>
    <t xml:space="preserve">Research and teaching of the bilingual onymic landscape at the Hungarian Institute of Constantine the Philosopher University in Nitra / Bauko, Ján [Autor, UKFFSSUML, 100%] ; ICERI 2021, 14 [08.11.2021-09.11.2021, Seville, Španielsko]. – text. – [angličtina]. – [OV 010]. – [abstrakt z podujatia - KP] In: ICERI2021 [elektronický dokument] : 14th annual International Conference of Education, Research and Innovation / Gómez, Chova L. [Zostavovateľ, editor] ; López Martínez, Agustín [Zostavovateľ, editor] ; Candel Torres, Ignacio [Zostavovateľ, editor]. – 1. vyd. – Valencia (Španielsko) : IATED, 2021. – ISBN 978-84-09-34549-6. – ISSN 2340-1095, s. 1992-1998 [online] [USB kľúč] </t>
  </si>
  <si>
    <t xml:space="preserve">Research of ability to identify the first sound in the word as a part of phonemic awareness assessment in Slovak preschool age children / Máčajová, Monika [Autor, UKFPFAKPE, 50%] ; Grofčíková, Soňa [Autor, UKFPFAKPE, 50%] ; EDULEARN19, 11 [01.07.2019-03.07.2019, Palma de Mallorca, Španielsko]. – text. – [angličtina]. – [OV 010]. – [abstrakt z podujatia - KP]. – WOS CC In: EDULEARN19 proceedings [elektronický dokument] : 11th annual International Conference on Education and New Learning Technologies / Gómez Chova, Luis [Zostavovateľ, editor] ; López Martínez, Agustín [Zostavovateľ, editor] ; López, Agustín [Recenzent] ; Girós, Amparo [Recenzent]. – 1. vyd. – Roč. 11. – Valencia (Španielsko) : IATED, 2019. – ISBN 978-84-09-12031-4. – ISSN 2340-1117, s. 4623-4630 [CD-ROM] </t>
  </si>
  <si>
    <t xml:space="preserve">Research of ability to synthesize sounds into the words in preschool age children / Máčajová, Monika [Autor, UKFPFAKPE, 50%] ; Grofčíková, Soňa [Autor, UKFPFAKPE, 50%] ; International Technology, Education and Development Conference 2019, 13 [11.03.2019-13.03.2019, Valencia, Španielsko]. – text. – [angličtina]. – [OV 010]. – [abstrakt z podujatia - KP]. – [recenzované]. – WOS CC In: INTED2019 Proceedings [elektronický dokument] : 13th International Technology, Education and Development Conference / Chova, Luis Goméz [Zostavovateľ, editor] ; López Martínez, Agustín [Zostavovateľ, editor] ; Candel Torres, Ignacio [Zostavovateľ, editor]. – 1. vyd. – Valencia (Španielsko) : IATED, 2019. – (INTED Proceedings, ISSN 2340-1079). – ISBN 978-84-09-08619-1, s. 8209-8218 [CD-ROM] [USB kľúč] </t>
  </si>
  <si>
    <t xml:space="preserve">Research of the ability to isolate syllables from words in preschool aged children / Máčajová, Monika [Autor, UKFPFAKPE, 50%] ; Grofčíková, Soňa [Autor, UKFPFAKPE, 50%] ; CBU International Conference, 7 [20.03.2019-22.03.2019, Praha, Česko]. – text. – [angličtina]. – [OV 010]. – [abstrakt z podujatia - KP]. – DOI 10.12955/cbup.v7.1406 In: CBU International Conference Proceedings 2019 [textový dokument (print)] [elektronický dokument] : Innovations in Science and Education / Hájek, Petr [Zostavovateľ, editor] ; Vít, Ondřej [Zostavovateľ, editor]. – 1. vyd. – Roč. 7. – Praha (Česko) : CBU Research Institute, 2019. – ISBN 978-80-907722-0-5. – ISBN (online) 978-80-907722-1-2. – ISSN 1805-997X. – ISSN (online) 1805-9961, s. 490-497 [tlačená forma] [online] </t>
  </si>
  <si>
    <t xml:space="preserve">Responsible Self-Assessment as Part of Teacher Assessment / Gadušová, Zdenka [Autor, UKFFFAKAA, 50%] ; Ďurková, Simona [Autor, UKFFFAKAA, 50%] ; Fejfarová, Martina [Recenzent] ; Flégl, Martin [Recenzent] ; ERIE 2018, 15 [07.06.2018-08.06.2018, Praha, Česko]. – [angličtina]. – [OV 020]. – [abstrakt z podujatia - KP]. – WOS CC In: ERIE 2018 [textový dokument (print)] [elektronický dokument] : Proceedings of the 15th International Conference / Fejfar, Jiří [Zostavovateľ, editor] ; Fejfarová, Martina [Zostavovateľ, editor] ; Flégl, Martin [Zostavovateľ, editor]. – 1. vyd. – Praha (Česko) : Česká zemědelská univerzita v Praze, 2018. – ISBN 978-80-213-2858-7. – ISSN 2336-744X, s. 61-68 [online] [tlačená forma] </t>
  </si>
  <si>
    <t xml:space="preserve">Retail and shopping behavior in small towns in Slovakia (example study of Zlaté Moravce town) / Trembošová, Miroslava [Autor, UKFFPVKGR, 80%] ; Dubcová, Alena [Autor, UKFFPVKGR, 10%] ; Horná, Natália [Autor, 10%] ; (Teaching) Regional Geography, 27 [17.10.2019, Brno, Česko]. – [angličtina]. – [OV 092]. – [abstrakt z podujatia - KP] In: (Teaching) Regional Geography [textový dokument (print)] [elektronický dokument] : Proceedings of 27th Central European Conference, Brno, 17th October 2019 / Mísařová, Darina [Zostavovateľ, editor] ; Petráková, Jana [Zostavovateľ, editor]. – 1. vyd. – Brno (Česko) : Masaryk University Press, 2020. – ISBN 978-80-210-9693-6. – ISBN (online) 978-80-210-9694-3, s. 211-224 </t>
  </si>
  <si>
    <t xml:space="preserve">Riešenie výchovných problémov v škole v kompetenciách školského špeciálneho pedagóga = Solving educational problems in school in the competences of the school special educator / Sender, Barbora [Autor, UKFPFAKPE, 100%] ; Mezinárodní Masarykova konference pro doktorandy a mladé vědecké pracovníky 2020, 11 [14.12.2020-16.12.2020, Hradec Králové, Česko]. – text. – [slovenčina]. – [OV 010]. – [abstrakt z podujatia - KP] In: MMK 2020 [elektronický dokument] : Mezinárodní Masarykova konference pro doktorandy a mladé vědecké pracovníky 2020 = recenzovaný sborník příspěvků mezinárodní vědecké konference / [bez zostavovateľa] [Zostavovateľ, editor] ; Lipowski, Jaroslav [Recenzent] ; Jaskułowski, Krzysztof [Recenzent]. – 1. vyd. – Roč. 11. – Hradec Králové (Česko) : Magnanimitas akademické sdružení, 2020. – ISBN 978-80-87952-33-7, s. 912-917 [CD-ROM] [online] </t>
  </si>
  <si>
    <t xml:space="preserve">Riziká vzniku adaptačných ťažkostí žiakov na prahu vzdelávania / Teleková, Radka [Autor, UKFPFAKPE, 100%] ; PhD existence 2021, 11 [01.02.2021-02.02.2021, Olomouc, Česko]. – text. – [slovenčina]. – [OV 010]. – [abstrakt z podujatia - KP] In: PhD existence 11 [elektronický dokument] : "Jedeme dál" : česko-slovenská psychologická konference (nejen) pro doktorandy a o doktorandech  : sborník odborných příspěvků / Aigelová, Eva [Zostavovateľ, editor] ; Viktorová, Lucie [Zostavovateľ, editor] ; Dolejš, Martin [Zostavovateľ, editor] ; Tomšik, Robert [Recenzent] ; Skopal, Ondřej [Recenzent]. – 1. vyd. – Roč. 11. – Olomouc (Česko) : Univerzita Palackého v Olomouci, 2021. – ISBN 978-80-244-5947-9, s. 229-234 [online] </t>
  </si>
  <si>
    <t xml:space="preserve">Rola epistemických motívov v procese získavania poznania / Sunyík, Viktória [Autor, 50%] ; Sollár, Tomáš [Autor, UKFFSVUAP, 50%] ; Sociální procesy a osobnost 2020 [18.11.2020-20.11.2020, Brno, Česko]. – text. – [slovenčina]. – [OV 060]. – [abstrakt z podujatia - KP] In: Sociální procesy a osobnost 2020 [elektronický dokument] : sborník příspěvků / Blatný, Marek [Zostavovateľ, editor] ; Květon, Petr [Zostavovateľ, editor] ; Jelínek, Martin [Zostavovateľ, editor] ; Dosedlová, Jaroslava [Recenzent] ; Filip, Miroslav [Recenzent] ; Jelínek, Martin [Recenzent]. – 1. vyd. – Brno (Česko) : Masarykova univerzita, 2021. – ISBN (online) 978-80-210-9912-8, s. 179-188 [online] </t>
  </si>
  <si>
    <t xml:space="preserve">Role of surface effects in the determination of phase change temperature of PCMs [Úloha povrchových efektov pri určení teploty fázovej premeny PCM] / Medveď, Igor [Autor, 010200, 34%] ; Jurči, Milan [Autor, 010200, 33%] ; Trník, Anton [Autor, UKFFPVKFY, 33%] ; Central European Symposium on Thermophysics, 3 [01.09.2021-03.09.2021, Kazimierz Dolny, Poľsko]. – [angličtina]. – [OV 170]. – [abstrakt z podujatia - KP]. – [recenzované]. – DOI 10.1063/5.0069595. – WOS CC ; SCO In: Proceedings of the 3rd Central European Symposium on Thermophysics [elektronický dokument] / Trník, Anton [Zostavovateľ, editor] ; Suchorab, Zbigniew [Zostavovateľ, editor]. – 1. vyd. – Melville, NY (USA) : American Institute of Physics . AIP Publishing, 2021. – ISBN 978-0-7354-4139-2, art. no.020026, s. 1-4 [online] </t>
  </si>
  <si>
    <t xml:space="preserve">Rozhodovacie schopnosti ako prediktory kariérovej rozhodnutosti = Decision-Making Skills as Predictors of the Career Decidedness / Baňasová, Katarína [Autor, UKFFSVUAP, 100%] ; Řehan, Vladimír [Recenzent] ; Lečbych, Martin [Recenzent] ; PhD existence 2018, 8 [31.01.2018-01.02.2018, Olomouc, Česko]. – text. – [slovenčina]. – [OV 060]. – [abstrakt z podujatia - KP] In: PhD Existence 2018 [elektronický dokument] : nekonečno v psychologii = sborník příspěvků / Mierová, Eva [Zostavovateľ, editor] ; Viktorová, Lucie [Zostavovateľ, editor] ; Suchá, Jaroslava [Zostavovateľ, editor] ; Dolejš, Martin [Zostavovateľ, editor]. – 1. vyd. – Olomouc (Česko) : Univerzita Palackého v Olomouci, 2018. – (Acta Iuridica Olomucensia : Sborníky). – ISBN 978-80-244-5339-2, s. 218-225 [online] </t>
  </si>
  <si>
    <t xml:space="preserve">Rozměry pojmu „židovská literatura“ z perspektivy recepčních aktů. „definování nedefinovatelného“ = Meaning of meaning: „jewish literature“ from different perspectives. „defining the undefinable“ / Mikulášek, Alexej [Autor, UKFFSSUSJ, 100%] ; QUAERE 2018, 8 [27.06.2018-29.06.2018, Hradec Králové, Česko]. – text. – [čeština]. – [OV 020]. – [abstrakt z podujatia - KP]. – [recenzované] In: QUAERE 2018 [elektronický dokument] : recenzovaný sborník příspěvků vědecké interdisciplinární mezinárodní vědecké konference doktorandů a odborných asistentů / [bez zostavovateľa] [Zostavovateľ, editor]. – 1. vyd. – Roč. 8. – Hradec Králové (Česko) : Magnanimitas akademické sdružení, 2018. – ISBN 978-80-87952-26-9, s. 1518-1528 [CD-ROM] </t>
  </si>
  <si>
    <t xml:space="preserve">Rozvíjanie úrovne kritického, tvorivého a angažovaného myslenia u žiakov prostredníctvom metód programu Filozofia pre deti / Borisová, Simona [Autor, UKFPFAKPE, 100%] ; Aktuální problémy pedagogiky ve výzkumech studentů doktorských studijních programů, 14 [07.11.2018-08.11.2018, Olomouc, Česko]. – text. – [slovenčina]. – [OV 010]. – [abstrakt z podujatia - KP] In: Aktuální problémy pedagogiky ve výzkumech studentů doktorských studijních programů 14 [elektronický dokument] : interkulturní perspektivy studentů doktorských programů a jejich příprava se zaměřením na mezioborovou pestrost : recenzovaný sborník příspěvků z mezinárodní vědecké konference konané ve dnech 7.-8. listopadu 2018 v Olomouci / Vyhnálková, Pavla [Zostavovateľ, editor] ; Plischke, Jitka [Zostavovateľ, editor] ; Buchtová, Tereza [Recenzent] ; Cibáková, Dana [Recenzent]. – 1. vyd. – Roč. 14. – Olomouc (Česko) : Univerzita Palackého v Olomouci, 2020. – (Sborníky). – ISBN (online) 978-80-244-5682-9. – ISBN (online) 978-80-244-5681-2, s. 28-34 [online] [CD-ROM] </t>
  </si>
  <si>
    <t xml:space="preserve">Rozvoj kritického myslenia študentov učiteľstva informatiky prostredníctvom prípadových štúdií = Critical Thinking Development of Informatics Pre-Service Teachers with the Support of Case Studies / Lovászová, Gabriela [Autor, UKFFPVKIN, 50%] ; Klimová, Nika [Autor, UKFFPVKIN, 50%] ; DidInfo 2020, 26 [12.02.2020-14.02.2020, Liberec, Česko]. – text. – [slovenčina]. – [OV 160, 010]. – [abstrakt z podujatia - KP] In: Didinfo 2020 [elektronický dokument] : medzinárodní konference o vyučování informatiky / [bez zostavovateľa] [Zostavovateľ, editor] ; Berki, Jan [Recenzent] ; Černochová, Miroslava [Recenzent] ; Drábková, Jindra [Recenzent] ; Filipi, Zbyněk [Recenzent]. – 1. vyd. – Liberec (Česko) : Technická univerzita v Liberci, 2020. – ISBN 978-80-7494-532-8. – ISSN 2454-051X, s. 45-52 [online] </t>
  </si>
  <si>
    <t xml:space="preserve">Rozvoj metakognitívnej regulácie v jazykovom vzdelávaní dospelých / Kozárová, Nina [Autor, UKFPFAKPE, 50%] ; Petrová, Gabriela [Autor, UKFPFAKPE, 50%] ; Vzdělávání dospělých 2018 - transformace v éře digitalizace a umělé inteligence, 8 [11.12.2018-12.12.2018, Praha, Česko]. – [slovenčina]. – [OV 010]. – [abstrakt z podujatia - KP] In: Vzdělávání dospělých 2018 - transformace v éře digitalizace a umělé inteligence [textový dokument (print)] [elektronický dokument] : sborník z 8. ročníka mezinárodní konference, Praha 11. - 12. prosinec 2018 / Veteška, Jaroslav [Zostavovateľ, editor] ; Dugac, Željko [Recenzent] ; Kirik, Ali Murat [Recenzent]. – 1. vyd. – Praha (Česko) : Česká andragogická společnost, 2019. – ISBN 978-80-906894-4-2. – ISSN 2571-3841. – ISSN (online) 2571-385X, s. 61-68 [tlačená forma] </t>
  </si>
  <si>
    <t xml:space="preserve">Rozvoj priestorovej predstavivosti na hodine informatiky v 5. ročníku ZŠ / Szabó, Tibor [Autor, UKFFSSUVP, 50%] ; Žitný, Rastislav [Autor, UKFFSSUVP, 50%] ; DidMatTech 2021, 34 [02.09.2021-03.09.2021, Budapešť, Maďarsko]. – text. – [slovenčina]. – [OV 010]. – [abstrakt z podujatia - KP]. – [recenzované] In: DidMatTech 2021 [textový dokument (print)] [elektronický dokument] : Proceedings of 34. DidMatTech 2021 Conference New Methods and Technologies in Education, Research and Practice / Abonyi-Tóth, Andor [Zostavovateľ, editor] ; Stoffová, Veronika [Zostavovateľ, editor] ; Zsakó, László [Zostavovateľ, editor]. – 1. vyd. – Budapešť (Maďarsko) : Eötvös Loránd Tudományegyetem, 2021. – ISBN 978-963-489-413-1. – TUTPFKMI signatúra E088417, s. 113-120 [tlačená forma] [online] </t>
  </si>
  <si>
    <t xml:space="preserve">Rozvoj základných umeleckých schopností prostredníctvom Dalcrozovej eurytmie a inovatívnych didaktických prostriedkov / Hubinská, Zuzana [Autor, UKFPFAKHU, 100%] ; QUAERE 2020, 10 [22.06.2020-26.06.2020, Hradec Králové, Česko]. – text. – [slovenčina]. – [OV 010]. – [abstrakt z podujatia - KP] In: QUAERE 2020 [elektronický dokument] : recenzovaný sborník příspěvků interdisciplinární mezinárodní vědecké konference doktorandů a odborných asistentů, Hradec Králové, 22.- 26.6.2020 / [bez zostavovateľa] [Zostavovateľ, editor]. – 1. vyd. – Roč. 10. – Hradec Králové (Česko) : Magnanimitas akademické sdružení, 2020. – ISBN 978-80-87952-32-0, s. 654-659 [online] </t>
  </si>
  <si>
    <t xml:space="preserve">Rudniansko-gelnická environmental loaded area as a limiting factor of regional development / Boltižiar, Martin [Autor, UKFFPVKGR, 50%] ; Michaeli, Eva [Autor, 50%] ; Mezinárodní kolokvium o regionálních vědách, 22 [12.06.2019-14.06.2019, Velké Bílovice, Česko]. – text. – [angličtina]. – [OV 092, 100]. – [abstrakt z podujatia - KP]. – DOI 10.5817/CZ.MUNI.P210-9268-2019-85. – WOS CC In: 22. mezinárodní kolokvium o regionálních vědách [elektronický dokument] : sborník příspěvků / Klímová, Viktorie [Zostavovateľ, editor] ; Žítek, Vladimír [Zostavovateľ, editor] ; Žárska, Elena [Recenzent]. – 1. vyd. – Roč. 22. – Brno (Česko) : Masarykova univerzita, 2019. – ISBN 978-80-210-9268-6, s. 672-679 [online] </t>
  </si>
  <si>
    <t xml:space="preserve">Saints Cyril and Methodius as Heroes of Feature Televisions and Film Productions After 1989 / Timko, Štefan [Autor, UKFFSSUSJ, 100%] ; SWS 2019, 6 [22.10.2019-24.10.2019, Florencia, Taliansko]. – text. – [angličtina]. – [OV 020]. – [abstrakt z podujatia - KP] In: SWS 2019 (2. Arts and humanities) : conference proceedings / [bez zostavovateľa] [Zostavovateľ, editor]. – 1. vyd. – Roč. 6. – Sofia (Bulharsko) : STEP92, 2019. – ISBN 978-619-7408-96-6. – ISSN 2682-9959, s. 321-328 [tlačená forma] </t>
  </si>
  <si>
    <t xml:space="preserve">Scénografia ako postoj : (tvorba scénografa Jozefa Cillera v obdobiach politicko-spoločenských prelomov - 1968, 1989, 1992) / Inštitorisová, Dagmar [Autor, UKFFFAKMR, 100%] ; Kultura i rewolta [21.03.2018-21.03.2018, Varšava, Poľsko]. – text. – [angličtina]. – [OV 020]. – [abstrakt z podujatia - KP] In: Kultura i rewolta. Inteligencja w starciu z wladza: wymiar srodkowoeuropejski [textový dokument (print)] : Medzinárodná polsko-česko-slovensko-ukrajinskou vedecká konferencia, Varšava 21. 3. 2018 - 22. 3. 2018 / Getka, Joanna [Zostavovateľ, editor] ; Wispsza, Alexander [Recenzent] ; Grybowski, Jerzy [Recenzent]. – Warszawa (Poľsko) : Uniwersytet Warszawski, 2019. – ISBN 978-83-917003-7-2, s. 46-64 [tlačená forma] </t>
  </si>
  <si>
    <t xml:space="preserve">Score Calibration Method for Assessment Motivation / Hanáková, Monika [Autor, UKFFPVKFY, 100%] ; New perspectives in science education [22.03.2018-23.03.2018, Florencia, Taliansko]. – [angličtina]. – [OV 091]. – [abstrakt z podujatia - KP]. – [recenzované] In: New perspectives in science education [textový dokument (print)] : proceedings from international Conference / Kummert, Börge [Zostavovateľ, editor] ; Kapelari, Suzanne [Zostavovateľ, editor]. – 1. vyd. – Florencia (Taliansko) : Libreriauniversitaria, 2018. – ISBN 978-88-6292-976-9, s. 115-119 [tlačená forma] </t>
  </si>
  <si>
    <t xml:space="preserve">Sebapoňatie ako mediátor vzťahu vnímanej sociálnej opory a subjektívnej pohody adolescentov v kontexte školského prostredia / Balážová, Miroslava [Autor, UKFFSVKPV, 50%] ; Popelková, Marta [Autor, UKFFSVKPV, 50%] ; PhD existence 2019, 9 [21.01.2019-22.01.2019, Olomouc, Česko]. – text. – [slovenčina]. – [OV 060]. – [abstrakt z podujatia - KP] In: PhD existence 9 [elektronický dokument] : česko-slovenská konference (nejen) pro doktorandy a o doktorandech : „Telo a mysl“ : konferenční DVD / Maierová, Eva [Zostavovateľ, editor] ; Viktorová, Lucie [Zostavovateľ, editor] ; Dolejš, Martin [Zostavovateľ, editor]. – Olomouc (Česko) : Univerzita Palackého v Olomouci, 2019. – ISBN (online) 978-80-244-5594-5, s. 260-269 [DVD] </t>
  </si>
  <si>
    <t xml:space="preserve">Secret potential of the ecosystem services in lower secondary education in Slovakia / Vrbičanová, Gréta [Autor, UKFFPVKEE, 20%] ; Szabová, Lucia [Autor, UKFFPVKEE, 20%] ; Močko, Matej [Autor, UKFFPVKEE, 20%] ; Kaisová, Dominika [Autor, UKFFPVKEE, 20%] ; Jakab, Imrich [Autor, UKFFPVKEE, 20%] ; (Teaching) Regional Geography, 27 [17.10.2019, Brno, Česko]. – text. – [angličtina]. – [OV 100]. – [abstrakt z podujatia - KP] In: (Teaching) Regional Geography [textový dokument (print)] [elektronický dokument] : Proceedings of 27th Central European Conference, Brno, 17th October 2019 / Mísařová, Darina [Zostavovateľ, editor] ; Petráková, Jana [Zostavovateľ, editor]. – 1. vyd. – Brno (Česko) : Masaryk University Press, 2020. – ISBN 978-80-210-9693-6. – ISBN (online) 978-80-210-9694-3, s. 237-253 </t>
  </si>
  <si>
    <t xml:space="preserve">Selected activities in teaching aimed at exploring the local landscape for students of primary and secondary schools / Petrikovičová, Lucia [Autor, UKFFPVKGR, 50%] ; Wittlinger, Lukáš [Autor, 25%] ; Králik, Roman [Autor, 25%] ; ICERI 2020 : International Conference of Education, Research and Innovation, 13 [09.11.2020-10.11.2020, Sevilla, Španielsko]. – text. – [angličtina]. – [OV 092]. – [abstrakt z podujatia - KP]. – DOI 10.21125/iceri.2020.0329 In: ICERI 2020 [elektronický dokument] : 13th international conference of education, research and innovation : transforming education, transforming lives / Gómez Chova, Luis [Zostavovateľ, editor] ; Martínez, Augustín López [Zostavovateľ, editor] ; Torres, I. Candel [Zostavovateľ, editor]. – 1. vyd. – Valencia (Španielsko) : IATED, 2020. – ISBN 978-84-09-24232-0. – ISSN 2340-1095, s. 1244-1252 [USB kľúč] </t>
  </si>
  <si>
    <t xml:space="preserve">Selected Aspects Of Health Status In Rural And Urban Young Slovak Women / Matejovičová, Barbora [Autor, UKFFPVKZA, 25%] ; Tirpáková, Anna [Autor, UKFFPVKMA, 25%] ; Markechová, Dagmar [Autor, UKFFPVKMA, 25%] ; Tománková, Kristína [Autor, 25%] ; 7th icCSBs The Annual International Conference on Cognitive - Social, and Behavioural Sciences, 7 [12.11.2018-14.11.2018, Moscow, Ruská federácia]. – [angličtina]. – [OV 010, 060]. – [abstrakt z podujatia - KP]. – [recenzované] In: 9th International Conference on Education and Educational Psychology [elektronický dokument] / Elkina, Irina M. [Zostavovateľ, editor]. – 1. vyd. – Moscow (Ruská federácia) : Institute of Art Education and Cultural Studies of the Russian Academy of Education, 2019. – (European Proceedings of Social and Behavioural Sciences, ISSN 2357-1330 ; 53), s. 368-379 [online] </t>
  </si>
  <si>
    <t xml:space="preserve">Selected indicators of computer literacy of the population in Slovakia / Vilinová, Katarína [Autor, UKFFPVKGR, 80%] ; Repaská, Gabriela [Autor, UKFFPVKGR, 10%] ; Babjaková, Laura [Autor, 10%] ; Lněnička, Libor [Recenzent] ; Mísařová, Darina [Recenzent] ; Useful Geography: Transfer from Research to Practice, 25 [12.10.2017-13.10.2017, Brno, Česko]. – text. – [angličtina]. – [OV 092]. – [abstrakt z podujatia - KP]. – DOI 10.5817/CZ.MUNI.P210-8908-2018. – WOS CC In: Useful Geography: Transfer from Research to Practice [textový dokument (print)] [elektronický dokument] : Proceedings of 25th Central European Conference, 12th-13th October 2017, Brno / Svobodová, Hana [Zostavovateľ, editor]. – 1. vyd. – Brno (Česko) : Masarykova univerzita, 2018. – ISBN 978-80-210-8907-5. – ISBN (online) 978-80-210-8908-2, s. 543-552 [tlačená forma] [online] </t>
  </si>
  <si>
    <t xml:space="preserve">Selected modern approaches to hotel management = Vybrané moderné prístupy k manažmentu hotelov / Malachovský, Andrej [Autor, 50%] ; Mazúchová, Ľudmila [Autor, UKFFSSKCR, 50%] ; Mezinárodní kolokvium o regionálních vědách, 21 [13.06.2018-15.06.2018, Kurdějov, Česko]. – text. – [angličtina]. – [OV 080]. – [abstrakt z podujatia - KP]. – DOI 10.5817/CZ.MUNI.P210-8970-2018-82. – WOS CC In: 21. mezinárodní kolokvium o regionálních vědách [textový dokument (print)] [elektronický dokument] : sborník příspěvků, Kurdějov 13. - 15. června 2018 = Conference Proceedings / Klímová, Viktorie [Zostavovateľ, editor] ; Žítek, Vladimír [Zostavovateľ, editor] ; Wokoun, René [Recenzent]. – 1. vyd. – Brno (Česko) : Masarykova univerzita, 2018. – ISBN 978-80-210-8969-3. – ISBN (online) 978-80-210-8970-9, s. 625-632 [tlačená forma] [online] </t>
  </si>
  <si>
    <t xml:space="preserve">Selection of suitable pagerank calculation for analysis of differences between expected and observed probability of accesses to web pages / Kapusta, Jozef [Autor, UKFFPVKIN, 40%] ; Munk, Michal [Autor, UKFFPVKIN, 30%] ; Švec, Peter [Autor, UKFFPVKIN, 30%] ; MIWAI 2018, 12 [18.11.2018-20.11.2018, Hanoi, Vietnam (predtým Vietnamská demokratická republika)]. – [angličtina]. – [OV 160]. – [abstrakt z podujatia - KP]. – [recenzované]. – DOI 10.1007/978-3-030-03014-8_12 In: Multi-disciplinary Trends in Artificial Intelligence [elektronický dokument] [textový dokument (print)] : 12th International Conference, MIWAI 2018, Hanoi, Vietnam, November 18–20, 2018, Proceedings / Malaka, Rainer [Zostavovateľ, editor]. – 1. vyd. – Cham (Švajčiarsko) : Springer Nature. Springer International Publishing AG, 2018. – (Lecture Notes in Computer Science, ISSN 0302-9743, ISSN 1611-3349 ; 11248, SJR: 0,283 ; CiteScore: 1,6 ; SNIP: 0,746). – ISBN 978-3-030-03013-1. – ISBN (online) 978-3-030-03014-8, s. 139-150 [online] [tlačená forma] Scimago - Computer science (miscellaneous) - Q2, Theoretical computer science - Q3 </t>
  </si>
  <si>
    <t xml:space="preserve">Self-efficacy, perceived success of teachers and pupils' school connectedness / Bafiová, Lucia [Autor, 20%] ; Uhláriková, Jana [Autor, UKFFSVKPV, 80%] ; EDULEARN20, 12 [06.07.2020-07.07.2020, Palma de Mallorca, Španielsko]. – text. – [angličtina]. – [OV 010, 060]. – [abstrakt z podujatia - KP] In: EDULEARN20 proceedings [elektronický dokument] : 12th International Conference on Education and New Learning Technologies / Gómez Chova, Luis [Zostavovateľ, editor] ; López Martínez, Agustín [Zostavovateľ, editor]. – 1. vyd. – Roč. 12. – Valencia (Španielsko) : IATED, 2020. – ISBN 978-84-09-17979-4. – ISSN 2340-1117, s. 1167-1172 [USB kľúč] </t>
  </si>
  <si>
    <t xml:space="preserve">Self-presentation of generation z through photos on social networks / Bulanda, Ivana [Autor, UKFFFAKMR, 33.334%] ; Peniak, Jozef [Autor, UKFFFAKMR, 33.333%] ; Rauová, Eva [Autor, 33.333%] ; QUAERE 2018, 8 [27.06.2018-29.06.2018, Hradec Králové, Česko]. – text. – [slovenčina]. – [OV 060]. – [abstrakt z podujatia - KP]. – [recenzované] In: QUAERE 2018 [elektronický dokument] : recenzovaný sborník příspěvků vědecké interdisciplinární mezinárodní vědecké konference doktorandů a odborných asistentů / [bez zostavovateľa] [Zostavovateľ, editor]. – 1. vyd. – Roč. 8. – Hradec Králové (Česko) : Magnanimitas akademické sdružení, 2018. – ISBN 978-80-87952-26-9, s. 143-151 [CD-ROM] </t>
  </si>
  <si>
    <t xml:space="preserve">Self-regulated learning as a key element of successful pupils / Hošová, Dominika [Autor, UKFPFAKPE, 50%] ; Koleňáková, Rebeka Štefánia [Autor, UKFPFAKPE, 50%] ; Mezinárodní Masarykova konference pro doktorandy a mladé vědecké pracovníky 2018, 9 [17.12.2018-21.12.2018, Hradec Králové, Česko]. – text. – [angličtina]. – [OV 010]. – [abstrakt z podujatia - KP] In: MMK 2018 [elektronický dokument] : recenzovaný sborník příspěvků mezinárodní vědecké konference : mezinárodní Masarykova konference pro doktorandy a mladé vědecké pracovníky / [bez zostavovateľa] [Zostavovateľ, editor] ; Lipowski, Jaroslav [Recenzent] ; Jaskułowski, Krzysztof [Recenzent] ; Kislingerová, Eva [Recenzent]. – 1 vyd. – Roč. 9. – Hradec Králové (Česko) : Magnanimitas akademické sdružení, 2018. – ISBN 978-80-87952-27-6, s. 495-502 [CD-ROM] </t>
  </si>
  <si>
    <t xml:space="preserve">Self-regulation and use of addictive substances in pupils in lower secondary education / Juhásová, Andrea [Autor, UKFPFAKAP, 80%] ; Ščerbáková, Michaela [Autor, 20%] ; EDULEARN21 [05.07.2021-06.07.2021, Barcelona, Španielsko]. – text. – [angličtina]. – [OV 010]. – [abstrakt z podujatia - KP] In: EDULEARN21 [elektronický dokument] : 13th annual International Conference on Education and New Learning Technologies, Barcelona, 5th - 6th of July, 2021 / Chova, Luis Goméz [Zostavovateľ, editor] ; Martínez, Augustín López [Zostavovateľ, editor] ; Torres, I. [Zostavovateľ, editor]. – 1. vyd. – Roč. 13. – Barcelona (Španielsko) : IATED, 2021. – ISBN 978-84-09-31267-2. – ISSN 2340-1117, s. 2181-2185 [CD-ROM] [USB kľúč] </t>
  </si>
  <si>
    <t xml:space="preserve">Self-Regulation of Pedagogy Students / Hošová, Dominika [Autor, UKFPFAKPE, 50%] ; Duchovičová, Jana [Autor, UKFPFAKPE, 50%] ; New perspectives in science education [21.03.2019-22.03.2019, Florenze, Taliansko]. – [angličtina]. – [OV 010]. – [abstrakt z podujatia - KP]. – [recenzované]. – WOS CC In: New perspectives in science education [textový dokument (print)] : Conference Proceedings / Kapelari, Suzanne [Zostavovateľ, editor] ; Kummert, Börge [Zostavovateľ, editor]. – 1. vyd. – Florence (Taliansko) : Pixel, 2019. – ISBN 978-88-85813-56-4. – ISSN 2420-9732, s. 119-124 [tlačená forma] </t>
  </si>
  <si>
    <t xml:space="preserve">Sensitivity coefficients analysis in step-wise transient method / Malinarič, Svetozár [Autor, UKFFPVKFY, 100%] ; Central European Symposium on Thermophysics, 3 [01.09.2021-03.09.2021, Kazimierz Dolny, Poľsko]. – [angličtina]. – [OV 091]. – [abstrakt z podujatia - KP]. – DOI 10.1063/5.0069791. – WOS CC ; SCO In: Proceedings of the 3rd Central European Symposium on Thermophysics [elektronický dokument] / Trník, Anton [Zostavovateľ, editor] ; Suchorab, Zbigniew [Zostavovateľ, editor]. – 1. vyd. – Melville, NY (USA) : American Institute of Physics . AIP Publishing, 2021. – ISBN 978-0-7354-4139-2, s. 1-13 [online] </t>
  </si>
  <si>
    <t xml:space="preserve">Sensory Monitoring of Physiological Functions Using IoT Based on a Model in Petri Nets / Fodor, Kristián [Autor, UKFFPVKIN, 50%] ; Balogh, Zoltán [Autor, UKFFPVKIN, 50%] ; 22nd International Conference on Web Information Systems Engineering, 22 [26.10.2021-29.10.2021, Melbourne, Austrália]. – text. – [angličtina]. – [OV 160]. – [abstrakt z podujatia - KP]. – DOI 10.1007/978-3-030-91560-5_32. – SCO In: Web Information Systems Engineering (13081) [elektronický dokument] / [bez zostavovateľa] [Zostavovateľ, editor]. – 1. vyd. – Basingstoke (Veľká Británia) : Springer Nature, 2021. – (Lecture Notes in Computer Science, ISSN 0302-9743, ISSN 1611-3349 ; 13081, CiteScore: 2,1 ; SJR: 0,407 ; SNIP: 0,534). – ISBN 9783030915599. – ISSN (online) 0302-9743, s. 435-443 Scimago - Computer science (miscellaneous) - Q2, Theoretical computer science - Q3 </t>
  </si>
  <si>
    <t xml:space="preserve">Sex-based differences in the adaptation of pupils at the beginning of school attendance from the perspective of the level of motivation for school / Teleková, Radka [Autor, UKFPFAKPE, 100%] ; Biannual CER Comparative European Research Conference, 14 [26.10.2020-28.10.2020, Londýn, Veľká Británia]. – text. – [angličtina]. – [OV 010]. – [abstrakt z podujatia - KP] In: CER Comparative European Research 2020 [elektronický dokument] : proceedings of the 14th Biannual CER Comparative European Research Conference / McGreevy, Michael [Zostavovateľ, editor] ; Rita, Robert [Zostavovateľ, editor]. – 1. vyd. – Roč. 7, č. 2. – Londýn (Veľká Británia) : SCI-EMCEE, 2020. – ISBN 978-1-9993071-6-5, s. 142-146 [online] </t>
  </si>
  <si>
    <t xml:space="preserve">Sexting a klíma školy / Beliková, Vladimíra [Autor, UKFPFAKPE, 50%] ; Hanuliaková, Jana [Autor, KŠDI, 50%] ; Mezinárodní Masarykova konference pro doktorandy a mladé vědecké pracovníky 2018, 9 [17.12.2018-21.12.2018, Hradec Králové, Česko]. – text. – [slovenčina]. – [OV 010]. – [abstrakt z podujatia - KP] In: MMK 2018 [elektronický dokument] : recenzovaný sborník příspěvků mezinárodní vědecké konference : mezinárodní Masarykova konference pro doktorandy a mladé vědecké pracovníky / [bez zostavovateľa] [Zostavovateľ, editor] ; Lipowski, Jaroslav [Recenzent] ; Jaskułowski, Krzysztof [Recenzent] ; Kislingerová, Eva [Recenzent]. – 1 vyd. – Roč. 9. – Hradec Králové (Česko) : Magnanimitas akademické sdružení, 2018. – ISBN 978-80-87952-27-6, s. 603-612 [CD-ROM] </t>
  </si>
  <si>
    <t xml:space="preserve">Sexting etiology and possibilities for intervention through instrumental enrichment / Jedličková, Petra [Autor, UKFPFAKPE, 33.334%] ; Hollá, Katarína [Autor, UKFPFAKPE, 33.333%] ; Seidler, Peter [Autor, UKFPFAKPE, 33.333%] ; EDULEARN20, 12 [06.07.2020-07.07.2020, Palma de Mallorca, Španielsko]. – text. – [angličtina]. – [OV 010]. – [abstrakt z podujatia - KP] In: EDULEARN20 proceedings [elektronický dokument] : 12th International Conference on Education and New Learning Technologies / Gómez Chova, Luis [Zostavovateľ, editor] ; López Martínez, Agustín [Zostavovateľ, editor]. – 1. vyd. – Roč. 12. – Valencia (Španielsko) : IATED, 2020. – ISBN 978-84-09-17979-4. – ISSN 2340-1117, s. 6287-6297 [USB kľúč] </t>
  </si>
  <si>
    <t xml:space="preserve">School belonging and well-being in pupils in the transition to high school / Uhláriková, Jana [Autor, UKFFSVKPV, 50%] ; Šeboková, Gabriela [Autor, UKFFSVKPV, 50%] ; PhD existence 2019, 9 [21.01.2019-22.01.2019, Olomouc, Česko]. – [angličtina]. – [OV 010, 060]. – [abstrakt z podujatia - KP] In: PhD existence 9 [elektronický dokument] : česko-slovenská konference (nejen) pro doktorandy a o doktorandech : „Telo a mysl“ : konferenční DVD / Maierová, Eva [Zostavovateľ, editor] ; Viktorová, Lucie [Zostavovateľ, editor] ; Dolejš, Martin [Zostavovateľ, editor]. – Olomouc (Česko) : Univerzita Palackého v Olomouci, 2019. – ISBN (online) 978-80-244-5594-5, s. 1-7 [DVD] </t>
  </si>
  <si>
    <t xml:space="preserve">School engagement, parental involvement in education and school achievement in students / Uhláriková, Jana [Autor, UKFFSVKPV, 50%] ; Kučerová, Andrea [Autor, 50%] ; EDULEARN21 [05.07.2021-06.07.2021, Barcelona, Španielsko]. – text. – [angličtina]. – [OV 060]. – [abstrakt z podujatia - KP] In: EDULEARN21 [elektronický dokument] : 13th annual International Conference on Education and New Learning Technologies, Barcelona, 5th - 6th of July, 2021 / Chova, Luis Goméz [Zostavovateľ, editor] ; Martínez, Augustín López [Zostavovateľ, editor] ; Torres, I. [Zostavovateľ, editor]. – 1. vyd. – Roč. 13. – Barcelona (Španielsko) : IATED, 2021. – ISBN 978-84-09-31267-2. – ISSN 2340-1117, s. 1375-1380 [CD-ROM] [USB kľúč] </t>
  </si>
  <si>
    <t xml:space="preserve">Significance of teacher education in the field of occupational health and safety / Tureková, Ivana [Autor, UKFPFAKTT, 50%] ; Depešová, Jana [Autor, UKFPFAKTT, 50%] ; EDULEARN19, 11 [01.07.2019-03.07.2019, Palma de Mallorca, Španielsko]. – text. – [angličtina]. – [OV 010]. – [abstrakt z podujatia - KP]. – WOS CC In: EDULEARN19 proceedings [elektronický dokument] : 11th annual International Conference on Education and New Learning Technologies / Gómez Chova, Luis [Zostavovateľ, editor] ; López Martínez, Agustín [Zostavovateľ, editor] ; López, Agustín [Recenzent] ; Girós, Amparo [Recenzent]. – 1. vyd. – Roč. 11. – Valencia (Španielsko) : IATED, 2019. – ISBN 978-84-09-12031-4. – ISSN 2340-1117, s. 8576-8584 [CD-ROM] </t>
  </si>
  <si>
    <t xml:space="preserve">Significant personalities of vocal pedagogy in the Czech Republic and in Slovakia in the field of non-art singing / Štrbák Pandiová, Iveta [Autor, UKFPFAKHU, 100%] ; Biannual CER Comparative European Research 2019, 11 [25.03.2019-27.03.2019, Londýn, Veľká Británia]. – text. – [angličtina]. – [OV 010]. – [abstrakt z podujatia - KP]. – [recenzované] In: CER Comparative European Research 2019 [elektronický dokument] : proceedings/research track of the 11th biannual conference / McGreevy, Michael [Zostavovateľ, editor] ; Rita, Robert [Zostavovateľ, editor]. – 1 vyd. – Roč. 6, č. 1. – Londýn (Veľká Británia) : Sciemcee. Sciemcee Publishing, 2019. – ISBN 978-1-9993071-2-7, s. 94-97 [CD-ROM] [online] </t>
  </si>
  <si>
    <t xml:space="preserve">Silver Economy Demand For Creative Tourism / Hudáková, Jarmila [Autor, UKFFPVUMI, 100%] ; SGEM 2018, 5 [26.08.2018-01.09.2018, Albena, Bulharsko]. – text. – [angličtina]. – [OV 080]. – [abstrakt z podujatia - KP]. – [recenzované]. – DOI 10.5593/sgemsocial2018/1.3 In: SGEM 2018 conference proceedings (1.3. Modern Science : finance, economics and tourism) [elektronický dokument] / [bez zostavovateľa] [Zostavovateľ, editor]. – 1. vyd. – Roč. 5. – Albena (Bulharsko) : STEF92 Technology, 2018. – ISBN 978-619-7408-63-8. – ISSN 2367-5659, s. 779-784 [CD-ROM] </t>
  </si>
  <si>
    <t xml:space="preserve">Simulácia procesov inteligentnej domácnosti s micro:bitom = The Simulation of Smart Home Processes with a Micro:bit / Cápay, Martin [Autor, UKFFPVKIN, 50%] ; Bellayová, Magdaléna [Autor, 50%] ; DidInfo 2020, 26 [12.02.2020-14.02.2020, Liberec, Česko]. – text. – [slovenčina]. – [OV 160]. – [abstrakt z podujatia - KP] In: Didinfo 2020 [elektronický dokument] : medzinárodní konference o vyučování informatiky / [bez zostavovateľa] [Zostavovateľ, editor] ; Berki, Jan [Recenzent] ; Černochová, Miroslava [Recenzent] ; Drábková, Jindra [Recenzent] ; Filipi, Zbyněk [Recenzent]. – 1. vyd. – Liberec (Česko) : Technická univerzita v Liberci, 2020. – ISBN 978-80-7494-532-8. – ISSN 2454-051X, s. 220-228 [online] </t>
  </si>
  <si>
    <t xml:space="preserve">Slovak-German Relations in 15th - 18th Century = Slovensko-nemecké vzťahy v 15. - 18. storočí / Šmeringaiová, Paulína [Autor, UKFFFAKRU, 100%] ; Ballay, Miroslav [Recenzent] ; Benža, Mojmír [Recenzent] ; Medzinárodný zjazd slavistov v Belehrade, 16 [20.08.2018-27.08.2018, Belehrad, Srbsko]. – text. – [slovenčina]. – [OV 020]. – [článok z podujatia]. – SCO In: Slavica Slovaca [textový dokument (print)] [elektronický dokument] : orgán Slavistického ústavu Jána Stanislava SAV a Slovenského komitétu slavistov. – Bratislava (Slovensko) : Slovenská akadémia vied. Slavistický ústav Jána Stanislava. – ISSN 0037-6787. – ISSN (online) 1336-2364. – suppl. Roč. 53, č. 3-4 (2018), s. 42-47 [tlačená forma] [online] . – SJR: 0,1 ; CiteScore: 0,2 ; SNIP: 0,159 Scimago - Anthropology - Q4, Cultural studies - Q4, History - Q4, Language and linguistics - Q4, Linguistics and language - Q4 </t>
  </si>
  <si>
    <t xml:space="preserve">Slovak-Russian Phraseological Units As A Subject Of Study In The Lessons Of The Russian Language As A Non-Slavonic = Slovacko-russkije frazeologizmy kak predmet izučenija na zaniatijach po russkomu jazyku kak inoslavianskomu / Kalechyts, Alena [Autor, UKFFFAKRU, 100%] ; Demeshkina, Tatiana [Recenzent] ; Charciarek, Andrzej [Recenzent] ; Aktuální problémy výuky ruského jazyka 13, 13 [16.05.2018-18.05.2018, Brno, Česko]. – text. – [ruština]. – [OV 020, 010]. – [abstrakt z podujatia - KP]. – WOS CC In: Aktuaľnyje problemy obučenija russkomu jazyku 13 [elektronický dokument] : sborník prácí z mezinárodní vědecké konference „Aktuální problémy výuky ruského jazyka 13“ / Koryčánková, Simona [Zostavovateľ, editor]. – 1. vyd. – Brno (Česko) : Masarykova univerzita, 2018. – (Sborník prací Pedagogické fakulty MU : Řada jazyková a literární č. 54 ; č. 272). – ISBN 978-80-210-9077-4, s. 112-121 [online] </t>
  </si>
  <si>
    <t xml:space="preserve">Slovaks and Croats Before and During Revolution in Hungary Kingdom 1848/1849 / Móri, Tomáš [Autor, UKFFSSUSJ, 100%] ; Biannual CER Comparative European Research 2019, 11 [25.03.2019-27.03.2019, Londýn, Veľká Británia]. – text. – [angličtina]. – [OV 020]. – [abstrakt z podujatia - KP]. – [recenzované] In: CER Comparative European Research 2019 [elektronický dokument] : proceedings/research track of the 11th biannual conference / McGreevy, Michael [Zostavovateľ, editor] ; Rita, Robert [Zostavovateľ, editor]. – 1 vyd. – Roč. 6, č. 1. – Londýn (Veľká Británia) : Sciemcee. Sciemcee Publishing, 2019. – ISBN 978-1-9993071-2-7, s. 140-143 [CD-ROM] [online] </t>
  </si>
  <si>
    <t xml:space="preserve">Slovenská evanjelická a. v. cirkev - spolupatričnosť na náboženskom aj etnickom princípe / Čukan, Jaroslav [Autor, UKFFFAKMK, 70%] ; Pluhár, Tamás [Autor, UKFFFAKMK, 30%] ; Úloha cirkvi v živote dolnozemských Slovákov [16.03.2018-17.03.2018, Nadlak, Rumunsko]. – text. – [slovenčina]. – [OV 030]. – [abstrakt z podujatia - KP] In: Úloha cirkvi v živote dolnozemských Slovákov [textový dokument (print)] / Ambruš, Ivan Miroslav [Zostavovateľ, editor] ; Hlásnik, Pavel [Zostavovateľ, editor] ; Unc, Bianca [Zostavovateľ, editor] ; Dobrotková, Marta [Recenzent] ; Kožiak, Rastislav [Recenzent]. – 1. vyd. – Nadlak (Rumunsko) : Vydavateľstvo - Editura Ivan Krasko, 2018. – ISBN 978-973-107-134-3, s. 51-54 [tlačená forma] </t>
  </si>
  <si>
    <t xml:space="preserve">Slovensko-český receptívny bilingvizmus, otázky laického prekladu z češtiny do slovenčiny / Ternová, Alica [Autor, UKFFFASJL, 100%] ; Kolokvium mladých jazykovedcov, 24 [09.09.2015-11.09.2015, Praha, Česko]. – text. – [slovenčina]. – [OV 020]. – [abstrakt z podujatia - KP] In: Varia 24 [elektronický dokument] : zborník príspevkov z 24. kolokvia mladých jazykovedcov / Simeunovich-Skvortsova, Maria [Zostavovateľ, editor] ; Gajdošová, Katarína [Zostavovateľ, editor] ; Saicová Římalová, Lucie [Recenzent] ; Stranz-Nikitina, Veronika [Recenzent]. – 1. vyd. – Roč. 24. – Praha (Česko) : Univerzita Karlova v Praze, 2019. – ISBN 978-80-7308-757-9, s. 627-645 [online] </t>
  </si>
  <si>
    <t xml:space="preserve">Slovesnyje associjacii kak lingvokuľturnyj fenomen / Bilčíková, Miriama [Autor, UKFFFAKRU, 100%] ; Vasilyeva, Elena [Recenzent] ; Rozboudová, Lenka [Recenzent] ; Prague Russian Studies 2020 [26.05.2020, Praha, Česko]. – text. – [ruština]. – [OV 020]. – [abstrakt z podujatia - KP] In: Prague Russian Studies 2020 [textový dokument (print)] [elektronický dokument] : a reviewed collection of contributions from a conference held on 26th of May 2020 / Konečný, Jakub [Zostavovateľ, editor]. – 1. vyd. – Praha (Česko) : Univerzita Karlova v Praze, 2020. – ISBN 978-80-7603-208-8, s. 125-130 [tlačená forma] [online] </t>
  </si>
  <si>
    <t xml:space="preserve">Slovné asociácie vo výskume jazykového vedomia = Word associations in language awareness research / Zsarnóczaiová, Žaneta [Autor, UKFFFAKRU, 100%] ; QUAERE 2018, 8 [27.06.2018-29.06.2018, Hradec Králové, Česko]. – text. – [slovenčina]. – [OV 020]. – [abstrakt z podujatia - KP]. – [recenzované] In: QUAERE 2018 [elektronický dokument] : recenzovaný sborník příspěvků vědecké interdisciplinární mezinárodní vědecké konference doktorandů a odborných asistentů / [bez zostavovateľa] [Zostavovateľ, editor]. – 1. vyd. – Roč. 8. – Hradec Králové (Česko) : Magnanimitas akademické sdružení, 2018. – ISBN 978-80-87952-26-9, s. 1197-1203 [CD-ROM] </t>
  </si>
  <si>
    <t xml:space="preserve">Slovo - text - jazykovaja kuľtura / Gallo, Ján [Autor, UKFFFAKRU, 100%] ; Olomoucké dny rusistů, 24 [07.09.2017-08.09.2017, Olomouc, Česko]. – [ruština]. – [OV 020]. – [abstrakt z podujatia - KP]. – [recenzované] In: 24. Olomoucké dny rusistů [textový dokument (print)] / Pálušová, Martina [Zostavovateľ, editor] ; Varga, Patrik [Zostavovateľ, editor] ; Chadaeva, Olga [Zostavovateľ, editor]. – 1. vyd. – Olomouc (Česko) : Univerzita Palackého v Olomouci, 2018. – (Sborník, ISSN 0139-9268). – ISBN 978-80-244-5361-3, s. 111-117 [tlačená forma] </t>
  </si>
  <si>
    <t xml:space="preserve">Social aspects of foster homes in selected municipalities of the NUTS II Western Slovakia / Vilinová, Katarína [Autor, UKFFPVKGR, 47%] ; Dubcová, Alena [Autor, UKFFPVKGR, 48%] ; Kučeráková, Jana [Autor, 5%] ; Mezinárodní kolokvium o regionálních vědách, 22 [12.06.2019-14.06.2019, Velké Bílovice, Česko]. – text. – [angličtina]. – [OV 092, 100]. – [abstrakt z podujatia - KP]. – DOI 10.5817/CZ.MUNI.P210-9268-2019-93. – WOS CC In: 22. mezinárodní kolokvium o regionálních vědách [elektronický dokument] : sborník příspěvků / Klímová, Viktorie [Zostavovateľ, editor] ; Žítek, Vladimír [Zostavovateľ, editor] ; Žárska, Elena [Recenzent]. – 1. vyd. – Roč. 22. – Brno (Česko) : Masarykova univerzita, 2019. – ISBN 978-80-210-9268-6, s. 740-748 [online] </t>
  </si>
  <si>
    <t xml:space="preserve">Social competence and friendship quality among adolescents / Popelková, Marta [Autor, UKFFSVKPV, 100%] ; EDULEARN18, 10 [02.07.2018-04.07.2018, Palma de Mallorca, Španielsko]. – text. – [angličtina]. – [OV 060]. – [abstrakt z podujatia - KP] In: EDULEARN18 proceedings [elektronický dokument] : 10th International Conference on Education and New Learning Technologies / Chova, Luis Goméz [Zostavovateľ, editor] ; Martínez, Augustín López [Zostavovateľ, editor] ; Torres, I. Candel [Zostavovateľ, editor]. – 1. vyd. – Roč. 10. – [Valencia] (Španielsko) : IATED, 2018. – ISBN 978-84-09-02709-5. – ISSN 2340-1117, s. 10013-10016 [CD-ROM] [USB kľúč] </t>
  </si>
  <si>
    <t xml:space="preserve">Social work and its impact on alleviating the social exclusion of religious minorities / Kondrla, Peter [Autor, UKFFFAKNS, 25%] ; Tkáčová, Hedviga [Autor, ZUZFHVKFR, 50%] ; Tvrdoň, Miroslav [Autor, UKFFSVKSP, 25%] ; ICERI 2020 : International Conference of Education, Research and Innovation, 13 [09.11.2020-10.11.2020, Sevilla, Španielsko]. – text. – [angličtina]. – [OV 060, 020]. – [abstrakt z podujatia - KP]. – [recenzované] In: ICERI 2020 [elektronický dokument] : 13th international conference of education, research and innovation : transforming education, transforming lives / Gómez Chova, Luis [Zostavovateľ, editor] ; Martínez, Augustín López [Zostavovateľ, editor] ; Torres, I. Candel [Zostavovateľ, editor]. – 1. vyd. – Valencia (Španielsko) : IATED, 2020. – ISBN 978-84-09-24232-0. – ISSN 2340-1095, s. 3844-3851 [USB kľúč] </t>
  </si>
  <si>
    <t xml:space="preserve">Sociálno-emocionálne zdravie a emocionálna inteligencia nadaných detí = Social-emotional health and emotional intelligence of gifted children / Schunová, Romana [Autor, UKFPFAKPE, 50%] ; Szobiová, Eva [Autor, PEUFPSUVP, 50%] ; PhD existence 2021, 11 [01.02.2021-02.02.2021, Olomouc, Česko]. – text. – [slovenčina]. – [OV 010]. – [abstrakt z podujatia - KP] In: PhD existence 11 [elektronický dokument] : "Jedeme dál" : česko-slovenská psychologická konference (nejen) pro doktorandy a o doktorandech  : sborník odborných příspěvků / Aigelová, Eva [Zostavovateľ, editor] ; Viktorová, Lucie [Zostavovateľ, editor] ; Dolejš, Martin [Zostavovateľ, editor] ; Tomšik, Robert [Recenzent] ; Skopal, Ondřej [Recenzent]. – 1. vyd. – Roč. 11. – Olomouc (Česko) : Univerzita Palackého v Olomouci, 2021. – ISBN 978-80-244-5947-9, s. 258-268 [online] </t>
  </si>
  <si>
    <t xml:space="preserve">Society and Language Internationalization (in a Central European Context) / Tkáč-Zabáková, Lenka [Autor, UKFFSSUSJ, 100%] ; Biannual CER Comparative European Research 2019, 11 [25.03.2019-27.03.2019, Londýn, Veľká Británia]. – text. – [angličtina]. – [OV 020]. – [abstrakt z podujatia - KP]. – [recenzované] In: CER Comparative European Research 2019 [elektronický dokument] : proceedings/research track of the 11th biannual conference / McGreevy, Michael [Zostavovateľ, editor] ; Rita, Robert [Zostavovateľ, editor]. – 1 vyd. – Roč. 6, č. 1. – Londýn (Veľká Británia) : Sciemcee. Sciemcee Publishing, 2019. – ISBN 978-1-9993071-2-7, s. 131-132 [CD-ROM] [online] </t>
  </si>
  <si>
    <t xml:space="preserve">Software tools for creating and presenting virtual 3D models / Kuna, Peter [Autor, UKFFPVKIN, 25%] ; Kozík, Tomáš [Autor, 25%] ; Kunová, Silvia [Autor, 25%] ; Šebo, Miroslav [Autor, UKFPFAKTT, 25%] ; International Conference on Interactive Collaborative Learning, 20 [27.09.2017-29.09.2017, Budapešť, Maďarsko]. – text. – [angličtina]. – [OV 010]. – [abstrakt z podujatia - KP]. – DOI 10.1007/978-3-319-73204-6_3. – SCO In: Teaching and Learning in a Digital World (2. Volume) [textový dokument (print)] [elektronický dokument] : Proceedings of the 20th International Conference on Interactive Collaborative Learning / Auer, Michael [Zostavovateľ, editor] ; Guralnick, David [Zostavovateľ, editor] ; Simonics, Istvan [Zostavovateľ, editor]. – 1. vyd. – Cham (Švajčiarsko) : Springer Nature. Springer International Publishing AG, 2018. – (Advances in Intelligent Systems and Computing, ISSN 2194-5357, ISSN 2194-5365 ; 716, SJR: 0,174 ; CiteScore: 0,8 ; SNIP: 0,448). – ISBN 978-3-319-73203-9. – ISBN (online) 978-3-319-73204-6, s. 17-26 [tlačená forma] [online] Scimago - Computer science (miscellaneous) - Q3, Control and systems engineering - Q4 </t>
  </si>
  <si>
    <t xml:space="preserve">Solving Selected Linear Diophantine Equations  and Fermat's Last Theorem / Ďuriš, Viliam [Autor, UKFFPVKMA, 50%] ; Lengyelfalusy, Tomáš [Autor, KŠDI, 50%] ; Didaktická konference 2019, 13 [13.06.2019, Brno, Česko]. – [angličtina]. – [OV 240]. – [abstrakt z podujatia - KP] In: 13. mezinárodní vědecká konference Didaktická konference 2019 [elektronický dokument] : Sborník příspěvků / Válek, Ján [Zostavovateľ, editor] ; Marinič, Peter [Zostavovateľ, editor] ; Beránek, Jaroslav [Recenzent] ; Lengyelfalusy, Tomáš [Recenzent] ; Sládek, Petr [Recenzent]. – 1. vyd. – Brno (Česko) : Masarykova univerzita, 2019. – ISBN 978-80-210-9435-2, s. 34-44 [online] </t>
  </si>
  <si>
    <t xml:space="preserve">Sonda do ontologickej relevancie autonómnej a heteronómnej hudby / Beličová, Renáta [Autor, UKFFFAULK, 100%] ; Metodologie a theurgie hermeneutické interpretace, 8 [22.09.2020-23.09.2020, Ostrava, Česko]. – text. – [slovenčina]. – [OV 020]. – [abstrakt z podujatia - KP] In: Studia humanitatis - Ars hermeneutica [textový dokument (print)] : metodologie a theurgie hermeneutické interpretace 8 / Mikulášek, Miroslav [Zostavovateľ, editor] ; Malicki, Jan [Recenzent] ; Raclavská, Jana [Recenzent]. – 1. vyd. – č. 8. – Ostrava (Česko) : Ostravská univerzita, 2020. – ISBN 978-80-7599-211-6, s. 56-68 </t>
  </si>
  <si>
    <t xml:space="preserve">Southern Slovakian public administration: competencies that the mayors require / Schulcz, Patrik [Autor, UKFFSSUML, 100%] ; ICERI 2021, 14 [08.11.2021-09.11.2021, Seville, Španielsko]. – text. – [angličtina]. – [OV 020]. – [abstrakt z podujatia - KP] In: ICERI2021 [elektronický dokument] : 14th annual International Conference of Education, Research and Innovation / Gómez, Chova L. [Zostavovateľ, editor] ; López Martínez, Agustín [Zostavovateľ, editor] ; Candel Torres, Ignacio [Zostavovateľ, editor]. – 1. vyd. – Valencia (Španielsko) : IATED, 2021. – ISBN 978-84-09-34549-6. – ISSN 2340-1095, s. 8012-8018 [online] [USB kľúč] </t>
  </si>
  <si>
    <t xml:space="preserve">SPA areas - A vision of sustainable mobility and measures for its promotion / Dostál, Ivo [Korešpondenčný autor, UKFFPVKEE, 25%] ; Havlíček, Marek [Autor, 25%] ; Špička, Libor [Autor, 25%] ; Skládaný, Pavel [Autor, 25%] ; Public recreation and landscape protection - with sense hand in hand? [11.05.2020-13.05.2020, Křtiny, Česko]. – text. – [angličtina]. – [OV 100]. – [abstrakt z podujatia - KP]. – SCO In: Public recreation and landscape protection  -  with sense hand in hand? [textový dokument (print)] [elektronický dokument] : Conference proceedings, 11th - 13th May 2020 Křtiny / Fialová, Jitka [Zostavovateľ, editor]. – 1. vyd. – Brno (Česko) : Mendelova univerzita v Brně, 2020. – ISBN 978-80-7509-715-6. – ISBN (online) 978-80-7509-716-3. – ISSN 2336-6311. – ISSN (online) 2336-632X, s. 425-429 [tlačená forma] [online] </t>
  </si>
  <si>
    <t xml:space="preserve">Spatial aspect and behavior of tour operators in Slovakia (case study) / Šolcová, Lucia [Autor, UKFFPVKGR, 50%] ; Petrikovič, Jozef [Autor, 50%] ; Mezinárodní kolokvium o regionálních vědách, 22 [12.06.2019-14.06.2019, Velké Bílovice, Česko]. – text. – [angličtina]. – [OV 060, 080]. – [abstrakt z podujatia - KP]. – DOI 10.5817/CZ.MUNI.P210-9268-2019-76. – WOS CC In: 22. mezinárodní kolokvium o regionálních vědách [elektronický dokument] : sborník příspěvků / Klímová, Viktorie [Zostavovateľ, editor] ; Žítek, Vladimír [Zostavovateľ, editor] ; Žárska, Elena [Recenzent]. – 1. vyd. – Roč. 22. – Brno (Česko) : Masarykova univerzita, 2019. – ISBN 978-80-210-9268-6, s. 597-605 [online] </t>
  </si>
  <si>
    <t xml:space="preserve">Specifics of the retail network spatial structure in the Piešťany town / Trembošová, Miroslava [Autor, UKFFPVKGR, 80%] ; Wiecková, Sandra [Autor, 15%] ; Gálisová, Ivana [Autor, 5%] ; Lněnička, Libor [Recenzent] ; Mísařová, Darina [Recenzent] ; Useful Geography: Transfer from Research to Practice, 25 [12.10.2017-13.10.2017, Brno, Česko]. – text. – [angličtina]. – [OV 092]. – [abstrakt z podujatia - KP]. – DOI 10.5817/CZ.MUNI.P210-8908-2018. – WOS CC In: Useful Geography: Transfer from Research to Practice [textový dokument (print)] [elektronický dokument] : Proceedings of 25th Central European Conference, 12th-13th October 2017, Brno / Svobodová, Hana [Zostavovateľ, editor]. – 1. vyd. – Brno (Česko) : Masarykova univerzita, 2018. – ISBN 978-80-210-8907-5. – ISBN (online) 978-80-210-8908-2, s. 525-542 [tlačená forma] [online] </t>
  </si>
  <si>
    <t xml:space="preserve">Společensko-politický kontext uličného názvoslovia pred a po vzniku Československa v roku 1918 (na príklade vybraného mestského sídla) = Social-political Context of the Street Names Before and After the Creation of Czechoslovakia in 1918 (Reflected on a Chosen Urban Area) / Tkáč-Zabáková, Lenka [Autor, UKFFSSUSJ, 100%] ; Vorel, Jan [Recenzent] ; Tkaczewski, Dariusz [Recenzent] ; Slavica Iuvenum, 19 [27.03.2018-28.03.2018, Ostrava, Česko]. – text. – [čeština]. – [OV 010]. – [abstrakt z podujatia - KP] In: Slavica Iuvenum 19 [textový dokument (print)] [elektronický dokument] : mezinárodní setkání mladých slavistů / Mizerová, Simona [Zostavovateľ, editor] ; Plesník, Lukáš [Zostavovateľ, editor]. – 1. vyd. – Ostrava (Slovensko) : Ostravská univerzita. Filozofická fakulta, 2018. – ISBN 978-80-7599-036-5, s. 149-154 [tlačená forma] [online] </t>
  </si>
  <si>
    <t xml:space="preserve">Sposoby priamoj i nepriamoj adresaciji v detskoj chudožestvennoj proze (na materiale proizvedenij V. Lipskoho) / Kalechyts, Alena [Autor, UKFFFAKRU, 100%] ; Slavianskij mir: jazyk, literatura, kuľtura [28.11.2018-29.11.2018, Moskva, Ruská federácia]. – [ruština]. – [OV 020]. – [abstrakt z podujatia - KP]. – [recenzované] In: Slavianskij mir: jazyk, literatura, kuľtura [textový dokument (print)] : materialy meždunarodnoj naučnoj konferenciji, posviaščenoj 100-letiju so dnija roždenija zaslužnoggo professora MGU imeni M.V. Lomonosova A.G. Širokovoj i 75-letiju kafedry slavijanskoj filologiji Filologičeskogo fakulteta 28-29 nojabrija 2018 goda, Moskva / Remnjova, M.L. [Zostavovateľ, editor] ; Ananeva, N.E. [Zostavovateľ, editor]. – 1. vyd. – Moskva (Ruská federácia) : MAKS Press, 2018. – ISBN 978-5-317-05930-9, s. 121-124 [tlačená forma] </t>
  </si>
  <si>
    <t xml:space="preserve">Spreading of spiders (Araneae) in the urban environment as an impact of human activities / Purgat, Pavol [Autor, UKFFPVKEE, 60%] ; Krumpálová, Zuzana [Autor, UKFFPVKEE, 35%] ; Lelovicsová, Silvia [Autor, 1%] ; Petrovičová, Kornélia [Autor, SPUFAP26, 4%] ; Public recreation and landscape protection - with sense hand in hand? [11.05.2020-13.05.2020, Křtiny, Česko]. – text. – [angličtina]. – [OV 100]. – [abstrakt z podujatia - KP]. – SCO In: Public recreation and landscape protection  -  with sense hand in hand? [textový dokument (print)] [elektronický dokument] : Conference proceedings, 11th - 13th May 2020 Křtiny / Fialová, Jitka [Zostavovateľ, editor]. – 1. vyd. – Brno (Česko) : Mendelova univerzita v Brně, 2020. – ISBN 978-80-7509-715-6. – ISBN (online) 978-80-7509-716-3. – ISSN 2336-6311. – ISSN (online) 2336-632X, s. 430-434 [tlačená forma] [online] </t>
  </si>
  <si>
    <t xml:space="preserve">Standardized nursing plans and their clinical use / Mankovecká, Monika [Autor, UKFFSVKUM, 100%] ; CBU International Conference, 6 [21.03.2018-23.03.2018, Praha, Česko]. – [angličtina]. – [OV 180]. – [abstrakt z podujatia - KP]. – [recenzované] In: CBU International Conference Proceedings 2018 [textový dokument (print)] [elektronický dokument] : Innovations in Science and Education : March 21-23, 2018, Prague, Czech Republic / Hájek, Petr [Zostavovateľ, editor] ; Vít, Ondřej [Zostavovateľ, editor]. – 1. vyd. – Praha (Česko) : CBU Research Institute, 2018. – ISBN 978-80-270-5037-6. – ISBN (online) 978-80-270-5038-3. – ISSN 1805-997X. – ISSN (online) 1805-9961, s. 938-943 [tlačená forma] [online] </t>
  </si>
  <si>
    <t xml:space="preserve">Starnutie európskeho obyvateľstva a ekvivalentácia súvisiacej terminológie v anglicko-francúzsko-slovenskom jazykovom pláne = Population ageing in Europe and equivalentation of the related terminology in the English, French and  Slovak languages / Ukušová, Jana [Autor, UKFFFAKTR, 100%] ; QUAERE 2018, 8 [27.06.2018-29.06.2018, Hradec Králové, Česko]. – text. – [slovenčina]. – [OV 020]. – [abstrakt z podujatia - KP]. – [recenzované] In: QUAERE 2018 [elektronický dokument] : recenzovaný sborník příspěvků vědecké interdisciplinární mezinárodní vědecké konference doktorandů a odborných asistentů / [bez zostavovateľa] [Zostavovateľ, editor]. – 1. vyd. – Roč. 8. – Hradec Králové (Česko) : Magnanimitas akademické sdružení, 2018. – ISBN 978-80-87952-26-9, s. 1172-1183 [CD-ROM] </t>
  </si>
  <si>
    <t xml:space="preserve">State language teaching for Hungarian minority in Slovakia / Vančo, Ildikó [Autor, UKFFSSUML, 100%] ; International Technology, Education and Development Conference 2020, 14 [02.03.2020-04.03.2020, Valencia, Španielsko]. – text. – [angličtina]. – [OV 010]. – [abstrakt z podujatia - KP]. – [recenzované]. – WOS CC In: INTED2020 Proceedings [elektronický dokument] : 14th International Technology, Education and Development Conference / Chova, Luis Goméz [Zostavovateľ, editor] ; López Martínez, Agustín [Zostavovateľ, editor] ; Candel Torres, Ignacio [Zostavovateľ, editor]. – 1. vyd. – Valencia (Španielsko) : IATED, 2020. – (INTED Proceedings, ISSN 2340-1079). – ISBN 978-84-09-17939-8. – ISSN 2340-1079, s. 4859-4863 [online] </t>
  </si>
  <si>
    <t xml:space="preserve">Stav vojvodinskej slovenčiny ako enklávneho jazyka = The development state of Vojvodina Slovak as an enclave language / Glovňa, Juraj [Autor, UKFFFASJL, 100%] ; Medzinárodný zjazd slavistov v Belehrade, 16 [20.08.2018-27.08.2018, Belehrad, Srbsko]. – text. – [slovenčina]. – [OV 020]. – [článok z podujatia]. – [recenzované]. – SCO In: Slavica Slovaca [textový dokument (print)] [elektronický dokument] : orgán Slavistického ústavu Jána Stanislava SAV a Slovenského komitétu slavistov. – Bratislava (Slovensko) : Slovenská akadémia vied. Slavistický ústav Jána Stanislava. – ISSN 0037-6787. – ISSN (online) 1336-2364. – suppl. Roč. 53, č. 3-4 (2018), s. 86-93 [tlačená forma] [online] . – SJR: 0,1 ; CiteScore: 0,2 ; SNIP: 0,159 Scimago - Anthropology - Q4, Cultural studies - Q4, History - Q4, Language and linguistics - Q4, Linguistics and language - Q4 </t>
  </si>
  <si>
    <t xml:space="preserve">Stimulating a desire to read using a contemporary children’s fable / Petres Csizmadia, Gabriela [Autor, UKFFSSUML, 100%] ; ICERI 2021, 14 [08.11.2021-09.11.2021, Seville, Španielsko]. – text. – [angličtina]. – [OV 010]. – [abstrakt z podujatia - KP] In: ICERI2021 [elektronický dokument] : 14th annual International Conference of Education, Research and Innovation / Gómez, Chova L. [Zostavovateľ, editor] ; López Martínez, Agustín [Zostavovateľ, editor] ; Candel Torres, Ignacio [Zostavovateľ, editor]. – 1. vyd. – Valencia (Španielsko) : IATED, 2021. – ISBN 978-84-09-34549-6. – ISSN 2340-1095, s. 4488-4495 [online] [USB kľúč] </t>
  </si>
  <si>
    <t xml:space="preserve">Storytelling as a part of destination marketing in the Trenčín region / Papcunová, Viera [Autor, UKFFPVUMI, 45%] ; Ondrušová, Dominika [Autor, 10%] ; Hudáková, Jarmila [Autor, UKFFPVUMI, 45%] ; Mezinárodní kolokvium o regionálních vědách, 24 [01.09.2021-03.09.2021, Brno, Česko]. – text. – [angličtina]. – [OV 060]. – [abstrakt z podujatia - KP]. – [recenzované]. – DOI 10.5817/CZ.MUNI.P210-9896-2021-35 In: 24. Mezinárodní kolokvium o regionálních vědách [elektronický dokument] : sborník příspěvků Brno 1.9-3.9.2021 / Klímová, Viktorie [Zostavovateľ, editor] ; Žítek, Vladimír [Zostavovateľ, editor]. – 1. vyd. – Roč. 24. – Brno (Česko) : Masarykova univerzita, 2021. – ISBN 978-80-210-9896-1, s. 286-293 [CD-ROM] [online] </t>
  </si>
  <si>
    <t xml:space="preserve">Stratégie regulácie emócií ako determinanty ťažkostí v kariérovom rozhodovaní adolescentov / Pilárik, Ľubor [Autor, UKFFSVKPV, 40%] ; Ďuriačová, Dominika [Autor, 30%] ; Jurišová, Erika [Autor, UKFFSVKPV, 30%] ; PhD existence 2019, 9 [21.01.2019-22.01.2019, Olomouc, Česko]. – text. – [slovenčina]. – [OV 060]. – [abstrakt z podujatia - KP] In: PhD existence 9 [elektronický dokument] : česko-slovenská konference (nejen) pro doktorandy a o doktorandech : „Telo a mysl“ : konferenční DVD / Maierová, Eva [Zostavovateľ, editor] ; Viktorová, Lucie [Zostavovateľ, editor] ; Dolejš, Martin [Zostavovateľ, editor]. – Olomouc (Česko) : Univerzita Palackého v Olomouci, 2019. – ISBN (online) 978-80-244-5594-5, s. 292-300 [DVD] </t>
  </si>
  <si>
    <t xml:space="preserve">Strategies the adolescents of different age and gender use to cope with cyberbullying / Fenyvesiová, Lívia [Autor, UKFPFAKPE, 50%] ; Hollá, Katarína [Autor, UKFPFAKPE, 50%] ; ICERI 2021, 14 [08.11.2021-09.11.2021, Seville, Španielsko]. – text. – [angličtina]. – [OV 020]. – [abstrakt z podujatia - KP]. – DOI 10.21125/iceri.2021.0125 In: ICERI2021 [elektronický dokument] : 14th annual International Conference of Education, Research and Innovation / Gómez, Chova L. [Zostavovateľ, editor] ; López Martínez, Agustín [Zostavovateľ, editor] ; Candel Torres, Ignacio [Zostavovateľ, editor]. – 1. vyd. – Valencia (Španielsko) : IATED, 2021. – ISBN 978-84-09-34549-6. – ISSN 2340-1095, s. 298-308 [online] [USB kľúč] </t>
  </si>
  <si>
    <t xml:space="preserve">Stratified Approach to Teachers' Competence Assessment / Gadušová, Zdenka [Autor, UKFFFAKAA, 40%] ; Hašková, Alena [Autor, UKFPFAKTT, 30%] ; Jakubovská, Viera [Autor, UKFFFAKFI, 30%] ; Chova, Luis Goméz [Recenzent] ; Martínez, Augustín López [Recenzent] ; International Technology, Education and Development Conference 2018, 12 [05.03.2018-07.03.2018, Valencia, Španielsko]. – text. – [angličtina]. – [OV 010]. – [abstrakt z podujatia - KP]. – WOS CC In: INTED2018 Proceedings [elektronický dokument] : 12th International Technology, Education and Development Conference / Chova, Luis Goméz [Zostavovateľ, editor]. – 1. vyd. – Valencia (Španielsko) : IATED, 2018. – (INTED Proceedings, ISSN 2340-1079). – ISBN 978-84-697-9480-7. – ISSN 2340-1079, s. 2757-2766 [USB kľúč] [CD-ROM] </t>
  </si>
  <si>
    <t xml:space="preserve">Strengths of the Character of High School Students and Their Relationship to the Classroom Climate / Sender, Barbora [Autor, UKFPFAKPE, 100%] ; International Academic Conference on Teaching, Learning and E-learning [02.07.2021-03.07.2021, Vienna, Rakúsko]. – text. – [angličtina]. – [OV 010]. – [abstrakt z podujatia - KP] In: International Academic Conference on Teaching, Learning and E-learning [textový dokument (print)] : Proceedings of IAC 2021 in Vienna, July 2021 in Prague / [bez zostavovateľa] [Zostavovateľ, editor]. – 1. vyd. – Prague (Česko) : Czech Institute of Academic Education, 2021. – ISBN 978-80-88203-22-3, s. 15-24 [tlačená forma] </t>
  </si>
  <si>
    <t xml:space="preserve">Stress in students' speeches / Welnitzová, Katarína [Autor, UKFFFAKTR, 100%] ; International Technology, Education and Development Conference 2021, 15 [08.03.2021-09.03.2021, Valencia, Španielsko]. – text. – [angličtina]. – [OV 020]. – [abstrakt z podujatia - KP]. – DOI 10.21125/inted.2021.1985 In: INTED2021 [textový dokument (print)] [elektronický dokument] : 15th International Technology, Education and Development Conference : conference proceedings / Chova, Luis Goméz [Zostavovateľ, editor] ; López Martínez, Agustín [Zostavovateľ, editor] ; Candel Torres, Ignacio [Zostavovateľ, editor]. – 1. vyd. – Valencia (Španielsko) : IATED, 2021. – (INTED Proceedings, ISSN 2340-1079). – ISBN 978-84-09-27666-0. – ISSN 2340-1079, s. 9490-9498 [online] </t>
  </si>
  <si>
    <t xml:space="preserve">Stretnutie slovanskej a neslovanskej imaginácie v archetype rozprávkovej postavy / Čechová, Mariana [Autor, UKFFFAULK, 50%] ; Plesník, Ľubomír [Autor, UKFFFAULK, 50%] ; Słowiańskie światy wyobraźni [24.09.2018-25.09.2018, Kraków, Poľsko]. – text. – [slovenčina]. – [OV 020]. – [abstrakt z podujatia - KP] In: Słowiańskie światy wyobraźni [textový dokument (print)] : granice tolerancji. Recenzowane materiały z Międzynarodowej Konferencji Naukowej "Słowiańskie światy wyobraźni : granice tolerancji", dn. 24-25 września 2018, Kraków / Dyras, Magdalena [Zostavovateľ, editor] ; Boguslawska, Magdalena [Recenzent] ; Saksida, Igor [Recenzent]. – 1. vyd. – Kraków (Poľsko) : Uniwersytet Jagielloński. Wydawnictwo Uniwersytetu Jagiellońskiego, 2019. – ISBN 978-83-233-4774-3, s. 55-71 </t>
  </si>
  <si>
    <t xml:space="preserve">Stručná geneaológia katolíckej koncepcie sexuálneho a reprodukčného zdravia : výskumná sonda do súvislostí nekoitálnych a koitálnych sexuálnych aktivít / Marková, Dagmar [Autor, UKFFFAKAE 06.2022, 50%] ; Kocina, Petr [Autor, UKFFFAKAE 06.2022, 50%] ; Zouharová, Marie [Recenzent] ; Podroužek, Ladislav [Recenzent] ; Moravský regionální kongres k sexuální výchově, 8 [06.03.2018, Olomouc, Česko]. – text. – [slovenčina]. – [OV 020]. – [abstrakt z podujatia - KP] In: 8. Moravský regionální kongres k sexuální výchově [textový dokument (print)] : Olomouc, 6. březen 2018 / Mitlöhner, Miroslav [Zostavovateľ, editor] ; Prouzová, Zuzana [Zostavovateľ, editor]. – Praha (Česko) : Společnost pro plánování rodiny a sexuální výchovu, 2018. – ISBN 978-80-905696-7-6, s. 38-48 [tlačená forma] </t>
  </si>
  <si>
    <t xml:space="preserve">Student learning results through e-learning in the context of the covid - 19 pandemic / Bánesz, Gabriel [Autor, UKFPFAKTT, 60%] ; Lukáčová, Danka [Autor, UKFPFAKTT, 30%] ; Felixová, Eva [Autor, UKFPFAKTT, 10%] ; ICERI 2020 : International Conference of Education, Research and Innovation, 13 [09.11.2020-10.11.2020, Sevilla, Španielsko]. – text. – [angličtina]. – [OV 010]. – [abstrakt z podujatia - KP] In: ICERI 2020 [elektronický dokument] : 13th international conference of education, research and innovation : transforming education, transforming lives / Gómez Chova, Luis [Zostavovateľ, editor] ; Martínez, Augustín López [Zostavovateľ, editor] ; Torres, I. Candel [Zostavovateľ, editor]. – 1. vyd. – Valencia (Španielsko) : IATED, 2020. – ISBN 978-84-09-24232-0. – ISSN 2340-1095, s. 3102-3106 [USB kľúč] </t>
  </si>
  <si>
    <t xml:space="preserve">Student learning simulation process with petri nets / Kuchárik, Michal [Autor, UKFFPVKIN, 50%] ; Balogh, Zoltán [Autor, UKFFPVKIN, 50%] ; International Conference on Intelligent Computing, Communication and Devices [09.12.2017-10.12.2017, Shenzhen, Čína]. – text. – [angličtina]. – [OV 160]. – [abstrakt z podujatia - KP]. – [recenzované]. – DOI 10.1007/978-981-10-8944-2_130. – SCO In: Advances in Human Factors, Business Management and Society [elektronický dokument] [textový dokument (print)] : proceedings of the AHFE 2018 International Conference on Human Factors, Business Management and Society / Kantola, Jussi Ilari [Zostavovateľ, editor] ; Nazir, Salman [Zostavovateľ, editor] ; Barath, Tibor [Zostavovateľ, editor]. – 1. vyd. – Cham (Švajčiarsko) : Springer Nature. Springer International Publishing AG, 2019. – (Advances in Intelligent Systems and Computing, ISSN 2194-5357, ISSN 2194-5365 ; 783, SJR: 0,184 ; CiteScore: 0,9 ; SNIP: 0,429). – ISBN 978-3-319-94708-2. – ISBN (online) 978-3-319-94709-9, s. 1115-1124 [online] [tlačená forma] Scimago - Computer science (miscellaneous) - Q3, Control and systems engineering - Q4 </t>
  </si>
  <si>
    <t xml:space="preserve">Student Performance During Distance Learning In Times od Covid19 / Hudáková, Jarmila [Autor, UKFFPVUMI, 50%] ; Papcunová, Viera [Autor, UKFFPVUMI, 50%] ; ICERI 2021, 14 [08.11.2021-09.11.2021, Seville, Španielsko]. – [angličtina]. – [OV 060]. – [abstrakt z podujatia - KP] In: ICERI2021 [elektronický dokument] : 14th annual International Conference of Education, Research and Innovation / Gómez, Chova L. [Zostavovateľ, editor] ; López Martínez, Agustín [Zostavovateľ, editor] ; Candel Torres, Ignacio [Zostavovateľ, editor]. – 1. vyd. – Valencia (Španielsko) : IATED, 2021. – ISBN 978-84-09-34549-6. – ISSN 2340-1095, s. 2694-2698 [online] [USB kľúč] </t>
  </si>
  <si>
    <t xml:space="preserve">Student's Competencies in Mathematical Proofs / Bulková, Kristína [Autor, UKFFPVKMA, 34%] ; Medová, Janka [Autor, UKFFPVKMA, 33%] ; Čeretková, Soňa [Autor, UKFFPVKMA, 33%] ; EDULEARN18, 10 [02.07.2018-04.07.2018, Palma de Mallorca, Španielsko]. – text. – [angličtina]. – [OV 010]. – [abstrakt z podujatia - KP]. – [recenzované] In: EDULEARN18 proceedings [elektronický dokument] : 10th International Conference on Education and New Learning Technologies / Chova, Luis Goméz [Zostavovateľ, editor] ; Martínez, Augustín López [Zostavovateľ, editor] ; Torres, I. Candel [Zostavovateľ, editor]. – 1. vyd. – Roč. 10. – [Valencia] (Španielsko) : IATED, 2018. – ISBN 978-84-09-02709-5. – ISSN 2340-1117, s. 5650-5657 [CD-ROM] [USB kľúč] </t>
  </si>
  <si>
    <t xml:space="preserve">Students' interest in technical study programs and technical olympiad: investigation of the interrelation / Hašková, Alena [Autor, UKFPFAKTT, 50%] ; Širka, Ján [Autor, UKFPFAKTT, 50%] ; EDULEARN20, 12 [06.07.2020-07.07.2020, Palma de Mallorca, Španielsko]. – text. – [angličtina]. – [OV 010]. – [abstrakt z podujatia - KP] In: EDULEARN20 proceedings [elektronický dokument] : 12th International Conference on Education and New Learning Technologies / Gómez Chova, Luis [Zostavovateľ, editor] ; López Martínez, Agustín [Zostavovateľ, editor]. – 1. vyd. – Roč. 12. – Valencia (Španielsko) : IATED, 2020. – ISBN 978-84-09-17979-4. – ISSN 2340-1117, s. 439-442 [USB kľúč] </t>
  </si>
  <si>
    <t xml:space="preserve">Students' Perception of Success and Failure in Foreign Language Learning / Stančeková, Svetlana [Autor, UKFFFAKRO, 50%] ; Chválová, Katarína [Autor, UKFFFAKRO, 50%] ; Harmon, Stephen P. [Recenzent] ; Holford, John [Recenzent] ; International Conference on Lifelong Education and Leadership for all, 4 [03.07.2018-05.07.2018, Vroclav, Poľsko]. – [angličtina]. – [OV 010]. – [abstrakt z podujatia - KP]. – WOS CC In: 4th International Conference on Lifelong Education and Leadership for all - ICLEL 18 [textový dokument (print)] : proceeding book 3 July 2018 to 5 July 2018, Wroclaw / Titrek, Osman [Zostavovateľ, editor]. – 1. vyd. – Sakarya (Turecko) : Sakarya University, 2018. – ISBN 978-605-66495-3-0, s. 273-283 [tlačená forma] </t>
  </si>
  <si>
    <t xml:space="preserve">Students' Readiness for Online Education due to the  Covid 19 Pandemic / Lukáčová, Danka [Autor, UKFPFAKTT, 50%] ; Bánesz, Gabriel [Autor, UKFPFAKTT, 50%] ; EDULEARN21 [05.07.2021-06.07.2021, Barcelona, Španielsko]. – text. – [angličtina]. – [OV 010]. – [abstrakt z podujatia - KP] In: EDULEARN21 [elektronický dokument] : 13th annual International Conference on Education and New Learning Technologies, Barcelona, 5th - 6th of July, 2021 / Chova, Luis Goméz [Zostavovateľ, editor] ; Martínez, Augustín López [Zostavovateľ, editor] ; Torres, I. [Zostavovateľ, editor]. – 1. vyd. – Roč. 13. – Barcelona (Španielsko) : IATED, 2021. – ISBN 978-84-09-31267-2. – ISSN 2340-1117, s. 6419-6424 [CD-ROM] [USB kľúč] </t>
  </si>
  <si>
    <t xml:space="preserve">Subject Specific Variables of Learning Foreign Language Pronunciation / Kráľová, Zdena [Autor, UKFPFAKLI, 100%] ; World Congress on Special Needs Education [09.12.2019-11.12.2019, London, Veľká Británia]. – text. – [angličtina]. – [OV 010]. – [abstrakt z podujatia - KP] In: World Congress on Special Needs Education (WCSNE-2019) [textový dokument (print)] : Proceedings from World Congress,  London 9-11 December 2019 / [bez zostavovateľa] [Zostavovateľ, editor] ; Shoniregun, Charles [Recenzent] ; Akmayeva, Galyna [Recenzent]. – 1. vyd. – London (Veľká Británia) : Infonomics Society, 2020. – ISBN 978-1-913572-04-4, s. 44-48 [online] </t>
  </si>
  <si>
    <t xml:space="preserve">Subjektívna teória učiteľov a možnosti jej uplatnenia vo vyučovacom procese / Feranská, Margita [Autor, UKFPFAKPE, 100%] ; Začínající učitel v měnící se společnosti [07.11.2017-08.11.2017, Olomouc, Česko]. – [čeština]. – [OV 010]. – [abstrakt z podujatia - KP]. – [recenzované] In: Začínající učitel v měnící se společnosti [textový dokument (print)] : zborník z mezinárodní vědecké konference studentů DSP, 7. -8. listopad 2017 Olomouc / Vyhnálková, Pavla [Zostavovateľ, editor]. – 1. vyd. – Olomouc (Česko) : Univerzita Palackého v Olomouci, 2019. – ISBN 978-80-244-5475-7, s. 101-109 </t>
  </si>
  <si>
    <t xml:space="preserve">Subjektívne hodnotenie intímnych vzťahov z hľadiska spokojnosti v období mladej dospelosti: etické a psychologické aspekty / Marková, Dagmar [Autor, UKFFFAKAE 06.2022, 25%] ; Kocina, Petr [Autor, UKFFFAKAE 06.2022, 25%] ; Turčan, Ciprian [Autor, UKFFFAKAE 06.2022, 25%] ; Šebíková, Lívia [Autor, UKFFFAKAE 06.2022, 25%] ; Celostátní kongres k suxuální výchově v České republice, 27 [10.10.2019-11.10.2019, Pardubice, Česko]. – text. – [slovenčina]. – [OV 020]. – [abstrakt z podujatia - KP] In: 27. celostátní kongres k sexuální výchově v České republice [textový dokument (print)] / Mitlöhner, Miroslav [Zostavovateľ, editor] ; Prouzová, Zuzana [Zostavovateľ, editor] ; Zouharová, Marie [Recenzent] ; Podroužek, Ladislav [Recenzent]. – 1. vyd. – Praha (Česko) : Společnost pro plánování rodiny a sexuální výchovu, 2019. – ISBN 978-80-905696-9-0, s. 66-87 [tlačená forma] </t>
  </si>
  <si>
    <t xml:space="preserve">Subtitrirovanije kak aktivnyj instrument povyšenija kommunikativnych jazykovych kompetencij pri obučenii inostrannym jazykam/Subtitling as an Active Tool in Enhancing Communicative Language Competences in Foreign Language Teaching / Zahorák, Andrej [Autor, UKFFFAKTR, 50%] ; Perez, Emília [Autor, UKFFFAKTR, 50%] ; Vostok - Zapad, 4 [04.03.2021, Novosibirsk, Ruská federácia]. – text. – [ruština]. – [OV 020]. – [abstrakt z podujatia - KP] In: Vostok - Zapad [textový dokument (print)] : teoretičeskije i prikladnyje aspekty prepodavanija jevropejskich i vostočnych jazykov / [bez zostavovateľa] [Zostavovateľ, editor]. – 1. vyd. – Novosibirsk (Ruská federácia) : Sibirskij gosudarstvennyj universitet putej soobščenija, 2021. – ISBN 978-5-00148-206-2, s. 80-85 [tlačená forma] </t>
  </si>
  <si>
    <t xml:space="preserve">Succession in Family Businesses in Slovakia / Mižičková, Jarmila [Autor, 50%] ; Levický, Michal [Autor, UKFFPVUMI, 50%] ; DOKBAT 2019, 15 [06.11.2019-07.11.2019, Zlín, Česko]. – text. – [angličtina]. – [OV 060]. – [abstrakt z podujatia - KP]. – DOI 10.7441/dokbat.2019.104. – WOS CC In: DOKBAT 2019 [elektronický dokument] : conference proceedings : 15th Annual International Bata Conference for Ph.D. Students and Young Researchers / Ondra, Pavel [Zostavovateľ, editor]. – 1. vyd. – Zlín (Česko) : Univerzita Tomáše Bati ve Zlíně. Fakulta managementu a ekonomiky, 2019. – ISBN (online) 978-80-7454-893-2, s. 778-783 [online] [CD-ROM] </t>
  </si>
  <si>
    <t xml:space="preserve">Succession of technical education and professional orientation of primary school pupils / Tomková, Viera [Autor, UKFPFAKTT, 50%] ; Ažaltovičová, Michaela [Autor, UKFPFAKTT, 50%] ; ICERI 2020 : International Conference of Education, Research and Innovation, 13 [09.11.2020-10.11.2020, Sevilla, Španielsko]. – text. – [angličtina]. – [OV 010]. – [abstrakt z podujatia - KP] In: ICERI 2020 [elektronický dokument] : 13th international conference of education, research and innovation : transforming education, transforming lives / Gómez Chova, Luis [Zostavovateľ, editor] ; Martínez, Augustín López [Zostavovateľ, editor] ; Torres, I. Candel [Zostavovateľ, editor]. – 1. vyd. – Valencia (Španielsko) : IATED, 2020. – ISBN 978-84-09-24232-0. – ISSN 2340-1095, s. 3232-3237 [USB kľúč] </t>
  </si>
  <si>
    <t xml:space="preserve">Súčasnosť a blízka budúcnosť turizmu v Slovenskej republike = Present and close future of tourism in the Slovak Republic / Némethová, Jana [Autor, UKFFPVKGR, 34%] ; Beresecká, Janka [Autor, SPUFES16, 33%] ; Hudáková, Monika [Autor, SPUFEM15, 33%] ; Aktuální problémy cestovního ruchu, 14 [27.02.2019-28.02.2019, Jihlava, Česko]. – [slovenčina]. – [OV 080]. – [abstrakt z podujatia - KP] In: Aktuální problémy cestovního ruchu [elektronický dokument] : „Cestovní ruch - příležitost pro venkov" : recenzovaný sborník z mezinárodní konference / Linderová, Ivica [Zostavovateľ, editor]. – 1 vyd. – Roč. 14. – Jihlava (Česko) : Vysoká škola polytechnická Jihlava, 2019. – ISBN 978-80-88064-43-5. – ISBN (online) 978-80-88064-42-8, s. 210-219 [online] [CD-ROM] </t>
  </si>
  <si>
    <t xml:space="preserve">Sujetovo-motivické stereotypy protagonistovho utrpenia zobrazované v arcimotíve "sestra hľadajúca svojich bratov" / Danišová, Nikola [Autor, UKFFFAULK, 100%] ; Słowiańskie światy wyobraźni [24.09.2018-25.09.2018, Kraków, Poľsko]. – text. – [slovenčina]. – [OV 020]. – [abstrakt z podujatia - KP] In: Słowiańskie światy wyobraźni [textový dokument (print)] : granice tolerancji. Recenzowane materiały z Międzynarodowej Konferencji Naukowej "Słowiańskie światy wyobraźni : granice tolerancji", dn. 24-25 września 2018, Kraków / Dyras, Magdalena [Zostavovateľ, editor] ; Boguslawska, Magdalena [Recenzent] ; Saksida, Igor [Recenzent]. – 1. vyd. – Kraków (Poľsko) : Uniwersytet Jagielloński. Wydawnictwo Uniwersytetu Jagiellońskiego, 2019. – ISBN 978-83-233-4774-3, s. 85-98 </t>
  </si>
  <si>
    <t xml:space="preserve">Support of critical thinking by conceptual maps focused on the concept of energy at elementary school / Jindrová, Terézia [Autor, UKFFPVKFY, 100%] ; ICERI 2019, 12 [11.11.2019-13.11.2019, Seville, Španielsko]. – text. – [angličtina]. – [OV 091]. – [abstrakt z podujatia - KP]. – WOS CC In: ICERI2019 Proceedings [elektronický dokument] : 12th International conference of education, research and innovation / Gómez Chova, Luis [Zostavovateľ, editor] ; López Martínez, Agustín [Zostavovateľ, editor] ; Candel Torres, Ignacio [Zostavovateľ, editor]. – 1. vyd. – Valencia (Španielsko) : IATED, 2019. – ISBN 978-84-09-14755-7. – ISSN 2340-1095, 10914-10922 [USB kľúč] </t>
  </si>
  <si>
    <t xml:space="preserve">Support of entrepreneurship in the form of self-employment contribution = Podpora podnikania formou príspevku na samostatnú zárobkovú činnosť / Korenková, Marcela [Autor, UKFFPVUMI, 100%] ; Mezinárodní kolokvium o regionálních vědách, 22 [12.06.2019-14.06.2019, Velké Bílovice, Česko]. – text. – [angličtina]. – [OV 060]. – [abstrakt z podujatia - KP]. – DOI 10.5817/CZ.MUNI.P210-9268-2019-6. – WOS CC In: 22. mezinárodní kolokvium o regionálních vědách [elektronický dokument] : sborník příspěvků / Klímová, Viktorie [Zostavovateľ, editor] ; Žítek, Vladimír [Zostavovateľ, editor] ; Žárska, Elena [Recenzent]. – 1. vyd. – Roč. 22. – Brno (Česko) : Masarykova univerzita, 2019. – ISBN 978-80-210-9268-6, s. 110-116 [online] </t>
  </si>
  <si>
    <t xml:space="preserve">Supporting Self-Directed language learning by theory of connectivism in context of the Covid-19 Pandemic / Romanová, Iveta [Autor, UKFFFAKAA, 100%] ; Média a vzdělávání 2020, 14 [20.11.2020, Praha, Česko]. – text. – [angličtina]. – [OV 010]. – [abstrakt z podujatia - KP] In: Média a vzdělávání 2020 [elektronický dokument] / Chromý, Ján [Zostavovateľ, editor] ; Krpálková Krelová, Katarína [Zostavovateľ, editor] ; Drtina, René [Recenzent] ; Bilan, N. [Recenzent]. – 1. vyd. – Praha (Česko) : Extrasystem Praha, 2020. – (Didaktika, pedagogika ; 42). – ISBN (online) 978-80-87570-51-7, s. 130-132 [online] </t>
  </si>
  <si>
    <t xml:space="preserve">Survey of common lexical errors of German to Slovak machine translation observed in traditional online media discourse / Pavlová, Renáta [Autor, UKFFFAJZC, 20%] ; Csalová, Oľga [Autor, UKFFFAJZC, 20%] ; Burcl, Pavol [Autor, UKFFFAJZC, 20%] ; Kozárová, Zuzana [Autor, UKFFFAJZC, 20%] ; Zelenická, Elena [Autor, UKFFFAJZC, 20%] ; QUAERE 2019 : interdisciplinární mezinárodní vědecká konference doktorandů a odborných asistentů, 9 [24.06.2019-28.06.2019, Hradec Králové, Česko]. – text. – [angličtina]. – [OV 020]. – [abstrakt z podujatia - KP] In: QUAERE 2019 [elektronický dokument] : recenzovaný sborník příspěvků interdisciplinární mezinárodní vědecké konference doktorandů a odborných asistentů = reviewed proceedings of the interdisciplinary scientific international conference for PhD students and assistants / [bez zostavovateľa] [Zostavovateľ, editor]. – 1. vyd. – Roč. 9. – Hradec Králové (Česko) : Magnanimitas akademické sdružení, 2019. – ISBN 978-80-87952-30-6, s. 635-643 [DVD] </t>
  </si>
  <si>
    <t xml:space="preserve">Suščestvujet li russkaja literatura v slovackoj škole? / Lekeš, Patrik [Autor, UKFFFASJL, 100%] ; Aktuaľnyje voprosy sovremennoj filologii: teorija, praktika, perspektivy razvitija [25.04.2020, Krasnodar, Ruská federácia]. – text. – [ruština]. – [OV 020]. – [abstrakt z podujatia - KP] In: Aktuaľnyje voprosy sovremennoj filologii: teorija, praktika, perspektivy razvitija [textový dokument (print)] : materialy V. Meždunarodnoj naučno-praktičeskoj konferencii, kotoraja sostajatsja 25 aprelija 2020 goda / Abramov, Nikolaj V. [Zostavovateľ, editor] ; Rjadčikova, Elena N. [Recenzent] ; Svitenko, N.V. [Recenzent]. – 1. vyd. – Krasnodar (Ruská federácia) : Kubanskij gosudarstvennyj universitet, 2021. – ISBN 978-5-8209-1777-6, s. 229-233 </t>
  </si>
  <si>
    <t xml:space="preserve">Súvislosti medzi vzťahovou väzbou, alexitýmiou a úzkosťou u jednotlivcov závislých od alkoholu / Jančiarová, Mária [Autor, UKFFSVKPV, 50%] ; Popelková, Marta [Autor, UKFFSVKPV, 50%] ; Blatný, Marek [Recenzent] ; Jelínek, Martin [Recenzent] ; Sociální procesy a osobnost 2017 [18.09.2017-20.09.2017, Brno, Česko]. – text. – [slovenčina]. – [OV 060]. – [abstrakt z podujatia - KP] In: Sociální procesy a osobnost 2017 [elektronický dokument] : sborník příspěvků / Blatný, Marek [Zostavovateľ, editor] ; Jelínek, Martin [Zostavovateľ, editor] ; Květon, Petr [Zostavovateľ, editor] ; Vobořil, Dalibor [Zostavovateľ, editor]. – 1. vyd. – Praha (Česko) : Akademie věd České republiky, 2018. – ISBN (online) 978-80-86174-22-8, s. 141-146 [online] </t>
  </si>
  <si>
    <t xml:space="preserve">Sviatoj Kliment Ochriskij v kontekste sovremennoj slovackoj istoriografii / Ivanič, Peter [Autor, UKFFFAUKD, 50%] ; Hetényi, Martin [Autor, UKFFFAUKD, 50%] ; Fiti, Taki [Recenzent] ; Grozdanov, Cvetan [Recenzent] ; Mileniumskoto zračenie na sv. Kliment Ochridski [28.10.2016-29.10.2016, Skopje, Macedónsko]. – [macedónčina]. – [OV 020]. – [abstrakt z podujatia - KP] In: Mileniumskoto zračenie na sv. Kliment Ochridski [textový dokument (print)] : mežunaroden naučen sobir, Skopje, 28-29 oktombri 2016 godina / Ristovski, Blaže [Zostavovateľ, editor]. – 1. vyd. – Skopje (Macedónsko) : Makedonska Akademija na naukite u umetnostite, 2018. – ISBN 978-608-203-228-3, s. 189-200 </t>
  </si>
  <si>
    <t xml:space="preserve">SWOT Analysis of Virtual Reality Systems / Kuna, Peter [Autor, UKFFPVKIN, 34%] ; Hašková, Alena [Autor, UKFPFAKTT, 33%] ; Borza, Ľuboš [Autor, 33%] ; EDULEARN21 [05.07.2021-06.07.2021, Barcelona, Španielsko]. – text. – [angličtina]. – [OV 010]. – [abstrakt z podujatia - KP] In: EDULEARN21 [elektronický dokument] : 13th annual International Conference on Education and New Learning Technologies, Barcelona, 5th - 6th of July, 2021 / Chova, Luis Goméz [Zostavovateľ, editor] ; Martínez, Augustín López [Zostavovateľ, editor] ; Torres, I. [Zostavovateľ, editor]. – 1. vyd. – Roč. 13. – Barcelona (Španielsko) : IATED, 2021. – ISBN 978-84-09-31267-2. – ISSN 2340-1117, s. 4837-4885 [CD-ROM] [USB kľúč] </t>
  </si>
  <si>
    <t xml:space="preserve">Systém poskytovania nízkoprahových služieb pre injekčných užívateľov drog v Nitrianskom a Trnavskom kraji = The system of providing low-threshold services for injecting drug users in the Nitra and Trnava regions / Tomášik, Vesna [Autor, UKFFSVKSP, 60%] ; Gažiková, Elena [Autor, UKFFSVKSP, 40%] ; Mezinárodní Masarykova konference pro doktorandy a mladé vědecké pracovníky 2020, 11 [14.12.2020-16.12.2020, Hradec Králové, Česko]. – text. – [slovenčina]. – [OV 010, 060]. – [abstrakt z podujatia - KP] In: MMK 2020 [elektronický dokument] : Mezinárodní Masarykova konference pro doktorandy a mladé vědecké pracovníky 2020 = recenzovaný sborník příspěvků mezinárodní vědecké konference / [bez zostavovateľa] [Zostavovateľ, editor] ; Lipowski, Jaroslav [Recenzent] ; Jaskułowski, Krzysztof [Recenzent]. – 1. vyd. – Roč. 11. – Hradec Králové (Česko) : Magnanimitas akademické sdružení, 2020. – ISBN 978-80-87952-33-7, s. 831-838 [CD-ROM] [online] </t>
  </si>
  <si>
    <t xml:space="preserve">Szécsi Magda meséinek vizsgálata az elsődleges szocializáció szempontjából / Tóthová, Gizela [Autor, UKFFSSUML, 100%] ; Andl, Helga [Recenzent] ; Horizontok és dialógusok 2018, 7 [11.05.2018-12.05.2018, Pécs, Maďarsko]. – [maďarčina]. – [OV 010]. – [abstrakt z podujatia - KP] In: Horizontok és dialógusok 2018. Tanulmánykötet [textový dokument (print)] : 7. Romológus konferencia. 20 éves a romológusképzés, 15 éves a szakkollégium, 2018 . május 11-12., Pécs / Cserti Csapó, Tibor [Zostavovateľ, editor]. – 1. vyd. – Pécs (Maďarsko) : Pécsi Tudományegyetem BTK NTI, 2018. – ISBN 978-963-429-260-9. – ISSN 1586-6262, s. 256-267 </t>
  </si>
  <si>
    <t xml:space="preserve">Szlovákiai középiskolások írott szövegértésének vizsgálata / Kázmér, Klára [Autor, UKFFSSUML, 100%] ; Balogh, Miklós [Recenzent] ; Bank, Barbora [Recenzent] ; Tavaszi szél - Spring Wind 2018, 3 [04.05.2018-06.05.2018, Győr, Maďarsko]. – [maďarčina]. – [OV 010]. – [abstrakt z podujatia - KP] In: Tavaszi szél - Spring Wind 2018 [textový dokument (print)] : Tavaszi Szél Konferencia-sorozat / Keresztes, Gábor [Zostavovateľ, editor] ; Szabó, Csaba [Zostavovateľ, editor]. – 1. vyd. – Roč. 3. – Budapešť (Maďarsko) : Doktoranduszok Országos Szövetsége, 2018. – ISBN 978-615-5586-31-6, s. 264-270 </t>
  </si>
  <si>
    <t xml:space="preserve">Špecifiká imaginatívnych procesov vo vokálnej výchove zameranej na nonarartificiálny spev / Štrbák Pandiová, Iveta [Autor, UKFPFAKHU, 100%] ; QUAERE 2019 : interdisciplinární mezinárodní vědecká konference doktorandů a odborných asistentů, 9 [24.06.2019-28.06.2019, Hradec Králové, Česko]. – text. – [angličtina]. – [OV 060]. – [abstrakt z podujatia - KP]. – [recenzované] In: QUAERE 2019 [elektronický dokument] : recenzovaný sborník příspěvků interdisciplinární mezinárodní vědecké konference doktorandů a odborných asistentů = reviewed proceedings of the interdisciplinary scientific international conference for PhD students and assistants / [bez zostavovateľa] [Zostavovateľ, editor]. – 1. vyd. – Roč. 9. – Hradec Králové (Česko) : Magnanimitas akademické sdružení, 2019. – ISBN 978-80-87952-30-6, s. 747-751 [DVD] </t>
  </si>
  <si>
    <t xml:space="preserve">Špecifiká prvého kontaktu v nízkoprahovom programe pre užívateľov drog / Tomášik, Vesna [Autor, UKFFSVKSP, 60%] ; Mojtová, Martina [Autor, UKFFSVKSP, 40%] ; Mezinárodní Masarykova konference pro doktorandy a mladé vědecké pracovníky 2019, 10 [16.12.2019-18.12.2019, Hradec Králové, Česko]. – text. – [slovenčina]. – [OV 060]. – [abstrakt z podujatia - KP] In: MMK 2019 [elektronický dokument] : recenzovaný sborník příspěvků mezinárodní vědecké konference : Mezinárodní Masarykova konference pro doktorandy a mladé vědecké pracovníky 2019 / [bez zostavovateľa] [Zostavovateľ, editor] ; Lipowski, Jaroslav [Recenzent] ; Jaskułowski, Krzysztof [Recenzent] ; Kislingerová, Eva [Recenzent]. – 1. vyd. – Hradec Králové (Česko) : Magnanimitas akademické sdružení, 2019. – ISBN 978-80-87952-31-3, s. 730-735 [CD-ROM] [online] </t>
  </si>
  <si>
    <t xml:space="preserve">Štúrovské polemiky o spisovnej slovenčine obrancovia štúrovskej slovenčiny / Klabníková, Ivana [Autor, UKFFFASJL, 100%] ; Stereotipat v slavianskite ezici, literaturi i kulturi [26.04.2018-28.04.2018, Sofia, Bulharsko]. – text. – [slovenčina]. – [OV 020]. – [abstrakt z podujatia - KP]. – [recenzované] In: Stereotipat v slavianskite ezici, literaturi i kulturi (Tom I. Ezikoznanie) [textový dokument (print)] [elektronický dokument] : sbornik s dokladi ot Četirinadesetite meždunarodni slavistični četenija / Avramova, Cvetanka [Zostavovateľ, editor]. – 1. vyd. – Sofia (Bulharsko) : Universitetsko Izdatelstvo Sv. Kliment Okhridski, 2019. – ISBN 978-954-07-4883-2. – ISBN (online) 978-954-07-4895-5, s. 580-587 [tlačená forma] [online] </t>
  </si>
  <si>
    <t xml:space="preserve">Štylizácia v tanečnom folklorizme - projekt dizertačnej práce / Hrabovská, Martina [Autor, UKFFFAKEF, 100%] ; Fiatal Szlavisták Budapesti Nemzetközi Konferenciája, 7 [11.05.2017, Budapešť, Maďarsko]. – text. – [slovenčina]. – [OV 030]. – [abstrakt z podujatia - KP] In: Fiatal Szlavisták Budapesti Nemzetközi Konferenciája 7. [textový dokument (print)] [elektronický dokument] / Urkom, Aleksander [Zostavovateľ, editor] ; Császári, Éva [Recenzent] ; Dudás, Előd [Recenzent]. – 1. vyd. – Budapešť (Maďarsko) : Eötvös Loránd Tudományegyetem, 2019. – ISBN 978-963-284-988-1, s. 51-53 [tlačená forma] [online] </t>
  </si>
  <si>
    <t xml:space="preserve">Štýlovosť, ako jeden z axiologických aspektov súčasnej vokálnej edukácie a interpretácie v kontexte nonartificiálnej hudby / Štrbák Pandiová, Iveta [Autor, UKFPFAKHU, 100%] ; Sapere Aude 2018, 8 [28.05.2018-31.05.2018, Hradec Králové, Česko]. – [slovenčina]. – [OV 010]. – [abstrakt z podujatia - KP]. – [recenzované] In: Sapere Aude 2018 [elektronický dokument] : učitel, žák, psycholog : recenzovaný sborník příspěvků vědecké konference s mezinárodní účastí / [bez zostavovateľa] [Zostavovateľ, editor]. – 1. vyd. – Roč. 8. – Hradec Králové (Česko) : Magnanimitas akademické sdružení, 2018. – ISBN 978-80-87952-25-2, s. 451-459 [CD-ROM] [online] </t>
  </si>
  <si>
    <t xml:space="preserve">Tanečná podložka - jej vplyv na edukačnú klímu a využitie v hudobno-tanečnom vzdelávaní / Hubinská, Zuzana [Autor, UKFPFAKHU, 100%] ; Mezinárodní Masarykova konference pro doktorandy a mladé vědecké pracovníky 2019, 10 [16.12.2019-18.12.2019, Hradec Králové, Česko]. – text. – [slovenčina]. – [OV 010]. – [abstrakt z podujatia - KP] In: MMK 2019 [elektronický dokument] : recenzovaný sborník příspěvků mezinárodní vědecké konference : Mezinárodní Masarykova konference pro doktorandy a mladé vědecké pracovníky 2019 / [bez zostavovateľa] [Zostavovateľ, editor] ; Lipowski, Jaroslav [Recenzent] ; Jaskułowski, Krzysztof [Recenzent] ; Kislingerová, Eva [Recenzent]. – 1. vyd. – Hradec Králové (Česko) : Magnanimitas akademické sdružení, 2019. – ISBN 978-80-87952-31-3, s. 690-696 [CD-ROM] [online] </t>
  </si>
  <si>
    <t xml:space="preserve">Ťažkosti s kariérovým rozhodovaním a metakognitívne faktory študentov pred druhou smerovou voľbou = Career decision-making difficulties and metacognitive factors in students before the second directional choice / Baňasová, Katarína [Autor, UKFFSVUAP, 50%] ; Tóth, Peter [Autor, UKFFSVKPV, 50%] ; PhD existence 2021, 11 [01.02.2021-02.02.2021, Olomouc, Česko]. – text. – [slovenčina]. – [OV 060, 010]. – [abstrakt z podujatia - KP] In: PhD existence 11 [elektronický dokument] : "Jedeme dál" : česko-slovenská psychologická konference (nejen) pro doktorandy a o doktorandech  : sborník odborných příspěvků / Aigelová, Eva [Zostavovateľ, editor] ; Viktorová, Lucie [Zostavovateľ, editor] ; Dolejš, Martin [Zostavovateľ, editor] ; Tomšik, Robert [Recenzent] ; Skopal, Ondřej [Recenzent]. – 1. vyd. – Roč. 11. – Olomouc (Česko) : Univerzita Palackého v Olomouci, 2021. – ISBN 978-80-244-5947-9, s. 277-288 [online] </t>
  </si>
  <si>
    <t xml:space="preserve">Teacher evaluation and self-evaluation models: a pilot study / Boboňová, Ivana [Autor, UKFFPVKMA, 25%] ; Čeretková, Soňa [Autor, UKFFPVKMA, 25%] ; Rybanský, Ľubomír [Autor, UKFFPVKMA, 25%] ; Galuščáková, Ľudmila [Autor, UKFFPVKBG, 25%] ; EDULEARN20, 12 [06.07.2020-07.07.2020, Palma de Mallorca, Španielsko]. – text. – [angličtina]. – [OV 010, 240]. – [abstrakt z podujatia - KP] In: EDULEARN20 proceedings [elektronický dokument] : 12th International Conference on Education and New Learning Technologies / Gómez Chova, Luis [Zostavovateľ, editor] ; López Martínez, Agustín [Zostavovateľ, editor]. – 1. vyd. – Roč. 12. – Valencia (Španielsko) : IATED, 2020. – ISBN 978-84-09-17979-4. – ISSN 2340-1117, s. 4751-4757 [USB kľúč] </t>
  </si>
  <si>
    <t xml:space="preserve">Teacher's Ability to Develop Learner Personality and Their Competences - Pilot of Instruments for Its Evaluation / Gadušová, Zdenka [Autor, UKFFFAKAA, 33%] ; Jakubovská, Viera [Autor, UKFFFAKFI, 34%] ; Predanocyová, Ľubica [Autor, UKFFFAKFI, 33%] ; International Technology, Education and Development Conference 2019, 13 [11.03.2019-13.03.2019, Valencia, Španielsko]. – [angličtina]. – [OV 010]. – [abstrakt z podujatia - KP]. – [recenzované]. – WOS CC In: INTED2019 Proceedings [elektronický dokument] : 13th International Technology, Education and Development Conference / Chova, Luis Goméz [Zostavovateľ, editor] ; López Martínez, Agustín [Zostavovateľ, editor] ; Candel Torres, Ignacio [Zostavovateľ, editor]. – 1. vyd. – Valencia (Španielsko) : IATED, 2019. – (INTED Proceedings, ISSN 2340-1079). – ISBN 978-84-09-08619-1, s. 3689-3695 [CD-ROM] [USB kľúč] </t>
  </si>
  <si>
    <t xml:space="preserve">Teacher's Academic Optimism, Hope and Zest For Work as Predictors of Pupils' School Achievement / Uhláriková, Jana [Autor, UKFFSVKPV, 50%] ; Fejová, Andrea [Autor, 50%] ; EDULEARN18, 10 [02.07.2018-04.07.2018, Palma de Mallorca, Španielsko]. – text. – [angličtina]. – [OV 060]. – [abstrakt z podujatia - KP]. – [recenzované]. – WOS CC In: EDULEARN18 proceedings [elektronický dokument] : 10th International Conference on Education and New Learning Technologies / Chova, Luis Goméz [Zostavovateľ, editor] ; Martínez, Augustín López [Zostavovateľ, editor] ; Torres, I. Candel [Zostavovateľ, editor]. – 1. vyd. – Roč. 10. – [Valencia] (Španielsko) : IATED, 2018. – ISBN 978-84-09-02709-5. – ISSN 2340-1117, s. 9860-9866 [CD-ROM] [USB kľúč] </t>
  </si>
  <si>
    <t xml:space="preserve">Teacher's individual concept with focus on cooperation with pupil s family / Mendelová, Eleonóra [Autor, UKFPFAKPE, 34%] ; Grofčíková, Soňa [Autor, UKFPFAKPE, 33%] ; Zelená, Hana [Autor, UKFPFAKPE, 33%] ; SWS 2019, 6 [26.08.2019-01.09.2019, Albena, Bulharsko]. – text. – [angličtina]. – [OV 010]. – [abstrakt z podujatia - KP] In: SWS International Scientific Conference on Social Sciences 2019 (Education and Educational Research) [textový dokument (print)] [elektronický dokument] : conference proceeding / [bez zostavovateľa] [Zostavovateľ, editor]. – 1. vyd. – Roč. 6, č. 4. – Sofia (Bulharsko) : STEF92 Technology, 2019. – ISBN 978-619-7408-94-2. – ISSN 2682-9959, s. 493-500 [tlačená forma] [online] </t>
  </si>
  <si>
    <t xml:space="preserve">Teaching English via literature in the digital age / Kellerová, Nina [Autor, 70%] ; Reid, Eva [Autor, UKFPFAKLI, 30%] ; Science, Teaching, Learning in a Changed Social Context [22.10.2021, Užice, Srbsko]. – text. – [angličtina]. – [OV 010]. – [abstrakt z podujatia - KP] In: Science, Teaching, Learning in a Changed Social Context [textový dokument (print)] : International Scientific Conference, Užice, 22. October  2021 / Marinković, Snežana [Zostavovateľ, editor]. – 1. vyd. – Užice (Srbsko) : Univerziteta u Kragujevcu. Faculty of Education, 2021. – ISBN 978-86-6191-065-4, s. 459-470 [tlačená forma] </t>
  </si>
  <si>
    <t xml:space="preserve">Teaching chemistry online: options for educating pupils during covid-19 / Feszterová, Melánia [Autor, UKFFPVKCH, 100%] ; DidMatTech 2021, 34 [02.09.2021-03.09.2021, Budapešť, Maďarsko]. – text. – [angličtina]. – [OV 010]. – [abstrakt z podujatia - KP]. – [recenzované]. – TRUNI ohlas E088417 In: DidMatTech 2021 [textový dokument (print)] [elektronický dokument] : Proceedings of 34. DidMatTech 2021 Conference New Methods and Technologies in Education, Research and Practice / Abonyi-Tóth, Andor [Zostavovateľ, editor] ; Stoffová, Veronika [Zostavovateľ, editor] ; Zsakó, László [Zostavovateľ, editor]. – 1. vyd. – Budapešť (Maďarsko) : Eötvös Loránd Tudományegyetem, 2021. – ISBN 978-963-489-413-1. – TUTPFKMI signatúra E088417, s. 237-248 [tlačená forma] [online] </t>
  </si>
  <si>
    <t xml:space="preserve">Teaching Intercultural Competences during Distance Learning / Ivenz, Petra [Autor, UKFPFAKLI, 100%] ; Science, Teaching, Learning in a Changed Social Context [22.10.2021, Užice, Srbsko]. – text. – [angličtina]. – [OV 020, 010]. – [abstrakt z podujatia - KP]. – [recenzované] In: Science, Teaching, Learning in a Changed Social Context [textový dokument (print)] : International Scientific Conference, Užice, 22. October  2021 / Marinković, Snežana [Zostavovateľ, editor]. – 1. vyd. – Užice (Srbsko) : Univerziteta u Kragujevcu. Faculty of Education, 2021. – ISBN 978-86-6191-065-4, s. 43-54 [tlačená forma] </t>
  </si>
  <si>
    <t xml:space="preserve">Teaching of artistic recitation for language and literature trainee teachers / Tóth, Anikó [Autor, UKFFSSUML, 100%] ; International Technology, Education and Development Conference 2021, 15 [08.03.2021-09.03.2021, Valencia, Španielsko]. – text. – [angličtina]. – [OV 010]. – [abstrakt z podujatia - KP]. – DOI 10.21125/inted.2021.0861 In: INTED2021 [textový dokument (print)] [elektronický dokument] : 15th International Technology, Education and Development Conference : conference proceedings / Chova, Luis Goméz [Zostavovateľ, editor] ; López Martínez, Agustín [Zostavovateľ, editor] ; Candel Torres, Ignacio [Zostavovateľ, editor]. – 1. vyd. – Valencia (Španielsko) : IATED, 2021. – (INTED Proceedings, ISSN 2340-1079). – ISBN 978-84-09-27666-0. – ISSN 2340-1079, s. 4223-4228 [online] </t>
  </si>
  <si>
    <t xml:space="preserve">Teaching of the regional landscape geography in Slovakia and Iceland within the school education system / Petrikovičová, Lucia [Korešpondenčný autor, UKFFPVKGR, 33.334%] ; Dysková, Simona [Autor, 33.333%] ; Vilinová, Katarína [Autor, UKFFPVKGR, 33.333%] ; International Technology, Education and Development Conference 2020, 14 [02.03.2020-04.03.2020, Valencia, Španielsko]. – text. – [angličtina]. – [OV 010]. – [abstrakt z podujatia - KP]. – [recenzované]. – WOS CC In: INTED2020 Proceedings [elektronický dokument] : 14th International Technology, Education and Development Conference / Chova, Luis Goméz [Zostavovateľ, editor] ; López Martínez, Agustín [Zostavovateľ, editor] ; Candel Torres, Ignacio [Zostavovateľ, editor]. – 1. vyd. – Valencia (Španielsko) : IATED, 2020. – (INTED Proceedings, ISSN 2340-1079). – ISBN 978-84-09-17939-8. – ISSN 2340-1079, s. 6599-6608 [online] </t>
  </si>
  <si>
    <t xml:space="preserve">Teaching Reading and Spelling to Students with Dyslexia in English Language Classroom / Sorádová, Daniela [Autor, UKFPFAKLI, 50%] ; Kráľová, Zdena [Autor, UKFPFAKLI, 50%] ; Shonigerun, Charles A. [Recenzent] ; Akmayeva, Galyna [Recenzent] ; World Congress on Special Needs Education [11.12.2017-14.12.2017, Cambridge, Veľká Británia]. – [angličtina]. – [OV 010]. – [abstrakt z podujatia - KP]. – DOI 10.2053/WCSNE.2017.0004 In: LICE - ECSNE Proceedings [textový dokument (print)] : World Congress on Special Needs Education, University of Cambridge from the 11 to 14 th of December, 2017 / Akmayeva, Galyna [Zostavovateľ, editor]. – 1. vyd. – Cambridge (Veľká Británia) : University of Cambridge, 2018. – ISBN 978-1-908320-87-2, s. 26-30 [online] </t>
  </si>
  <si>
    <t xml:space="preserve">Teaching Slovak traditional Culture in ESP classes / Záhumenská, Lucia [Autor, UKFFFAKMK, 100%] ; Vyššee gumanitarnoe obrazovanie 21 veka: problemy i perspektivy, 15 [14.10.2020, Samara, Ruská federácia]. – text. – [angličtina]. – [OV 060]. – [abstrakt z podujatia - KP] In: Vyššee gumanitarnoe obrazovanie 21 veka: problemy i perspektivy [textový dokument (print)] : materialy piatnadcatoj meždunarodnoj naučno-praktičeskoj konferencii, Samara 14. oktiabria 2020 / Veršinina, L.V. [Zostavovateľ, editor]. – 1. vyd. – Roč. 15. – Samara (Ruská federácia) : Samarskoj gosudarstvennyj socijaľno-pedagogičeskij universitet, 2020. – ISBN 978-5-8428-1162-5, s. 164-171 [tlačená forma] </t>
  </si>
  <si>
    <t xml:space="preserve">Teaching strategies in pregraduate teacher training of technical subjects / Brečka, Peter [Autor, UKFPFAKTT, 50%] ; Valentová, Monika [Autor, UKFPFAKTT, 50%] ; EDULEARN19, 11 [01.07.2019-03.07.2019, Palma de Mallorca, Španielsko]. – text. – [angličtina]. – [OV 010]. – [abstrakt z podujatia - KP]. – WOS CC In: EDULEARN19 proceedings [elektronický dokument] : 11th annual International Conference on Education and New Learning Technologies / Gómez Chova, Luis [Zostavovateľ, editor] ; López Martínez, Agustín [Zostavovateľ, editor] ; López, Agustín [Recenzent] ; Girós, Amparo [Recenzent]. – 1. vyd. – Roč. 11. – Valencia (Španielsko) : IATED, 2019. – ISBN 978-84-09-12031-4. – ISSN 2340-1117, s. 883-889 [CD-ROM] </t>
  </si>
  <si>
    <t xml:space="preserve">Teaching Subtitling in Distance Learning / Zahorák, Andrej [Autor, UKFFFAKTR, 50%] ; Ukušová, Jana [Autor, UKFFFAKTR, 50%] ; ICERI 2021, 14 [08.11.2021-09.11.2021, Seville, Španielsko]. – text. – [angličtina]. – [OV 020]. – [abstrakt z podujatia - KP] In: ICERI2021 [elektronický dokument] : 14th annual International Conference of Education, Research and Innovation / Gómez, Chova L. [Zostavovateľ, editor] ; López Martínez, Agustín [Zostavovateľ, editor] ; Candel Torres, Ignacio [Zostavovateľ, editor]. – 1. vyd. – Valencia (Španielsko) : IATED, 2021. – ISBN 978-84-09-34549-6. – ISSN 2340-1095, s. 5012-5018 [online] [USB kľúč] </t>
  </si>
  <si>
    <t xml:space="preserve">Teaching Writing and Reading to Children with Autism / Cápay, Martin [Autor, UKFFPVKIN, 90%] ; Cápayová, Jarmila [Autor, 10%] ; IEEE Global Engineering Education Conference, 10 [09.04.2019-11.04.2019, Dubai, Spojené arabské emiráty]. – text. – [angličtina]. – [OV 160]. – [abstrakt z podujatia - KP]. – [recenzované]. – WOS CC In: 2019 IEEE Global Engineering Education Conference  (EDUCON 2019) [elektronický dokument] : Dubai, April 9-11, 2019 / [bez zostavovateľa] [Zostavovateľ, editor]. – 1. vyd. – Piscataway (USA) : Institute of Electrical and Electronics Engineers. IEEE Education Society, 2019. – ISBN 978-1-5386-9506-7, s. 1284-1288 [online] </t>
  </si>
  <si>
    <t xml:space="preserve">Teatraľnaja pedagogika v prepodavanii inostrannogo jazyka dlija speciaľnych celej: kak obediniť profesionaľnoe soderžanije s teatraľnoj pedagogikoj? = Dramapädagogik im Fachsprachenunterricht. Wie Lassen sich Fachsprachliche Inhalte mit Dramapädagogik im Deutschunterricht Kombinieren? [Drama pedagogy in special language teaching: combining professional training and drama pedagogy at German lessons] / Vergeiner, Elisabeth [Autor, UKFFFAKGE, 100%] ; Ot differenciacii nauk - k transdisciplinarnosti [25.09.2019-27.09.2019, Abakan, Ruská federácia]. – text. – [ruština]. – [OV 020, 010]. – [abstrakt z podujatia - KP] In: Ot differenciacii nauk - k transdisciplinarnosti [textový dokument (print)] : materialy Vserossijskoj naučno-praktičeskoj konferencii s meždunarodnym učastiem, posviaščennoj 250-letiju Aleksandra fon Gumboľdta, Abakan, 25-27 sentijabrija 2019 goda / Amzarakov, I.P. [Zostavovateľ, editor]. – 1. vyd. – Abakan (Ruská federácia) : Chakasskij gosudarstvennyj universitet imeni N.F. Katanova, 2019. – ISBN 978-5-7810-1870-3, s. 171-174 </t>
  </si>
  <si>
    <t xml:space="preserve">Technical Education in Slovak Republic in the Distance Form / Depešová, Jana [Autor, UKFPFAKTT, 50%] ; Janíček, Patrik [Autor, UKFPFAKTT, 50%] ; EDULEARN21 [05.07.2021-06.07.2021, Barcelona, Španielsko]. – text. – [angličtina]. – [OV 010]. – [abstrakt z podujatia - KP] In: EDULEARN21 [elektronický dokument] : 13th annual International Conference on Education and New Learning Technologies, Barcelona, 5th - 6th of July, 2021 / Chova, Luis Goméz [Zostavovateľ, editor] ; Martínez, Augustín López [Zostavovateľ, editor] ; Torres, I. [Zostavovateľ, editor]. – 1. vyd. – Roč. 13. – Barcelona (Španielsko) : IATED, 2021. – ISBN 978-84-09-31267-2. – ISSN 2340-1117, s. 10477-10484 [CD-ROM] [USB kľúč] </t>
  </si>
  <si>
    <t xml:space="preserve">Technological Support of Teaching in the Area of Creating a Personalized E-course of Informatics / Turčáni, Milan [Autor, UKFFPVKIN, 50%] ; Balogh, Zoltán [Autor, UKFFPVKIN, 50%] ; International Conference on Interactive Collaborative Learning, 22 [25.09.2019-28.09.2019, Bangkok, Thajsko]. – text. – [angličtina]. – [OV 010, 160]. – [abstrakt z podujatia - KP]. – [recenzované]. – SCO In: The Impact of the 4th Industrial Revolution on Engineering Education [textový dokument (print)] [elektronický dokument] / Auer, Michael [Zostavovateľ, editor] ; Hortsch, Hanno [Zostavovateľ, editor] ; Sethakul, Panarit [Zostavovateľ, editor]. – 1. vyd. – Roč. 2. – Cham (Švajčiarsko) : Springer Verlag, 2020. – (Advances in Intelligent Systems and Computing, ISSN 2194-5357, ISSN 2194-5365 ; 1135). – ISBN 978-3-030-40271-6. – ISBN (online) 978-3-030-40270-9, s. 38-49 [tlačená forma] [online] </t>
  </si>
  <si>
    <t xml:space="preserve">Tema (igornoj) strasti v russkoj literature 19. veka / Lekeš, Patrik [Autor, UKFFFASJL, 100%] ; Filologija, inostrannyje jazyki i medijakommunikacii, 14 [24.04.2019, Kemerovo, Ruská federácia]. – text. – [ruština]. – [OV 020]. – [abstrakt z podujatia - KP] In: Filologija, inostrannyje jazyki i medijakommunikacii [textový dokument (print)] : materialy simpozijuma 14. (46) meždunarodnoj naučno-praktičeskoj konferencii  Obrazovanije, nauka, inovacii: vklad molodych issledovatelej, 24 aprelja 2019 goda, Kemerovo / Podkovyrin, J.V. [Zostavovateľ, editor] ; Prosekov, A. J. [Recenzent] ; Žuravlev, J.N. [Recenzent]. – 1. vyd. – Kemerovo (Ruská federácia) : NFI KemGu, 2019. – ISBN 978-5-8353-2390-6, s. 234-237 </t>
  </si>
  <si>
    <t xml:space="preserve">Tematizácia túžby v literatúre a jej účinok na čitateľa / Žiak, Peter [Autor, UKFFFAKTR, 100%] ; Metodologie a theurgie hermeneutické interpretace, 8 [22.09.2020-23.09.2020, Ostrava, Česko]. – text. – [slovenčina]. – [OV 020]. – [abstrakt z podujatia - KP] In: Studia humanitatis - Ars hermeneutica [textový dokument (print)] : metodologie a theurgie hermeneutické interpretace 8 / Mikulášek, Miroslav [Zostavovateľ, editor] ; Malicki, Jan [Recenzent] ; Raclavská, Jana [Recenzent]. – 1. vyd. – č. 8. – Ostrava (Česko) : Ostravská univerzita, 2020. – ISBN 978-80-7599-211-6, s. 111-126 </t>
  </si>
  <si>
    <t xml:space="preserve">Terminologické otázky kresťanského jazyka v súčasnosti / Ďurková, Eva [Autor, UKFFFAKAE 06.2022, 100%] ; Koudelková, Petra [Recenzent] ; Klabíková-Rábová, Tereza [Recenzent] ; Náboženská komunikace: Mediální obraz křesťanství, 5 [08.02.2018, Praha, Česko]. – [čeština]. – [OV 020]. – [abstrakt z podujatia - KP] In: Náboženská komunikace: Mediální obraz křesťanství [textový dokument (print)] [elektronický dokument] : 08. 02. 2018 / Koudelková, Petra [Zostavovateľ, editor]. – 1. vyd. – Praha (Česko) : Univerzita Karlova v Praze, 2018. – ISBN 978-80-87404-66-9, s. 6-13 [tlačená forma] [online] </t>
  </si>
  <si>
    <t xml:space="preserve">Test informatického myslenia – priebežné výsledky [Test of Computational Thinking - preliminary results] / Šnajder, Ľubomír [Autor, UPS14500, 35%] ; Kopčová, Veronika [Autor, UPS14600, 20%] ; Guniš, Ján [Autor, UPS14500, 35%] ; Spišáková, Mária [Autor, UPS14500, 3.3%] ; Tkáčová, Zuzana [Autor, UKFPFAKTT, 3.4%] ; Haneszová, Angelika [Autor, UPS14500, 3.3%] ; Andrejková, Gabriela [Recenzent] ; Berki, Jan [Recenzent] ; Černochová, Miroslava [Recenzent] ; DidInfo 2018, 24 [04.04.2018-06.04.2018, Liberec, Česko]. – text, tab., obr. – [slovenčina]. – [OV 160]. – [abstrakt z podujatia - KP]. – SIGN-UKO MF18-0230. – signatúra UPJŠ SSEP 019524 In: Sborník konference Didinfo 2018 [elektronický dokument] / Drábková, Jindra [Zostavovateľ, editor] ; Berki, Jan [Zostavovateľ, editor]. – 1. vyd. – Liberec (Česko) : Technická univerzita v Liberci, 2018. – ISBN 978-80-7494-424-6, s. 260-269 [online] </t>
  </si>
  <si>
    <t xml:space="preserve">Testing the Effects of Acoustic/Prosodic Entrainment on User Behavior at the Dialog-Act Level / Gauder, Lara [Autor, 30%] ; Reartes, Marisol [Autor, 30%] ; Galvez, Ramiro [Autor, 15%] ; Beňuš, Štefan [Autor, UKFFFAKAA, 15%] ; Gravano, Augustin [Autor, 10%] ; Klessa, Katarzyna [Recenzent] ; Bachan, Jolanta [Recenzent] ; International Conference on Speech Prosody 2018, 9 [13.06.2018-16.06.2018, Poznaň, Poľsko]. – [angličtina]. – [OV 020]. – [abstrakt z podujatia - KP]. – DOI 10.21437/SpeechProsody.2018-76 In: 9th International Conference on Speech Prosody 2018 [textový dokument (print)] : Conference Proceedings / [bez zostavovateľa] [Zostavovateľ, editor]. – 1. vyd. – Bonn (Nemecko) : International Science Community Association, 2018. – ISSN 2333-2042, s. 374-378 [tlačená forma] </t>
  </si>
  <si>
    <t xml:space="preserve">The accumulations of phosphorus in residual sediments of Kolinansky peak in Tribec mountain, Slovakia / Feszterová, Melánia [Autor, UKFFPVKCH, 50%] ; Jahn, Ján [Autor, 50%] ; 19th International Multidisciplinary Scientific Geoconference SGEM 2019, 19 [30.06.2019-06.07.2019, Albena, Bulharsko]. – text. – [angličtina]. – [OV 120]. – [abstrakt z podujatia - KP]. – DOI 10.5593/sgem2019/1.1/S01.071. – SCO In: SGEM 2019 (1. Science and technologies in geology, exploration and mining : Geology applied and environmental geophysics) [textový dokument (print)] [elektronický dokument] : International Multidisciplinary Scientific GeoConference / [bez zostavovateľa] [Zostavovateľ, editor]. – 1. vyd. – Roč. 19. – Sofia (Bulharsko) : STEF 92 Technology, 2019. – ISBN 978-619-7408-76-8. – ISSN 1314-2704, s. 577-584 [tlačená forma] [online] </t>
  </si>
  <si>
    <t xml:space="preserve">The ageing of the population in relation to sustainable economic development / Országhová, Dana [Autor, SPUFEM07, 34%] ; Hornyák Gregáňová, Radomíra [Autor, SPUFEM07, 33%] ; Papcunová, Viera [Autor, UKFFPVUMI, 33%] ; Czarnecka, Agnieszka [Recenzent] ; Chládková, Hana [Recenzent] ; ICoM 2018 [07.06.2018-08.06.2018, Częstochowa, Poľsko]. – [angličtina]. – [OV 080]. – [abstrakt z podujatia - KP] In: ICoM 2018 [textový dokument (print)] : 8th International conference of management Leadership, Innovativeness and Entrepreneurship in a Sustainable Economy, 7-8.06.2018 Częstochowa (Poland) / Bylok, F. [Zostavovateľ, editor]. – 1. vyd. – Czestochowa (Poľsko) : Wydawnictvo Wydzialu Zarzadzania Politechniki Czestochowskiej, 2018. – ISBN 978-83-65951-28-1, s. 482-488 [tlačená forma] </t>
  </si>
  <si>
    <t xml:space="preserve">The analysis of primary education's curriculum in Slovakia with the emphasis on multicultural and minority segment / Tóthová, Gizela [Autor, UKFFSSUML, 100%] ; QUAERE 2018, 8 [27.06.2018-29.06.2018, Hradec Králové, Česko]. – text. – [angličtina]. – [OV 010]. – [abstrakt z podujatia - KP]. – [recenzované] In: QUAERE 2018 [elektronický dokument] : recenzovaný sborník příspěvků vědecké interdisciplinární mezinárodní vědecké konference doktorandů a odborných asistentů / [bez zostavovateľa] [Zostavovateľ, editor]. – 1. vyd. – Roč. 8. – Hradec Králové (Česko) : Magnanimitas akademické sdružení, 2018. – ISBN 978-80-87952-26-9, s. 1110-1119 [CD-ROM] </t>
  </si>
  <si>
    <t xml:space="preserve">The analysis of selected factors affecting safe online environment of the adolescents / Poláčková, Vladimíra [Autor, UKFPFAKPE, 50%] ; Zelená, Hana [Autor, UKFPFAKPE, 50%] ; EDULEARN20, 12 [06.07.2020-07.07.2020, Palma de Mallorca, Španielsko]. – text. – [angličtina]. – [OV 010]. – [abstrakt z podujatia - KP] In: EDULEARN20 proceedings [elektronický dokument] : 12th International Conference on Education and New Learning Technologies / Gómez Chova, Luis [Zostavovateľ, editor] ; López Martínez, Agustín [Zostavovateľ, editor]. – 1. vyd. – Roč. 12. – Valencia (Španielsko) : IATED, 2020. – ISBN 978-84-09-17979-4. – ISSN 2340-1117, s. 7271-7278 [USB kľúč] </t>
  </si>
  <si>
    <t xml:space="preserve">The andosols properties of forest ecosystem on the neovolcanic rocks in Kremnické vrchy Mts. (Central Slovakia) / Feszterová, Melánia [Autor, UKFFPVKCH, 100%] ; SGEM 2019, 19 [09.12.2019-11.12.2019, Albena, Bulharsko]. – text. – [angličtina]. – [OV 120]. – [abstrakt z podujatia - KP] In: SGEM 2019 (1.4. Science and Technologies  in Geology, Oil and Gas Exploration, Water Resources, Forest Ecosystems) [textový dokument (print)] : 19th International Multidisciplinary Scientific GeoConference, Albena 9-11 December 2019 / [bez zostavovateľa] [Zostavovateľ, editor]. – 1. vyd. – Roč. 19. – Sofia (Bulharsko) : STEF 92 Technology, 2019. – ISBN 978-619-7408-97-3. – ISSN 1314-2704, s. 409-420 </t>
  </si>
  <si>
    <t xml:space="preserve">The applicability of minority onomastic research in university education / Bauko, Ján [Autor, UKFFSSUML, 100%] ; ICERI 2021, 14 [08.11.2021-09.11.2021, Seville, Španielsko]. – text. – [angličtina]. – [OV 010]. – [abstrakt z podujatia - KP] In: ICERI2021 [elektronický dokument] : 14th annual International Conference of Education, Research and Innovation / Gómez, Chova L. [Zostavovateľ, editor] ; López Martínez, Agustín [Zostavovateľ, editor] ; Candel Torres, Ignacio [Zostavovateľ, editor]. – 1. vyd. – Valencia (Španielsko) : IATED, 2021. – ISBN 978-84-09-34549-6. – ISSN 2340-1095, s. 1986-1991 [online] [USB kľúč] </t>
  </si>
  <si>
    <t xml:space="preserve">The application frequency of strategies of systematization by future teachers into the educational process during pedagogical practice / Kozárová, Nina [Autor, UKFPFAKPE, 50%] ; Gunišová, Denisa [Autor, UKFPFAKPE, 50%] ; ICERI 2021, 14 [08.11.2021-09.11.2021, Seville, Španielsko]. – text. – [angličtina]. – [OV 010]. – [abstrakt z podujatia - KP] In: ICERI2021 [elektronický dokument] : 14th annual International Conference of Education, Research and Innovation / Gómez, Chova L. [Zostavovateľ, editor] ; López Martínez, Agustín [Zostavovateľ, editor] ; Candel Torres, Ignacio [Zostavovateľ, editor]. – 1. vyd. – Valencia (Španielsko) : IATED, 2021. – ISBN 978-84-09-34549-6. – ISSN 2340-1095, s. 3641-3646 [online] [USB kľúč] </t>
  </si>
  <si>
    <t xml:space="preserve">The comparison of education during the first and second wave of corona crisis at the University of Constantine the Philosopher in Nitra / Šebo, Miroslav [Autor, UKFPFAKTT, 50%] ; Tureková, Ivana [Autor, UKFPFAKTT, 50%] ; EDULEARN21 [05.07.2021-06.07.2021, Barcelona, Španielsko]. – text. – [angličtina]. – [OV 010]. – [abstrakt z podujatia - KP] In: EDULEARN21 [elektronický dokument] : 13th annual International Conference on Education and New Learning Technologies, Barcelona, 5th - 6th of July, 2021 / Chova, Luis Goméz [Zostavovateľ, editor] ; Martínez, Augustín López [Zostavovateľ, editor] ; Torres, I. [Zostavovateľ, editor]. – 1. vyd. – Roč. 13. – Barcelona (Španielsko) : IATED, 2021. – ISBN 978-84-09-31267-2. – ISSN 2340-1117, s. 10757-10766 [CD-ROM] [USB kľúč] </t>
  </si>
  <si>
    <t xml:space="preserve">The computation of real area using GIS demonstrated on management of invasive plants / Ševčík, Michal [Autor, UKFFPVKEE, 20%] ; Gašparovičová, Petra [Autor, UKFFPVKEE, 20%] ; Zigová, Martina [Autor, UKFFPVKEE, 20%] ; Rusňák, Tomáš [Autor, UKFFPVKEE, 20%] ; Jakab, Imrich [Autor, UKFFPVKEE, 20%] ; Boltižiar, Martin [Recenzent] ; Petrovič, František [Recenzent] ; Useful Geography: Transfer from Research to Practice, 25 [12.10.2017-13.10.2017, Brno, Česko]. – text. – [angličtina]. – [OV 100]. – [abstrakt z podujatia - KP]. – WOS CC In: Useful Geography: Transfer from Research to Practice [textový dokument (print)] [elektronický dokument] : Proceedings of 25th Central European Conference, 12th-13th October 2017, Brno / Svobodová, Hana [Zostavovateľ, editor]. – 1. vyd. – Brno (Česko) : Masarykova univerzita, 2018. – ISBN 978-80-210-8907-5. – ISBN (online) 978-80-210-8908-2, s. 326-336 [tlačená forma] [online] </t>
  </si>
  <si>
    <t xml:space="preserve">The Creativity of Tourism Undergraduates as Future Creative Tourism Experts / Beták, Norbert [Autor, UKFFSSKCR, 50%] ; Sándorová, Zuzana [Autor, UKFFSSKCR, 50%] ; International Conference the Future of Education, 10 [18.06.2020-19.06.2020, Florencia, Taliansko]. – text. – [angličtina]. – [OV 010, 080]. – [abstrakt z podujatia - KP] In: 10 th International Conference the Future of Education [elektronický dokument] : International conference, Florence 18-19 June 2020 / [bez zostavovateľa] [Zostavovateľ, editor]. – 1. vyd. – Florencia (Taliansko) : Filodiritto Publisher, 2020. – ISBN (online) 978-88-85813-87-8. – ISSN (online) 2384-9509, s. 271-275 [online] </t>
  </si>
  <si>
    <t xml:space="preserve">The curriculum of the pre-senior education programme / Koricina, Michal [Autor, UKFPFAKPE, 100%] ; International Technology, Education and Development Conference 2021, 15 [08.03.2021-09.03.2021, Valencia, Španielsko]. – text. – [angličtina]. – [OV 010]. – [abstrakt z podujatia - KP]. – DOI 0.21125/inted.2021.2224 In: INTED2021 [textový dokument (print)] [elektronický dokument] : 15th International Technology, Education and Development Conference : conference proceedings / Chova, Luis Goméz [Zostavovateľ, editor] ; López Martínez, Agustín [Zostavovateľ, editor] ; Candel Torres, Ignacio [Zostavovateľ, editor]. – 1. vyd. – Valencia (Španielsko) : IATED, 2021. – (INTED Proceedings, ISSN 2340-1079). – ISBN 978-84-09-27666-0. – ISSN 2340-1079, s. 10601-10609 [online] </t>
  </si>
  <si>
    <t xml:space="preserve">The design of a cycling route in the model territory of Levice and its surroundings / Kováč, Tomáš [Autor, 50%] ; Boltižiar, Martin [Autor, UKFFPVKGR, 50%] ; Lněnička, Libor [Recenzent] ; Mísařová, Darina [Recenzent] ; Useful Geography: Transfer from Research to Practice, 25 [12.10.2017-13.10.2017, Brno, Česko]. – text. – [angličtina]. – [OV 092]. – [abstrakt z podujatia - KP]. – DOI 10.5817/CZ.MUNI.P210-8908-2018. – WOS CC In: Useful Geography: Transfer from Research to Practice [textový dokument (print)] [elektronický dokument] : Proceedings of 25th Central European Conference, 12th-13th October 2017, Brno / Svobodová, Hana [Zostavovateľ, editor]. – 1. vyd. – Brno (Česko) : Masarykova univerzita, 2018. – ISBN 978-80-210-8907-5. – ISBN (online) 978-80-210-8908-2, s. 434-446 [tlačená forma] [online] </t>
  </si>
  <si>
    <t xml:space="preserve">The Determination of Reading Habits Among Hungarian Students in Slovakia / Gergelyová, Viktória [Autor, UKFFSSUML, 100%] ; SGEM 2019, 6 [11.04.2019-14.04.2019, Viedeň, Rakúsko]. – text. – [angličtina]. – [OV 020]. – [abstrakt z podujatia - KP] In: SGEM 2019 conference proceedings (6.1. Science &amp; Arts : Cultural Studies, Ethnology and Folklore, Literature and Poetry, History of Arts, Contemporary Arts, Performing and Visual Arts, Architecture and Design) [textový dokument (print)] : International Multidisciplinary Scientific Conference on Social Sciences and Arts / [bez zostavovateľa] [Zostavovateľ, editor] ; Cristea, Lidia [Recenzent] ; Grecevičius, Petras [Recenzent]. – 1. vyd. – Roč. 6. – Sofia (Bulharsko) : STEF92 Technology, 2019. – ISBN 978-619-7408-75-1. – ISSN 2367-5659, s. 307-314 [tlačená forma] </t>
  </si>
  <si>
    <t xml:space="preserve">The development of information technology and the selected application of MEMS as an example of integration of information system in the area of ecology applications / Pytel, Krysztof [Autor, 20%] ; Lobur, Mykhaylo V. [Autor, 20%] ; Malodobry, Zbigniew [Autor, 20%] ; Depešová, Jana [Autor, UKFPFAKTT, 20%] ; Hudy, Wiktor [Autor, 10%] ; Peczalski, Szymon [Autor, 10%] ; IEEE 2019 [22.05.2019-26.05.2019, Polyana, Ukrajina]. – text. – [angličtina]. – [OV 010]. – [abstrakt z podujatia - KP]. – [recenzované]. – DOI 10.1109/MEMSTECH.2019.8817381. – WOS CC ; SCO In: 15th IEEE International Conference on the Perspective Technologies and Methods in MEMS Design, MEMSTECH 2019 : Polyana; Ukraine; 22 May 2019 through 26 May 2019 / [bez zostavovateľa] [Zostavovateľ, editor]. – Polyana (Ukrajina) : Institute of Electrical and Electronics Engineers, 2019. – ISBN 9781728140285, s. 161-164 </t>
  </si>
  <si>
    <t xml:space="preserve">The development of travel writing and its motifs from the 19th century to the present / Pišová, Paula [Autor, UKFFFAKRO, 70%] ; Šavelová, Monika [Autor, UKFFFAKRO, 30%] ; Mezinárodní Masarykova konference pro doktorandy a mladé vědecké pracovníky 2021, 12 [20.12.2021-22.12.2021, Hradec Králové, Česko]. – text. – [angličtina]. – [OV 020]. – [ŠO 7320]. – [abstrakt z podujatia - KP]. – [recenzované] In: MMK 2021 [elektronický dokument] : Mezinárodní Masarykova konference pro doktorandy a mladé vědecké pracovníky : recenzovaný sborník příspěvků mezinárodní vědecké konference / [bez zostavovateľa] [Zostavovateľ, editor]. – 1. vyd. – Roč. 12. – Hradec Králové (Česko) : Magnanimitas akademické sdružení, 2021. – ISBN 978-80-87952-35-1, s. 792-800 [online] </t>
  </si>
  <si>
    <t xml:space="preserve">The difference between pupils' self-assessment and actual performance in reading comprehension / Gergelyová, Viktória [Korešpondenčný autor, UKFFSSUML, 50%] ; Vančo, Ildikó [Autor, UKFFSSUML, 50%] ; International Technology, Education and Development Conference 2020, 14 [02.03.2020-04.03.2020, Valencia, Španielsko]. – text. – [angličtina]. – [OV 010, 020]. – [abstrakt z podujatia - KP]. – [recenzované]. – WOS CC In: INTED2020 Proceedings [elektronický dokument] : 14th International Technology, Education and Development Conference / Chova, Luis Goméz [Zostavovateľ, editor] ; López Martínez, Agustín [Zostavovateľ, editor] ; Candel Torres, Ignacio [Zostavovateľ, editor]. – 1. vyd. – Valencia (Španielsko) : IATED, 2020. – (INTED Proceedings, ISSN 2340-1079). – ISBN 978-84-09-17939-8. – ISSN 2340-1079, s. 1177-1182 [online] </t>
  </si>
  <si>
    <t xml:space="preserve">The Dragon Returns in a Sign of Fire / Hrešková, Sylvia [Autor, UKFFSSUSJ, 100%] ; Comparative European Research 2021, 15 [29.03.2021-31.03.2021, Londýn, Veľká Británia]. – text. – [angličtina]. – [OV 020]. – [abstrakt z podujatia - KP] In: CER Comparative European Research 2021 [elektronický dokument] : proceedings / research track of the 15th Biannual CER Comparative European Research Conference / McGreevy, Michael [Zostavovateľ, editor] ; Rita, Robert [Zostavovateľ, editor]. – 1. vyd. – Roč. 8, č. 1. – Londýn (Veľká Británia) : Sciemcee, 2021. – ISBN (online) 978-1-9993071-7-2, s. 166-168 [online] </t>
  </si>
  <si>
    <t xml:space="preserve">The effects of boron addition in kaolin-CaCO3mixture / Obert, Filip [Autor, UKFFPVKFY, 50%] ; Trník, Anton [Autor, UKFFPVKFY, 50%] ; 2nd Central European Symposium on Thermophysics 2020, CEST 2020, 2 [02.09.2020-04.09.2020, Eger, Maďarsko]. – [angličtina]. – [OV 091]. – [abstrakt z podujatia - KP]. – DOI 10.1063/5.0026051. – SCO In: Proceedings of the 2nd Central European Symposium on Thermophysics [textový dokument (print)] / Trník, Anton [Zostavovateľ, editor] ; Medveď, Igor [Zostavovateľ, editor]. – 1. vyd. – College Park, Maryland (USA) : American Institute of Physics , 2020. – (AIP Conference Proceedings, ISSN 0094-243X, ISSN 1551-7616 ; Volume 2275, SJR: 0,177 ; CiteScore: 0,7 ; SNIP: 0,314). – ISBN 978-0-7354-4005-0. – ISSN 0094243X. – ISSN (online) 15517616, s. 1-9 [tlačená forma] [online] </t>
  </si>
  <si>
    <t xml:space="preserve">The emotional-motivational component of school readiness beginning pupils / Teleková, Radka [Autor, UKFPFAKPE, 50%] ; Marcineková, Tatiana [Autor, UKFPFAKPE, 50%] ; CBU International Conference, 8 [18.03.2020-20.03.2020, Praha, Česko]. – text. – [angličtina]. – [OV 010]. – [abstrakt z podujatia - KP]. – [recenzované]. – DOI 0.12955/pss.v1.76 In: Proceedings of CBU in Social Sciences [textový dokument (print)] [elektronický dokument] : CBU International Conference on Innovations in Science and Education 2020 / Hajek, Petr [Zostavovateľ, editor] ; Vít, Ondřej [Zostavovateľ, editor]. – 1. vyd. – Praha (Česko) : CBU Research Institute, 2020. – (Proceedings of CBU in Social Sciences, ISSN 2695-0715, ISSN 2695-0723 ; Vol 1). – ISBN 978-80-907722-6-7. – ISBN (online) 978-80-907722-5-0, s. 218-224 [tlačená forma] [online] </t>
  </si>
  <si>
    <t xml:space="preserve">The evaluation of the relations between the state budget and the local self-government budgets (case study of the Slovak Republic) / Papcunová, Viera [Autor, UKFFPVUMI, 33.334%] ; Balážová, Eva [Autor, SPUFES14, 33.333%] ; Ágh, Peter [Autor, SPUFES14, 33.333%] ; Mezinárodní kolokvium o regionálních vědách, 22 [12.06.2019-14.06.2019, Velké Bílovice, Česko]. – text. – [angličtina]. – [OV 080, 060]. – [abstrakt z podujatia - KP]. – DOI 10.5817/CZ.MUNI.P210-9268-2019-46. – WOS CC In: 22. mezinárodní kolokvium o regionálních vědách [elektronický dokument] : sborník příspěvků / Klímová, Viktorie [Zostavovateľ, editor] ; Žítek, Vladimír [Zostavovateľ, editor] ; Žárska, Elena [Recenzent]. – 1. vyd. – Roč. 22. – Brno (Česko) : Masarykova univerzita, 2019. – ISBN 978-80-210-9268-6, s. 369-377 [online] </t>
  </si>
  <si>
    <t xml:space="preserve">The Experiments with a Transformer in High School / Sitkey, Matúš [Autor, UKFFPVKFY, 100%] ; CBU International Conference, 6 [21.03.2018-23.03.2018, Praha, Česko]. – text. – [angličtina]. – [OV 010]. – [abstrakt z podujatia - KP]. – [recenzované]. – DOI 10.12955/cbup.v6.1247 In: CBU International Conference Proceedings 2018 [textový dokument (print)] [elektronický dokument] : Innovations in Science and Education : March 21-23, 2018, Prague, Czech Republic / Hájek, Petr [Zostavovateľ, editor] ; Vít, Ondřej [Zostavovateľ, editor]. – 1. vyd. – Praha (Česko) : CBU Research Institute, 2018. – ISBN 978-80-270-5037-6. – ISBN (online) 978-80-270-5038-3. – ISSN 1805-997X. – ISSN (online) 1805-9961, s. 768-772 [tlačená forma] [online] </t>
  </si>
  <si>
    <t xml:space="preserve">The Expressional Function of Communication Models in the Process of Learning a Foreign Language and Learning Experiences with the Culture of the Foreign Language / Stranovská, Eva [Autor, UKFFFAKGE, 50%] ; Munková, Daša [Autor, UKFFFAKTR, 50%] ; Verbeke, Mark [Recenzent] ; Coleman, Hardin L. K. [Recenzent] ; The Future of Education, 9 [27.06.2019-28.06.2019, Florence, Taliansko]. – [angličtina]. – [OV 010]. – [abstrakt z podujatia - KP]. – DOI 10.26352/D627_2384-9509_2019. – WOS CC In: The Future of Education [elektronický dokument] : Proceedings form 9 th International Conference, Florence, 27 - 28 June 2019 / [bez zostavovateľa] [Zostavovateľ, editor]. – 1. vyd. – Florence (Taliansko) : Filodiritto Publisher, 2019. – ISBN 978-88-85813-45-8. – ISSN 2384-9509, s. 301-307 [online] </t>
  </si>
  <si>
    <t xml:space="preserve">The figurativeness of the language of St. Teresa of Ávila / Hornáčková Klapicová, Edita [Autor, UKFFFAKTR, 100%] ; The Figurativeness of the Language of Mystical Experience [29.06.2021-30.06.2021, Madrid, Španielsko]. – text. – [angličtina]. – [OV 020]. – [abstrakt z podujatia - KP]. – DOI 10.5817/CZ.MUNI.P210-9997-2021-16 In: The Figurativeness of the Language of Mystical Experience [elektronický dokument] : Particularities and Interpretations. Virtual international conference proceedings / Barnés Vázquez, Antonio [Zostavovateľ, editor] ; Kučerková, Magda [Zostavovateľ, editor] ; Hricková, Mária [Recenzent] ; Ruiz Andrés, Rafael [Recenzent]. – 1. vyd. – Brno (Česko) : Masarykova univerzita, 2021. – ISBN 978-80-210-9997-5, s. 172-184 [online] </t>
  </si>
  <si>
    <t xml:space="preserve">The figurativeness of the mystical experience in Angela of Foligno / Šavelová, Monika [Autor, UKFFFAKRO, 100%] ; The Figurativeness of the Language of Mystical Experience [29.06.2021-30.06.2021, Madrid, Španielsko]. – text. – [angličtina]. – [OV 020]. – [abstrakt z podujatia - KP]. – DOI 10.5817/CZ.MUNI.P210-9997-2021-15 In: The Figurativeness of the Language of Mystical Experience [elektronický dokument] : Particularities and Interpretations. Virtual international conference proceedings / Barnés Vázquez, Antonio [Zostavovateľ, editor] ; Kučerková, Magda [Zostavovateľ, editor] ; Hricková, Mária [Recenzent] ; Ruiz Andrés, Rafael [Recenzent]. – 1. vyd. – Brno (Česko) : Masarykova univerzita, 2021. – ISBN 978-80-210-9997-5, s. 159-171 [online] </t>
  </si>
  <si>
    <t xml:space="preserve">The Future as a Return to the Past - a Look at the Concept of  Energy and its Importance in Education / Jindrová, Terézia [Autor, UKFFPVKFY, 50%] ; Sitkey, Matúš [Autor, UKFFPVKFY, 50%] ; International Conference the Future of Education, 10 [18.06.2020-19.06.2020, Florencia, Taliansko]. – text. – [angličtina]. – [OV 010]. – [abstrakt z podujatia - KP] In: 10 th International Conference the Future of Education [elektronický dokument] : International conference, Florence 18-19 June 2020 / [bez zostavovateľa] [Zostavovateľ, editor]. – 1. vyd. – Florencia (Taliansko) : Filodiritto Publisher, 2020. – ISBN (online) 978-88-85813-87-8. – ISSN (online) 2384-9509, s. 97-102 [online] </t>
  </si>
  <si>
    <t xml:space="preserve">The heart as an image of deification in mystical writing / Kučerková, Magda [Autor, UKFFFAKRO, 100%] ; The Figurativeness of the Language of Mystical Experience [29.06.2021-30.06.2021, Madrid, Španielsko]. – text. – [angličtina]. – [OV 020]. – [abstrakt z podujatia - KP]. – DOI 10.5817/CZ.MUNI.P210-9997-2021-11 In: The Figurativeness of the Language of Mystical Experience [elektronický dokument] : Particularities and Interpretations. Virtual international conference proceedings / Barnés Vázquez, Antonio [Zostavovateľ, editor] ; Kučerková, Magda [Zostavovateľ, editor] ; Hricková, Mária [Recenzent] ; Ruiz Andrés, Rafael [Recenzent]. – 1. vyd. – Brno (Česko) : Masarykova univerzita, 2021. – ISBN 978-80-210-9997-5, s. 109-119 [online] </t>
  </si>
  <si>
    <t xml:space="preserve">The imagery in story reading as an effective strategy toward achieving proficiency in efl and acquiring human values in very young learners / Hornáčková Klapicová, Edita [Autor, UKFFFAKTR, 50%] ; Reister, Megan A. [Autor, 50%] ; International Virtual Academic Conference. Education and Social Sciences, Business and Economics [10.06.2020, Skopje, Macedónsko]. – text. – [angličtina]. – [OV 010]. – [abstrakt z podujatia - KP] In: IAI Academic conference proceedings [elektronický dokument] : International virtual academic conference / Rucheva Tasev, Hristina [Zostavovateľ, editor]. – 1. vyd. – Skopje (Macedónsko) : International Academic Institute, 2020. – ISSN (online) 2671-3179, s. 69-87 [online] </t>
  </si>
  <si>
    <t xml:space="preserve">The impact of a Facebook group on developing university students' efl competence: a case study / Datko, Juraj [Autor, UKFPFAKLI, 100%] ; QUAERE 2018, 8 [27.06.2018-29.06.2018, Hradec Králové, Česko]. – text. – [angličtina]. – [OV 010]. – [abstrakt z podujatia - KP]. – [recenzované] In: QUAERE 2018 [elektronický dokument] : recenzovaný sborník příspěvků vědecké interdisciplinární mezinárodní vědecké konference doktorandů a odborných asistentů / [bez zostavovateľa] [Zostavovateľ, editor]. – 1. vyd. – Roč. 8. – Hradec Králové (Česko) : Magnanimitas akademické sdružení, 2018. – ISBN 978-80-87952-26-9, s. 1010-1018 [CD-ROM] </t>
  </si>
  <si>
    <t xml:space="preserve">The Impact of a Facebook Group on Social Climate in English Lessons / Datko, Juraj [Autor, UKFPFAKLI, 100%] ; International Conference on Research in Social Sciences [03.12.2019-05.12.2019, Viedeň, Rakúsko]. – text. – [angličtina]. – [OV 060]. – [abstrakt z podujatia - KP] In: Proceedings of The 2nd International Conference on Research in Social Sciences [textový dokument (print)] : Vienna, 3-5 December 2019 / [bez zostavovateľa] [Zostavovateľ, editor]. – 1. vyd. – Vienna (Rakúsko) : Diamond Scientific Publication, 2019. – ISBN 978-609-485-040-0, s. 1-9 </t>
  </si>
  <si>
    <t xml:space="preserve">The Impact of Branding on Consumer Satisfaction in Mobile Telecomunications Services / Džupina, Milan [Autor, UKFFFAKMR, 34%] ; Schlosserová, Zuzana [Autor, UKFFFAKMR, 33%] ; Čulíková, Michaela [Autor, 33%] ; International Scientific Conference on Economic and Social Development, 40 [10.05.2019-11.05.2019, Buenos Aires, Argentína]. – [angličtina]. – [OV 020]. – [abstrakt z podujatia - KP]. – WOS CC In: Economic and Social Development [elektronický dokument] : 40th International Scientific Conference on Economic and Social Development, Buenos Aires, 10-11 May 2019 / Beker, Victor [Zostavovateľ, editor] ; Lackovič, Ana [Zostavovateľ, editor] ; Pavelin, Goran [Zostavovateľ, editor]. – 1. vyd. – Roč. 40. – Buenos Aires (Brazília) : Varazdin Development and Entrepreneurship Agency, 2019. – ISSN 1849-7535, s. 11-26 [online] </t>
  </si>
  <si>
    <t xml:space="preserve">The Impact of Generation Y on the Service Offer in Travel Agencies in Slovakia / Mazúchová, Ľudmila [Autor, UKFFSSKCR, 90%] ; Krajčovičová, Adriana [Autor, 10%] ; SWS International Scientific Conference on Arts and Humanities 2019, 6 [26.08.2019-01.09.2019, Albena, Bulharsko]. – text. – [angličtina]. – [OV 080]. – [abstrakt z podujatia - KP] In: SWS International Scientific Conference on Social Sciences 2019 (Economics and finance, business and management) [textový dokument (print)] : conference proceedings / [bez zostavovateľa] [Zostavovateľ, editor]. – 1. vyd. – Roč. 6, č. 2. – Sofia (Bulharsko) : STEF92 Technology, 2019. – ISBN 978-619-7408-92-8. – ISSN 2682-9959, s. 297-305 [tlačená forma] </t>
  </si>
  <si>
    <t xml:space="preserve">The impact of mental mapping on pupils' attitudes to learning / Kozárová, Nina [Autor, UKFPFAKPE, 50%] ; Koleňáková, Rebeka Štefánia [Autor, UKFPFAKPE, 50%] ; CBU International Conference, 7 [20.03.2019-22.03.2019, Praha, Česko]. – text. – [angličtina]. – [OV 010]. – [abstrakt z podujatia - KP] In: CBU International Conference Proceedings 2019 [textový dokument (print)] [elektronický dokument] : Innovations in Science and Education / Hájek, Petr [Zostavovateľ, editor] ; Vít, Ondřej [Zostavovateľ, editor]. – 1. vyd. – Roč. 7. – Praha (Česko) : CBU Research Institute, 2019. – ISBN 978-80-907722-0-5. – ISBN (online) 978-80-907722-1-2. – ISSN 1805-997X. – ISSN (online) 1805-9961, s. 464-471 [tlačená forma] [online] </t>
  </si>
  <si>
    <t xml:space="preserve">The Impact of Psychomotor Skill Development on the Degree of Knowledge Acquired by Pupils in the 6th Year of Elementary Education in the Subject of Technical Education / Depešová, Jana [Autor, UKFPFAKTT, 50%] ; Ažaltovičová, Michaela [Autor, UKFPFAKTT, 50%] ; EDULEARN21 [05.07.2021-06.07.2021, Barcelona, Španielsko]. – text. – [angličtina]. – [OV 010]. – [abstrakt z podujatia - KP] In: EDULEARN21 [elektronický dokument] : 13th annual International Conference on Education and New Learning Technologies, Barcelona, 5th - 6th of July, 2021 / Chova, Luis Goméz [Zostavovateľ, editor] ; Martínez, Augustín López [Zostavovateľ, editor] ; Torres, I. [Zostavovateľ, editor]. – 1. vyd. – Roč. 13. – Barcelona (Španielsko) : IATED, 2021. – ISBN 978-84-09-31267-2. – ISSN 2340-1117, s. 11803-11807 [CD-ROM] [USB kľúč] </t>
  </si>
  <si>
    <t xml:space="preserve">The impact of the pandemic on adult education from a diversity perspective = Dopad pandémie na vzdelávanie dospelých z hľadiska diverzity / Flikingerová, Lenka [Autor, UKFPFAKPE, 100%] ; Vzdělávání dospělých 2020, 10 [16.12.2020, Praha, Česko]. – text. – [angličtina]. – [OV 010]. – [abstrakt z podujatia - KP] In: Vzdělávání dospělých 2020 - reflexe, realita a potenciál virtuálního světa [textový dokument (print)] [elektronický dokument] : sborník z 10. ročníku mezinárodní vědecké konference Vzdělávání dospělých 2020 konané v Praze 16. prosince 2020 / Lukianova, Larysa [Recenzent] ; Marianowska, Anna [Recenzent] ; Matouš, Zdeněk [Recenzent] ; Průcha, Jan [Recenzent] ; Pirohová, Ivana [Recenzent] ; Szarota, Zofia [Recenzent] ; Šip, Maroš [Recenzent]. – 1. vyd. – Praha (Česko) : Česká andragogická společnost ; Univerzita Karlova v Praze, 2021. – ISBN 978-80-907809-7-2. – ISBN (online) 978-80-907809-8-9. – ISSN 2571-3841. – ISSN (online) 2571-385X, s. 133-140 [tlačená forma] [online] </t>
  </si>
  <si>
    <t xml:space="preserve">The impact of the personalized e-course on the level of knowledge in computer science subjects / Mudrák, Marián [Autor, UKFFPVKIN, 34%] ; Turčáni, Milan [Autor, UKFFPVKIN, 33%] ; Burianová, Mária [Autor, UKFFPVKIN, 33%] ; ERIE 2019, 16 [06.06.2019-07.06.2019, Praha, Česko]. – text. – [angličtina]. – [OV 160]. – [abstrakt z podujatia - KP]. – [recenzované]. – WOS CC In: Efficiency and Responsibility in Education 2019 [textový dokument (print)] : proceedings of the 16th International Conference, 06. - 07. June 2019, Prague, Czech Republic / [bez zostavovateľa] [Zostavovateľ, editor]. – 1 vyd. – Praha (Česko) : Česká zemědelská univerzita v Praze, 2019. – ISBN 978-80-213-2878-5. – ISSN 2336-744X, 204-211 [tlačená forma] </t>
  </si>
  <si>
    <t xml:space="preserve">The impact of the surroundings and technical equipment on university students during the third wave of the corona crisis / Šebo, Miroslav [Autor, UKFPFAKTT, 100%] ; ICERI 2021, 14 [08.11.2021-09.11.2021, Seville, Španielsko]. – text. – [angličtina]. – [OV 010]. – [abstrakt z podujatia - KP]. – DOI 10.21125/iceri.2021.0125 In: ICERI2021 [elektronický dokument] : 14th annual International Conference of Education, Research and Innovation / Gómez, Chova L. [Zostavovateľ, editor] ; López Martínez, Agustín [Zostavovateľ, editor] ; Candel Torres, Ignacio [Zostavovateľ, editor]. – 1. vyd. – Valencia (Španielsko) : IATED, 2021. – ISBN 978-84-09-34549-6. – ISSN 2340-1095, s. 4162-4170 [online] [USB kľúč] </t>
  </si>
  <si>
    <t xml:space="preserve">The impact of vegetation quality and composition on recreational cultural ecosystem services / Rózová, Zdenka [Autor, UKFFPVKEE, 34%] ; Tóth, Attila [Autor, 33%] ; Pástorová, Anna [Autor, UKFFPVKEE, 33%] ; Public recreation and landscape protection - with sense hand in hand! [10.05.2021-11.05.2021, Brno, Česko]. – text. – [angličtina]. – [OV 100]. – [abstrakt z podujatia - KP]. – SCO In: Public recreation and landscape protection - with sense hand in hand! [textový dokument (print)] [elektronický dokument] : conference proceedings / Fialová, Jitka [Zostavovateľ, editor]. – st. vyd. – Brno (Česko) : Mendelova univerzita v Brně, 2021. – ISBN 978-80-7509-779-8. – ISBN (online) 978-80-7509-780-4. – ISSN 2336-6311. – ISSN (online) 2336-632X, s. 478-481 [tlačená forma] [online] </t>
  </si>
  <si>
    <t xml:space="preserve">The importance and place of creativity in social work / Tvrdoň, Miroslav [Autor, UKFFSVKSP, 40%] ; Králik, Roman [Autor, 30%] ; Máhrik, Tibor [Autor, 30%] ; ICERI 2021, 14 [08.11.2021-09.11.2021, Seville, Španielsko]. – text. – [angličtina]. – [OV 060]. – [abstrakt z podujatia - KP] In: ICERI2021 [elektronický dokument] : 14th annual International Conference of Education, Research and Innovation / Gómez, Chova L. [Zostavovateľ, editor] ; López Martínez, Agustín [Zostavovateľ, editor] ; Candel Torres, Ignacio [Zostavovateľ, editor]. – 1. vyd. – Valencia (Španielsko) : IATED, 2021. – ISBN 978-84-09-34549-6. – ISSN 2340-1095, s. 6606-6611 [online] [USB kľúč] </t>
  </si>
  <si>
    <t xml:space="preserve">The Importance of Intercultural Communicative Competences for Tourism Labour Market : Students’ Views and their Self-Assessment / Sándorová, Zuzana [Autor, UKFFSSKCR, 100%] ; HEAd’19, 19 [26.06.2019-28.06.2019, Valencia, Španielsko]. – [angličtina]. – [OV 080]. – [abstrakt z podujatia - KP]. – WOS CC In: HEAd’19 [textový dokument (print)] : 5th International Conference on Higher Education Adances, Valencia, Spain, 26 June - 28 June 2019 / Domenech, Josep [Zostavovateľ, editor]. – 1. vyd. – Roč. 19. – Valencia (Španielsko) : Editorial Universitat Politècnica de València, 2019. – ISBN 978-84-9048-661-0. – ISSN 2603-5871, s. 1287-1295 </t>
  </si>
  <si>
    <t xml:space="preserve">The Importance of Roma Fairy Tales in Primary School Education / Tóthová, Gizela [Autor, UKFFSSUML, 100%] ; International Technology, Education and Development Conference 2019, 13 [11.03.2019-13.03.2019, Valencia, Španielsko]. – [angličtina]. – [OV 010]. – [abstrakt z podujatia - KP]. – [recenzované]. – WOS CC In: INTED2019 Proceedings [elektronický dokument] : 13th International Technology, Education and Development Conference / Chova, Luis Goméz [Zostavovateľ, editor] ; López Martínez, Agustín [Zostavovateľ, editor] ; Candel Torres, Ignacio [Zostavovateľ, editor]. – 1. vyd. – Valencia (Španielsko) : IATED, 2019. – (INTED Proceedings, ISSN 2340-1079). – ISBN 978-84-09-08619-1, s. 5416-5423 [CD-ROM] [USB kľúč] </t>
  </si>
  <si>
    <t xml:space="preserve">The Importance of Roma Literature in Slovakia and the Mapping of its Current Situation / Tóthová, Gizela [Autor, UKFFSSUML, 100%] ; SGEM 2019, 6 [11.04.2019-14.04.2019, Viedeň, Rakúsko]. – text. – [angličtina]. – [OV 020]. – [abstrakt z podujatia - KP] In: SGEM 2019 conference proceedings (6.1. Science &amp; Arts : Cultural Studies, Ethnology and Folklore, Literature and Poetry, History of Arts, Contemporary Arts, Performing and Visual Arts, Architecture and Design) [textový dokument (print)] : International Multidisciplinary Scientific Conference on Social Sciences and Arts / [bez zostavovateľa] [Zostavovateľ, editor] ; Cristea, Lidia [Recenzent] ; Grecevičius, Petras [Recenzent]. – 1. vyd. – Roč. 6. – Sofia (Bulharsko) : STEF92 Technology, 2019. – ISBN 978-619-7408-75-1. – ISSN 2367-5659, s. 223-230 [tlačená forma] </t>
  </si>
  <si>
    <t xml:space="preserve">The Inclusion of Roma Literature into School Activities in Hungarian in Slovakia / Bárcziová, Žofia [Autor, UKFFSSUML, 50%] ; Tóthová, Gizela [Autor, UKFFSSUML, 50%] ; EDULEARN19, 11 [01.07.2019-03.07.2019, Palma de Mallorca, Španielsko]. – [angličtina]. – [OV 010]. – [abstrakt z podujatia - KP]. – WOS CC In: EDULEARN19 proceedings [elektronický dokument] : 11th annual International Conference on Education and New Learning Technologies / Gómez Chova, Luis [Zostavovateľ, editor] ; López Martínez, Agustín [Zostavovateľ, editor] ; López, Agustín [Recenzent] ; Girós, Amparo [Recenzent]. – 1. vyd. – Roč. 11. – Valencia (Španielsko) : IATED, 2019. – ISBN 978-84-09-12031-4. – ISSN 2340-1117, s. 6186-6191 [CD-ROM] </t>
  </si>
  <si>
    <t xml:space="preserve">The Influence of Corporate Social Responsibility (CSR) on Brand Equity / Džupina, Milan [Autor, UKFFFAKMR, 40%] ; Koprda, Tomáš [Autor, UKFFFAKMR, 40%] ; Veselei, Andrej [Autor, 20%] ; International Scientific Conference on Economic and Social Development, 49 [13.12.2019-14.12.2019, Zahreb, Chorvátsko]. – text. – [angličtina]. – [OV 080]. – [abstrakt z podujatia - KP] In: Economic and Social Development [textový dokument (print)] : Book of Proceedings from 49th International Scientific Conference on Economic and Social Development Development –  – "Building Resilient Society", Zagreb, 13-14 December 2019 / Dukic, Darko [Zostavovateľ, editor] ; Aleksić, Ana [Recenzent] ; Raquel Alves, Sandra [Recenzent]. – 1. vyd. – Varaždin (Chorvátsko) : Varazdin Development and Entrepreneurship Agency, 2019. – ISSN 1849-7535, s. 164-174 [tlačená forma] </t>
  </si>
  <si>
    <t xml:space="preserve">The influence of personal need for structure on second language acquisition / Stančeková, Svetlana [Autor, UKFFFAKRO, 34%] ; Ficzere, Anikó [Autor, UKFFSSKCR, 33%] ; Ďurková, Simona [Autor, UKFFFAKAA, 33%] ; SGEM 2019, 6 [11.04.2019-14.04.2019, Viedeň, Rakúsko]. – [angličtina]. – [OV 020, 010]. – [abstrakt z podujatia - KP]. – [recenzované] In: SGEM 2019 conference proceedings (2.1. Ancient Science : archaelogy, history, philosophy, language and linguistics health policy amd services) [textový dokument (print)] / [bez zostavovateľa] [Zostavovateľ, editor]. – 1. vyd. – Roč. 6. – Sofia (Bulharsko) : STEF 92 Technology, 2019. – ISBN 978-619-7408-74-4. – ISSN 2367-5659, s. 335-342 </t>
  </si>
  <si>
    <t xml:space="preserve">The influence of the compression pressure and firing temperature on the mechanical strength of electroporcelain samples / Al-Shantir, Omar [Autor, UKFFPVKFY, 25%] ; Knapek, Michal [Autor, 25%] ; Vrabec, Marek [Autor, 25%] ; Trník, Anton [Autor, UKFFPVKFY, 25%] ; Central European Symposium on Thermophysics, 3 [01.09.2021-03.09.2021, Kazimierz Dolny, Poľsko]. – text. – [angličtina]. – [OV 091]. – [abstrakt z podujatia - KP]. – DOI 10.1063/5.0069668. – WOS CC ; SCO In: Proceedings of the 3rd Central European Symposium on Thermophysics [elektronický dokument] / Trník, Anton [Zostavovateľ, editor] ; Suchorab, Zbigniew [Zostavovateľ, editor]. – 1. vyd. – Melville, NY (USA) : American Institute of Physics . AIP Publishing, 2021. – ISBN 978-0-7354-4139-2, s. 1-14 [online] </t>
  </si>
  <si>
    <t xml:space="preserve">The influence of two different physical training programs on selected somatometric indicators of professional soldiers / Markovič, Roman [Autor, UKFPFAKTV, 50%] ; Šimonek, Jaromír [Autor, UKFPFAKTV, 50%] ; Scientia Movens 2019, 26 [09.04.2019, Praha, Česko]. – text. – [angličtina]. – [OV 210]. – [abstrakt z podujatia - KP] In: Scientia Movens 2019 [elektronický dokument] [textový dokument (print)] : sborník příspěvků z mezinárodní studentské vědecké konference konané dne 9. dubna 2019 / Suchý, Jiří [Zostavovateľ, editor] ; Korbelář, Tomáš [Zostavovateľ, editor] ; Vostatková, Pavlína [Zostavovateľ, editor] ; Satrapová, Pavla [Zostavovateľ, editor] ; Polívka, Tomáš [Zostavovateľ, editor] ; Macho, Juraj [Zostavovateľ, editor] ; Petr, Miroslav [Recenzent] ; Perič, Tomáš [Recenzent]. – 1. vyd. – Roč. 26. – Praha (Česko) : Univerzita Karlova v Praze. Fakulta tělesné výchovy a sportu, 2019. – ISBN 978-80-87647-48-6. – SIGN-UKO TV EXTV, s. 113-125 [online] [tlačená forma] </t>
  </si>
  <si>
    <t xml:space="preserve">The Intensity of Regional Disparities in Slovakia with an Emphasis on Carpathian Euroregion / Levický, Michal [Autor, UKFFPVUMI, 50%] ; Vojtech, František [Autor, VŠEMVSÚEMKMSP, 50%] ; 16th International Scientnific Days [12.04.2018-13.04.2018, Gyöngyös, Maďarsko]. – text. – [angličtina]. – [OV 080]. – [abstrakt z podujatia - KP] In: 16th International Scientnific Days [elektronický dokument] : Papers of scientific days, Gyögyös 12. - 13.04. 2018 / Dinya, László [Zostavovateľ, editor] ; Baranyi, Aranka [Zostavovateľ, editor]. – 1. vyd. – Gyöngyös (Maďarsko) : Líceum Publisher EKE, 2018. – ISBN 978-615-5621-75-8, s. 1163-1168 [online] </t>
  </si>
  <si>
    <t xml:space="preserve">The key role of geographic information systems in environmental education / Grežo, Henrich [Autor, UKFFPVKEE, 40%] ; Mišovičová, Regína [Autor, UKFFPVKEE, 30%] ; Pucherová, Zuzana [Autor, UKFFPVKEE, 30%] ; EDULEARN21 [05.07.2021-06.07.2021, Barcelona, Španielsko]. – text. – [angličtina]. – [OV 100]. – [abstrakt z podujatia - KP]. – [recenzované]. – DOI 10.21125/edulearn.2021.1972 In: EDULEARN21 [elektronický dokument] : 13th annual International Conference on Education and New Learning Technologies, Barcelona, 5th - 6th of July, 2021 / Chova, Luis Goméz [Zostavovateľ, editor] ; Martínez, Augustín López [Zostavovateľ, editor] ; Torres, I. [Zostavovateľ, editor]. – 1. vyd. – Roč. 13. – Barcelona (Španielsko) : IATED, 2021. – ISBN 978-84-09-31267-2. – ISSN 2340-1117, s. 9765-9769 [CD-ROM] [USB kľúč] </t>
  </si>
  <si>
    <t xml:space="preserve">The mystical meaning of the table in contemporary art : reinterpretation of the language of giving and receiving / Pariláková, Eva [Autor, UKFFFAULK, 100%] ; The Figurativeness of the Language of Mystical Experience [29.06.2021-30.06.2021, Madrid, Španielsko]. – text. – [angličtina]. – [OV 020]. – [abstrakt z podujatia - KP]. – DOI 10.5817/CZ.MUNI.P210-9997-2021-23 In: The Figurativeness of the Language of Mystical Experience [elektronický dokument] : Particularities and Interpretations. Virtual international conference proceedings / Barnés Vázquez, Antonio [Zostavovateľ, editor] ; Kučerková, Magda [Zostavovateľ, editor] ; Hricková, Mária [Recenzent] ; Ruiz Andrés, Rafael [Recenzent]. – 1. vyd. – Brno (Česko) : Masarykova univerzita, 2021. – ISBN 978-80-210-9997-5, s. 265-278 [online] </t>
  </si>
  <si>
    <t xml:space="preserve">The Novel of Anton Baláž about Re-education of Prostitutes and Its Film Version / Adamická, Monika [Autor, UKFFSSUSJ, 100%] ; Andalusian Slavic Studies Workdays, 5 [09.07.2019-11.07.2019, Granada, Španielsko]. – text. – [slovenčina]. – [OV 020, 060]. – [abstrakt z podujatia - KP] In: New Trends in Slavic Studies [elektronický dokument] [textový dokument (print)] / Cuadros, Suáres [Zostavovateľ, editor]. – 1. vyd. – č. 2. – Moskva (Ruská federácia) : URSS publishing group, 2021. – ISBN 978-5-396-01059-8, s. 395-402 [online] </t>
  </si>
  <si>
    <t xml:space="preserve">The occupational health and safety in pre-service teacher education / Feszterová, Melánia [Autor, UKFFPVKCH, 100%] ; International Technology, Education and Development Conference 2019, 13 [11.03.2019-13.03.2019, Valencia, Španielsko]. – text. – [angličtina]. – [OV 010]. – [abstrakt z podujatia - KP]. – [recenzované]. – WOS CC In: INTED2019 Proceedings [elektronický dokument] : 13th International Technology, Education and Development Conference / Chova, Luis Goméz [Zostavovateľ, editor] ; López Martínez, Agustín [Zostavovateľ, editor] ; Candel Torres, Ignacio [Zostavovateľ, editor]. – 1. vyd. – Valencia (Španielsko) : IATED, 2019. – (INTED Proceedings, ISSN 2340-1079). – ISBN 978-84-09-08619-1, s. 9975-9980 [CD-ROM] [USB kľúč] </t>
  </si>
  <si>
    <t xml:space="preserve">The particular results of the evaluation using electronic dictionaries school management in LMS Moodle / Tóblová, Eva [Autor, UKOPDPED, 40%] ; Poliaková, Adriana [Autor, UKOPDPED, 30%] ; Pisoňová, Mária [Autor, UKFPFAKPE, 30%] ; Bilychenko, Olga [Recenzent] ; Drtina, René [Recenzent] ; Média a vzdělávání 2018 [20.11.2018, Praha, Česko]. – text. – [slovenčina]. – [OV 010]. – [abstrakt z podujatia - KP] In: Média a vzdělávání 2018 [elektronický dokument] : sborník recenzovaných příspěvků mezinárodní vědecké konference / Chromý, Ján [Zostavovateľ, editor]. – 1. vyd. – Praha (Česko) : Extrasystem Praha, 2018. – ISBN 978-80-87570-41-8, s. 249-252 [online] </t>
  </si>
  <si>
    <t xml:space="preserve">The phonics method in teaching efl pronunciation to young learners with dyslexia / Kráľová, Zdena [Autor, UKFPFAKLI, 70%] ; Sorádová, Daniela [Autor, UKFPFAKLI, 30%] ; CBU International Conference, 9 [17.03.2021, Praha, Česko]. – text. – [angličtina]. – [OV 010]. – [abstrakt z podujatia - KP]. – DOI 10.12955/pss.v2.223 In: Proceedings of CBU in Social Sciences [textový dokument (print)] [elektronický dokument] : CBU international conference on innovations in science and education 2021 / Hajek, Petr [Zostavovateľ, editor] ; Vít, Ondřej [Zostavovateľ, editor]. – 1. vyd. – Praha (Česko) : CBU Research Institute, 2021. – (Proceedings of CBU in Social Sciences, ISSN 2695-0715, ISSN 2695-0723 ; Vol 2). – ISBN 978-80-908061-7-7. – ISBN (online) 978-80-908061-6-0, s. 211-217 [tlačená forma] [online] </t>
  </si>
  <si>
    <t xml:space="preserve">The preparation of teachers in the field of multimedia education / Kostolanský, Lukáš [Autor, UKFPFAKTT, 30%] ; Šebo, Miroslav [Autor, UKF.Nitra, 40%] ; Tomková, Viera [Autor, UKFPFAKTT, 30%] ; EDULEARN19, 11 [01.07.2019-03.07.2019, Palma de Mallorca, Španielsko]. – text. – [angličtina]. – [OV 010]. – [abstrakt z podujatia - KP]. – WOS CC In: EDULEARN19 proceedings [elektronický dokument] : 11th annual International Conference on Education and New Learning Technologies / Gómez Chova, Luis [Zostavovateľ, editor] ; López Martínez, Agustín [Zostavovateľ, editor] ; López, Agustín [Recenzent] ; Girós, Amparo [Recenzent]. – 1. vyd. – Roč. 11. – Valencia (Španielsko) : IATED, 2019. – ISBN 978-84-09-12031-4. – ISSN 2340-1117, s. 1477-1483 [CD-ROM] </t>
  </si>
  <si>
    <t xml:space="preserve">The problems of data security in cloud computing and its solution using petri nets / Balogh, Zoltán [Autor, UKFFPVKIN, 50%] ; Magdin, Martin [Autor, UKFFPVKIN, 50%] ; APSAC 2016, 1 [09.09.2016-30.09.2016, Dubrovnik, Chorvátsko]. – [angličtina]. – [OV 160]. – [abstrakt z podujatia - KP]. – [recenzované]. – DOI 10.1007/978-3-319-53934-8_15. – WOS CC ; SCO In: Applied Physics, System Science and Computers [textový dokument (print)] [elektronický dokument] : Proceedings of the 1st International Conference on Applied Physics, System Science and Computers (APSAC2016) / Ntalianis, Klimis [Zostavovateľ, editor] ; Croitoru, Anca [Zostavovateľ, editor]. – 1. vyd. – Berlín (Nemecko) : Springer Nature. Springer International Publishing AG, 2018. – (Lecture Notes in Electrical Engineering, ISSN 1876-1100, ISSN 1876-1119 ; 428, SJR: 0,134 ; CiteScore: 0,5 ; SNIP: 0,228). – ISBN 978-3-319-53933-1. – ISBN (online) 978-3-319-53934-8, s. 123-135 [tlačená forma] [online] Scimago - Industrial and manufacturing engineering - Q3 </t>
  </si>
  <si>
    <t xml:space="preserve">The problems of teaching grammar of pluricentric languages - the case of Hungarian language / Vančo, Ildikó [Autor, UKFFSSUML, 100%] ; International Technology, Education and Development Conference 2020, 14 [02.03.2020-04.03.2020, Valencia, Španielsko]. – text. – [angličtina]. – [OV 010]. – [abstrakt z podujatia - KP]. – [recenzované]. – WOS CC In: INTED2020 Proceedings [elektronický dokument] : 14th International Technology, Education and Development Conference / Chova, Luis Goméz [Zostavovateľ, editor] ; López Martínez, Agustín [Zostavovateľ, editor] ; Candel Torres, Ignacio [Zostavovateľ, editor]. – 1. vyd. – Valencia (Španielsko) : IATED, 2020. – (INTED Proceedings, ISSN 2340-1079). – ISBN 978-84-09-17939-8. – ISSN 2340-1079, s. 4878-4882 [online] </t>
  </si>
  <si>
    <t xml:space="preserve">The Reading Comprehension of Hungarian Minority Students in Secondary Grammar School in Slovakia / Kázmér, Klára [Autor, UKFFSSUML, 50%] ; Vančo, Ildikó [Autor, UKFFSSUML, 50%] ; EDULEARN19, 11 [01.07.2019-03.07.2019, Palma de Mallorca, Španielsko]. – text. – [angličtina]. – [OV 010]. – [abstrakt z podujatia - KP]. – WOS CC In: EDULEARN19 proceedings [elektronický dokument] : 11th annual International Conference on Education and New Learning Technologies / Gómez Chova, Luis [Zostavovateľ, editor] ; López Martínez, Agustín [Zostavovateľ, editor] ; López, Agustín [Recenzent] ; Girós, Amparo [Recenzent]. – 1. vyd. – Roč. 11. – Valencia (Španielsko) : IATED, 2019. – ISBN 978-84-09-12031-4. – ISSN 2340-1117, s. 6432-6438 [CD-ROM] </t>
  </si>
  <si>
    <t xml:space="preserve">The Reading Comprehension Skills of Hungarian Students in Hungary and Slovakia: A Summary Report / Kázmér, Klára [Autor, UKFFSSUML, 100%] ; International Technology, Education and Development Conference 2019, 13 [11.03.2019-13.03.2019, Valencia, Španielsko]. – text. – [angličtina]. – [OV 010]. – [abstrakt z podujatia - KP]. – [recenzované]. – WOS CC In: INTED2019 Proceedings [elektronický dokument] : 13th International Technology, Education and Development Conference / Chova, Luis Goméz [Zostavovateľ, editor] ; López Martínez, Agustín [Zostavovateľ, editor] ; Candel Torres, Ignacio [Zostavovateľ, editor]. – 1. vyd. – Valencia (Španielsko) : IATED, 2019. – (INTED Proceedings, ISSN 2340-1079). – ISBN 978-84-09-08619-1, s. 4963-4969 [CD-ROM] [USB kľúč] </t>
  </si>
  <si>
    <t xml:space="preserve">The relationship between cyberbullying and sexting : teaching practice during covid-19 pandemic lockdown / Bielčiková, Kristína [Autor, UKFPFAKPE, 100%] ; EDULEARN21 [05.07.2021-06.07.2021, Barcelona, Španielsko]. – text. – [angličtina]. – [OV 010]. – [abstrakt z podujatia - KP]. – DOI 10.21125/edulearn.2021.0130 In: EDULEARN21 [elektronický dokument] : 13th annual International Conference on Education and New Learning Technologies, Barcelona, 5th - 6th of July, 2021 / Chova, Luis Goméz [Zostavovateľ, editor] ; Martínez, Augustín López [Zostavovateľ, editor] ; Torres, I. [Zostavovateľ, editor]. – 1. vyd. – Roč. 13. – Barcelona (Španielsko) : IATED, 2021. – ISBN 978-84-09-31267-2. – ISSN 2340-1117, s. 439-447 [CD-ROM] [USB kľúč] </t>
  </si>
  <si>
    <t xml:space="preserve">The requirements for a graduate of the occupational safety and health department / Tureková, Ivana [Autor, UKFPFAKTT, 60%] ; Marková, Ivana [Autor, 20%] ; Bilčíková, Jana [Autor, UKFPFAKTT, 20%] ; EDULEARN20, 12 [06.07.2020-07.07.2020, Palma de Mallorca, Španielsko]. – text. – [angličtina]. – [OV 010]. – [abstrakt z podujatia - KP] In: EDULEARN20 proceedings [elektronický dokument] : 12th International Conference on Education and New Learning Technologies / Gómez Chova, Luis [Zostavovateľ, editor] ; López Martínez, Agustín [Zostavovateľ, editor]. – 1. vyd. – Roč. 12. – Valencia (Španielsko) : IATED, 2020. – ISBN 978-84-09-17979-4. – ISSN 2340-1117, s. 2792-2802 [USB kľúč] </t>
  </si>
  <si>
    <t xml:space="preserve">The Results of a Reading Comprehension Survey Among Hungarian Secondary School Students in Slovakia / Kázmér, Klára [Autor, UKFFSSUML, 100%] ; SWS International Scientific Conference on Arts and Humanities 2019, 6 [26.08.2019-01.09.2019, Albena, Bulharsko]. – text. – [angličtina]. – [OV 010]. – [abstrakt z podujatia - KP] In: SWS International Scientific Conference on Social Sciences 2019 (Education and Educational Research) [textový dokument (print)] [elektronický dokument] : conference proceeding / [bez zostavovateľa] [Zostavovateľ, editor]. – 1. vyd. – Roč. 6, č. 4. – Sofia (Bulharsko) : STEF92 Technology, 2019. – ISBN 978-619-7408-94-2. – ISSN 2682-9959, s. 603-610 [tlačená forma] [online] </t>
  </si>
  <si>
    <t xml:space="preserve">The Rhythmic Accompaniment in Traditional String Bands in Slovakia / Ambrózová, Jana [Autor, UKFFFAKEF, 100%] ; The First Symposium of the ICTM Study Group on Music and Dance of the Slavic World, 1 [13.10.2016-15.10.2016, Ľubľana, Slovinsko]. – text. – [angličtina]. – [OV 020]. – [abstrakt z podujatia - KP] In: Tradition and Transition [textový dokument (print)] : A Selection of Articles Developed from Paper Presentations at the First and the Second Symposia of the ICTM Study Group on Music and Dance of the Slavic World [he First Symposium of the ICTM Study Group on Music [and Dance] of the Slavic World. Ljubljana, 13-15 October 2016; The Second Symposium of the ICTM Study Group on Music [and Dance] of the Slavic World. Skopje, 22-24 September 2018] / Zdravkova Djeparoska, Sonja [Zostavovateľ, editor]. – 1. vyd. – Skopje (Macedónsko) : ICTM National Committee of Macedonia, 2020. – ISBN 978-608-65721-2-9, s. 99-118 </t>
  </si>
  <si>
    <t xml:space="preserve">The role and impact of visualization during the processing of educational materials, presentation options in education and in the virtual space / Molnar, Gyorgy [Autor, 33.334%] ; Nagy, Katalin [Autor, 33.333%] ; Balogh, Zoltán [Autor, UKFFPVKIN, 33.333%] ; CogInfoCom 2019, 10 [23.10.2019-25.10.2019, Naples, Taliansko]. – text. – [angličtina]. – [OV 160]. – [abstrakt z podujatia - KP]. – [recenzované]. – DOI 10.1109/CogInfoCom47531.2019.9089917. – WOS CC ; SCO In: 10th IEEE International Conference on Cognitive Infocommunications : CogInfoCom 2019 : Proceedings / Nikodem, Jan [Zostavovateľ, editor] ; Klempous, Ryszard [Zostavovateľ, editor]. – 1. vyd. – Danvers (USA) : Institute of Electrical and Electronics Engineers, 2019. – ISBN 978-1-7281-4793-2, 533-538 </t>
  </si>
  <si>
    <t xml:space="preserve">The Role of Ethnography in the Linguistic Landscape Analysis / Bohuslavska, Olha [Autor, UKFFFAKAA, 100%] ; SWS International Scientific Conference on Arts And Humanities, 7 [25.08.2020-26.08.2020, Albena, Bulharsko]. – text. – [angličtina]. – [OV 020]. – [abstrakt z podujatia - KP]. – DOI 10.5593/sws.iscah.2020.7.1/s26.31 In: 7th SWS International Scientific Conference on Arts and Humanities - ISCAH [elektronický dokument] / Racz, Aleksandr [Zostavovateľ, editor] ; Naghi, Laura [Recenzent] ; Lončar, Iris [Recenzent]. – 1. vyd. – Roč. 7, č. 1. – Sofia (Bulharsko) : SGEM WORLD SCIENCE (SWS) Society, 2020. – ISBN 978-619-7603-00-2, s. 257-264 [tlačená forma] </t>
  </si>
  <si>
    <t xml:space="preserve">The role of father involvement in psychological well-being of university students / Šeboková, Gabriela [Autor, UKFFSVKPV, 100%] ; EDULEARN18, 10 [02.07.2018-04.07.2018, Palma de Mallorca, Španielsko]. – text. – [angličtina]. – [OV 060]. – [abstrakt z podujatia - KP]. – [recenzované] In: EDULEARN18 proceedings [elektronický dokument] : 10th International Conference on Education and New Learning Technologies / Chova, Luis Goméz [Zostavovateľ, editor] ; Martínez, Augustín López [Zostavovateľ, editor] ; Torres, I. Candel [Zostavovateľ, editor]. – 1. vyd. – Roč. 10. – [Valencia] (Španielsko) : IATED, 2018. – ISBN 978-84-09-02709-5. – ISSN 2340-1117, s. 4639-4645 [CD-ROM] [USB kľúč] </t>
  </si>
  <si>
    <t xml:space="preserve">The role of institutional education in teaching personal security on the internet - whose duty is it to explain the dangers of private content abuse? / Lenghart, Patrik [Autor, UKFFFAKZU, 50%] ; Lesková, Andrea [Autor, UKFFFAKAE 06.2022, 50%] ; International Technology, Education and Development Conference 2021, 15 [08.03.2021-09.03.2021, Valencia, Španielsko]. – text. – [angličtina]. – [OV 010]. – [abstrakt z podujatia - KP]. – DOI 10.21125/inted.2021.0256 In: INTED2021 [textový dokument (print)] [elektronický dokument] : 15th International Technology, Education and Development Conference : conference proceedings / Chova, Luis Goméz [Zostavovateľ, editor] ; López Martínez, Agustín [Zostavovateľ, editor] ; Candel Torres, Ignacio [Zostavovateľ, editor]. – 1. vyd. – Valencia (Španielsko) : IATED, 2021. – (INTED Proceedings, ISSN 2340-1079). – ISBN 978-84-09-27666-0. – ISSN 2340-1079, s. 1053-1056 [online] </t>
  </si>
  <si>
    <t xml:space="preserve">The Role of Personality in Foreign Language Pronunciation / Kráľová, Zdena [Autor, UKFPFAKLI, 50%] ; Petrová, Gabriela [Autor, UKFPFAKPE, 50%] ; World Congress on Education. WCE-2018 [15.07.2018-18.07.2018, Dublin, Írsko]. – [angličtina]. – [OV 010]. – [abstrakt z podujatia - KP]. – [recenzované] In: World Congress on Education. WCE-2018 [textový dokument (print)] : Dublin, July 15-18, 2018 / Akmayeva, Galyna [Zostavovateľ, editor]. – 1. vyd. – Dublin (Írsko) : Infonomics Society, 2018. – ISBN 978-1-908320-91-9, s. 183-186 [tlačená forma] </t>
  </si>
  <si>
    <t xml:space="preserve">The role of school belonging in a academic and psychological adjustment in students during high school / Uhláriková, Jana [Autor, UKFFSVKPV, 34%] ; Halamová, Mária [Autor, UKFFSVKPV, 33%] ; Šeboková, Gabriela [Autor, UKFFSVKPV, 33%] ; EDULEARN19, 11 [01.07.2019-03.07.2019, Palma de Mallorca, Španielsko]. – text. – [angličtina]. – [OV 060]. – [abstrakt z podujatia - KP]. – WOS CC In: EDULEARN19 proceedings [elektronický dokument] : 11th annual International Conference on Education and New Learning Technologies / Gómez Chova, Luis [Zostavovateľ, editor] ; López Martínez, Agustín [Zostavovateľ, editor] ; López, Agustín [Recenzent] ; Girós, Amparo [Recenzent]. – 1. vyd. – Roč. 11. – Valencia (Španielsko) : IATED, 2019. – ISBN 978-84-09-12031-4. – ISSN 2340-1117, s. 2719-2724 [CD-ROM] </t>
  </si>
  <si>
    <t xml:space="preserve">The Role of School Special Educator During Long Therm Interruption of Present Education at Schools due to Corona-Crisis / Sender, Barbora [Autor, UKFPFAKPE, 100%] ; VIAC2020 - COVID-19 [30.07.2020-31.07.2020, Prague, Česko]. – text. – [angličtina]. – [OV 010]. – [abstrakt z podujatia - KP] In: Proceedings of VIAC2020 - COVID-19 [elektronický dokument] : Virtual International Academic Conference on the Global Impact of the Coronavirus COVID-19 on Society, , July 30-31 2020 in Prague / Kratochvilova, Helena [Zostavovateľ, editor] ; Kratochvil, Radek [Zostavovateľ, editor]. – 1. vyd. – Prague (Česko) : Czech Institute of Academic Education, 2020. – ISBN 978-80-88203-18-6, s. 37-43 [online] </t>
  </si>
  <si>
    <t xml:space="preserve">The role of the conceptual phase in the elaboration of a multilingual specialized dictionary / Klimentová, Anna [Autor, UKFPFAKPE, 20%] ; Gálová, Stanislava [Autor, SPUFEM06, 40%] ; Klimentová, Katarína [Autor, SPUFEM06, 40%] ; EDULEARN21 [05.07.2021-06.07.2021, Barcelona, Španielsko]. – text. – [angličtina]. – [OV 020, 190]. – [abstrakt z podujatia - KP]. – [recenzované] In: EDULEARN21 [elektronický dokument] : 13th annual International Conference on Education and New Learning Technologies, Barcelona, 5th - 6th of July, 2021 / Chova, Luis Goméz [Zostavovateľ, editor] ; Martínez, Augustín López [Zostavovateľ, editor] ; Torres, I. [Zostavovateľ, editor]. – 1. vyd. – Roč. 13. – Barcelona (Španielsko) : IATED, 2021. – ISBN 978-84-09-31267-2. – ISSN 2340-1117, s. 9293-9299 [CD-ROM] [USB kľúč] </t>
  </si>
  <si>
    <t xml:space="preserve">The role of the state in financing of local self-government in the Slovak Republic / Papcunová, Viera [Autor, UKFFPVUMI, 50%] ; Hudáková, Jarmila [Autor, UKFFPVUMI, 50%] ; Public Economics and Administration 2021, 14 [08.09.2021, Ostrava, Česko]. – text. – [angličtina]. – [OV 060]. – [abstrakt z podujatia - KP] In: Public Economics and Administration 2021 [textový dokument (print)] [elektronický dokument] : proceedings of the 14th international scientific conference / Vaňková, Ivana [Zostavovateľ, editor] ; Ardielli, Eva [Recenzent] ; Bečica, Jiří [Recenzent]. – 1. vyd. – Ostrava (Česko) : Vysoká škola báňská – Technická univerzita Ostrava, 2021. – ISBN 978-80-248-4580-7. – ISBN (online) 978-80-248-4581-4. – ISSN 1805-9104, s. 329-338 [tlačená forma] [online] </t>
  </si>
  <si>
    <t xml:space="preserve">The Scope of Creative and Critical Thinking in Psychology / Šutovcová, Lenka [Autor, UKFPFAKPE, 100%] ; Biannual CER Comparative European Research Conference, 14 [26.10.2020-28.10.2020, Londýn, Veľká Británia]. – text. – [angličtina]. – [OV 010]. – [abstrakt z podujatia - KP]. – [recenzované] In: CER Comparative European Research 2020 [elektronický dokument] : proceedings of the 14th Biannual CER Comparative European Research Conference / McGreevy, Michael [Zostavovateľ, editor] ; Rita, Robert [Zostavovateľ, editor]. – 1. vyd. – Roč. 7, č. 2. – Londýn (Veľká Británia) : SCI-EMCEE, 2020. – ISBN 978-1-9993071-6-5, s. 157-160 [online] </t>
  </si>
  <si>
    <t xml:space="preserve">The Semantic Structure of the Slovak Physics Textbook / Králiková, Petra [Autor, UKFFPVKFY, 50%] ; Teleki, Aba [Autor, UKFFPVKFY, 50%] ; New perspectives in science education [22.03.2018-23.03.2018, Florencia, Taliansko]. – [angličtina]. – [OV 091]. – [abstrakt z podujatia - KP]. – [recenzované] In: New perspectives in science education [textový dokument (print)] : proceedings from international Conference / Kummert, Börge [Zostavovateľ, editor] ; Kapelari, Suzanne [Zostavovateľ, editor]. – 1. vyd. – Florencia (Taliansko) : Libreriauniversitaria, 2018. – ISBN 978-88-6292-976-9, s. 390-394 [tlačená forma] </t>
  </si>
  <si>
    <t xml:space="preserve">The Shakespeares of Jozef Ciller, stage designer / Inštitorisová, Dagmar [Autor, UKFFFAKMR, 100%] ; CBU International Conference, 7 [20.03.2019-22.03.2019, Praha, Česko]. – text. – [angličtina]. – [OV 020]. – [abstrakt z podujatia - KP]. – DOI 10.12955/cbup.v7.1399 In: CBU International Conference Proceedings 2019 [textový dokument (print)] [elektronický dokument] : Innovations in Science and Education / Hájek, Petr [Zostavovateľ, editor] ; Vít, Ondřej [Zostavovateľ, editor]. – 1. vyd. – Roč. 7. – Praha (Česko) : CBU Research Institute, 2019. – ISBN 978-80-907722-0-5. – ISBN (online) 978-80-907722-1-2. – ISSN 1805-997X. – ISSN (online) 1805-9961, s. 447-452 [tlačená forma] [online] </t>
  </si>
  <si>
    <t xml:space="preserve">The silence of God in the poetry of Father David Maria Turoldo / Gritti, Fabiano [Autor, UKFFFAKRO, 100%] ; The Figurativeness of the Language of Mystical Experience [29.06.2021-30.06.2021, Madrid, Španielsko]. – text. – [angličtina]. – [OV 020]. – [abstrakt z podujatia - KP]. – DOI 10.5817/CZ.MUNI.P210-9997-2021-6 In: The Figurativeness of the Language of Mystical Experience [elektronický dokument] : Particularities and Interpretations. Virtual international conference proceedings / Barnés Vázquez, Antonio [Zostavovateľ, editor] ; Kučerková, Magda [Zostavovateľ, editor] ; Hricková, Mária [Recenzent] ; Ruiz Andrés, Rafael [Recenzent]. – 1. vyd. – Brno (Česko) : Masarykova univerzita, 2021. – ISBN 978-80-210-9997-5, s. 61-68 [online] </t>
  </si>
  <si>
    <t xml:space="preserve">The solution strategies of one fraction task / Pavlovičová, Gabriela [Autor, UKFFPVKMA, 50%] ; Vargová, Lucia [Autor, UKFFPVKMA, 50%] ; ICERI 2018, 11 [12.11.2018-14.11.2018, Sevila, Španielsko]. – text. – [angličtina]. – [OV 240]. – [abstrakt z podujatia - KP]. – [recenzované]. – DOI 10.21125/iceri.2018.1701. – WOS CC In: ICERI2018 Proceedings [elektronický dokument] : 11th annual International Conference of Education, Research and Innovation / Gómez Chova, Luis [Zostavovateľ, editor] ; López Martínez, Agustín [Zostavovateľ, editor] ; Candel Torres, Ignacio [Zostavovateľ, editor]. – 1. vyd. – Valencia (Španielsko) : IATED, 2018. – ISBN 978-84-09-05948-5. – ISSN 2340-1095, s. 3137-3144 [USB kľúč] </t>
  </si>
  <si>
    <t xml:space="preserve">The Specifics of EFL Teacher Education in Slovakia / Kráľová, Zdena [Autor, UKFPFAKLI, 50%] ; Kováčiková, Elena [Autor, UKFPFAKLI, 50%] ; World Congress on Special Needs Education [09.12.2019-11.12.2019, London, Veľká Británia]. – text. – [angličtina]. – [OV 010]. – [abstrakt z podujatia - KP] In: World Congress on Special Needs Education (WCSNE-2019) [textový dokument (print)] : Proceedings from World Congress,  London 9-11 December 2019 / [bez zostavovateľa] [Zostavovateľ, editor] ; Shoniregun, Charles [Recenzent] ; Akmayeva, Galyna [Recenzent]. – 1. vyd. – London (Veľká Británia) : Infonomics Society, 2020. – ISBN 978-1-913572-04-4, s. 73-77 [online] </t>
  </si>
  <si>
    <t xml:space="preserve">The Theatre of the Oppressed as a prevention tool of At-risk behaviour among adolescents / Sondorová, Dominika [Autor, UKFPFAKHU, 50%] ; Gálisová, Lenka [Autor, UKFPFAKHU, 50%] ; QUAERE 2019 : interdisciplinární mezinárodní vědecká konference doktorandů a odborných asistentů, 9 [24.06.2019-28.06.2019, Hradec Králové, Česko]. – text. – [angličtina]. – [OV 010]. – [abstrakt z podujatia - KP]. – [recenzované] In: QUAERE 2019 [elektronický dokument] : recenzovaný sborník příspěvků interdisciplinární mezinárodní vědecké konference doktorandů a odborných asistentů = reviewed proceedings of the interdisciplinary scientific international conference for PhD students and assistants / [bez zostavovateľa] [Zostavovateľ, editor]. – 1. vyd. – Roč. 9. – Hradec Králové (Česko) : Magnanimitas akademické sdružení, 2019. – ISBN 978-80-87952-30-6, s. 741-746 [DVD] </t>
  </si>
  <si>
    <t xml:space="preserve">The third wave of the corona crisis and its impact on academic education crisis / Šebo, Miroslav [Autor, UKFPFAKTT, 100%] ; ICERI 2021, 14 [08.11.2021-09.11.2021, Seville, Španielsko]. – text. – [angličtina]. – [OV 010]. – [abstrakt z podujatia - KP]. – DOI 10.21125/iceri.2021.0125 In: ICERI2021 [elektronický dokument] : 14th annual International Conference of Education, Research and Innovation / Gómez, Chova L. [Zostavovateľ, editor] ; López Martínez, Agustín [Zostavovateľ, editor] ; Candel Torres, Ignacio [Zostavovateľ, editor]. – 1. vyd. – Valencia (Španielsko) : IATED, 2021. – ISBN 978-84-09-34549-6. – ISSN 2340-1095, s. 4147-4154 [online] [USB kľúč] </t>
  </si>
  <si>
    <t xml:space="preserve">The Topic of Climate Change in Slovak Public Service Media / Dobrotková, Miroslava [Autor, UKFFFAKZU, 50%] ; Chlebcová Hečková, Andrea [Autor, UKFFFAKZU, 50%] ; Mezinárodní Masarykova konference pro doktorandy a mladé vědecké pracovníky 2018, 9 [17.12.2018-21.12.2018, Hradec Králové, Česko]. – text. – [slovenčina]. – [OV 060]. – [abstrakt z podujatia - KP] In: MMK 2018 [elektronický dokument] : recenzovaný sborník příspěvků mezinárodní vědecké konference : mezinárodní Masarykova konference pro doktorandy a mladé vědecké pracovníky / [bez zostavovateľa] [Zostavovateľ, editor] ; Lipowski, Jaroslav [Recenzent] ; Jaskułowski, Krzysztof [Recenzent] ; Kislingerová, Eva [Recenzent]. – 1 vyd. – Roč. 9. – Hradec Králové (Česko) : Magnanimitas akademické sdružení, 2018. – ISBN 978-80-87952-27-6, s. 697-704 [CD-ROM] </t>
  </si>
  <si>
    <t xml:space="preserve">The uncertainty analysis of determination of sound velocity measured by flexural vibrations / Štubňa, Igor [Autor, 25%] ; Trník, Anton [Autor, UKFFPVKFY, 25%] ; Húlan, Tomáš [Autor, UKFFPVKFY, 25%] ; Ondruška, Ján [Autor, UKFFPVKFY, 25%] ; DidMatTech 2020, 33 [25.06.2020-26.06.2020, Budapešť, Maďarsko]. – text. – [angličtina]. – [OV 091]. – [abstrakt z podujatia - KP] In: Proceedings of 33. DidMatTEech 2020 Conference [elektronický dokument] : New methods and technologies in education, research and practice / Abonyi-Tóth, Andor [Zostavovateľ, editor] ; Stoffová, Veronika [Zostavovateľ, editor] ; Zsakó, László [Zostavovateľ, editor]. – 1. vyd. – Budapešť (Maďarsko) : Eötvös Loránd Tudományegyetem, 2020. – ISBN 978-963-489-244-1. – TUTPFKMI signatúra E081207, s. 67-72 [online] </t>
  </si>
  <si>
    <t xml:space="preserve">The use of a magnetic field to study the condition of protective coatings / Ptak, Pawel [Autor, 16.67%] ; Prauzner, Tomasz [Autor, 16.666%] ; Noga, Henryk [Autor, 16.666%] ; Migo, Piotr [Autor, 16.666%] ; Prauzner, Kacper [Autor, 16.666%] ; Depešová, Jana [Autor, UKFPFAKTT, 16.666%] ; Applications of Electromagnetics in Modern Engineering and Medicine [09.06.2019-12.06.2019, Janow Podlaski, Poľsko]. – text. – [angličtina]. – [OV 010]. – [abstrakt z podujatia - KP]. – [recenzované]. – DOI 10.23919/PTZE.2019.8781731. – SCO In: Applications of Electromagnetics in Modern Engineering and Medicine [textový dokument (print)] : Janow Podlaski; Poland; 9 June 2019 through 12 June 2019 / [bez zostavovateľa] [Zostavovateľ, editor]. – 1. vyd. – Warszaw (Poľsko) : Polish Society of Applied Electromagnetics, 2019. – ISBN 9788388131004, s. 147-150 </t>
  </si>
  <si>
    <t xml:space="preserve">The Use of Active Learning Approach in Tourism Education: Pilot Study of Students Attitude / Beták, Norbert [Autor, UKFFSSKCR, 100%] ; Education and social sciences business and economics [02.03.2020, Belehrad, Srbsko]. – text. – [angličtina]. – [OV 080]. – [abstrakt z podujatia - KP] In: The 2020 IAI book of proceedings [elektronický dokument] : International academic conference / Racheva, Hristina [Zostavovateľ, editor]. – Skopije (Macedónsko) : International Academic Institute, 2020. – ISBN 978-608-4881-08-7, s. 70-78 [online] </t>
  </si>
  <si>
    <t xml:space="preserve">The Use of Expressive Therapeutic Methods in the Work of School Special Educator with Adolescents with Behavioural Disorders / Sender, Barbora [Autor, UKFPFAKPE, 100%] ; International Academic Conference [19.03.2021-20.03.2021, Budapešť, Maďarsko]. – text. – [angličtina]. – [OV 010]. – [abstrakt z podujatia - KP] In: Proceedings of IAC 2021 in Budapest [elektronický dokument] : Budapest, Hungary, 19-20 March, 2021 / Kratochvilova, Helena [Zostavovateľ, editor] ; Kratochvil, Radek [Zostavovateľ, editor]. – Prague (Česko) : Czech Institute of Academic Education, 2021. – ISBN (online) 978-80-88203-21-6, s. 77-81 </t>
  </si>
  <si>
    <t xml:space="preserve">The use of facebook and LMS Moodle in university education / Šebo, Miroslav [Autor, UKFPFAKTT, 50%] ; Depešová, Jana [Autor, UKFPFAKTT, 50%] ; ICERI 2019, 12 [11.11.2019-13.11.2019, Seville, Španielsko]. – text. – [angličtina]. – [OV 010]. – [abstrakt z podujatia - KP]. – WOS CC In: ICERI2019 Proceedings [elektronický dokument] : 12th International conference of education, research and innovation / Gómez Chova, Luis [Zostavovateľ, editor] ; López Martínez, Agustín [Zostavovateľ, editor] ; Candel Torres, Ignacio [Zostavovateľ, editor]. – 1. vyd. – Valencia (Španielsko) : IATED, 2019. – ISBN 978-84-09-14755-7. – ISSN 2340-1095, s. 11702-11708 [USB kľúč] </t>
  </si>
  <si>
    <t xml:space="preserve">Theoretical and practical training of future art teachers in the digital environment / Récka, Adriana [Autor, UKFPFAKVV, 100%] ; Science, Teaching, Learning in a Changed Social Context [22.10.2021, Užice, Srbsko]. – text. – [angličtina]. – [OV 010]. – [abstrakt z podujatia - KP] In: Science, Teaching, Learning in a Changed Social Context [textový dokument (print)] : International Scientific Conference, Užice, 22. October  2021 / Marinković, Snežana [Zostavovateľ, editor]. – 1. vyd. – Užice (Srbsko) : Univerziteta u Kragujevcu. Faculty of Education, 2021. – ISBN 978-86-6191-065-4, s. 177-188 [tlačená forma] </t>
  </si>
  <si>
    <t xml:space="preserve">Thermal expansion and mass change of illite/smectite - Waste glass mixtures / Pős, Peter [Autor, 25%] ; Ondruška, Ján [Autor, UKFFPVKFY, 25%] ; Keppert, M. [Autor, 25%] ; Trník, Anton [Autor, UKFFPVKFY, 25%] ; Central European Symposium on Thermophysics, 3 [01.09.2021-03.09.2021, Kazimierz Dolny, Poľsko]. – text. – [angličtina]. – [OV 091]. – [abstrakt z podujatia - KP]. – DOI 10.1063/5.0070352. – WOS CC ; SCO In: Proceedings of the 3rd Central European Symposium on Thermophysics [elektronický dokument] / Trník, Anton [Zostavovateľ, editor] ; Suchorab, Zbigniew [Zostavovateľ, editor]. – 1. vyd. – Melville, NY (USA) : American Institute of Physics . AIP Publishing, 2021. – ISBN 978-0-7354-4139-2, s. 1-18 [online] </t>
  </si>
  <si>
    <t xml:space="preserve">Thermal expansion and mass change of kaolin-waste glass mixtures / Pős, Peter [Autor, UKFFPVKFY, 33.334%] ; Ondruška, Ján [Autor, UKFFPVKFY, 33.333%] ; Trník, Anton [Autor, UKFFPVKFY, 33.333%] ; 2nd Central European Symposium on Thermophysics 2020, CEST 2020, 2 [02.09.2020-04.09.2020, Eger, Maďarsko]. – text. – [angličtina]. – [OV 091]. – [abstrakt z podujatia - KP]. – DOI 10.1063/5.0026180. – SCO In: Proceedings of the 2nd Central European Symposium on Thermophysics [textový dokument (print)] / Trník, Anton [Zostavovateľ, editor] ; Medveď, Igor [Zostavovateľ, editor]. – 1. vyd. – College Park, Maryland (USA) : American Institute of Physics , 2020. – (AIP Conference Proceedings, ISSN 0094-243X, ISSN 1551-7616 ; Volume 2275, SJR: 0,177 ; CiteScore: 0,7 ; SNIP: 0,314). – ISBN 978-0-7354-4005-0. – ISSN 0094243X. – ISSN (online) 15517616, s. 1-12 [tlačená forma] [online] </t>
  </si>
  <si>
    <t xml:space="preserve">Thermal characterization of fibrous aerogel blanket / Lakatos, Ákos [Autor, 50%] ; Trník, Anton [Autor, UKFFPVKFY, 50%] ; Central European symposium on Building Physics, 4 [02.09.2019-05.09.2019, Praha, Česko]. – [angličtina]. – [OV 091]. – [abstrakt z podujatia - KP]. – [recenzované]. – DOI 10.1051/matecconf/201928201001. – WOS CC In: 4th Central European Symposium on Building Physics (CESBP 2019) [elektronický dokument] / Černý, Robert [Zostavovateľ, editor] ; Kočí, Jan [Zostavovateľ, editor] ; Kočí, V. [Zostavovateľ, editor]. – 1. vyd. – Les Ullis (Francúzsko) : Édition Diffusion Presse Sciences, 2019. – (MATEC Web of Conferences, ISSN 2261-236X ; 282(2019), SJR: 0,166 ; CiteScore: 0,8 ; SNIP: 0,714). – ISSN (online) 2261-236X, s. 1-6 </t>
  </si>
  <si>
    <t xml:space="preserve">Thermal transformations of glass in anorthite composition / Húlan, Tomáš [Autor, UKFFPVKFY, 34%] ; Csáki, Štefan [Autor, 33%] ; Lukáč, František [Autor, 33%] ; Central European Symposium on Thermophysics, 3 [01.09.2021-03.09.2021, Kazimierz Dolny, Poľsko]. – text. – [angličtina]. – [OV 091]. – [abstrakt z podujatia - KP]. – [recenzované]. – DOI 10.1063/5.0069751. – WOS CC ; SCO In: Proceedings of the 3rd Central European Symposium on Thermophysics [elektronický dokument] / Trník, Anton [Zostavovateľ, editor] ; Suchorab, Zbigniew [Zostavovateľ, editor]. – 1. vyd. – Melville, NY (USA) : American Institute of Physics . AIP Publishing, 2021. – ISBN 978-0-7354-4139-2, s. 1-17 [online] </t>
  </si>
  <si>
    <t xml:space="preserve">Thermo-structural brake squeal FEM analysis considering temperature dependent thermal expansion / Kraus, Pavel [Autor, 20010, 20%] ; Úradníček, Juraj [Autor, 020070, 20%] ; Musil, Miloš [Autor, 20010, 20%] ; Bachratý, Michal [Autor, 020070, 20%] ; Húlan, Tomáš [Autor, UKFFPVKFY, 20%] ; Engineering mechanics 2018, 24 [14.05.2018-17.05.2018, Svratka, Česko]. – [angličtina]. – [OV 050]. – [abstrakt z podujatia - KP]. – WOS CC In: Engineering mechanics 2018 [textový dokument (print)] [elektronický dokument] : book of full texts / Fischer, Cyril [Zostavovateľ, editor] ; Náprstek, Jiří [Zostavovateľ, editor]. – 1 vyd. – Roč. 24. – Prague (Česko) : Akademie věd České republiky. Ústav teoretické a aplikované mechaniky AV ČR, 2018. – (Engineering Mechanics, ISSN 1805-8248, ISSN 1805-8256). – ISBN 978-80-86246-88-8. – ISBN (online) 978-80-86246-91-8, s. 429-432 [tlačená forma] [online] </t>
  </si>
  <si>
    <t xml:space="preserve">Tolerance of Ambiguity and Reading Comprehension in Foreign Language Education / Ficzere, Anikó [Autor, UKFFSSKCR, 40%] ; Stranovská, Eva [Autor, UKFFFAKGE, 40%] ; Gadušová, Zdenka [Autor, UKFFFAKAA, 20%] ; Efficiency and Responsibility in Education 2020 [04.06.2020-05.06.2020, Praha, Česko]. – text. – [angličtina]. – [OV 010]. – [abstrakt z podujatia - KP]. – [recenzované]. – WOS CC In: Efficiency and Responsibility in Education 2020 [textový dokument (print)] [elektronický dokument] : Proceedings of the 17th International Conference / Fejfar, Jiří [Zostavovateľ, editor] ; Flégl, Martin [Zostavovateľ, editor]. – 1. vyd. – Praha (Česko) : Česká zemědelská univerzita v Praze, 2020. – ISBN 978-80-213-3022-1. – ISSN 2336-744X, s. 62-68 [tlačená forma] [online] </t>
  </si>
  <si>
    <t xml:space="preserve">Tourism undergraduates’ attitudes towards cultural diversity / Sándorová, Zuzana [Autor, UKFFSSKCR, 80%] ; Tkáč-Zabáková, Lenka [Autor, UKFFSSUSJ, 15%] ; Hlavinová Tekeliová, Dominika [Autor, UKFFSSUSJ, 5%] ; Language, Literature and Culture in Education 2020 [10.12.2020-12.12.2020, Rím, Taliansko]. – text. – [angličtina]. – [OV 020, 010]. – [abstrakt z podujatia - KP] In: International conference language, literature and culture in education 2020 [elektronický dokument] : conference proceedings (selected papers) / Pokrivčáková, Silvia [Zostavovateľ, editor]. – 1. vyd. – Nitra (Slovensko) : SlovakEdu, 2020. – ISBN 978-80-89864-20-1, s. 110-126 [online] </t>
  </si>
  <si>
    <t xml:space="preserve">Tourism Undergraduates’ Views on Distance Learning in General and on the Lessons Fostering Communicative Competences in the English Language and Intercultural Skills during the Second Wave of the Covid-19 Pandemic / Sándorová, Zuzana [Autor, UKFPFAKLI, 50%] ; Beták, Norbert [Autor, UKFFSSKCR, 50%] ; EDULEARN21 [05.07.2021-06.07.2021, Barcelona, Španielsko]. – text. – [angličtina]. – [OV 010]. – [abstrakt z podujatia - KP]. – [recenzované] In: EDULEARN21 [elektronický dokument] : 13th annual International Conference on Education and New Learning Technologies, Barcelona, 5th - 6th of July, 2021 / Chova, Luis Goméz [Zostavovateľ, editor] ; Martínez, Augustín López [Zostavovateľ, editor] ; Torres, I. [Zostavovateľ, editor]. – 1. vyd. – Roč. 13. – Barcelona (Španielsko) : IATED, 2021. – ISBN 978-84-09-31267-2. – ISSN 2340-1117, s. 5346-5352 [CD-ROM] [USB kľúč] </t>
  </si>
  <si>
    <t xml:space="preserve">Toward Speech Technologies for Roani Language in Slovakia / Rusko, Milan [Autor, 20%] ; Sachija, Darjaa [Autor, 20%] ; Trnka, Marian [Autor, 20%] ; Sabo, Róbert [Autor, 20%] ; Beňuš, Štefan [Autor, UKFFFAKAA, 20%] ; Language Technologies for All [04.12.2019-06.12.2019, Paris, Francúzsko]. – text. – [angličtina]. – [OV 020]. – [abstrakt z podujatia - KP] In: LT4All - International Conference on Language Technologies for All: Enabling Linguistic Diversity and Multilingualism Worldwide [textový dokument (print)] : proceedings from international conference, Paris 4 to 6 December 2019 / [bez zostavovateľa] [Zostavovateľ, editor] ; Gilles, Adda [Recenzent] ; Choukri, Khalid [Recenzent]. – 1. vyd. – Paris (Francúzsko) : European Language Resources Association, 2020. – ISBN 979-10-95546-33-7, s. 239-242 [tlačená forma] </t>
  </si>
  <si>
    <t xml:space="preserve">Training and support of secondary school teachers in Slovakia during covid19 crisis / Hudáková, Jarmila [Autor, UKFFPVUMI, 50%] ; Papcunová, Viera [Autor, UKFFPVUMI, 50%] ; ICERI 2021, 14 [08.11.2021-09.11.2021, Seville, Španielsko]. – text. – [angličtina]. – [OV 060]. – [abstrakt z podujatia - KP] In: ICERI2021 [elektronický dokument] : 14th annual International Conference of Education, Research and Innovation / Gómez, Chova L. [Zostavovateľ, editor] ; López Martínez, Agustín [Zostavovateľ, editor] ; Candel Torres, Ignacio [Zostavovateľ, editor]. – 1. vyd. – Valencia (Španielsko) : IATED, 2021. – ISBN 978-84-09-34549-6. – ISSN 2340-1095, s. 2265-2270 [online] [USB kľúč] </t>
  </si>
  <si>
    <t xml:space="preserve">Training for Competence Based Lesson Observation and Evaluation of Teaching / Gadušová, Zdenka [Autor, UKFFFAKAA, 20%] ; Hockicková, Beáta [Autor, UKFFFAKGE, 20%] ; Lomnický, Igor [Autor, UKFFFAKAE 06.2022, 20%] ; Predanocyová, Ľubica [Autor, UKFFFAKFI, 20%] ; Žilová, Ružena [Autor, 20%] ; Chova, Luis Goméz [Recenzent] ; Martínez, Augustín López [Recenzent] ; International Technology, Education and Development Conference 2018, 12 [05.03.2018-07.03.2018, Valencia, Španielsko]. – [angličtina]. – [OV 010]. – [abstrakt z podujatia - KP]. – WOS CC In: INTED2018 Proceedings [elektronický dokument] : 12th International Technology, Education and Development Conference / Chova, Luis Goméz [Zostavovateľ, editor]. – 1. vyd. – Valencia (Španielsko) : IATED, 2018. – (INTED Proceedings, ISSN 2340-1079). – ISBN 978-84-697-9480-7. – ISSN 2340-1079, s. 2767-2776 [USB kľúč] [CD-ROM] </t>
  </si>
  <si>
    <t xml:space="preserve">Transcendent experience of St. Laura Montoya y Upegui / Civáňová, Zuzana [Autor, UKFFFAKRO, 70%] ; Brezováková, Monika [Autor, UKFFFAKRO, 30%] ; The Figurativeness of the Language of Mystical Experience [29.06.2021-30.06.2021, Madrid, Španielsko]. – text. – [angličtina]. – [OV 020]. – [abstrakt z podujatia - KP]. – DOI 10.5817/CZ.MUNI.P210-9997-2021-12 In: The Figurativeness of the Language of Mystical Experience [elektronický dokument] : Particularities and Interpretations. Virtual international conference proceedings / Barnés Vázquez, Antonio [Zostavovateľ, editor] ; Kučerková, Magda [Zostavovateľ, editor] ; Hricková, Mária [Recenzent] ; Ruiz Andrés, Rafael [Recenzent]. – 1. vyd. – Brno (Česko) : Masarykova univerzita, 2021. – ISBN 978-80-210-9997-5, s. 121-133 [online] </t>
  </si>
  <si>
    <t xml:space="preserve">Transformácie stereotypov v reči slovenskej mládeže / Repková, Barbara [Autor, UKFFFASJL, 100%] ; Stereotipat v slavianskite ezici, literaturi i kulturi [26.04.2018-28.04.2018, Sofia, Bulharsko]. – text. – [slovenčina]. – [OV 020]. – [abstrakt z podujatia - KP]. – [recenzované] In: Stereotipat v slavianskite ezici, literaturi i kulturi (Tom I. Ezikoznanie) [textový dokument (print)] [elektronický dokument] : sbornik s dokladi ot Četirinadesetite meždunarodni slavistični četenija / Avramova, Cvetanka [Zostavovateľ, editor]. – 1. vyd. – Sofia (Bulharsko) : Universitetsko Izdatelstvo Sv. Kliment Okhridski, 2019. – ISBN 978-954-07-4883-2. – ISBN (online) 978-954-07-4895-5, s. 233-238 [tlačená forma] [online] </t>
  </si>
  <si>
    <t xml:space="preserve">Transformation of territorial identity in the „Kremnický Hauerland“ region / Nemčíková, Magdaléna [Autor, UKFFPVKGR, 25%] ; Krogmann, Alfred [Autor, UKFFPVKGR, 25%] ; Oremusová, Daša [Autor, UKFFPVKGR, 25%] ; Scholzová, Viera [Autor, 25%] ; Mezinárodní kolokvium o regionálních vědách, 22 [12.06.2019-14.06.2019, Velké Bílovice, Česko]. – text. – [angličtina]. – [OV 092]. – [abstrakt z podujatia - KP]. – DOI 10.5817/CZ.MUNI.P210-9268-2019-69. – WOS CC In: 22. mezinárodní kolokvium o regionálních vědách [elektronický dokument] : sborník příspěvků / Klímová, Viktorie [Zostavovateľ, editor] ; Žítek, Vladimír [Zostavovateľ, editor] ; Žárska, Elena [Recenzent]. – 1. vyd. – Roč. 22. – Brno (Česko) : Masarykova univerzita, 2019. – ISBN 978-80-210-9268-6, s. 547-554 [online] </t>
  </si>
  <si>
    <t xml:space="preserve">Transmission of water vapor through expanded polystyrene [Prechod vodnej pary expandovaným polystyrénom] / Mánik, Marek [Autor, UKFFPVKFY, 50%] ; Medveď, Igor [Autor, 50%] ; 2nd Central European Symposium on Thermophysics 2020, CEST 2020, 2 [02.09.2020-04.09.2020, Eger, Maďarsko]. – [angličtina]. – [OV 091]. – [abstrakt z podujatia - KP]. – [recenzované]. – DOI 10.1063/5.0025754. – SCO In: Proceedings of the 2nd Central European Symposium on Thermophysics [textový dokument (print)] / Trník, Anton [Zostavovateľ, editor] ; Medveď, Igor [Zostavovateľ, editor]. – 1. vyd. – College Park, Maryland (USA) : American Institute of Physics , 2020. – (AIP Conference Proceedings, ISSN 0094-243X, ISSN 1551-7616 ; Volume 2275, SJR: 0,177 ; CiteScore: 0,7 ; SNIP: 0,314). – ISBN 978-0-7354-4005-0. – ISSN 0094243X. – ISSN (online) 15517616, Art. no. 020020, s. 1-12 [tlačená forma] [online] </t>
  </si>
  <si>
    <t xml:space="preserve">Trends in financial management of municipalities in conditions of the Slovak Republic / Országhová, Dana [Autor, SPUFEM07, 34%] ; Hornyák Gregáňová, Radomíra [Autor, SPUFEM07, 33%] ; Papcunová, Viera [Autor, UKFFPVUMI, 33%] ; Hradec Economic Days 2018, 16 [30.01.2018-31.01.2018, Hradec Králové, Česko]. – text. – [angličtina]. – [OV 080]. – [abstrakt z podujatia - KP]. – [recenzované]. – WOS CC In: Hradec Economic Days [textový dokument (print)] [elektronický dokument] : Double-blind peer-reviewed proceedings part II. of the international scientific conference January 30-31, 2018, Hradec Králové, Czech Republic / Jedlička, Pavel [Zostavovateľ, editor] ; Marešová, Petra [Zostavovateľ, editor] ; Soukal, Ivan [Zostavovateľ, editor]. – 1. vyd. – Roč. 8, č. 2. – Hradec Králové  (Česko) : Univerzita Hradec Králové, 2018. – ISBN 978-80-7435-701-5. – ISSN 2464-6059. – ISSN (online) 2464-6067, s. 102-113 [tlačená forma] [online] </t>
  </si>
  <si>
    <t xml:space="preserve">Trust as the determinant that affects sexting / Poláčková, Vladimíra [Autor, UKFPFAKPE, 34%] ; Hanuliaková, Jana [Autor, 33%] ; Hollá, Katarína [Autor, UKFPFAKPE, 33%] ; EDULEARN20, 12 [06.07.2020-07.07.2020, Palma de Mallorca, Španielsko]. – text. – [angličtina]. – [OV 010]. – [abstrakt z podujatia - KP] In: EDULEARN20 proceedings [elektronický dokument] : 12th International Conference on Education and New Learning Technologies / Gómez Chova, Luis [Zostavovateľ, editor] ; López Martínez, Agustín [Zostavovateľ, editor]. – 1. vyd. – Roč. 12. – Valencia (Španielsko) : IATED, 2020. – ISBN 978-84-09-17979-4. – ISSN 2340-1117, s. 3525-3531 [USB kľúč] </t>
  </si>
  <si>
    <t xml:space="preserve">Tvorivá dramatika a jej využitie v predprimárnom vzdelávaní = Creative drama and its use in pre-primary education / Sondorová, Dominika [Autor, UKFPFAKHU, 100%] ; Mezinárodní Masarykova konference pro doktorandy a mladé vědecké pracovníky 2020, 11 [14.12.2020-16.12.2020, Hradec Králové, Česko]. – text. – [slovenčina]. – [OV 010]. – [abstrakt z podujatia - KP] In: MMK 2020 [elektronický dokument] : Mezinárodní Masarykova konference pro doktorandy a mladé vědecké pracovníky 2020 = recenzovaný sborník příspěvků mezinárodní vědecké konference / [bez zostavovateľa] [Zostavovateľ, editor] ; Lipowski, Jaroslav [Recenzent] ; Jaskułowski, Krzysztof [Recenzent]. – 1. vyd. – Roč. 11. – Hradec Králové (Česko) : Magnanimitas akademické sdružení, 2020. – ISBN 978-80-87952-33-7, s. 861-867 [CD-ROM] [online] </t>
  </si>
  <si>
    <t xml:space="preserve">Tvorivý učiteľ ako dôležitá súčasť výchovno-vzdelávacieho procesu / Aitnerová, Nina [Autor, UKFFFAKAE 06.2022, 100%] ; Mezinárodní vědecká konference studentů doktorských studijních programů v oblasti společenských věd, 7 [25.04.2018, Olomouc, Česko]. – [slovenčina]. – [OV 020]. – [abstrakt z podujatia - KP]. – [recenzované] In: Sborník ze 7. mezinárodní vědecké konference studentů doktorských studijních programů v oblasti společenských věd [textový dokument (print)] : Olomouc, 25. dubna 2018 / Hubálek, Tomáš [Zostavovateľ, editor]. – 1. vyd. – Praha (Česko) : Nakladatelství Epocha, 2018. – ISBN 978-80-7557-168-7, s. 159-165 [tlačená forma] </t>
  </si>
  <si>
    <t xml:space="preserve">Two-particle sintering models and their application / Nosov, Dmytro [Autor, UKFFPVKFY, 50%] ; Trník, Anton [Autor, UKFFPVKFY, 50%] ; 2nd Central European Symposium on Thermophysics 2020, CEST 2020, 2 [02.09.2020-04.09.2020, Eger, Maďarsko]. – text. – [angličtina]. – [OV 091]. – [abstrakt z podujatia - KP]. – DOI 10.1063/5.0026368. – SCO In: Proceedings of the 2nd Central European Symposium on Thermophysics [textový dokument (print)] / Trník, Anton [Zostavovateľ, editor] ; Medveď, Igor [Zostavovateľ, editor]. – 1. vyd. – College Park, Maryland (USA) : American Institute of Physics , 2020. – (AIP Conference Proceedings, ISSN 0094-243X, ISSN 1551-7616 ; Volume 2275, SJR: 0,177 ; CiteScore: 0,7 ; SNIP: 0,314). – ISBN 978-0-7354-4005-0. – ISSN 0094243X. – ISSN (online) 15517616, s. 1-14 [tlačená forma] [online] </t>
  </si>
  <si>
    <t xml:space="preserve">Typológia obcí okresu Levice z aspektu vybraných príčin smrti = Typology of Municipalities in Levice District from an Aspect of Selected Causes of Death / Vilinová, Katarína [Autor, UKFFPVKGR, 80%] ; Repaská, Gabriela [Autor, UKFFPVKGR, 10%] ; Dubcová, Alena [Autor, UKFFPVKGR, 10%] ; Region in the Development of Society 2018, 9 [18.10.2018-19.10.2018, Brno, Česko]. – [angličtina]. – [OV 092]. – [abstrakt z podujatia - KP]. – [recenzované] In: Region in the Development of Society 2018 [elektronický dokument] : Proceedings of the International Scientific Conference / Pavlík, Ivo [Zostavovateľ, editor]. – 1. vyd. – Brno (Česko) : Mendelova univerzita v Brně, 2019. – ISBN 978-80-7509-658-6, s. 673-682 [online] </t>
  </si>
  <si>
    <t xml:space="preserve">Učebné úlohy v prvouke vo vzťahu k Bloomovej taxonómii kognitívnych cieľov = Teaching exercises in the elementary realia subject in relation to Bloom’s taxonomy of cognitive objectives / Kollárová, Dana [Autor, UKFPFAKPE, 50%] ; Nagyová, Alexandra [Autor, UKFPFAKPE, 50%] ; Mezinárodní Masarykova konference pro doktorandy a mladé vědecké pracovníky 2020, 11 [14.12.2020-16.12.2020, Hradec Králové, Česko]. – text. – [slovenčina]. – [OV 010]. – [abstrakt z podujatia - KP] In: MMK 2020 [elektronický dokument] : Mezinárodní Masarykova konference pro doktorandy a mladé vědecké pracovníky 2020 = recenzovaný sborník příspěvků mezinárodní vědecké konference / [bez zostavovateľa] [Zostavovateľ, editor] ; Lipowski, Jaroslav [Recenzent] ; Jaskułowski, Krzysztof [Recenzent]. – 1. vyd. – Roč. 11. – Hradec Králové (Česko) : Magnanimitas akademické sdružení, 2020. – ISBN 978-80-87952-33-7, s. 726-733 [CD-ROM] [online] </t>
  </si>
  <si>
    <t xml:space="preserve">Učenie o lese v učiteľovej stratégii vyučovania prvouky = Learning about forest in teacher's strategy of teaching in the elementary realia subject / Nagyová, Alexandra [Autor, UKFPFAKPE, 50%] ; Kollárová, Dana [Autor, UKFPFAKPE, 50%] ; Mezinárodní Masarykova konference pro doktorandy a mladé vědecké pracovníky 2020, 11 [14.12.2020-16.12.2020, Hradec Králové, Česko]. – text. – [slovenčina]. – [OV 010]. – [abstrakt z podujatia - KP] In: MMK 2020 [elektronický dokument] : Mezinárodní Masarykova konference pro doktorandy a mladé vědecké pracovníky 2020 = recenzovaný sborník příspěvků mezinárodní vědecké konference / [bez zostavovateľa] [Zostavovateľ, editor] ; Lipowski, Jaroslav [Recenzent] ; Jaskułowski, Krzysztof [Recenzent]. – 1. vyd. – Roč. 11. – Hradec Králové (Česko) : Magnanimitas akademické sdružení, 2020. – ISBN 978-80-87952-33-7, s. 713-719 [CD-ROM] [online] </t>
  </si>
  <si>
    <t xml:space="preserve">Účinnosť intervenčného programu na rozhodovacie schopnosti, metakognície a kariérovú rozhodnutosť v procese druhej kariérovej smerovej voľby = Effectiveness of the Intervention Programme on the Decision-Making Skills in The Process of the Second Career Directional Choice / Baňasová, Katarína [Autor, UKFFSVUAP, 100%] ; Řehan, Vladimír [Recenzent] ; Lečbych, Martin [Recenzent] ; PhD existence 2018, 8 [31.01.2018-01.02.2018, Olomouc, Česko]. – text. – [slovenčina]. – [OV 060]. – [abstrakt z podujatia - KP] In: PhD Existence 2018 [elektronický dokument] : nekonečno v psychologii = sborník příspěvků / Mierová, Eva [Zostavovateľ, editor] ; Viktorová, Lucie [Zostavovateľ, editor] ; Suchá, Jaroslava [Zostavovateľ, editor] ; Dolejš, Martin [Zostavovateľ, editor]. – 1. vyd. – Olomouc (Česko) : Univerzita Palackého v Olomouci, 2018. – (Acta Iuridica Olomucensia : Sborníky). – ISBN 978-80-244-5339-2, s. 240-247 [online] </t>
  </si>
  <si>
    <t xml:space="preserve">Učiteľ v druhošancovom vzdelávaní dospelých - zahraničné kontexty = Teacher in second chance education - foreign context / Temiaková, Dominika [Autor, UKFPFAKPE, 100%] ; Mezinárodní Masarykova konference pro doktorandy a mladé vědecké pracovníky 2020, 11 [14.12.2020-16.12.2020, Hradec Králové, Česko]. – text. – [slovenčina]. – [OV 010]. – [abstrakt z podujatia - KP] In: MMK 2020 [elektronický dokument] : Mezinárodní Masarykova konference pro doktorandy a mladé vědecké pracovníky 2020 = recenzovaný sborník příspěvků mezinárodní vědecké konference / [bez zostavovateľa] [Zostavovateľ, editor] ; Lipowski, Jaroslav [Recenzent] ; Jaskułowski, Krzysztof [Recenzent]. – 1. vyd. – Roč. 11. – Hradec Králové (Česko) : Magnanimitas akademické sdružení, 2020. – ISBN 978-80-87952-33-7, s. 597-601 [CD-ROM] [online] </t>
  </si>
  <si>
    <t xml:space="preserve">Úloha školského špeciálneho pedagóga v čase dlhodobého prerušenia prezenčného vyučovania z dôvodu mimoriadnej situácie = The Role of School Special Educator during Long Therm Interruption of Present Education at Schools Due to an Exceptional Situation / Sender, Barbora [Autor, UKFPFAKPE, 100%] ; QUAERE 2020, 10 [22.06.2020-26.06.2020, Hradec Králové, Česko]. – text. – [slovenčina]. – [OV 010]. – [abstrakt z podujatia - KP] In: QUAERE 2020 [elektronický dokument] : recenzovaný sborník příspěvků interdisciplinární mezinárodní vědecké konference doktorandů a odborných asistentů, Hradec Králové, 22.- 26.6.2020 / [bez zostavovateľa] [Zostavovateľ, editor]. – 1. vyd. – Roč. 10. – Hradec Králové (Česko) : Magnanimitas akademické sdružení, 2020. – ISBN 978-80-87952-32-0, s. 836-843 [online] </t>
  </si>
  <si>
    <t xml:space="preserve">Unconventional usage of entropy in the field of web usage data preprocessing and machine translation evaluation / Munk, Michal [Autor, UKFFPVKIN, 50%] ; Benko, Ľubomír [Autor, UKFFPVKIN, 50%] ; APSAC 2016, 1 [09.09.2016-30.09.2016, Dubrovnik, Chorvátsko]. – text. – [angličtina]. – [OV 160]. – [abstrakt z podujatia - KP]. – [recenzované]. – DOI 10.1007/978-3-319-53934-8_34. – WOS CC ; SCO In: Applied Physics, System Science and Computers [textový dokument (print)] [elektronický dokument] : Proceedings of the 1st International Conference on Applied Physics, System Science and Computers (APSAC2016) / Ntalianis, Klimis [Zostavovateľ, editor] ; Croitoru, Anca [Zostavovateľ, editor]. – 1. vyd. – Berlín (Nemecko) : Springer Nature. Springer International Publishing AG, 2018. – (Lecture Notes in Electrical Engineering, ISSN 1876-1100, ISSN 1876-1119 ; 428, SJR: 0,134 ; CiteScore: 0,5 ; SNIP: 0,228). – ISBN 978-3-319-53933-1. – ISBN (online) 978-3-319-53934-8, s. 281-286 [tlačená forma] [online] Scimago - Industrial and manufacturing engineering - Q3 </t>
  </si>
  <si>
    <t xml:space="preserve">Underestanding the text as the synergy process of linguistic nature / Kováčová, Zuzana [Autor, UKFFFASJL, 50%] ; Machová, Renáta [Autor, UKFFFAJZC, 50%] ; SGEM 2019, 6 [11.04.2019-14.04.2019, Viedeň, Rakúsko]. – text. – [angličtina]. – [OV 020, 010]. – [abstrakt z podujatia - KP]. – [recenzované] In: SGEM 2019 conference proceedings (2.1. Ancient Science : archaelogy, history, philosophy, language and linguistics health policy amd services) [textový dokument (print)] / [bez zostavovateľa] [Zostavovateľ, editor]. – 1. vyd. – Roč. 6. – Sofia (Bulharsko) : STEF 92 Technology, 2019. – ISBN 978-619-7408-74-4. – ISSN 2367-5659, s. 381-388 </t>
  </si>
  <si>
    <t xml:space="preserve">Understanding different text types in the seventh grade of primary school / Gergelyová, Viktória [Autor, UKFFSSUML, 50%] ; Vančo, Ildikó [Autor, UKFFSSUML, 50%] ; International Technology, Education and Development Conference 2021, 15 [08.03.2021-09.03.2021, Valencia, Španielsko]. – text. – [angličtina]. – [OV 010]. – [abstrakt z podujatia - KP]. – DOI 10.21125/inted.2021.0636 In: INTED2021 [textový dokument (print)] [elektronický dokument] : 15th International Technology, Education and Development Conference : conference proceedings / Chova, Luis Goméz [Zostavovateľ, editor] ; López Martínez, Agustín [Zostavovateľ, editor] ; Candel Torres, Ignacio [Zostavovateľ, editor]. – 1. vyd. – Valencia (Španielsko) : IATED, 2021. – (INTED Proceedings, ISSN 2340-1079). – ISBN 978-84-09-27666-0. – ISSN 2340-1079, s. 2977-2981 [online] </t>
  </si>
  <si>
    <t xml:space="preserve">Understanding of Time-based Trends in Virtual Learning Environment Stakeholders' Behaviour / Drlík, Martin [Autor, UKFFPVKIN, 100%] ; Auer, Michael [Recenzent] ; Guralnick, David [Recenzent] ; International Conference on Interactive Collaborative Learning, 21 [25.09.2018-28.09.2018, Kos, Grécko]. – text. – [angličtina]. – [OV 160]. – [abstrakt z podujatia - KP]. – DOI 10.1007/978-3-030-11932-4_31. – SCO In: The Challenges of the Digital Transformation in Education (1. Vol.) [textový dokument (print)] [elektronický dokument] : proceedings of the 21st International Conference on Interactive Collaborative Learning (ICL2018) / Auer, Michael [Zostavovateľ, editor] ; Tsiatsos, Thrasyvoulos [Zostavovateľ, editor]. – 1. vyd. – Bern (Švajčiarsko) : Springer Nature. Springer International Publishing AG, 2020. – (Advances in Intelligent Systems and Computing, ISSN 2194-5357, ISSN 2194-5365 ; 916). – ISBN 978-3-030-11931-7. – ISBN (online) 978-3-030-11932-4, s. 321-332 [tlačená forma] [online] </t>
  </si>
  <si>
    <t xml:space="preserve">University Education during the Corona Crisis / Šebo, Miroslav [Autor, UKFPFAKTT, 100%] ; ICERI 2020 : International Conference of Education, Research and Innovation, 13 [09.11.2020-10.11.2020, Sevilla, Španielsko]. – text. – [angličtina]. – [OV 010]. – [abstrakt z podujatia - KP] In: ICERI 2020 [elektronický dokument] : 13th international conference of education, research and innovation : transforming education, transforming lives / Gómez Chova, Luis [Zostavovateľ, editor] ; Martínez, Augustín López [Zostavovateľ, editor] ; Torres, I. Candel [Zostavovateľ, editor]. – 1. vyd. – Valencia (Španielsko) : IATED, 2020. – ISBN 978-84-09-24232-0. – ISSN 2340-1095, s. 3965-3973 [USB kľúč] </t>
  </si>
  <si>
    <t xml:space="preserve">University education during the second wave of the corona crisis / Šebo, Miroslav [Autor, UKFPFAKTT, 50%] ; Tureková, Ivana [Autor, UKFPFAKTT, 50%] ; EDULEARN21 [05.07.2021-06.07.2021, Barcelona, Španielsko]. – text. – [angličtina]. – [OV 010]. – [abstrakt z podujatia - KP] In: EDULEARN21 [elektronický dokument] : 13th annual International Conference on Education and New Learning Technologies, Barcelona, 5th - 6th of July, 2021 / Chova, Luis Goméz [Zostavovateľ, editor] ; Martínez, Augustín López [Zostavovateľ, editor] ; Torres, I. [Zostavovateľ, editor]. – 1. vyd. – Roč. 13. – Barcelona (Španielsko) : IATED, 2021. – ISBN 978-84-09-31267-2. – ISSN 2340-1117, s. 10747-10756 [CD-ROM] [USB kľúč] </t>
  </si>
  <si>
    <t xml:space="preserve">University training of civics teacher / Predanocyová, Ľubica [Autor, UKFFFAKFI, 50%] ; Jonášková, Gabriela [Autor, UKFFFAKFI, 50%] ; SWS 2019, 6 [26.08.2019-01.09.2019, Albena, Bulharsko]. – text. – [angličtina]. – [OV 020]. – [abstrakt z podujatia - KP]. – DOI 10.5593/SWS.ISCSS.2019.4 In: SWS International Scientific Conference on Social Sciences 2019 (Education and Educational Research) [textový dokument (print)] [elektronický dokument] : conference proceeding / [bez zostavovateľa] [Zostavovateľ, editor]. – 1. vyd. – Roč. 6, č. 4. – Sofia (Bulharsko) : STEF92 Technology, 2019. – ISBN 978-619-7408-94-2. – ISSN 2682-9959, s. 661-668 [tlačená forma] [online] </t>
  </si>
  <si>
    <t xml:space="preserve">Uplatnenie kritického myslenia v tvorivej dramatike u detí mladšieho školského veku = Application of critical thinking in creative dramatics in children of young school age / Kačmárová, Simona [Autor, UKFPFAKHU, 100%] ; Mezinárodní Masarykova konference pro doktorandy a mladé vědecké pracovníky 2020, 11 [14.12.2020-16.12.2020, Hradec Králové, Česko]. – text. – [slovenčina]. – [OV 010]. – [abstrakt z podujatia - KP] In: MMK 2020 [elektronický dokument] : Mezinárodní Masarykova konference pro doktorandy a mladé vědecké pracovníky 2020 = recenzovaný sborník příspěvků mezinárodní vědecké konference / [bez zostavovateľa] [Zostavovateľ, editor] ; Lipowski, Jaroslav [Recenzent] ; Jaskułowski, Krzysztof [Recenzent]. – 1. vyd. – Roč. 11. – Hradec Králové (Česko) : Magnanimitas akademické sdružení, 2020. – ISBN 978-80-87952-33-7, s. 956-965 [CD-ROM] [online] </t>
  </si>
  <si>
    <t xml:space="preserve">Use of digital means in different subjects teaching / Záhorec, Ján [Autor, UKOPDDPP, 50%] ; Hašková, Alena [Autor, UKFPFAKTT, 50%] ; ERIE 2019, 16 [06.06.2019-07.06.2019, Praha, Česko]. – text. – [angličtina]. – [OV 010]. – [abstrakt z podujatia - KP]. – [recenzované]. – SIGN-UKO PD DP/19. – WOS CC In: Efficiency and Responsibility in Education 2019 [textový dokument (print)] : proceedings of the 16th International Conference, 06. - 07. June 2019, Prague, Czech Republic / [bez zostavovateľa] [Zostavovateľ, editor]. – 1 vyd. – Praha (Česko) : Česká zemědelská univerzita v Praze, 2019. – ISBN 978-80-213-2878-5. – ISSN 2336-744X, s. 333-339 [tlačená forma] </t>
  </si>
  <si>
    <t xml:space="preserve">Use of dry ice in wine technology / Holešinský, Radim [Autor, 20%] ; Baroň, Mojmír [Autor, 20%] ; Mlček, Jiří [Autor, 20%] ; Juríková, Tünde [Autor, UKFFSSUVP, 20%] ; Sochor, Jiří [Autor, 20%] ; MendelNet 2018, 25 [07.11.2018-08.11.2018, Brno, Česko]. – text. – [angličtina]. – [OV 010]. – [abstrakt z podujatia - KP]. – [recenzované]. – WOS CC In: MendelNet 2018 [elektronický dokument] : proceedings of 25th international PhD students conference / Cerkal, Radim [Zostavovateľ, editor]. – 1. vyd. – Roč. 25. – Brno (Česko) : Mendelova univerzita v Brně, 2018. – ISBN 978-80-7509-597-8, 275-280 [online] </t>
  </si>
  <si>
    <t xml:space="preserve">Use of e-learning in preparing students for practical measurements / Bánesz, Gabriel [Autor, UKFPFAKTT, 33.334%] ; Lukáčová, Danka [Autor, UKFPFAKTT, 33.333%] ; Tomková, Viera [Autor, UKFPFAKTT, 33.333%] ; ICERI 2019, 12 [11.11.2019-13.11.2019, Seville, Španielsko]. – [angličtina]. – [OV 010]. – [abstrakt z podujatia - KP]. – WOS CC In: ICERI2019 Proceedings [elektronický dokument] : 12th International conference of education, research and innovation / Gómez Chova, Luis [Zostavovateľ, editor] ; López Martínez, Agustín [Zostavovateľ, editor] ; Candel Torres, Ignacio [Zostavovateľ, editor]. – 1. vyd. – Valencia (Španielsko) : IATED, 2019. – ISBN 978-84-09-14755-7. – ISSN 2340-1095, 9717-9722 [USB kľúč] </t>
  </si>
  <si>
    <t xml:space="preserve">Use of the geocaching for the tourism development in Horny Liptov Region / Vrbičanová, Gréta [Autor, UKFFPVKEE, 33.334%] ; Močko, Matej [Autor, UKFFPVKEE, 33.333%] ; Kaisová, Dominika [Autor, UKFFPVKEE, 33.333%] ; Mezinárodní kolokvium o regionálních vědách, 22 [12.06.2019-14.06.2019, Velké Bílovice, Česko]. – text. – [angličtina]. – [OV 060, 080]. – [abstrakt z podujatia - KP]. – DOI 10.5817/CZ.MUNI.P210-9268-2019-68. – WOS CC In: 22. mezinárodní kolokvium o regionálních vědách [elektronický dokument] : sborník příspěvků / Klímová, Viktorie [Zostavovateľ, editor] ; Žítek, Vladimír [Zostavovateľ, editor] ; Žárska, Elena [Recenzent]. – 1. vyd. – Roč. 22. – Brno (Česko) : Masarykova univerzita, 2019. – ISBN 978-80-210-9268-6, s. 539-546 [online] </t>
  </si>
  <si>
    <t xml:space="preserve">Using Facebook for english language learning and teaching / Romanová, Iveta [Autor, UKFFFAKAA, 100%] ; Média a vzdělávání 2018 [20.11.2018, Praha, Česko]. – text. – [angličtina]. – [OV 010]. – [abstrakt z podujatia - KP]. – [recenzované] In: Média a vzdělávání 2018 [elektronický dokument] : sborník recenzovaných příspěvků mezinárodní vědecké konference / Chromý, Ján [Zostavovateľ, editor]. – 1. vyd. – Praha (Česko) : Extrasystem Praha, 2018. – ISBN 978-80-87570-41-8, s. 190-193 [online] </t>
  </si>
  <si>
    <t xml:space="preserve">Using multicriterial analysis to assess the diversification of rural landscape / Žoncová, Michaela [Autor, UMBFP01, 50%] ; Vojteková, Jana [Autor, UKFFPVKGR, 50%] ; Lněnička, Libor [Recenzent] ; Mísařová, Darina [Recenzent] ; Useful Geography: Transfer from Research to Practice, 25 [12.10.2017-13.10.2017, Brno, Česko]. – text. – [angličtina]. – [OV 092]. – [abstrakt z podujatia - KP]. – WOS CC In: Useful Geography: Transfer from Research to Practice [textový dokument (print)] [elektronický dokument] : Proceedings of 25th Central European Conference, 12th-13th October 2017, Brno / Svobodová, Hana [Zostavovateľ, editor]. – 1. vyd. – Brno (Česko) : Masarykova univerzita, 2018. – ISBN 978-80-210-8907-5. – ISBN (online) 978-80-210-8908-2, s. 237-247 [tlačená forma] [online] </t>
  </si>
  <si>
    <t xml:space="preserve">Using Online Forums to Promote Collaborative Learning in Introductory Programming Courses / Michaličková, Viera [Autor, UKFFPVKIN, 100%] ; 7th International Conference on Higher Education Advances (HEAd’21), 7 [22.06.2021-23.06.2021, Valencia, Španielsko]. – text. – [angličtina]. – [OV 010]. – [abstrakt z podujatia - KP]. – DOI 10.4995/HEAD21.2021.13621. – WOS CC In: 7th International Conference on Higher Education Advances (HEAd’21) [elektronický dokument] / [bez zostavovateľa] [Zostavovateľ, editor]. – 1. vyd. – Valencia (Španielsko) : Editorial Universitat Politècnica de València, 2021. – ISBN (online) 978-84-9048-975-8. – ISSN (online) 2603-5871, s. 145-152 [online] </t>
  </si>
  <si>
    <t xml:space="preserve">Using Post-medial Painting Strategies in Visual Art Education / Baus, Jozef [Autor, UKFPFAKVV, 100%] ; Language, Culture, Education [02.11.2018, Užice, Srbsko]. – text. – [angličtina]. – [OV 010]. – [abstrakt z podujatia - KP]. – [recenzované] In: Language, Culture, Education : Proceedings from Conference, Uzice, 2.11.2018 / Marinković, Snežana [Zostavovateľ, editor]. – 1. vyd. – Užice (Srbsko) : Univerziteta u Kragujevcu, 2018. – ISBN 978-86-6191-050-0, s. 699-712 [tlačená forma] </t>
  </si>
  <si>
    <t xml:space="preserve">Utilization of GIS in mapping invasive plant species of the river Nitra / Bencová, Michaela [Autor, UKFFPVKEE, 25%] ; Lišková, Vladimíra [Autor, UKFFPVKEE, 25%] ; Ťažký, Jozef [Autor, UKFFPVKEE, 25%] ; Tomko Králo, Dávid [Autor, UKFFPVKEE, 25%] ; Lněnička, Libor [Recenzent] ; Mísařová, Darina [Recenzent] ; Useful Geography: Transfer from Research to Practice, 25 [12.10.2017-13.10.2017, Brno, Česko]. – text. – [angličtina]. – [OV 092]. – [abstrakt z podujatia - KP]. – WOS CC In: Useful Geography: Transfer from Research to Practice [textový dokument (print)] [elektronický dokument] : Proceedings of 25th Central European Conference, 12th-13th October 2017, Brno / Svobodová, Hana [Zostavovateľ, editor]. – 1. vyd. – Brno (Česko) : Masarykova univerzita, 2018. – ISBN 978-80-210-8907-5. – ISBN (online) 978-80-210-8908-2, s. 248-258 [tlačená forma] [online] </t>
  </si>
  <si>
    <t xml:space="preserve">Utilization of mathematical software in favour of tutoring processes / Barot, Tomáš [Autor, 40%] ; Koreňová, Lilla [Autor, UKOPDDPP, 20%] ; Krpec, Radek [Autor, 20%] ; Vágová, Renáta [Autor, UKFFPVKMA, 20%] ; Theoretical and Practical Aspects of Distance Learning, 12 [12.10.2020-13.10.2020, Katowice, Poľsko]. – text, obr. – [angličtina]. – [OV 240, 010]. – [abstrakt z podujatia - KP] In: Innovative educational technologies, tools and methods for E-learning [textový dokument (print)] [elektronický dokument] / Smyrnova-Trybulska, Eugenia [Zostavovateľ, editor] ; Kommers, Piet A.M. [Recenzent] ; Glazunova, Olena [Recenzent]. – 1. vyd. – Katovice (Poľsko) : Studio Noa for University of Silesia, 2020. – (E-learning, ISSN 2451-3652, ISSN 2451-3644 ; 12). – ISBN 978-83-66055-19-3, s. 279-289 [tlačená forma] [online] </t>
  </si>
  <si>
    <t xml:space="preserve">Uvádzajúci učiteľ v procese adaptačného obdobia  začínajúcich učiteľov = Awarded Teacher nn The Process of the Adapting Period of Initial Teachers / Feranská, Margita [Autor, UKFPFAKPE, 100%] ; Sapere Aude 2018, 8 [28.05.2018-31.05.2018, Hradec Králové, Česko]. – text. – [slovenčina]. – [OV 010]. – [abstrakt z podujatia - KP]. – [recenzované] In: Sapere Aude 2018 [elektronický dokument] : učitel, žák, psycholog : recenzovaný sborník příspěvků vědecké konference s mezinárodní účastí / [bez zostavovateľa] [Zostavovateľ, editor]. – 1. vyd. – Roč. 8. – Hradec Králové (Česko) : Magnanimitas akademické sdružení, 2018. – ISBN 978-80-87952-25-2, s. 270-273 [CD-ROM] [online] </t>
  </si>
  <si>
    <t xml:space="preserve">Úvod do problematiky benchmarkingu nezávislých kultúrnych centier / Moravčíková, Veronika [Autor, UKFFFAKKU, 100%] ; Mezinárodní Masarykova konference pro doktorandy a mladé vědecké pracovníky 2018, 9 [17.12.2018-21.12.2018, Hradec Králové, Česko]. – [slovenčina]. – [OV 060]. – [abstrakt z podujatia - KP] In: MMK 2018 [elektronický dokument] : recenzovaný sborník příspěvků mezinárodní vědecké konference : mezinárodní Masarykova konference pro doktorandy a mladé vědecké pracovníky / [bez zostavovateľa] [Zostavovateľ, editor] ; Lipowski, Jaroslav [Recenzent] ; Jaskułowski, Krzysztof [Recenzent] ; Kislingerová, Eva [Recenzent]. – 1 vyd. – Roč. 9. – Hradec Králové (Česko) : Magnanimitas akademické sdružení, 2018. – ISBN 978-80-87952-27-6, s. 287-292 [CD-ROM] </t>
  </si>
  <si>
    <t xml:space="preserve">V. Tokarevová v slovenskej translačnej reflexii / Muránska, Natália [Autor, UKFFFAKRU, 100%] ; Literatura jako cesta a dialog [14.01.2020, Hradec Králové, Česko]. – text. – [slovenčina]. – [OV 010, 020]. – [abstrakt z podujatia - KP] In: Literatura jako cesta a dialog [textový dokument (print)] / Sommer, Jaroslav [Zostavovateľ, editor] ; Koryčánková, Simona [Recenzent] ; Sováková, Jana [Recenzent]. – 1. vyd. – Hradec Králové (Česko) : Gaudeamus, 2020. – ISBN 978-80-7435-810-4, s. 58-68 [tlačená forma] </t>
  </si>
  <si>
    <t xml:space="preserve">Validace vybraných ošetřovatelských intervencí v rámci kurrikula sester / oblast endoskopická vyšetření / Archalousová, Alexandra [Autor, UKFFSVKOS, 50%] ; Frei, Jiří [Autor, 50%] ; Cesta poznávání a vzdělávání v ošetřovatelství XI. a jarní/podzimní konference ČAS Region plzeňský  „NURSING NOW“, 11 [17.09.2020, Plzeň, Česko]. – text. – [slovenčina]. – [OV 180]. – [abstrakt z podujatia - KP] In: Cesta poznávání a vzdělávání v ošetřovatelství XI. a jarní/podzimní konference ČAS Region plzeňský  „NURSING NOW“ [textový dokument (print)] : Kongres s mezinárodními příspěvky, konaný v Plzni dne 17. 9. 2020 / Frei, Jiří [Zostavovateľ, editor] ; Frei, Jiří [Recenzent] ; Krocová, Jitka [Recenzent] ; Doležal, Jaromír [Recenzent] ; Freiová, Romana [Recenzent] ; Hendrych Lorenzová, Eva [Recenzent]. – 1. vyd. – Roč. 11. – Plzeň (Česko) : Západočeská univerzita v Plzni, 2020. – ISBN 978-80-261-0963-1, s. 100-109 [tlačená forma] </t>
  </si>
  <si>
    <t xml:space="preserve">Validita a reliabilita slovenskej verzie skrátenej škály Stroke specific quality of life scale = Validity and reliability of the slovak version of the shortened Stroke specific quality of life scale / Solgajová, Andrea [Autor, UKFFSVKOS, 34%] ; Sollár, Tomáš [Autor, UKFFSVUAP, 33%] ; Zrubcová, Dana [Autor, UKFFSVKOS, 33%] ; Ošetřovatelský výzkum a praxe založená na důkazech, 11 [21.10.2021, Ostrava, Česko]. – text. – [angličtina]. – [OV 180]. – [abstrakt z podujatia - KP] In: Ošetřovatelský výzkum a praxe založená na důkazech [textový dokument (print)] : přidělovaná ošetřovatelská péče : sborník z XI. mezinárodního sympozia ošetřovatelství / Hosáková, Jiřina [Zostavovateľ, editor] ; Sikorová, Lucie [Recenzent]. – 1. vyd. – Ostrava (Česko) : Ostravská univerzita.  Lékařská fakulta, 2021. – ISBN 978-80-7599-279-6, s. 100-107 [tlačená forma] </t>
  </si>
  <si>
    <t xml:space="preserve">Validizácia skrátenej slovenskej verzie dotazníka Self-Description Questionnaire II (SDQ-II-S) = Validation of Short Slovak Version of the Self-Description Questionnaire II (SDQ-II-S) / Balážová, Miroslava [Autor, UKFFSVKPV, 50%] ; Popelková, Marta [Autor, UKFFSVKPV, 50%] ; Řehan, Vladimír [Recenzent] ; Lečbych, Martin [Recenzent] ; PhD existence 2018, 8 [31.01.2018-01.02.2018, Olomouc, Česko]. – text. – [slovenčina]. – [OV 060]. – [abstrakt z podujatia - KP] In: PhD Existence 2018 [elektronický dokument] : nekonečno v psychologii = sborník příspěvků / Mierová, Eva [Zostavovateľ, editor] ; Viktorová, Lucie [Zostavovateľ, editor] ; Suchá, Jaroslava [Zostavovateľ, editor] ; Dolejš, Martin [Zostavovateľ, editor]. – 1. vyd. – Olomouc (Česko) : Univerzita Palackého v Olomouci, 2018. – (Acta Iuridica Olomucensia : Sborníky). – ISBN 978-80-244-5339-2, s. 255-263 [online] </t>
  </si>
  <si>
    <t xml:space="preserve">Varying Coefficients of Diffusion of Ba-133(2+) and Cs-137(+) in Granite / Medveď, Igor [Autor, UKFFPVKFY, 80%] ; Černý, Robert [Autor, 20%] ; ICNAAM 2017 [25.09.2017-30.09.2017, Thessaloniki, Grécko]. – text. – [angličtina]. – [OV 091]. – [abstrakt z podujatia - KP]. – [recenzované]. – DOI 10.1063/1.5043732 In: Proceedings of the International Conference of Numerical Analysis and Applied Mathematics (ICNAAM 2017) [elektronický dokument] / Simos, Theodore [Zostavovateľ, editor] ; Tsitouras, Charalambos [Zostavovateľ, editor]. – 1. vyd. – Melville (USA) : American Institute of Physics . AIP Publishing, 2018. – (AIP Conference Proceedings, ISSN 0094-243X, ISSN 1551-7616 ; Volume 1978, SJR: 0,182 ; CiteScore: 0,5 ; SNIP: 0,377). – ISBN 978-0-7354-1690-1, s. 1-10 [online] [CD-ROM] </t>
  </si>
  <si>
    <t xml:space="preserve">Vekové a genderové rozdiely v pripútaní dospievajúcich vo veku 10 až 15 rokov = Age and gender differences in risk behavior of adolescents Aged 10 to 15 years / Čerešník, Michal [Autor, 50%] ; Čerešníková, Miroslava [Autor, UKFFSVURS, 50%] ; PhD existence 2020, 10 [03.02.2020-04.02.2020, Olomouc, Česko]. – text. – [slovenčina]. – [OV 060, 010]. – [abstrakt z podujatia - KP] In: PhD existence 10 [elektronický dokument] : "Člověk a čas" : česko-slovenská konference (nejen) pro doktorandy a o doktorandech / Maierová, Eva [Zostavovateľ, editor] ; Viktorová, Lucie [Zostavovateľ, editor] ; Dolejš, Martin [Zostavovateľ, editor] ; Dominik, Tomáš [Zostavovateľ, editor] ; Tomšik, Robert [Recenzent] ; Skopal, Ondřej [Recenzent]. – 1. vyd. – Olomouc (Česko) : Univerzita Palackého v Olomouci, 2020. – ISBN (online) 978-80-244-5731-4, s. 258-269 [online] </t>
  </si>
  <si>
    <t xml:space="preserve">Verbal-acoustic differentiation in pairs of words / Grofčíková, Soňa [Autor, UKFPFAKPE, 50%] ; Máčajová, Monika [Autor, UKFPFAKPE, 50%] ; EDULEARN19, 11 [01.07.2019-03.07.2019, Palma de Mallorca, Španielsko]. – text. – [angličtina]. – [OV 010]. – [abstrakt z podujatia - KP]. – WOS CC In: EDULEARN19 proceedings [elektronický dokument] : 11th annual International Conference on Education and New Learning Technologies / Gómez Chova, Luis [Zostavovateľ, editor] ; López Martínez, Agustín [Zostavovateľ, editor] ; López, Agustín [Recenzent] ; Girós, Amparo [Recenzent]. – 1. vyd. – Roč. 11. – Valencia (Španielsko) : IATED, 2019. – ISBN 978-84-09-12031-4. – ISSN 2340-1117, s. 4610-4617 [CD-ROM] </t>
  </si>
  <si>
    <t xml:space="preserve">Verejné knižnice ako súčasť kultúry na miestnej úrovni v podmienkach Slovenskej Republiky = Public libraries as a part of local culture in the conditions of Slovak Republic / Papcunová, Viera [Autor, UKFFPVUMI, 50%] ; Hudáková, Jarmila [Autor, UKFFPVUMI, 50%] ; Region in the Development of Society 2018, 9 [18.10.2018-19.10.2018, Brno, Česko]. – text. – [angličtina]. – [OV 060]. – [abstrakt z podujatia - KP]. – [recenzované] In: Region in the Development of Society 2018 [elektronický dokument] : Proceedings of the International Scientific Conference / Pavlík, Ivo [Zostavovateľ, editor]. – 1. vyd. – Brno (Česko) : Mendelova univerzita v Brně, 2019. – ISBN 978-80-7509-658-6, s. 431-438 [online] </t>
  </si>
  <si>
    <t xml:space="preserve">Verification of the level of knowledge of primary school graduates in the subject of chemistry / Tokárová, Barbora [Autor, UKFFPVKCH, 20%] ; Jenisová, Zita [Autor, UKFFPVKCH, 20%] ; Feszterová, Melánia [Autor, UKFFPVKCH, 20%] ; Oremusová, Daša [Autor, UKFFPVKGR, 20%] ; Drexlerová, Martina [Autor, 20%] ; ICERI 2021, 14 [08.11.2021-09.11.2021, Seville, Španielsko]. – text. – [angličtina]. – [OV 010]. – [abstrakt z podujatia - KP] In: ICERI2021 [elektronický dokument] : 14th annual International Conference of Education, Research and Innovation / Gómez, Chova L. [Zostavovateľ, editor] ; López Martínez, Agustín [Zostavovateľ, editor] ; Candel Torres, Ignacio [Zostavovateľ, editor]. – 1. vyd. – Valencia (Španielsko) : IATED, 2021. – ISBN 978-84-09-34549-6. – ISSN 2340-1095, s. 1739-1748 [online] [USB kľúč] </t>
  </si>
  <si>
    <t xml:space="preserve">Victims of human trafficking in the system of support and protection in Slovakia / Horáková, Magdaléna [Autor, UKFFSVKSP, 70%] ; Pavlíková, Barbara [Autor, UKFFSVKSP, 30%] ; CBU International Conference, 6 [21.03.2018-23.03.2018, Praha, Česko]. – text. – [angličtina]. – [OV 060]. – [abstrakt z podujatia - KP]. – DOI 10.12955/cbup.v6.1220 In: CBU International Conference Proceedings 2018 [textový dokument (print)] [elektronický dokument] : Innovations in Science and Education : March 21-23, 2018, Prague, Czech Republic / Hájek, Petr [Zostavovateľ, editor] ; Vít, Ondřej [Zostavovateľ, editor]. – 1. vyd. – Praha (Česko) : CBU Research Institute, 2018. – ISBN 978-80-270-5037-6. – ISBN (online) 978-80-270-5038-3. – ISSN 1805-997X. – ISSN (online) 1805-9961, s. 601-608 [tlačená forma] [online] </t>
  </si>
  <si>
    <t xml:space="preserve">Viniculture in the Nitra Region = Vinárstvo v Nitrianskom regióne / Némethová, Jana [Autor, UKFFPVKGR, 60%] ; Krajči, Filip [Autor, 40%] ; Mezinárodní kolokvium o regionálních vědách, 24 [01.09.2021-03.09.2021, Brno, Česko]. – text. – [angličtina]. – [OV 092]. – [abstrakt z podujatia - KP]. – [recenzované]. – DOI 10.5817/CZ.MUNI.P210-9896-2021-72 In: 24. Mezinárodní kolokvium o regionálních vědách [elektronický dokument] : sborník příspěvků Brno 1.9-3.9.2021 / Klímová, Viktorie [Zostavovateľ, editor] ; Žítek, Vladimír [Zostavovateľ, editor]. – 1. vyd. – Roč. 24. – Brno (Česko) : Masarykova univerzita, 2021. – ISBN 978-80-210-9896-1, s. 587-594 [CD-ROM] [online] </t>
  </si>
  <si>
    <t xml:space="preserve">Virtual Reality in Geography Teaching / Vojteková, Jana [Autor, UKFFPVKGR, 33.334%] ; Pitoňáková, Katarína [Autor, 33.333%] ; Vojtek, Matej [Autor, UKFFPVKGR, 33.333%] ; ICERI 2019, 12 [11.11.2019-13.11.2019, Seville, Španielsko]. – text. – [angličtina]. – [OV 010]. – [abstrakt z podujatia - KP]. – WOS CC In: ICERI2019 Proceedings [elektronický dokument] : 12th International conference of education, research and innovation / Gómez Chova, Luis [Zostavovateľ, editor] ; López Martínez, Agustín [Zostavovateľ, editor] ; Candel Torres, Ignacio [Zostavovateľ, editor]. – 1. vyd. – Valencia (Španielsko) : IATED, 2019. – ISBN 978-84-09-14755-7. – ISSN 2340-1095, s. 3663-3669 [USB kľúč] </t>
  </si>
  <si>
    <t xml:space="preserve">Visual Mental Images’ Connected Paper-and-Pencil Iconic and Non-Iconic Representations / Vágová, Renáta [Autor, UKFFPVKMA, 70%] ; Kmeťová, Mária [Autor, UKFFPVKMA, 20%] ; Lavicza, Zsolt [Autor, 10%] ; Conference on Digital Tools in Mathematics Education﻿ [25.06.2018-29.06.2018, Coimbra, Portugalsko]. – text. – [angličtina]. – [OV 160]. – [článok z podujatia]. – [recenzované]. – DOI 10.1564/tme_v27.1.06. – WOS CC In: International Journal for Technology in Mathematics Education. – London (Veľká Británia) : Research Information. – ISSN 1744-2710. – ISSN (online) 2045-2519. – suppl. CADGME 2018 Special Issue 3 Roč. 27, č. 1 (2020), s. 41-49 . – AIS: 0.215 AIS - Education, scientific disciplines - Q2 Scimago - Computational theory and mathematics - Q4, Computer science applications - Q4, Education - Q4 </t>
  </si>
  <si>
    <t xml:space="preserve">Visualisation in Dynamic Geometry Environment to Improve Spatial Ability / Kmeťová, Mária [Autor, UKFFPVKMA, 100%] ; ICERI 2020 : International Conference of Education, Research and Innovation, 13 [09.11.2020-10.11.2020, Sevilla, Španielsko]. – text. – [angličtina]. – [OV 010]. – [abstrakt z podujatia - KP] In: ICERI 2020 [elektronický dokument] : 13th international conference of education, research and innovation : transforming education, transforming lives / Gómez Chova, Luis [Zostavovateľ, editor] ; Martínez, Augustín López [Zostavovateľ, editor] ; Torres, I. Candel [Zostavovateľ, editor]. – 1. vyd. – Valencia (Španielsko) : IATED, 2020. – ISBN 978-84-09-24232-0. – ISSN 2340-1095, s. 8022-8029 [USB kľúč] </t>
  </si>
  <si>
    <t xml:space="preserve">Vlijanije drugich jazykov i kuľtur na process formirovanija slovackoj botaničeskoj terminologii / Bačová, Mária [Autor, UKFFFAKRU, 100%] ; Jazyk i mežkuľturnyje kommunikacii [11.11.2019-12.11.2019, Minsk, Bielorusko (predtým ako Bieloruská SSR)]. – text. – [ruština]. – [OV 020]. – [abstrakt z podujatia - KP] In: Jazyk i mežkuľturnyje kommunikacii [textový dokument (print)] : sbornik naučnych statej VII Meždunarodnoj naučnoj konferencii "Jazyk i mežkuľturnyje kommunikacii"  11 - 12 nojabrja 2019 g. v Minske / Staričonok, Vladimir [Zostavovateľ, editor] ; Rovdo, Ivan [Recenzent] ; Bessonova, Ludmila [Recenzent]. – 1. vyd. – Minsk (Bielorusko (predtým ako Bieloruská SSR)) : Belorusskij gosudarstvennyj pedagogičeskij universitet imeni Maxima Tanka, 2019. – ISBN (chybné) 973-985-541-683-9, s. 73-79 </t>
  </si>
  <si>
    <t xml:space="preserve">Vnímanie choroby ako prediktor kvality života kardiologických pacientov / Dančová, Katarína [Autor, UKFFSVUAP, 50%] ; Sollár, Tomáš [Autor, UKFFSVUAP, 50%] ; Psychologické aspekty pomáhání 2018, 3 [07.01.2018-07.11.2018, Ostrava, Česko]. – [slovenčina]. – [OV 060]. – [abstrakt z podujatia - KP] In: Psychologické aspekty pomáhání 2018 [textový dokument (print)] : sborník příspěvků z  3. ročníku mezinárodní konference konané ve dnech 6. a 7. listopadu 2018, v Personálním a vzdělávacím centru Vítkovice a.s. v Ostravě / Mlčák, Zdeněk [Zostavovateľ, editor] ; Záškodná, Helena [Recenzent] ; Vízdal, František [Recenzent]. – 1. vyd. – Ostrava (Česko) : Ostravská univerzita, 2019. – ISBN 978-80-7599-088-4, s. 22-29 [tlačená forma] </t>
  </si>
  <si>
    <t xml:space="preserve">Vnímanie ochorenia ako moderátor vzťahu osobnostných charakteristík a kvality života = Illness perception as moderator of the relationship between personality and quality of life / Dančová, Katarína [Autor, 10%] ; Sollár, Tomáš [Autor, UKFFSVUAP, 45%] ; Solgajová, Andrea [Autor, UKFFSVKOS, 45%] ; QUAERE 2018, 8 [27.06.2018-29.06.2018, Hradec Králové, Česko]. – text. – [slovenčina]. – [OV 060]. – [abstrakt z podujatia - KP]. – [recenzované] In: QUAERE 2018 [elektronický dokument] : recenzovaný sborník příspěvků vědecké interdisciplinární mezinárodní vědecké konference doktorandů a odborných asistentů / [bez zostavovateľa] [Zostavovateľ, editor]. – 1. vyd. – Roč. 8. – Hradec Králové (Česko) : Magnanimitas akademické sdružení, 2018. – ISBN 978-80-87952-26-9, s. 1134-1142 [CD-ROM] </t>
  </si>
  <si>
    <t xml:space="preserve">Vnímanie turistickej urbanizácie v obci Veľká Lomnica = Perception of tourist urbanization in the Veľká Lomnica municipality / Fialová, Dana [Autor, 20%] ; Krogmann, Alfred [Autor, UKFFPVKGR, 20%] ; Nemčíková, Magdaléna [Autor, UKFFPVKGR, 20%] ; Oremusová, Daša [Autor, UKFFPVKGR, 20%] ; Šolcová, Lucia [Autor, UKFFPVKGR, 20%] ; Aktuální problémy cestovního ruchu, 14 [27.02.2019-28.02.2019, Jihlava, Česko]. – text. – [angličtina]. – [OV 092]. – [abstrakt z podujatia - KP] In: Aktuální problémy cestovního ruchu [elektronický dokument] : „Cestovní ruch - příležitost pro venkov" : recenzovaný sborník z mezinárodní konference / Linderová, Ivica [Zostavovateľ, editor]. – 1 vyd. – Roč. 14. – Jihlava (Česko) : Vysoká škola polytechnická Jihlava, 2019. – ISBN 978-80-88064-43-5. – ISBN (online) 978-80-88064-42-8, s. 146-155 [online] [CD-ROM] </t>
  </si>
  <si>
    <t xml:space="preserve">Vocal education in slovakia in the context of non-art music / Štrbák Pandiová, Iveta [Autor, UKFPFAKHU, 100%] ; Mezinárodní Masarykova konference pro doktorandy a mladé vědecké pracovníky 2020, 11 [14.12.2020-16.12.2020, Hradec Králové, Česko]. – text. – [slovenčina]. – [OV 010]. – [abstrakt z podujatia - KP] In: MMK 2020 [elektronický dokument] : Mezinárodní Masarykova konference pro doktorandy a mladé vědecké pracovníky 2020 = recenzovaný sborník příspěvků mezinárodní vědecké konference / [bez zostavovateľa] [Zostavovateľ, editor] ; Lipowski, Jaroslav [Recenzent] ; Jaskułowski, Krzysztof [Recenzent]. – 1. vyd. – Roč. 11. – Hradec Králové (Česko) : Magnanimitas akademické sdružení, 2020. – ISBN 978-80-87952-33-7, s. 626-629 [CD-ROM] [online] </t>
  </si>
  <si>
    <t xml:space="preserve">Vocational identity of adolescents in relation to self-esteem = Pracovná identita a sebahodnotenie adolescentov / Baňasová, Katarína [Autor, UKFFSVUAP, 50%] ; Koleňová, Martina [Autor, UKFFSVKPV, 50%] ; Work and Organizational Psychology 2021 [13.05.2021-14.05.2021, Olomouc, Česko]. – text. – [slovenčina]. – [OV 010]. – [abstrakt z podujatia - KP]. – WOS CC In: Work and Organizational Psychology 2021: Innovation - research and application [elektronický dokument] : The 20th International Conference Proceedings, Olomouc  May 13 - 14 2021 online / Seitl, Martin [Zostavovateľ, editor] ; Viktorová, Lucie [Zostavovateľ, editor] ; Hypšová, Petra [Zostavovateľ, editor] ; Baňasová, Katarína [Recenzent] ; Bavoľár, Jozef [Recenzent] ; Fedáková, Denisa [Recenzent]. – 1. vyd. – Olomouc (Česko) : Univerzita Palackého v Olomouci, 2021. – ISBN (online) 978-80-244-6027-7, s. 123-131 [online] </t>
  </si>
  <si>
    <t xml:space="preserve">Vocational training in CNC technologies / Kuna, Peter [Autor, 35%] ; Hašková, Alena [Autor, UKFPFAKTT, 35%] ; Haller, Ján [Autor, 30%] ; ICERI 2021, 14 [08.11.2021-09.11.2021, Seville, Španielsko]. – text. – [angličtina]. – [OV 010]. – [abstrakt z podujatia - KP] In: ICERI2021 [elektronický dokument] : 14th annual International Conference of Education, Research and Innovation / Gómez, Chova L. [Zostavovateľ, editor] ; López Martínez, Agustín [Zostavovateľ, editor] ; Candel Torres, Ignacio [Zostavovateľ, editor]. – 1. vyd. – Valencia (Španielsko) : IATED, 2021. – ISBN 978-84-09-34549-6. – ISSN 2340-1095, s. 3340-3346 [online] [USB kľúč] </t>
  </si>
  <si>
    <t xml:space="preserve">Vplyv dusičnanov na akumuláciu kadmia a aktivitu nitrátreduktázy v koreňoch kukurice siatej (zea mays cv. Mvnn 333) / Lengyelová, Libuša [Autor, UKFFPVKBG, 25%] ; Piršelová, Beáta [Autor, UKFFPVKBG, 50%] ; Galuščáková, Ľudmila [Autor, UKFFPVKBG, 25%] ; Mezinárodní Masarykova konference pro doktorandy a mladé vědecké pracovníky 2020, 11 [14.12.2020-16.12.2020, Hradec Králové, Česko]. – text. – [slovenčina]. – [OV 130]. – [abstrakt z podujatia - KP] In: MMK 2020 [elektronický dokument] : Mezinárodní Masarykova konference pro doktorandy a mladé vědecké pracovníky 2020 = recenzovaný sborník příspěvků mezinárodní vědecké konference / [bez zostavovateľa] [Zostavovateľ, editor] ; Lipowski, Jaroslav [Recenzent] ; Jaskułowski, Krzysztof [Recenzent]. – 1. vyd. – Roč. 11. – Hradec Králové (Česko) : Magnanimitas akademické sdružení, 2020. – ISBN 978-80-87952-33-7, s. 1260-1264 [CD-ROM] [online] </t>
  </si>
  <si>
    <t xml:space="preserve">Vplyv faktorov právneho prostredia na rodinné podniky v regiónoch Slovenskej republiky / Vojtech, František [Autor, VŠEMVSÚEMKMSP, 33.334%] ; Mižičková, Jarmila [Autor, 33.333%] ; Levický, Michal [Autor, UKFFPVUMI, 33.333%] ; Mezinárodní kolokvium o regionálních vědách, 22 [12.06.2019-14.06.2019, Velké Bílovice, Česko]. – [slovenčina, čeština]. – [OV 080]. – [abstrakt z podujatia - KP] In: 22. mezinárodní kolokvium o regionálních vědách [elektronický dokument] : sborník příspěvků / Klímová, Viktorie [Zostavovateľ, editor] ; Žítek, Vladimír [Zostavovateľ, editor] ; Žárska, Elena [Recenzent]. – 1. vyd. – Roč. 22. – Brno (Česko) : Masarykova univerzita, 2019. – ISBN 978-80-210-9268-6, s. 117-124 [online] </t>
  </si>
  <si>
    <t xml:space="preserve">Vplyv kadmia na aktivitu B-1,3-glukanáz v koreňoch sóje / Mészáros, Patrik [Autor, UKFFPVKBG, 60%] ; Roszival, Marcel [Autor, UKFFPVKBG, 10%] ; Imlingová, Nikola [Autor, 30%] ; Vliv abiotických a biotických stresorů na vlastnosti rostlin [03.09.2019-05.09.2019, Praha, Česko]. – text. – [angličtina]. – [OV 130]. – [abstrakt z podujatia - KP] In: Vliv abiotických a biotických stresorů na vlastnosti rostlin 2019 [textový dokument (print)] [elektronický dokument] : sborník recenzovaných vědeckých prací = proceedings of scientific articles / Kožnarová, Věra [Zostavovateľ, editor] ; Novák, Ján [Recenzent]. – 1 vyd. – Praha (Česko) : Česká zemědelská univerzita v Praze ; Bratislava (Slovensko) : Slovenská akadémia vied. Pracoviská SAV. Ústav ekológie lesa, 2019. – ISBN 978-80-213-2949-2. – ISBN 978-80-89408-35-1, s. 112-115 [tlačená forma] [online] </t>
  </si>
  <si>
    <t xml:space="preserve">Vplyv kadmia na vybrané základné ukazovatele rastlinného stresu v dvoch hybridoch slnečnice ročnej = Impact of cadmium on selected basic indicators of plant stress in two hybrids of sunflower / Mészáros, Patrik [Autor, UKFFPVKBG, 16.67%] ; Rozsival, Marcel [Autor, UKFFPVKBG, 16.666%] ; Galuščáková, Ľudmila [Autor, UKFFPVKBG, 16.666%] ; Lengyelová, Libuša [Autor, UKFFPVKBG, 16.666%] ; Kuna, Roman [Autor, UKFFPVKBG, 16.666%] ; Piršelová, Beáta [Autor, UKFFPVKBG, 16.666%] ; Mezinárodní Masarykova konference pro doktorandy a mladé vědecké pracovníky 2020, 11 [14.12.2020-16.12.2020, Hradec Králové, Česko]. – text. – [slovenčina]. – [OV 130]. – [abstrakt z podujatia - KP] In: MMK 2020 [elektronický dokument] : Mezinárodní Masarykova konference pro doktorandy a mladé vědecké pracovníky 2020 = recenzovaný sborník příspěvků mezinárodní vědecké konference / [bez zostavovateľa] [Zostavovateľ, editor] ; Lipowski, Jaroslav [Recenzent] ; Jaskułowski, Krzysztof [Recenzent]. – 1. vyd. – Roč. 11. – Hradec Králové (Česko) : Magnanimitas akademické sdružení, 2020. – ISBN 978-80-87952-33-7, s. 1288-1292 [CD-ROM] [online] </t>
  </si>
  <si>
    <t xml:space="preserve">Vplyv lockdownu a preventívnych opatrení v dôsledku COVID-19 na stravovací, pohybový a oddychový režim u dospelých osôb v SR / Fatrcová Šramková, Katarína [Autor, SPUFAP16, 20%] ; Schwarzová, Marianna [Autor, SPUFAP16, 20%] ; Tvrdá, Eva [Autor, SPUFBP03, 20%] ; Kačániová, Miroslava [Autor, SPUFZK06, 20%] ; Juríková, Tünde [Autor, UKFFSSUVP, 20%] ; Výživa a zdraví : budoucnost výživy člověka, 24 [15.09.2020-17.09.2020, Teplice, Česko]. – text. – [slovenčina]. – [OV 190]. – [abstrakt z podujatia - KP]. – [recenzované] In: Výživa a zdraví [textový dokument (print)] [elektronický dokument] : budoucnost výživy člověka, 15.-17.9. 2020 Teplice / [bez zostavovateľa] [Zostavovateľ, editor]. – 1. vyd. – Teplice (Česko) : Alwac, 2020. – ISBN 978-80-87878-45-3, s. 88-105 [tlačená forma] [online] </t>
  </si>
  <si>
    <t xml:space="preserve">Vplyv štýlov rodinnej výchovy na formovanie osobnostných charakteristík : prehľadová štúdia / Tomšik, Robert [Autor, UKFPFAKPE, 100%] ; Sapere Aude 2018, 8 [28.05.2018-31.05.2018, Hradec Králové, Česko]. – text. – [slovenčina]. – [OV 010]. – [abstrakt z podujatia - KP]. – [recenzované] In: Sapere Aude 2018 [elektronický dokument] : učitel, žák, psycholog : recenzovaný sborník příspěvků vědecké konference s mezinárodní účastí / [bez zostavovateľa] [Zostavovateľ, editor]. – 1. vyd. – Roč. 8. – Hradec Králové (Česko) : Magnanimitas akademické sdružení, 2018. – ISBN 978-80-87952-25-2, s. 207-214 [CD-ROM] [online] </t>
  </si>
  <si>
    <t xml:space="preserve">Vybrané aspekty cudzích prvkov v stredoeurópskych kultúrach a jazykoch = Chosen Aspects of Foreign Elements in Central European Cultures and Languages / Tkáč-Zabáková, Lenka [Autor, UKFFSSUSJ, 50%] ; Vargová, Zuzana [Autor, UKFFSSUSJ, 50%] ; QUAERE 2019 : interdisciplinární mezinárodní vědecká konference doktorandů a odborných asistentů, 9 [24.06.2019-28.06.2019, Hradec Králové, Česko]. – text. – [angličtina]. – [OV 010]. – [abstrakt z podujatia - KP] In: QUAERE 2019 [elektronický dokument] : recenzovaný sborník příspěvků interdisciplinární mezinárodní vědecké konference doktorandů a odborných asistentů = reviewed proceedings of the interdisciplinary scientific international conference for PhD students and assistants / [bez zostavovateľa] [Zostavovateľ, editor]. – 1. vyd. – Roč. 9. – Hradec Králové (Česko) : Magnanimitas akademické sdružení, 2019. – ISBN 978-80-87952-30-6, s. 1099-1104 [DVD] </t>
  </si>
  <si>
    <t xml:space="preserve">Vyčleňovacia, pripájacia a odčleňovacia funkcia pomlčky / Klabníková, Ivana [Autor, UKFFFASJL, 100%] ; Kolokvium mladých jazykovedcov, 24 [09.09.2015-11.09.2015, Praha, Česko]. – text. – [slovenčina]. – [OV 020]. – [abstrakt z podujatia - KP] In: Varia 24 [elektronický dokument] : zborník príspevkov z 24. kolokvia mladých jazykovedcov / Simeunovich-Skvortsova, Maria [Zostavovateľ, editor] ; Gajdošová, Katarína [Zostavovateľ, editor] ; Saicová Římalová, Lucie [Recenzent] ; Stranz-Nikitina, Veronika [Recenzent]. – 1. vyd. – Roč. 24. – Praha (Česko) : Univerzita Karlova v Praze, 2019. – ISBN 978-80-7308-757-9, s. 203-207 [online] </t>
  </si>
  <si>
    <t xml:space="preserve">Výskum kultúrnej krajiny na Dolnej zemi / Žabenský, Marián [Autor, UKFFFAKMK, 100%] ; Výskum Slovákov v Maďarsku v interdisciplinárnom kontexte [13.02.2020-14.02.2020, Békešská Čaba, Maďarsko]. – text. – [slovenčina]. – [OV 030]. – [ŠO 8110]. – [abstrakt z podujatia - KP] In: Výskum Slovákov v Maďarsku v interdisciplinárnom kontexte [textový dokument (print)] : Na počesť Anny Divičanovej a k 30. výročiu VÚSM / Demmel, József [Zostavovateľ, editor] ; Szudová, Krisztína Eszter [Zostavovateľ, editor] ; Tušková, Tünde [Zostavovateľ, editor] ; Dudok, Miroslav [Recenzent] ; Kiss Szemán, Róbert [Recenzent]. – 1. vyd. – Békešská Čaba (Maďarsko) : Magyarországi Szlovákok Kutatóintézete, 2021. – ISBN 978-615-5330-25-4. – ISSN 2631-1275, s. 244-254 [tlačená forma] </t>
  </si>
  <si>
    <t xml:space="preserve">Výskyt sociálnopatologických javov v období adolescencie / Gálisová, Lenka [Autor, UKFPFAKHU, 100%] ; Sapere Aude 2019, 9 [27.05.2019-29.05.2019, Hradec Králové, Česko]. – [slovenčina]. – [OV 010]. – [abstrakt z podujatia - KP] In: Sapere Aude 2019 [elektronický dokument] : společnost a profese učitele : recenzovaný sborník příspěvků vědecké konference s mezinárodní účastí / [bez zostavovateľa] [Zostavovateľ, editor]. – 1. vyd. – Roč. 9. – Hradec Králové (Česko) : Magnanimitas akademické sdružení, 2019. – ISBN 978-80-87952-29-0, s. 233-242 [online] [CD-ROM] </t>
  </si>
  <si>
    <t xml:space="preserve">Využiteľnosť potenciálu Oravského hradu v  rozvoji regiónu = Utilization of the Potential of Orava Castle for the Regional Development / Oremusová, Daša [Autor, UKFFPVKGR, 25%] ; Krogmann, Alfred [Autor, UKFFPVKGR, 25%] ; Nemčíková, Magdaléna [Autor, UKFFPVKGR, 25%] ; Némethová, Jana [Autor, UKFFPVKGR, 25%] ; Aktuální problémy cestovního ruchu, 15 [04.03.2020-05.03.2020, Jihlava, Česko]. – text. – [slovenčina]. – [OV 092]. – [abstrakt z podujatia - KP] In: Aktuální problémy cestovního ruchu [elektronický dokument] : Overtourism - riziko pro destinace / Linderová, Ivica [Zostavovateľ, editor]. – 1 vyd. – Jihlava (Česko) : Vysoká škola polytechnická Jihlava, 2020. – ISBN 978-80-88064-46-6. – ISBN 978-80-88064-47-3, s. 165-175 [CD-ROM] </t>
  </si>
  <si>
    <t xml:space="preserve">Využitie horných končatín v jazzovom tanci = Use of arms in jazz dance / Hubinská, Zuzana [Autor, UKFPFAKHU, 100%] ; Mezinárodní Masarykova konference pro doktorandy a mladé vědecké pracovníky 2020, 11 [14.12.2020-16.12.2020, Hradec Králové, Česko]. – text. – [slovenčina]. – [OV 010]. – [abstrakt z podujatia - KP] In: MMK 2020 [elektronický dokument] : Mezinárodní Masarykova konference pro doktorandy a mladé vědecké pracovníky 2020 = recenzovaný sborník příspěvků mezinárodní vědecké konference / [bez zostavovateľa] [Zostavovateľ, editor] ; Lipowski, Jaroslav [Recenzent] ; Jaskułowski, Krzysztof [Recenzent]. – 1. vyd. – Roč. 11. – Hradec Králové (Česko) : Magnanimitas akademické sdružení, 2020. – ISBN 978-80-87952-33-7, s. 743-750 [CD-ROM] [online] </t>
  </si>
  <si>
    <t xml:space="preserve">Využitie wechslerovej inteligenčnej škály pre deti pri diagnostike ADHD : analýza subtestov a profilov / Jančiarová, Mária [Autor, UKFFSVKPV, 50%] ; Popelková, Marta [Autor, UKFFSVKPV, 50%] ; PhD existence 2019, 9 [21.01.2019-22.01.2019, Olomouc, Česko]. – text. – [slovenčina]. – [OV 060]. – [abstrakt z podujatia - KP] In: PhD existence 9 [elektronický dokument] : česko-slovenská konference (nejen) pro doktorandy a o doktorandech : „Telo a mysl“ : konferenční DVD / Maierová, Eva [Zostavovateľ, editor] ; Viktorová, Lucie [Zostavovateľ, editor] ; Dolejš, Martin [Zostavovateľ, editor]. – Olomouc (Česko) : Univerzita Palackého v Olomouci, 2019. – ISBN (online) 978-80-244-5594-5, s. 350-356 [DVD] </t>
  </si>
  <si>
    <t xml:space="preserve">Využívanie prvkov arteterapie pri vytváraní pozitívnej klímy v inkluzívnej triede = Use of Art Therapy Elements in Creating a Positive Climate in the Inclusine Class / Sender, Barbora [Autor, UKFPFAKPE, 100%] ; QUAERE 2021, 11 [28.06.2021-30.06.2021, Hradec Králové, Česko]. – text. – [slovenčina]. – [OV 010]. – [abstrakt z podujatia - KP] In: QUAERE 2021 [elektronický dokument] : recenzovaný sborník příspěvků interdisciplinární mezinárodní vědecké konference doktorandů a odborných asistentů, Hradec Králové 28.6.2021 - 30.6.2021 / [bez zostavovateľa] [Zostavovateľ, editor]. – 1. vyd. – Roč. 11. – Hradec Králové (Česko) : Magnanimitas akademické sdružení, 2021. – ISBN 978-80-87952-34-4, s. 527-534 [online] </t>
  </si>
  <si>
    <t xml:space="preserve">Význam dobrovoľníka v rámci sprevádzania chorého a zomierajúceho pacienta v hospici = The Importance of a Volunteer in Accompanying a Sick and Dying Patient in Hospice / Jašeková, Nina [Autor, UKFFSVKSP, 50%] ; Kovácsová, Miroslava [Autor, 50%] ; QUAERE 2020, 10 [22.06.2020-26.06.2020, Hradec Králové, Česko]. – [slovenčina]. – [OV 060]. – [abstrakt z podujatia - KP] In: QUAERE 2020 [elektronický dokument] : recenzovaný sborník příspěvků interdisciplinární mezinárodní vědecké konference doktorandů a odborných asistentů, Hradec Králové, 22.- 26.6.2020 / [bez zostavovateľa] [Zostavovateľ, editor]. – 1. vyd. – Roč. 10. – Hradec Králové (Česko) : Magnanimitas akademické sdružení, 2020. – ISBN 978-80-87952-32-0, s. 1015-1023 [online] </t>
  </si>
  <si>
    <t xml:space="preserve">Význam sociálneho pracovníka v multidisciplinárnom tíme hospicu / Jašeková, Nina [Autor, UKFFSVKSP, 60%] ; Mojtová, Martina [Autor, UKFFSVKSP, 40%] ; Mezinárodní Masarykova konference pro doktorandy a mladé vědecké pracovníky 2019, 10 [16.12.2019-18.12.2019, Hradec Králové, Česko]. – text. – [slovenčina]. – [OV 060]. – [abstrakt z podujatia - KP] In: MMK 2019 [elektronický dokument] : recenzovaný sborník příspěvků mezinárodní vědecké konference : Mezinárodní Masarykova konference pro doktorandy a mladé vědecké pracovníky 2019 / [bez zostavovateľa] [Zostavovateľ, editor] ; Lipowski, Jaroslav [Recenzent] ; Jaskułowski, Krzysztof [Recenzent] ; Kislingerová, Eva [Recenzent]. – 1. vyd. – Hradec Králové (Česko) : Magnanimitas akademické sdružení, 2019. – ISBN 978-80-87952-31-3, s. 736-742 [CD-ROM] [online] </t>
  </si>
  <si>
    <t xml:space="preserve">Význam tradičnej ľudovej kultúry pri vytváraní regionálnej/lokálnej identity / Beňušková, Zuzana [Autor, UKFFFAKEF, 100%] ; Regionální a národní identita [16.10.2019, Český Těšín, Česko]. – text. – [slovenčina]. – [OV 020, 030]. – [abstrakt z podujatia - KP] In: Regionální a národní identita : recenzovaný sborník z mezinárodního workshopu konaného dne 16. 10. 2019 v Českém Těšíně / Hruška, Lubor [Zostavovateľ, editor] ; Václavíková, Anna [Recenzent] ; Heldáková, Lucia [Recenzent]. – 1. vyd. – Český Těšín (Česko) : ACCENDO - Centrum pro vědu a výzkum, 2019. – ISBN 978-80-87955-08-6, s. 158-167 [tlačená forma] </t>
  </si>
  <si>
    <t xml:space="preserve">Významné osobnosti v nitrianskom uličnom názvosloví = Historical Personalities in Nitra Street Names / Tkáč-Zabáková, Lenka [Autor, UKFFSSUSJ, 100%] ; QUAERE 2020, 10 [22.06.2020-26.06.2020, Hradec Králové, Česko]. – text. – [slovenčina]. – [OV 020]. – [abstrakt z podujatia - KP] In: QUAERE 2020 [elektronický dokument] : recenzovaný sborník příspěvků interdisciplinární mezinárodní vědecké konference doktorandů a odborných asistentů, Hradec Králové, 22.- 26.6.2020 / [bez zostavovateľa] [Zostavovateľ, editor]. – 1. vyd. – Roč. 10. – Hradec Králové (Česko) : Magnanimitas akademické sdružení, 2020. – ISBN 978-80-87952-32-0, s. 1272-1276 [online] </t>
  </si>
  <si>
    <t xml:space="preserve">Vzaimodejstvie fizičeskoj aktivnoi i oblastej kačestva žizni učitelej načaľnogo obrazovanija / Kalinková, Mária [Autor, UKFPFAKTV, 60%] ; Orlíková, Monika [Autor, 40%] ; Dvadcať čertvertye babilonskie čtenija [03.12.2020, Joškar-Ola, Ruská federácia]. – text. – [ruština]. – [OV 210]. – [abstrakt z podujatia - KP] In: Dvadcať čertvertye babilonskie čtenija [textový dokument (print)] : bezopasnosť čeloveka i ustojčivoje razvitie obščestva pered vyzovami globaľnych transformacij. Materialy meždunarodnoj naučnoj konferencii, Joškar-Ola, 3.12.2020. Časť 1 / Šalaev, Vladimir Pavlovič [Zostavovateľ, editor]. – 1. vyd. – Joškar-Ola (Ruská federácia) : Ministerstvo obrazovanija i nauki Rossijskoj federaciji, 2021. – ISBN 978-5-906541-35-2, s. 254-262 [tlačená forma] </t>
  </si>
  <si>
    <t xml:space="preserve">Vzdelávacie potreby pedagógov v Zbore väzenskej a justičnej stráže = Educational needs of Pedagogues of the Corps of Prison and Court Guard / Temiaková, Dominika [Autor, UKFPFAKPE, 100%] ; Vzdělávaní dospělých 2017 - v době rezonujících společenských změn, 7 [11.12.2017-12.12.2017, Praha, Česko]. – [slovenčina]. – [OV 060, 010]. – [abstrakt z podujatia - KP]. – WOS CC In: Vzdělávání dospělých 2017 – v době rezonujících společenských změn [textový dokument (print)] : proceedings of the 7th International Adult Education Conference / Veteška, Jaroslav [Zostavovateľ, editor] ; Szarota, Zofia [Recenzent] ; Ullrich, David [Recenzent]. – 1. vyd. – Praha (Česko) : Česká andragogická společnost, 2018. – ISBN 978-80-906894-2-8, s. 183-188 [tlačená forma] </t>
  </si>
  <si>
    <t xml:space="preserve">Vzdelávacie potreby pedagógov Zboru väzenskej a justičnej stráže / Temiaková, Dominika [Autor, UKFPFAKPE, 100%] ; Szarota, Zofia [Recenzent] ; Ullrich, David [Recenzent] ; Adult Education 2017, 7 [11.12.2017-12.12.2017, Praha, Česko]. – [angličtina]. – [OV 010]. – [abstrakt z podujatia - KP] In: Vzdělávání dospělých 2017 – v době rezonujících společenských změn [textový dokument (print)] : proceedings of the 7th International Adult Education Conference / Veteška, Jaroslav [Zostavovateľ, editor]. – 1. vyd. – Praha (Česko) : Česká andragogická společnost, 2018. – ISBN 978-80-906894-2-8, s. 183-188 [tlačená forma] </t>
  </si>
  <si>
    <t xml:space="preserve">Vzdelávanie detí cudzincov na Slovensku optikou sociálnej práce / Morávková, Silvia [Autor, UKFFSVKSP, 40%] ; Šimonová, Veronika [Autor, UKFFSVKSP, 40%] ; Mojtová, Martina [Autor, UKFFSVKSP, 20%] ; Mezinárodní Masarykova konference pro doktorandy a mladé vědecké pracovníky 2019, 10 [16.12.2019-18.12.2019, Hradec Králové, Česko]. – text. – [slovenčina]. – [OV 060]. – [abstrakt z podujatia - KP] In: MMK 2019 [elektronický dokument] : recenzovaný sborník příspěvků mezinárodní vědecké konference : Mezinárodní Masarykova konference pro doktorandy a mladé vědecké pracovníky 2019 / [bez zostavovateľa] [Zostavovateľ, editor] ; Lipowski, Jaroslav [Recenzent] ; Jaskułowski, Krzysztof [Recenzent] ; Kislingerová, Eva [Recenzent]. – 1. vyd. – Hradec Králové (Česko) : Magnanimitas akademické sdružení, 2019. – ISBN 978-80-87952-31-3, s. 643-652 [CD-ROM] [online] </t>
  </si>
  <si>
    <t xml:space="preserve">Vzťah k vlastnému telu a prejavy rizikového správania dospievajúcich v systéme nižšieho sekundárneho vzdelávania / Čerešníková, Miroslava [Autor, UKFFSVURS, 50%] ; Čerešník, Michal [Autor, UKFPFAKAP, 50%] ; PhD existence 2019, 9 [21.01.2019-22.01.2019, Olomouc, Česko]. – text. – [slovenčina]. – [OV 060]. – [abstrakt z podujatia - KP] In: PhD existence 9 [elektronický dokument] : česko-slovenská konference (nejen) pro doktorandy a o doktorandech : „Telo a mysl“ : konferenční DVD / Maierová, Eva [Zostavovateľ, editor] ; Viktorová, Lucie [Zostavovateľ, editor] ; Dolejš, Martin [Zostavovateľ, editor]. – Olomouc (Česko) : Univerzita Palackého v Olomouci, 2019. – ISBN (online) 978-80-244-5594-5, s. 383-393 [DVD] </t>
  </si>
  <si>
    <t xml:space="preserve">Vzťah kariérových záujmov a štruktúry osobnosti / Hudáková, Miriama [Autor, UKFFSVUAP, 50%] ; Sollár, Tomáš [Autor, UKFFSVUAP, 50%] ; Blatný, Marek [Recenzent] ; Jelínek, Martin [Recenzent] ; Sociální procesy a osobnost 2017 [18.09.2017-20.09.2017, Brno, Česko]. – [slovenčina]. – [OV 060]. – [abstrakt z podujatia - KP] In: Sociální procesy a osobnost 2017 [elektronický dokument] : sborník příspěvků / Blatný, Marek [Zostavovateľ, editor] ; Jelínek, Martin [Zostavovateľ, editor] ; Květon, Petr [Zostavovateľ, editor] ; Vobořil, Dalibor [Zostavovateľ, editor]. – 1. vyd. – Praha (Česko) : Akademie věd České republiky, 2018. – ISBN (online) 978-80-86174-22-8, s. 123-128 [online] </t>
  </si>
  <si>
    <t xml:space="preserve">Vzťah medzi syndrómom vyhorenia a výskytom kognitívnych omylov a chýb u pracovníkov pomáhajúcich profesií: medzipohlavné porovnanie / Jurišová, Erika [Autor, UKFFSVKPV, 33.334%] ; Popelková, Marta [Autor, UKFFSVKPV, 33.333%] ; Pilárik, Ľubor [Autor, UKFFSVKPV, 33.333%] ; PhD existence 2019, 9 [21.01.2019-22.01.2019, Olomouc, Česko]. – text. – [slovenčina]. – [OV 060]. – [abstrakt z podujatia - KP] In: PhD existence 9 [elektronický dokument] : česko-slovenská konference (nejen) pro doktorandy a o doktorandech : „Telo a mysl“ : konferenční DVD / Maierová, Eva [Zostavovateľ, editor] ; Viktorová, Lucie [Zostavovateľ, editor] ; Dolejš, Martin [Zostavovateľ, editor]. – Olomouc (Česko) : Univerzita Palackého v Olomouci, 2019. – ISBN (online) 978-80-244-5594-5, s. 394-404 [DVD] </t>
  </si>
  <si>
    <t xml:space="preserve">Vzťahová väzba u jednotlivcov závislých od alkoholu / Jančiarová, Mária [Autor, UKFFSVKPV, 50%] ; Popelková, Marta [Autor, UKFFSVKPV, 50%] ; Lečbych, Martin [Recenzent] ; Řehan, Vladimír [Recenzent] ; PhD existence 2018, 8 [31.01.2018-01.02.2018, Olomouc, Česko]. – text. – [slovenčina]. – [OV 060]. – [abstrakt z podujatia - KP] In: PhD existence 8 [elektronický dokument] : nekonečno v psychologii / Maierová, Eva [Zostavovateľ, editor] ; Viktorová, Lucie [Zostavovateľ, editor] ; Suchá, Jaroslava [Zostavovateľ, editor] ; Dolejš, Martin [Zostavovateľ, editor]. – 1. vyd. – Olomouc (Česko) : Univerzita Palackého v Olomouci, 2018. – ISBN 978-80-244-5340-8, s. 1-6 [DVD] </t>
  </si>
  <si>
    <t xml:space="preserve">Vzťahová väzba v priebehu života človeka = Attachment Over the Lifespan / Lukáč, Jaroslav [Autor, UKFFSVKPV, 50%] ; Popelková, Marta [Autor, UKFFSVKPV, 50%] ; PhD existence 2020, 10 [03.02.2020-04.02.2020, Olomouc, Česko]. – [slovenčina]. – [OV 060]. – [abstrakt z podujatia - KP]. – TRUNI ohlas E080508 In: PhD existence 10 [elektronický dokument] : "Člověk a čas" : česko-slovenská konference (nejen) pro doktorandy a o doktorandech / Maierová, Eva [Zostavovateľ, editor] ; Viktorová, Lucie [Zostavovateľ, editor] ; Dolejš, Martin [Zostavovateľ, editor] ; Dominik, Tomáš [Zostavovateľ, editor] ; Tomšik, Robert [Recenzent] ; Skopal, Ondřej [Recenzent]. – 1. vyd. – Olomouc (Česko) : Univerzita Palackého v Olomouci, 2020. – ISBN (online) 978-80-244-5731-4, s. 303-311 [online] </t>
  </si>
  <si>
    <t xml:space="preserve">Water Thermoporometry of Aerated Autoclaved Concrete / Trník, Anton [Autor, UKFFPVKFY, 34%] ; Kočí, Jan [Autor, 33%] ; Maděra, Jiří [Autor, 33%] ; ICNAAM 2017 [25.09.2017-30.09.2017, Thessaloniki, Grécko]. – text. – [angličtina]. – [OV 091]. – [abstrakt z podujatia - KP]. – [recenzované]. – DOI 10.1063/1.5043733. – WOS CC In: Proceedings of the International Conference of Numerical Analysis and Applied Mathematics (ICNAAM 2017) [elektronický dokument] / Simos, Theodore [Zostavovateľ, editor] ; Tsitouras, Charalambos [Zostavovateľ, editor]. – 1. vyd. – Melville (USA) : American Institute of Physics . AIP Publishing, 2018. – (AIP Conference Proceedings, ISSN 0094-243X, ISSN 1551-7616 ; Volume 1978, SJR: 0,182 ; CiteScore: 0,5 ; SNIP: 0,377). – ISBN 978-0-7354-1690-1, s. 1-10 [online] [CD-ROM] </t>
  </si>
  <si>
    <t xml:space="preserve">Web Usage Mining: Data Pre-processing Impact on Found Knowledge in Predictive Modelling / Švec, Peter [Autor, UKFFPVKIN, 20%] ; Benko, Ľubomír [Autor, UKFFPVKIN, 20%] ; Kadlečík, Miroslav [Autor, UKFFPVKIN, 20%] ; Kratochvíl, Ján [Autor, 20%] ; Munk, Michal [Autor, UKFFPVKIN, 20%] ; 3rd International Conference on Computing and Network Communications, 3 [18.12.2019-21.12.2019, Kerala, India]. – text. – [angličtina]. – [OV 160]. – [abstrakt z podujatia - KP]. – DOI 10.1016/j.procs.2020.04.018. – SCO In: Third International Conference on Computing and Network Communications [elektronický dokument] / Thampi, S.M. [Zostavovateľ, editor]. – 1. vyd. – Amsterdam (Holandsko) : Elsevier, 2020. – (Procedia computer science, ISSN 1877-0509 ; 171, SJR: 0,334 ; CiteScore: 3 ; SNIP: 1,035), s. 168-178 [online] </t>
  </si>
  <si>
    <t xml:space="preserve">Weekend recreation as a tool for dispersed settlement preservation : Case study of Village Terchová / Kaisová, Dominika [Autor, UKFFPVKEE, 100%] ; Lněnička, Libor [Recenzent] ; Mísařová, Darina [Recenzent] ; Useful Geography: Transfer from Research to Practice, 25 [12.10.2017-13.10.2017, Brno, Česko]. – text. – [angličtina]. – [OV 100]. – [abstrakt z podujatia - KP]. – DOI 10.5817/CZ.MUNI.P210-8908-2018. – WOS CC In: Useful Geography: Transfer from Research to Practice [textový dokument (print)] [elektronický dokument] : Proceedings of 25th Central European Conference, 12th-13th October 2017, Brno / Svobodová, Hana [Zostavovateľ, editor]. – 1. vyd. – Brno (Česko) : Masarykova univerzita, 2018. – ISBN 978-80-210-8907-5. – ISBN (online) 978-80-210-8908-2, s. 425-433 [tlačená forma] [online] </t>
  </si>
  <si>
    <t xml:space="preserve">Wechsler intelligence scale for children as a diagnostic tool for specific learning disorders / Jančiarová, Mária [Autor, UKFFSVKPV, 50%] ; Popelková, Marta [Autor, UKFFSVKPV, 50%] ; EDULEARN19, 11 [01.07.2019-03.07.2019, Palma de Mallorca, Španielsko]. – text. – [angličtina]. – [OV 060]. – [abstrakt z podujatia - KP]. – WOS CC In: EDULEARN19 proceedings [elektronický dokument] : 11th annual International Conference on Education and New Learning Technologies / Gómez Chova, Luis [Zostavovateľ, editor] ; López Martínez, Agustín [Zostavovateľ, editor] ; López, Agustín [Recenzent] ; Girós, Amparo [Recenzent]. – 1. vyd. – Roč. 11. – Valencia (Španielsko) : IATED, 2019. – ISBN 978-84-09-12031-4. – ISSN 2340-1117, s. 2807-2812 [CD-ROM] </t>
  </si>
  <si>
    <t xml:space="preserve">Well-being of secondary school pupils / Juhásová, Andrea [Autor, UKFPFAKAP, 80%] ; Mráziková, Nikoleta [Autor, 20%] ; EDULEARN21 [05.07.2021-06.07.2021, Barcelona, Španielsko]. – text. – [angličtina]. – [OV 010]. – [abstrakt z podujatia - KP] In: EDULEARN21 [elektronický dokument] : 13th annual International Conference on Education and New Learning Technologies, Barcelona, 5th - 6th of July, 2021 / Chova, Luis Goméz [Zostavovateľ, editor] ; Martínez, Augustín López [Zostavovateľ, editor] ; Torres, I. [Zostavovateľ, editor]. – 1. vyd. – Roč. 13. – Barcelona (Španielsko) : IATED, 2021. – ISBN 978-84-09-31267-2. – ISSN 2340-1117, s. 2158-2164 [CD-ROM] [USB kľúč] </t>
  </si>
  <si>
    <t xml:space="preserve">Wetland - yes or no (the Paríž wetlands National Nature Reserve - Slovakia) / Petrovič, František [Autor, UKFFPVKEE, 34%] ; Mojses, Matej [Autor, 33%] ; Muchová, Zlatica [Autor, SPUFZK05, 33%] ; Useful Geography: Transfer from Research to Practice, 25 [12.10.2017-13.10.2017, Brno, Česko]. – text. – [angličtina]. – [OV 100]. – [abstrakt z podujatia - KP]. – [recenzované]. – WOS CC In: Useful Geography: Transfer from Research to Practice [textový dokument (print)] [elektronický dokument] : Proceedings of 25th Central European Conference, 12th-13th October 2017, Brno / Svobodová, Hana [Zostavovateľ, editor]. – 1. vyd. – Brno (Česko) : Masarykova univerzita, 2018. – ISBN 978-80-210-8907-5. – ISBN (online) 978-80-210-8908-2, s. 216-226 [tlačená forma] [online] </t>
  </si>
  <si>
    <t xml:space="preserve">Where are the current expenditures of municipalities going? Comparative study / Vavrek, Roman [Autor, PUPFMKM, 33%] ; Papcunová, Viera [Autor, UKFFPVUMI, 34%] ; Tej, Juraj [Autor, PUPFMKM, 33%] ; Rozvoj a správa příhraničních oblastí České republiky a Polska - podpora udržitelného rozvoje, 3 [12.06.2020, Ostrava, Česko]. – [angličtina]. – [OV 060]. – [abstrakt z podujatia - KP]. – SIGN-PU FM-20 138/20. – WOS CC In: Development and administration of border areas of the Czech Republic and Poland [textový dokument (print)] [elektronický dokument] : conference proceedings of RASPO 2020 / Ardielli, Eva [Zostavovateľ, editor]. – 1. vyd. – Ostrava (Česko) : Vysoká škola báňská – Technická univerzita Ostrava, 2020. – ISBN 978-80-248-4412-1. – ISBN (online) 978-80-248-4413-8, s. 245-253 [tlačená forma] </t>
  </si>
  <si>
    <t xml:space="preserve">Why do pupils from socially disadvantaged backrounds fail in technical subjects? / Pikna, Jakub [Autor, UKFFSVKSP, 50%] ; Frajštaková, Zuzana [Autor, 50%] ; CBU International Conference, 7 [20.03.2019-22.03.2019, Praha, Česko]. – [angličtina]. – [OV 060]. – [abstrakt z podujatia - KP] In: CBU International Conference Proceedings 2019 [textový dokument (print)] [elektronický dokument] : Innovations in Science and Education / Hájek, Petr [Zostavovateľ, editor] ; Vít, Ondřej [Zostavovateľ, editor]. – 1. vyd. – Roč. 7. – Praha (Česko) : CBU Research Institute, 2019. – ISBN 978-80-907722-0-5. – ISBN (online) 978-80-907722-1-2. – ISSN 1805-997X. – ISSN (online) 1805-9961, s. 578-583 [tlačená forma] [online] </t>
  </si>
  <si>
    <t xml:space="preserve">Why is education in the area of personal protective equipment important for pre-service chemistry teachers? / Feszterová, Melánia [Autor, UKFFPVKCH, 100%] ; International Technology, Education and Development Conference 2021, 15 [08.03.2021-09.03.2021, Valencia, Španielsko]. – text. – [angličtina]. – [OV 010]. – [abstrakt z podujatia - KP]. – DOI 10.21125/inted.2021.2170 In: INTED2021 [textový dokument (print)] [elektronický dokument] : 15th International Technology, Education and Development Conference : conference proceedings / Chova, Luis Goméz [Zostavovateľ, editor] ; López Martínez, Agustín [Zostavovateľ, editor] ; Candel Torres, Ignacio [Zostavovateľ, editor]. – 1. vyd. – Valencia (Španielsko) : IATED, 2021. – (INTED Proceedings, ISSN 2340-1079). – ISBN 978-84-09-27666-0. – ISSN 2340-1079, s. 10782-10790 [online] </t>
  </si>
  <si>
    <t xml:space="preserve">Word of Syllable Analysis of Preschool Children / Máčajová, Monika [Autor, UKFPFAKPE, 100%] ; Language, Literature and Culture in Education 2018 [05.09.2018-07.09.2018, Viedeň, Rakúsko]. – text. – [angličtina]. – [OV 010]. – [abstrakt z podujatia - KP] In: 5th international conference on language, literature and culture in education [textový dokument (print)] / Danek, Ján [Zostavovateľ, editor] ; Sirotová, Mariana [Zostavovateľ, editor] ; Michvocíková, Veronika [Zostavovateľ, editor] ; Petlák, Erich [Recenzent] ; Lenovský, Ladislav [Recenzent] ; Jablonský, Tomáš [Recenzent]. – 1. vyd. – Nümbrecht (Nemecko) : Kirsch-Verlag, 2019. – ISBN 978-3-943906-51-6, s. 79-100 [tlačená forma] </t>
  </si>
  <si>
    <t xml:space="preserve">Young, lonely and without purpose: life meaningfullness as a result of loneliness / Tomšik, Robert [Autor, UKFPFAKAP, 100%] ; PhD existence 2019, 9 [21.01.2019-22.01.2019, Olomouc, Česko]. – text. – [angličtina]. – [OV 060]. – [abstrakt z podujatia - KP] In: PhD existence 9 [elektronický dokument] : česko-slovenská konference (nejen) pro doktorandy a o doktorandech : „Telo a mysl“ : konferenční DVD / Maierová, Eva [Zostavovateľ, editor] ; Viktorová, Lucie [Zostavovateľ, editor] ; Dolejš, Martin [Zostavovateľ, editor]. – Olomouc (Česko) : Univerzita Palackého v Olomouci, 2019. – ISBN (online) 978-80-244-5594-5, s. 405-413 [DVD] </t>
  </si>
  <si>
    <t xml:space="preserve">Young's modulus of illite-quartz samples in the temperature interval of 25 °C - 800 °C / Trník, Anton [Autor, UKFFPVKFY, 25%] ; Štubňa, Igor [Autor, UKFFPVKFY, 25%] ; Húlan, Tomáš [Autor, UKFFPVKFY, 25%] ; Vozár, Libor [Autor, UKFFPVKFY, 25%] ; 2nd Central European Symposium on Thermophysics 2020, CEST 2020, 2 [02.09.2020-04.09.2020, Eger, Maďarsko]. – [angličtina]. – [OV 091]. – [abstrakt z podujatia - KP]. – DOI 10.1063/5.0025868. – SCO In: Proceedings of the 2nd Central European Symposium on Thermophysics [textový dokument (print)] / Trník, Anton [Zostavovateľ, editor] ; Medveď, Igor [Zostavovateľ, editor]. – 1. vyd. – College Park, Maryland (USA) : American Institute of Physics , 2020. – (AIP Conference Proceedings, ISSN 0094-243X, ISSN 1551-7616 ; Volume 2275, SJR: 0,177 ; CiteScore: 0,7 ; SNIP: 0,314). – ISBN 978-0-7354-4005-0. – ISSN 0094243X. – ISSN (online) 15517616, s. 1-10 [tlačená forma] [online] </t>
  </si>
  <si>
    <t xml:space="preserve">Z medzijazykových kontaktov v spisovnej slovenčine vo vojvodinskom prostredí medzi dvoma svetovými vojnami / Koruniak, Samuel [Autor, UKFFFASJL, 100%] ; Király Péter 100 [22.11.2017-23.11.2017, Budapešť, Maďarsko]. – text. – [slovenčina]. – [OV 020]. – [abstrakt z podujatia - KP] In: Király Péter 100 [textový dokument (print)] : tanulmánykötet Király Péter tiszteletére I. / Császári, Éva [Zostavovateľ, editor] ; Imrichová, Mária [Zostavovateľ, editor] ; Banczerowski, Janusz [Recenzent] ; Lukács, István [Recenzent]. – 1. vyd. – Budapešť (Maďarsko) : Eötvös Loránd Tudományegyetem. ELTE Bölcsészettudományi Kar. Szláv filológiai tanszék, 2019. – ISBN 978-963-489-066-9. – ISSN 1789-3976. – SIGN-PU FF-19 302/19, s. 315-325 [tlačená forma] </t>
  </si>
  <si>
    <t xml:space="preserve">Záujem o podnikanie na Slovensku = Demand for doing business in the Slovak republic / Korenková, Marcela [Autor, UKFFPVUMI, 100%] ; Region v rozvoji společnosti 2019 [10.10.2019-11.10.2019, Brno, Česko]. – text. – [slovenčina]. – [OV 060]. – [abstrakt z podujatia - KP]. – [recenzované] In: Region v rozvoji společnosti 2019 [elektronický dokument] : sborník příspěvků z mezinárodní vědecké konference, Brno, 10 - 11. října 2019 / [bez zostavovateľa] [Zostavovateľ, editor]. – 1. vyd. – Brno (Česko) : Mendelova univerzita v Brně, 2019. – ISBN 978-80-7509-709-5, s. 205-217 [online] </t>
  </si>
  <si>
    <t xml:space="preserve">Závada Pál szlovák népmesefordításai / Tóth, Anikó [Autor, UKFFSSUML, 100%] ; A mese interdiszciplináris megközelítéseicímű nemzetközi tudományos konferencia [19.05.2020, Budapest, Maďarsko]. – text. – [maďarčina]. – [OV 020]. – [abstrakt z podujatia - KP] In: Disciplina in fabula. Közelítések a meséhez [textový dokument (print)] : A mese interdiszciplináris megközelítéseicímű nemzetközi  tudományos konferencia. A konferencia időpontja: 2018. március 22. csütörtök / Lózsi, Tamás [Zostavovateľ, editor] ; Pölcz, Ádám [Zostavovateľ, editor] ; Daróczi, Gabriella [Recenzent] ; Lo Bello, Maya Jean [Recenzent]. – 1. vyd. – Budapest (Maďarsko) : ELTE Eötvös Kiadó, 2020. – ISBN 978-963-489-199-4, s. 32-40 [tlačená forma] </t>
  </si>
  <si>
    <t xml:space="preserve">Závislosť mladých ľudí od nakupovania = Young people ́s addiction to shopping / Rác, Ivan [Autor, UKFFSVURS, 100%] ; QUAERE 2018, 8 [27.06.2018-29.06.2018, Hradec Králové, Česko]. – text. – [slovenčina]. – [OV 060]. – [abstrakt z podujatia - KP]. – [recenzované] In: QUAERE 2018 [elektronický dokument] : recenzovaný sborník příspěvků vědecké interdisciplinární mezinárodní vědecké konference doktorandů a odborných asistentů / [bez zostavovateľa] [Zostavovateľ, editor]. – 1. vyd. – Roč. 8. – Hradec Králové (Česko) : Magnanimitas akademické sdružení, 2018. – ISBN 978-80-87952-26-9, s. 968-977 [CD-ROM] </t>
  </si>
  <si>
    <t xml:space="preserve">Zážitok ako stimul ku kritickému mysleniu v literárnom texte / Karasová, Lenka [Autor, UKFPFAKPE, 100%] ; Aktuální problémy pedagogiky ve výzkumech studentů doktorských studijních programů, 14 [07.11.2018-08.11.2018, Olomouc, Česko]. – text. – [slovenčina]. – [OV 010]. – [abstrakt z podujatia - KP] In: Aktuální problémy pedagogiky ve výzkumech studentů doktorských studijních programů 14 [elektronický dokument] : interkulturní perspektivy studentů doktorských programů a jejich příprava se zaměřením na mezioborovou pestrost : recenzovaný sborník příspěvků z mezinárodní vědecké konference konané ve dnech 7.-8. listopadu 2018 v Olomouci / Vyhnálková, Pavla [Zostavovateľ, editor] ; Plischke, Jitka [Zostavovateľ, editor] ; Buchtová, Tereza [Recenzent] ; Cibáková, Dana [Recenzent]. – 1. vyd. – Roč. 14. – Olomouc (Česko) : Univerzita Palackého v Olomouci, 2020. – (Sborníky). – ISBN (online) 978-80-244-5682-9. – ISBN (online) 978-80-244-5681-2, s. 75-81 [online] [CD-ROM] </t>
  </si>
  <si>
    <t xml:space="preserve">Zkušenost „šílenství” v literární tvorbě mentálně nemocných: poznámky k hodnotě a poetice literárních děl = The Subjective Experience of ‚Madness‘ in the Literary Works created by mentally Ill People: Notes about Poetics and Value of their Texts / Mikulášek, Alexej [Autor, UKFFSSUSJ, 100%] ; QUAERE 2019 : interdisciplinární mezinárodní vědecká konference doktorandů a odborných asistentů, 9 [24.06.2019-28.06.2019, Hradec Králové, Česko]. – text. – [čeština]. – [OV 020]. – [abstrakt z podujatia - KP] In: QUAERE 2019 [elektronický dokument] : recenzovaný sborník příspěvků interdisciplinární mezinárodní vědecké konference doktorandů a odborných asistentů = reviewed proceedings of the interdisciplinary scientific international conference for PhD students and assistants / [bez zostavovateľa] [Zostavovateľ, editor]. – 1. vyd. – Roč. 9. – Hradec Králové (Česko) : Magnanimitas akademické sdružení, 2019. – ISBN 978-80-87952-30-6, s. 1056-1066 [DVD] </t>
  </si>
  <si>
    <t xml:space="preserve">Zmeny vo využívaní pôdneho fondu Nitrianskeho kraja v rokoch 2004 a 2016 = Changes in utilization of Nitra region's soil fund in 2004 and 2016 / Némethová, Jana [Autor, UKFFPVKGR, 50%] ; Feszterová, Melánia [Autor, UKFFPVKCH, 50%] ; Wokoun, René [Recenzent] ; Viturka, Milan [Recenzent] ; Mezinárodní kolokvium o regionálních vědách, 21 [13.06.2018-15.06.2018, Kurdějov, Česko]. – text. – [slovenčina]. – [OV 092]. – [abstrakt z podujatia - KP]. – DOI 10.5817/CZ.MUNI.P210-8970-2018-90 In: 21. mezinárodní kolokvium o regionálních vědách [textový dokument (print)] [elektronický dokument] : sborník příspěvků, Kurdějov 13. - 15. června 2018 = Conference Proceedings / Klímová, Viktorie [Zostavovateľ, editor] ; Žítek, Vladimír [Zostavovateľ, editor]. – 1. vyd. – Brno (Česko) : Masarykova univerzita, 2018. – ISBN 978-80-210-8969-3. – ISBN (online) 978-80-210-8970-9, s. 685-692 [tlačená forma] [online] </t>
  </si>
  <si>
    <t xml:space="preserve">Zochovo Slovo za slovenčinu a oravskí prívrženci / Klabníková, Ivana [Autor, UKFFFASJL, 100%] ; Király Péter 100 [22.11.2017-23.11.2017, Budapešť, Maďarsko]. – text. – [slovenčina]. – [OV 020]. – [abstrakt z podujatia - KP] In: Király Péter 100 [textový dokument (print)] : tanulmánykötet Király Péter tiszteletére II. / Császári, Éva [Zostavovateľ, editor] ; Imrichová, Mária [Zostavovateľ, editor] ; Banczerowski, Janusz [Recenzent] ; Lukács, István [Recenzent] ; Ripka, Ivor [Recenzent] ; Součková, Marta [Recenzent] ; Szabó, Tünde [Recenzent] ; Zoltán, András [Recenzent]. – 1. vyd. – Budapešť (Maďarsko) : Eötvös Loránd Tudományegyetem. ELTE Bölcsészettudományi Kar. Szláv filológiai tanszék, 2019. – (Opera Slavica Budapestinensia : Symposia Slavica, ISSN 1789-3976). – ISBN 978-963-489-066-9. – SIGN-PU FF-19 303/19, s. 47-54 [tlačená forma] </t>
  </si>
  <si>
    <t xml:space="preserve">Zrod národnej opery v Poľsku = The Birth of National Opera in Poland / Sondorová, Dominika [Autor, UKFPFAKHU, 100%] ; QUAERE 2021, 11 [28.06.2021-30.06.2021, Hradec Králové, Česko]. – text. – [slovenčina]. – [OV 010]. – [abstrakt z podujatia - KP] In: QUAERE 2021 [elektronický dokument] : recenzovaný sborník příspěvků interdisciplinární mezinárodní vědecké konference doktorandů a odborných asistentů, Hradec Králové 28.6.2021 - 30.6.2021 / [bez zostavovateľa] [Zostavovateľ, editor]. – 1. vyd. – Roč. 11. – Hradec Králové (Česko) : Magnanimitas akademické sdružení, 2021. – ISBN 978-80-87952-34-4, s. 949-953 [online] </t>
  </si>
  <si>
    <t xml:space="preserve">Židia na Slovensku po druhej svetovej vojne / Adamická, Monika [Autor, UKFFSSUSJ, 100%] ; Mezinárodní Masarykova konference pro doktorandy a mladé vědecké pracovníky 2018, 9 [17.12.2018-21.12.2018, Hradec Králové, Česko]. – text. – [slovenčina]. – [OV 020]. – [abstrakt z podujatia - KP] In: MMK 2018 [elektronický dokument] : recenzovaný sborník příspěvků mezinárodní vědecké konference : mezinárodní Masarykova konference pro doktorandy a mladé vědecké pracovníky / [bez zostavovateľa] [Zostavovateľ, editor] ; Lipowski, Jaroslav [Recenzent] ; Jaskułowski, Krzysztof [Recenzent] ; Kislingerová, Eva [Recenzent]. – 1 vyd. – Roč. 9. – Hradec Králové (Česko) : Magnanimitas akademické sdružení, 2018. – ISBN 978-80-87952-27-6, s. 946-955 [CD-ROM] </t>
  </si>
  <si>
    <t xml:space="preserve">Židovská kultúra v Zemplínskom regióne = Jewish Culture in Zemplin Region / Hrešková, Sylvia [Autor, UKFFSSUSJ, 100%] ; Mezinárodní Masarykova konference pro doktorandy a mladé vědecké pracovníky 2019, 10 [16.12.2019-18.12.2019, Hradec Králové, Česko]. – text. – [slovenčina]. – [OV 030]. – [abstrakt z podujatia - KP] In: MMK 2019 [elektronický dokument] : recenzovaný sborník příspěvků mezinárodní vědecké konference : Mezinárodní Masarykova konference pro doktorandy a mladé vědecké pracovníky 2019 / [bez zostavovateľa] [Zostavovateľ, editor] ; Lipowski, Jaroslav [Recenzent] ; Jaskułowski, Krzysztof [Recenzent] ; Kislingerová, Eva [Recenzent]. – 1. vyd. – Hradec Králové (Česko) : Magnanimitas akademické sdružení, 2019. – ISBN 978-80-87952-31-3, s. 1188-1197 [CD-ROM] [online] </t>
  </si>
  <si>
    <t xml:space="preserve">Židovská tematika v česko-židovské perspektivě: cyklus povídek „Modche a Rezi“ / Mikulášek, Alexej [Autor, UKFFSSUSJ, 100%] ; Mezinárodní Masarykova konference pro doktorandy a mladé vědecké pracovníky 2018, 9 [17.12.2018-21.12.2018, Hradec Králové, Česko]. – text. – [slovenčina]. – [OV 020]. – [abstrakt z podujatia - KP] In: MMK 2018 [elektronický dokument] : recenzovaný sborník příspěvků mezinárodní vědecké konference : mezinárodní Masarykova konference pro doktorandy a mladé vědecké pracovníky / [bez zostavovateľa] [Zostavovateľ, editor] ; Lipowski, Jaroslav [Recenzent] ; Jaskułowski, Krzysztof [Recenzent] ; Kislingerová, Eva [Recenzent]. – 1 vyd. – Roč. 9. – Hradec Králové (Česko) : Magnanimitas akademické sdružení, 2018. – ISBN 978-80-87952-27-6, s. 916-928 [CD-ROM] </t>
  </si>
  <si>
    <t xml:space="preserve">Životná spokojnosť v kontexte edukácie / Foglová, Lucia [Autor, UKFPFAKAP, 100%] ; Sapere Aude 2018, 8 [28.05.2018-31.05.2018, Hradec Králové, Česko]. – text. – [slovenčina]. – [OV 010]. – [abstrakt z podujatia - KP]. – [recenzované] In: Sapere Aude 2018 [elektronický dokument] : učitel, žák, psycholog : recenzovaný sborník příspěvků vědecké konference s mezinárodní účastí / [bez zostavovateľa] [Zostavovateľ, editor]. – 1. vyd. – Roč. 8. – Hradec Králové (Česko) : Magnanimitas akademické sdružení, 2018. – ISBN 978-80-87952-25-2, s. 262-270 [CD-ROM] [online] </t>
  </si>
  <si>
    <t xml:space="preserve">Životné štýly a plánovanie rodičovstva - sonda do morálnych preferencií mladých ľudí v Čechách a na Slovensku / Marková, Dagmar [Autor, UKFFFAKAE 06.2022, 50%] ; Kocina, Petr [Autor, UKFFFAKAE 06.2022, 50%] ; Zouharová, Marie [Recenzent] ; Podroužek, Ladislav [Recenzent] ; Celostátní kongres k sexuální výchově v České republice, 26 [11.10.2018-12.10.2018, Pardubice, Česko]. – [slovenčina]. – [OV 020]. – [abstrakt z podujatia - KP] In: 26. celostátní kongres k sexuální výchově v České republice [textový dokument (print)] / Mitlöhner, Miroslav [Zostavovateľ, editor] ; Prouzová, Zuzana [Zostavovateľ, editor]. – 1. vyd. – Praha (Česko) : Společnost pro plánování rodiny a sexuální výchovu, 2018. – ISBN 978-80-905696-8-3, s. 48-55 [tlačená forma] </t>
  </si>
  <si>
    <t>AFD - Publikované príspevky na domácich vedeckých konferenciách</t>
  </si>
  <si>
    <t xml:space="preserve">"Najvznešenejšia súčiastka sociálnej starostlivosti" - sonda do sociálnej starostlivosti o dieťa v Slovenskom štáte / Rigová, Viktória [Autor, UKFFFAKHI, 100%] ; In Pluribus Unitas : Jednota v mnohosti, 9 [07.12.2020-08.12.2020, Prešov, Slovensko]. – text. – [slovenčina]. – [OV 030]. – [abstrakt z podujatia - KP] In: In Pluribus Unitas 9 [textový dokument (print)] : jednota v mnohosti = unity in diversity / Kardis, Mária [Zostavovateľ, editor] ; Tlučková, Dominika [Zostavovateľ, editor] ; Bak, Tadeusz [Recenzent] ; Borza, Peter [Recenzent]. – 1. vyd. – Prešov (Slovensko) : Prešovská univerzita v Prešove. Gréckokatolícka teologická fakulta, 2021. – ISBN 978-80-555-2702-4. – SIGN-PU GTF-21 50/21, s. 97-111 [tlačená forma] </t>
  </si>
  <si>
    <t xml:space="preserve">(Anti)speciecizmus ako politická otázka budúcnosti? / Fačkovec, Henrich [Autor, UKFFFAKPO, 100%] ; 2020: Začiatok dekády zmien?, 9 [04.12.2020, Košice, Slovensko]. – text. – [slovenčina]. – [OV 060]. – [abstrakt z podujatia - KP] In: 2020: Začiatok dekády zmien? [elektronický dokument] : Zborník príspevkov z 9. ročníka Medzinárodnej online vedeckej konferencie študentov a mladých vedeckých pracovníkov  organizovanej  4. decembra 2020 Katedrou politológie Filozofickej fakulty Univerzity Pavla Jozefa Šafárika v Košiciach / Duffeková, Katarína [Zostavovateľ, editor] ; Feketeová, Benita [Zostavovateľ, editor] ; Lörincová, Katarína [Zostavovateľ, editor] ; Tökölyová, Tatiana [Recenzent] ; Eštok, Gabriel [Recenzent]. – 1. vyd. – Košice (Slovensko) : Univerzita Pavla Jozefa Šafárika v Košiciach, 2021. – (Acta Facultatis Philosophicae Universitatis Šafarikianae ; Politologický zborník študentov a mladých vedeckých pracovníkov 8). – ISBN 978-80-574-0015-8. – sign UPJS FSEP 011766, s. 168-179 [online] </t>
  </si>
  <si>
    <t xml:space="preserve">(Ne)čítanie literatúry ako symptóm moderného žiaka / Vytykačová, Lucia [Autor, UKFFFAKSJ, 100%] ; Akcenty literatúry pre deti a mládež [23.10.2020, Nitra, Slovensko]. – text. – [slovenčina]. – [OV 020]. – [abstrakt z podujatia - KP] In: Akcenty literatúry pre deti a mládež [textový dokument (print)] : trendy, problémy, interpretácie. Zborník z medzinárodnej konferencie formou videokonferencie, ktorá sa konala v Nitre 23.10.2020 / Hrašková, Mariana [Zostavovateľ, editor] ; Kaizerová, Petra [Zostavovateľ, editor] ; Nemcová, Jana [Recenzent] ; Naščák, Peter [Recenzent]. – 1. vyd. – Nitra (Slovensko) : Univerzita Konštantína Filozofa v Nitre, 2021. – ISBN 978-80-558-1699-9, s. 93-100 [tlačená forma] </t>
  </si>
  <si>
    <t xml:space="preserve">“Higher Ones” of Keszthely: A story behind / Godiš, Jakub [Autor, UKFFFAKAR, 70%] ; Styk, Matej [Autor, UKFFFAKAR, 30%] ; Dedicated to the 25 th  anniversary of the re-established Trnava University in Trnavaand the 20 th  anniversary of Department of Classical Archaeology [06.10.2017-08.10.2017, Trnava, Slovensko]. – [angličtina]. – [OV 030]. – [abstrakt z podujatia - KP] In: Anodos (13/2013. Ancient communities and their elites from the bronze age to late antiquity : Central Europe - Mediterranean - Black Sea : Part I) [textový dokument (print)] : Studies of the Ancient World = proceedings of the international conference / Novotná, Mária [Zostavovateľ, editor] ; Jobst, Werner [Zostavovateľ, editor] ; Kuzmová, Klára [Zostavovateľ, editor] ; Varsik, Vladimír [Zostavovateľ, editor] ; Hrnčiarik, Erik [Zostavovateľ, editor] ; Bartík, J. [Recenzent] ; Benediková, L. [Recenzent]. – 1. vyd. – Trnava (Slovensko) : Trnavská univerzita v Trnave, 2019. – ISSN 1338-5410. – TUT ID E077154, s. 215-236 [tlačená forma] </t>
  </si>
  <si>
    <t xml:space="preserve">„A kétnyelvűség komplikációi“ : Mila Haugová Zrkadlo dovnútra (Belső tűkör) c. önéletrajzáról / Petres Csizmadia, Gabriela [Autor, UKFFSSUML, 100%] ; Szirák, Péter [Recenzent] ; Balázs, Imre József [Recenzent] ; Transzkulturalizmus és bilingvizmus az irodalomban, 1 [06.11.2017-07.11.2017, Nitra, Slovensko]. – text. – [angličtina]. – [OV 020]. – [abstrakt z podujatia - KP] In: Transzkulturalizmus és bilingvizmus az irodalomban [textový dokument (print)] / Németh, Zoltán [Zostavovateľ, editor] ; Roguska, Magdaléna [Zostavovateľ, editor]. – 1. vyd. – Nitra (Slovensko) : Univerzita Konštantína Filozofa v Nitre. Fakulta stredoeurópskych štúdií, 2018. – (Europica varietas ; 120). – ISBN 978-80-558-1295-3, s. 127-138 [tlačená forma] </t>
  </si>
  <si>
    <t xml:space="preserve">„Hijábo beszíll így vagy úgy az embër, akkor is csak a magájjét mongya“ : Száz Pál Fűje sarjad mezőknek című műve nyelvhasználatáról / Petres Csizmadia, Gabriela [Autor, UKFFSSUML, 100%] ; Vančo, Ildikó [Recenzent] ; Sánta, Szilárd [Recenzent] ; Transzkulturalizmus és bilingvizmus az irodalomban, 1 [06.11.2017-07.11.2017, Nitra, Slovensko]. – text. – [maďarčina]. – [OV 020]. – [abstrakt z podujatia - KP] In: Transzkulturalizmus és bilingvizmus a közép-európai irodalmakban [textový dokument (print)] / Németh, Zoltán [Zostavovateľ, editor] ; Roguska, Magdaléna [Zostavovateľ, editor]. – 1. vyd. – Nitra (Slovensko) : Univerzita Konštantína Filozofa v Nitre, 2018. – ISBN 978-80-558-1338-7, s. 85-94 [tlačená forma] </t>
  </si>
  <si>
    <t xml:space="preserve">3D Printed Face Shield as a Help for Nursing Homes during COVID-19 Pandemic / Klimo, Mikuláš [Autor, 20%] ; Kvaššayová, Nika [Autor, UKFFPVKIN, 20%] ; Kvaššay, Miroslav [Autor, ZUZRIAKIN, 20%] ; Mansell, Marek [Autor, 20%] ; Kleinová, Bibiána [Autor, UKFFPVKIN, 20%] ; Information and digital technologies 2021 [22.06.2021-24.06.2021, Žilina, Slovensko]. – text. – [angličtina]. – [OV 160]. – [abstrakt z podujatia - KP]. – [recenzované]. – DOI 10.1109/IDT52577.2021.9497533. – SCO In: Information and digital technologies 2021 [elektronický dokument] : proceedings of the international conference / [bez zostavovateľa] [Zostavovateľ, editor]. – 1. vyd. – Danvers (USA) : Institute of Electrical and Electronics Engineers, 2021. – ISBN 978-1-6654-3692-2, s. 353-358 </t>
  </si>
  <si>
    <t xml:space="preserve">60 rokov technického vzdelávania na Pedagogickej fakulte Univerzity Konštantína Filozofa v Nitre / Depešová, Jana [Autor, UKFPFAKTT, 100%] ; Súčasnosť a perspektíva doktorandského štúdia [11.10.2019, Nitra, Slovensko]. – text. – [slovenčina]. – [OV 010]. – [abstrakt z podujatia - KP] In: Reflexia absolventov doktorandského štúdia [elektronický dokument] : zborník príspevkov z medzinárodnej vedeckej konferencie doktorandov / Tomková, Viera [Zostavovateľ, editor] ; Kozík, Tomáš [Recenzent] ; Hašková, Alena [Recenzent]. – 1. vyd. – Nitra (Slovensko) : Univerzita Konštantína Filozofa v Nitre. Pedagogická fakulta UKF, 2020. – ISBN (online) 978-80-558-1554-1, s. 13-20 [CD-ROM] </t>
  </si>
  <si>
    <t xml:space="preserve">A "falu" névrész és változatai Nógrád megye településneveinek és családneveinek körében / Angyal, Ladislav [Autor, UKFFSSUML, 100%] ; A nyelvföldrajztól a névföldrajzig : nevek a nyelvpolitikai küzdőtérben, 10 [08.06.2019, Komárno, Slovensko]. – text. – [maďarčina]. – [OV 020]. – [abstrakt z podujatia - KP] In: A nyelvföldrajztól a névföldrajzig (10) [textový dokument (print)] : nevek a nyelvpolitikai küzdőtérben / Vörös, Ferenc [Zostavovateľ, editor] ; Barics, Ernő [Recenzent] ; Benő, Attila [Recenzent]. – 1. vyd. – Szombathely (Maďarsko) : Savaria University Press, 2019. – ISBN 978-615-5753-44-2, s. 58-72 [tlačená forma] </t>
  </si>
  <si>
    <t xml:space="preserve">A nomen est omen jelenség Francine Rivers regényében / Hrbáček, Magdaléna [Autor, UKFFSSUSJ, 100%] ; Židovský kultúrny fenomén vstredoeurópskom kontexte, 3 [11.04.2019, Sereď, Slovensko]. – text. – [maďarčina]. – [OV 010]. – [abstrakt z podujatia - KP] In: Židovský kultúrny fenomén v stredoeurópskom kontexte 3 [textový dokument (print)] : zborník z 3. ročníka medzinárodnej vedeckej konferencie, Sereď 11. apríla 2019 / Hrbáček, Magdaléna [Zostavovateľ, editor] ; Bolemant, Lilla [Recenzent] ; Mizerová, Božena [Recenzent]. – 1. vyd. – Nitra (Slovensko) : Univerzita Konštantína Filozofa v Nitre, 2019. – ISBN 978-80-973283-0-6, s. 203-215 [tlačená forma] </t>
  </si>
  <si>
    <t xml:space="preserve">Absolutizácia pravdy v politických ideológiách. Kritéria pravdivosti vo vzťahu k mysleniu a konaniu = Absolutisation of Truth in Political Ideologies. Criteria of Truth in Relation to Thinking and Action / Jašek, Miroslav [Autor, UKFFFAKFI, 100%] ; Javorská, Andrea [Recenzent] ; Jesenková, Adriana [Recenzent] ; Pravda. Teoretické a praktické kontexty [18.10.2017-20.10.2017, Smolenice, Slovensko]. – [slovenčina]. – [OV 020]. – [abstrakt z podujatia - KP] In: Pravda. Teoretické a praktické kontexty [textový dokument (print)] : zborník vedeckých príspevkov / Gáliková Tolnaiová, Sabína [Zostavovateľ, editor] ; Marchevský, Ondrej [Zostavovateľ, editor] ; Špirko, Dušan [Zostavovateľ, editor]. – 1. vyd. – Bratislava (Slovensko) : Slovenská akadémia vied. Pracoviská SAV. Slovenské filozofické združenie ; Prešov (Slovensko) : Prešovská univerzita v Prešove. Filozofická fakulta, 2018. – ISBN 978-80-973092-0-6. – SIGN-PU FF 93/18, s. 188-192 [tlačená forma] </t>
  </si>
  <si>
    <t xml:space="preserve">Absorption and Emission Spectroscopy of Cr3+ in ruby (Corundum) / Malíčková, Iveta [Autor, UKOPRGMP, 25%] ; Bačík, Peter [Autor, UKOPRGMP, 25%] ; Fridrichová, Jana [Autor, UKOPRGMP, 25%] ; Škoda, Radek [Autor, 10%] ; Štubňa, Ján [Autor, UKFFPVGMU, 5%] ; Illášová, Ľudmila [Autor, UKFFPVGMU, 10%] ; Mineralogicko-petrologická konferencia Petros 2019 [29.05.2019-30.05.2019, Bratislava, Slovensko]. – text. – [angličtina]. – [OV 092]. – [abstrakt z podujatia - KP]. – SIGN-UKO PR 443/19 In: Mineralogicko-petrologická konferencia Petros 2019 [textový dokument (print)] : zborník recenzovaných abstraktov a príspevkov / Ondrejka, Martin [Zostavovateľ, editor] ; Fridrichová, Jana [Zostavovateľ, editor] ; Bačík, Peter [Recenzent] ; Broska, Igor [Recenzent] ; Dyda, Marian [Recenzent] ; Fridrichová, Jana [Recenzent] ; Huraiová, Monika [Recenzent] ; Koděra, Peter [Recenzent] ; Ondrejka, Martin [Recenzent] ; Putiš, Marián [Recenzent] ; Spišiak, Ján [Recenzent] ; Uher, Pavel [Recenzent] ; Vozárová, Anna [Recenzent]. – 1. vyd. – Bratislava (Slovensko) : Univerzita Komenského v Bratislave, 2019. – ISBN 978-80-223-4713-6, s. 36-39 [tlačená forma] </t>
  </si>
  <si>
    <t xml:space="preserve">Acoustic Emission of Estonian Clay Arumetsa During Firing / Húlan, Tomáš [Autor, UKFFPVKFY, 14.29%] ; Štubňa, Igor [Autor, UKFFPVKFY, 14.285%] ; Kaljuvee, Tiit [Autor, 14.285%] ; Csáki, Štefan [Autor, UKFFPVKFY, 14.285%] ; Knapek, Michal [Autor, 14.285%] ; Dobroň, Patrik [Autor, 14.285%] ; Chmelík, František [Autor, 14.285%] ; Thermophysics 2018, 23 [07.11.2018-09.11.2018, Smolenice, Slovensko]. – text. – [angličtina]. – [OV 091]. – [abstrakt z podujatia - KP]. – [recenzované]. – DOI 10.1063/1.5047610. – WOS CC ; SCO In: Thermophysics 2018 [elektronický dokument] : proceedings : 23rd International Meeting of Thermophysics / Trník, Anton [Zostavovateľ, editor] ; Matiašovský, Peter [Zostavovateľ, editor] ; Medveď, Igor [Zostavovateľ, editor]. – 1 vyd. – Melwille (USA) : American Institute of Physics . AIP Publishing, 2018. – (AIP Conference Proceedings, ISSN 0094-243X, ISSN 1551-7616 ; Volume 1988, SJR: 0,182 ; CiteScore: 0,5 ; SNIP: 0,377). – ISBN 978-0-7354-1704-5, s. 1-9 [online] </t>
  </si>
  <si>
    <t xml:space="preserve">Adaptation of the Learning Process using the Internet of Things / Balogh, Zoltán [Autor, UKFFPVKIN, 100%] ; DIVAI 2020, 13 [21.09.2020-23.09.2020, Štúrovo, Slovensko]. – text. – [angličtina]. – [OV 160]. – [abstrakt z podujatia - KP]. – WOS CC In: DIVAI 2020 [textový dokument (print)] [elektronický dokument] : 13th International Scientific Conference on Distance Learning in Applied Informatics, Štúrovo September 21-23, 2020 / Turčáni, Milan [Zostavovateľ, editor] ; Balogh, Zoltán [Zostavovateľ, editor] ; Munk, Michal [Zostavovateľ, editor] ; Magdin, Martin [Zostavovateľ, editor] ; Benko, Ľubomír [Zostavovateľ, editor]. – 1. vyd. – Roč. 13. – Praha (Česko) : Wolters Kluwer. Wolters Kluwer ČR, 2020. – ISBN 978-80-7598-841-6. – ISSN 2464-7470. – ISSN (online) 2464-7489, s. 23-35 [tlačená forma] [online] </t>
  </si>
  <si>
    <t xml:space="preserve">Adaptation to Information Technology and the Risks of Excessive Use of Smartphone / Šarvajcová, Marcela [Autor, UKFFFAKSO, 100%] ; Megatrendy a médiá 2021 [21.04.2021, Trnava, Slovensko]. – text. – [angličtina]. – [OV 060]. – [abstrakt z podujatia - KP] In: Megatrends and Media: Home Officetainment [textový dokument (print)] [elektronický dokument] : Conference Proceedings from the International Scientific Conference “Megatrends and Media: Home Officetainment”, 21st April 2021 / Prostináková Hossová, Monika [Zostavovateľ, editor] ; Radošinská, Jana [Zostavovateľ, editor] ; Solík, Martin [Zostavovateľ, editor]. – 1. vyd. – Trnava (Slovensko) : Univerzita sv. Cyrila a Metoda v Trnave. Fakulta masmediálnej komunikácie, 2021. – ISBN 978-80-572-0183-0. – ISSN 2729-7403, s. 599-606 [tlačená forma] [online] </t>
  </si>
  <si>
    <t xml:space="preserve">Afektívne a kognitívne premenné v procese osvojovania si cudzieho jazyka žiakmi a v didaktickej kompetencii učiteľa cudzieho jazyka / Stančeková, Svetlana [Autor, UKFFFAKRO, 100%] ; Štefančík, Radoslav [Recenzent] ; Kvapil, Roman [Recenzent] ; Cudzie jazyky v premenách času, 8 [10.11.2017, Bratislava, Slovensko]. – text. – [angličtina]. – [OV 020]. – [abstrakt z podujatia - KP] In: Cudzie jazyky v premenách času 8 [elektronický dokument] : recenzovaný zborník príspevkov z medzinárodnej vedeckej konferencie, Bratislava 10. november 2017 / Kvapil, Roman [Zostavovateľ, editor]. – 1. vyd. – Roč. 8. – Bratislava (Slovensko) : Ekonomická univerzita v Bratislave. Celouniverzitné pracovisko EUBA. Vydavateľstvo EKONÓM, 2018. – ISBN 978-80-225-4492-4, s. 425-437 [CD-ROM] </t>
  </si>
  <si>
    <t xml:space="preserve">Agility - the key ability for industry 4.0 = Agilita - kľúčová schopnosť pre priemysel 4.0 / Silberg, Slavka [Autor, UKFPFAKPE, 100%] ; Vplyv industry 4.0 na tvorbu pracovných miest 2020 [12.11.2020, Trenčín, Slovensko]. – text. – [angličtina]. – [OV 010]. – [abstrakt z podujatia - KP] In: Vplyv industry 4.0 na tvorbu pracovných miest 2020 [elektronický dokument] : zborník vedeckých príspevkov z medzinárodnej vedeckej konferencie / Kordoš, Marcel [Zostavovateľ, editor] ; Holomek, Jaroslav [Recenzent] ; Grenčíková, Adriana [Recenzent] ; Habánik, Jozef [Recenzent] ; Karbach, Rolf [Recenzent] ; Navickas, Valentinas [Recenzent] ; Rievajová, Eva [Recenzent] ; Sika, Peter [Recenzent] ; Siniak, Nikola [Recenzent] ; Šafránková, Jana Marie [Recenzent] ; Vojtovič, Sergej [Recenzent]. – 1. vyd. – Trenčín (Slovensko) : Trenčianska univerzita Alexandra Dubčeka v Trenčíne. Fakulta sociálno-ekonomických vzťahov, 2021. – ISBN (online) 978-80-8075-940-7. – TUAD PC018221, s. 419-428 [online] </t>
  </si>
  <si>
    <t xml:space="preserve">Air Quality Dynamics in the Residential Area Neighboring the Zobor Hill Forest in Nitra City, Slovakia (Case Study) / Pucherová, Zuzana [Autor, UKFFPVKEE, 55%] ; Tirpáková, Anna [Autor, UKFFPVKMA, 35%] ; Markechová, Dagmar [Autor, UKFFPVKMA, 10%] ; Geografické aspekty stredoeurópskeho priestoru, 26 [10.10.2018-11.10.2018, Nitra, Slovensko]. – text. – [angličtina]. – [OV 100, 240]. – [článok z podujatia]. – [recenzované]. – WOS CC In: Geografické informácie [textový dokument (print)] [elektronický dokument] . – Nitra (Slovensko) : Univerzita Konštantína Filozofa v Nitre. – ISSN 1337-9453. – Roč. 22, č. 2 (2018), s. 232-246 [tlačená forma] [online] </t>
  </si>
  <si>
    <t xml:space="preserve">Ako prekladá stroj frazeologizmy? / Glovňa, Juraj [Autor, UKFFFASJL, 100%] ; Komunikácia v odborných reflexiách, 10 [12.09.2018-13.09.2018, Banská Bystrica, Slovensko]. – text. – [slovenčina]. – [OV 020]. – [abstrakt z podujatia - KP] In: Komunikácia v odborných reflexiách [textový dokument (print)] : zborník príspevkov z 10. medzinárodnej vedeckej konferencie, Banská Bystrica, 12. - 13. 9. 2018 / Klincková, Janka [Zostavovateľ, editor] ; Michalewski, Kazimierz [Recenzent] ; Stolac, Diana [Recenzent] ; Patráš, Vladimír [Recenzent]. – 1 vyd. – Banská Bystrica (Slovensko) : Univerzita Mateja Bela v Banskej Bystrici. Vydavateľstvo Univerzity Mateja Bela v Banskej Bystrici - Belianum, 2019. – ISBN 978-80-557-1573-5, s. 346-358 [tlačená forma] </t>
  </si>
  <si>
    <t xml:space="preserve">Ako Slováci interpretujú škodoradosť / Rendárová, Mária [Autor, UKFFFAKSJ, 100%] ; Kolokvium mladých jazykovedcov, 26 [06.09.2017-08.09.2017, Prešov, Slovensko]. – text. – [slovenčina]. – [OV 020]. – [abstrakt z podujatia - KP] In: Varia 26 [elektronický dokument] : zborník príspevkov z XXVI. kolokvia mladých jazykovedcov / Bodnárová, Martina [Zostavovateľ, editor] ; Klingová, Jana [Zostavovateľ, editor] ; Rešovská, Soňa [Zostavovateľ, editor] ; Ološtiak, Martin [Recenzent] ; Slančová, Daniela [Recenzent]. – 1. vyd. – Prešov (Slovensko) : Prešovská univerzita v Prešove, 2021. – ISBN (online) 978-80-555-2736-9. – SIGN-PU FF-21 99/21, s. 98-107 [online] </t>
  </si>
  <si>
    <t xml:space="preserve">Ako zefektívniť výber talentov v športe / Šimonek, Jaromír [Autor, UKFPFAKTV, 50%] ; Židek, Radoslav [Autor, SPUFBP05, 50%] ; Sport science in motion [05.09.2019-07.09.2019, Komárno, Slovensko]. – text. – [slovenčina, angličtina]. – [OV 210, 120]. – [abstrakt z podujatia - KP] In: Sport science in motion [elektronický dokument] : proceedings from the scientific conference, Komárno, September 5th – 7th, 2019 = zborník vedeckých a odborných prác z vedeckej konferencie = válogatott tanulmánykötet – válogatott tanulmányok a tudományos konferenciáról / Šimonek, Jaromír [Zostavovateľ, editor] ; Dobay, Beáta [Zostavovateľ, editor] ; Chovanová, Erika [Recenzent] ; Vojtaško, Ľuboš [Recenzent] ; Holienka, Miroslav [Recenzent]. – 1. vyd. – Komárno (Slovensko) : Univerzita J. Selyeho, 2019. – ISBN 978-80-8122-304-4, s. 212-236 [CD-ROM] </t>
  </si>
  <si>
    <t xml:space="preserve">Aktivity MAS Bystrická dolina pre rozvoj mikroregiónu = Activities of the LAG Bystrická dolina for the development of the microregion / Jakubcová, Nina [Autor, UKFFPVKGR, 100%] ; Študentská vedecká konferencia 2021 [14.04.2021, Nitra, Banská Bystrica, Slovensko]. – text, obr. – [slovenčina]. – [OV 092]. – [abstrakt z podujatia - KP] In: Študentská vedecká konferencia 2021 Fakulty prírodných vied Univerzity Konštantína Filozofa v Nitre a Fakulty prírodných vied Univerzity Mateja Bela v Banskej Bystrici [textový dokument (print)] : zborník recenzovaných príspevkov / Francisti, Jan [Zostavovateľ, editor] ; Fodor, Kristián [Zostavovateľ, editor]. – 1. vyd. – Nitra (Slovensko) : Univerzita Konštantína Filozofa v Nitre ; Banská Bystrica (Slovensko) : Univerzita Mateja Bela v Banskej Bystrici, 2021. – (Prírodovedec ; 756). – ISBN 978-80-558-1712-5, s. 110-117 [tlačená forma] </t>
  </si>
  <si>
    <t xml:space="preserve">Aktivity s BBC micro:bit podporujúce kolaboratívnu prácu žiakov ZŠ / Cápay, Martin [Autor, UKFFPVKIN, 50%] ; Bellayová, Magdaléna [Autor, 50%] ; DidInfo 2019, 25 [03.04.2019-05.04.2019, Banská Bystrica, Slovensko]. – text. – [slovenčina]. – [OV 160]. – [abstrakt z podujatia - KP] In: Didinfo 2019 [elektronický dokument] : medzinárodná konferencia o vyučovaní informatiky : 25. ročník konferencie / Horváthová, Dana [Zostavovateľ, editor] ; Michaliková, Alžbeta [Zostavovateľ, editor] ; Škrinárová, Jarmila [Zostavovateľ, editor] ; Voštinár, Patrik [Zostavovateľ, editor] ; Andrejková, Gabriela [Recenzent] ; Berki, Jan [Recenzent] ; Brodenec, Ivan [Recenzent] ; Cápay, Martin [Recenzent] ; Dudáš, Adam [Recenzent] ; Horváthová, Dana [Recenzent] ; Hudec, Milan [Recenzent] ; Karabáš, Ján [Recenzent] ; Melicherčík, Miroslav [Recenzent] ; Michaliková, Alžbeta [Recenzent] ; Škrinárová, Jarmila [Recenzent] ; Trajteľ, Ľudovít [Recenzent] ; Voštinár, Patrik [Recenzent]. – 1. vyd. – Banská Bystrica (Slovensko) : Univerzita Mateja Bela v Banskej Bystrici, 2019. – ISBN (online) 978-80-557-1533-9. – ISSN (online) 2454-051X, s. 47-51 [online] </t>
  </si>
  <si>
    <t xml:space="preserve">Aktuálne problémy didaktiky Občianskej náuky / Predanocyová, Ľubica [Autor, UKFFFAKFI, 50%] ; Jonášková, Gabriela [Autor, UKFFFAKFI, 50%] ; Inovatívne trendy v odborových didaktikách [21.11.2018, Nitra, Slovensko]. – text. – [slovenčina]. – [OV 010]. – [abstrakt z podujatia - KP] In: Inovatívne trendy v odborových didaktikách [textový dokument (print)] : prepojenie teórie a praxe výučbových stratégií kritického a tvorivého myslenia : zborník štúdií z medzinárodnej vedeckej konferencie, Nitra 21. november 2018 / Duchovičová, Jana [Zostavovateľ, editor] ; Hošová, Dominika [Zostavovateľ, editor] ; Koleňáková, Rebeka Štefánia [Zostavovateľ, editor] ; Bílek, Martin [Recenzent] ; Komora, Juraj [Recenzent]. – 1. vyd. – Nitra (Slovensko) : Univerzita Konštantína Filozofa v Nitre, 2019. – ISBN 978-80-558-1408-7, s. 350-356 [tlačená forma] </t>
  </si>
  <si>
    <t xml:space="preserve">Aktuálne problémy sociálnych pracovníkov v riešení problematiky patologického hráčstva / Jašeková, Nina [Autor, UKFFSVKSP, 100%] ; Labor socialis - "Sociálna práca- profesia s perspektívou, profesia s poslaním" [20.09.2018, Nitra, Slovensko]. – text. – [slovenčina]. – [OV 060]. – [abstrakt z podujatia - KP] In: Labor socialis - "Sociálna práca- profesia s perspektívou, profesia s poslaním" [elektronický dokument] : recenzovaný zborník príspevkov z vedeckej konferencie s medzinárodnou účasťou, ktorá sa uskutočnila na Univerzite Konštantína Filozofa v Nitre dňa 20. septembra 2018 / Gažiková, Elena [Zostavovateľ, editor] ; Horáková, Magdaléna [Zostavovateľ, editor] ; Gabura, Ján [Recenzent] ; Mojtová, Martina [Recenzent]. – 1. vyd. – Nitra (Slovensko) : Univerzita Konštantína Filozofa v Nitre, 2018. – ISBN 978-80-558-1367-7, s. 25-30 [CD-ROM] </t>
  </si>
  <si>
    <t xml:space="preserve">Aktuálne trendy v religiozite mládeže / Štefaňak, Ondrej [Autor, UKFFFAKSO, 100%] ; Aktuálne trendy v religiozite na Slovensku [13.12.2018, Nitra, Slovensko]. – text. – [slovenčina]. – [OV 020]. – [abstrakt z podujatia - KP] In: Aktuálne trendy v religiozite na Slovensku [textový dokument (print)] : zborník príspevkov z vedeckého seminára, Ružomberok 13.12.2018 / Kondrla, Peter [Zostavovateľ, editor] ; Ďurková, Eva [Zostavovateľ, editor] ; Judák, Viliam [Recenzent] ; Šuráb, Marian [Recenzent]. – 1. vyd. – Nitra (Slovensko) : Univerzita Konštantína Filozofa v Nitre, 2019. – ISBN 978-80-558-1426-1, s. 73-87 [tlačená forma] </t>
  </si>
  <si>
    <t xml:space="preserve">Aktuálne výzvy v psychológii = Current challenges in psychology / Šefarová, Iveta [Autor, UCMFIFKPSY, 90%] ; Šlepecký, Miloš [Autor, UKFFSVKPV, 9%] ; Klimová, Eva [Autor, 1%] ; Psychologické dni 2019, 37 [21.10.2019-22.10.2019, Bratislava, Slovensko]. – [slovenčina]. – [OV 020]. – [abstrakt z podujatia - KP] In: Čo nás (ešte) čaká a neminie? [elektronický dokument] : výzvy pre psychológiu v detstve, dospelosti, starobe / Bratská, Mária [Zostavovateľ, editor] ; Blaho, Radoslav [Zostavovateľ, editor] ; Ruisel, Imrich [Recenzent] ; Salbot, Vladimír [Recenzent]. – 1. vyd. – Bratislava (Slovensko) : Univerzita Komenského v Bratislave. Filozofická fakulta UK. Stimul, 2019. – ISBN 978-80-8127-254-7, s. 7-15 [CD-ROM] </t>
  </si>
  <si>
    <t xml:space="preserve">Aktuálny vývoj a trendy triedeného zberu komunálnych odpadov na slovensku s porovnaním s Európskou úniou / Záhorský, Maroš [Autor, 34%] ; Straňák, Štefan [Autor, 33%] ; Straňák, Jozef [Autor, UKFFPVKEE, 33%] ; Študentská vedecká konferencia 2019, 3 [09.04.2019, Banská Bystrica, Slovensko]. – text. – [slovenčina]. – [OV 100]. – [abstrakt z podujatia - KP] In: Študentská vedecká konferencia 2019 [elektronický dokument] : zborník recenzovaných príspevkov, Banská Bystrica 9. apríla 2019 / Francisti, Jan [Zostavovateľ, editor] ; Zverková, Katarína [Zostavovateľ, editor] ; Omelka, Radoslav [Zostavovateľ, editor]. – 1. vyd. – Nitra (Slovensko) : Univerzita Konštantína Filozofa v Nitre ; Banská Bystrica (Slovensko) : Univerzita Mateja Bela v Banskej Bystrici, 2019. – ISBN 978-80-558-1433-9, s. 87-93 [online] </t>
  </si>
  <si>
    <t xml:space="preserve">Albrechtic - A Modern Didactic Tool for Teaching Music Theory / Vozár, Martin [Autor, UKFFPVKIN, 50%] ; Čierna, Alena [Autor, UKFPFAKHU, 40%] ; Brezina, Pavol [Autor, UKFPFAKHU, 10%] ; DIVAI 2020, 13 [21.09.2020-23.09.2020, Štúrovo, Slovensko]. – text. – [angličtina]. – [OV 020]. – [abstrakt z podujatia - KP]. – WOS CC In: DIVAI 2020 [textový dokument (print)] [elektronický dokument] : 13th International Scientific Conference on Distance Learning in Applied Informatics, Štúrovo September 21-23, 2020 / Turčáni, Milan [Zostavovateľ, editor] ; Balogh, Zoltán [Zostavovateľ, editor] ; Munk, Michal [Zostavovateľ, editor] ; Magdin, Martin [Zostavovateľ, editor] ; Benko, Ľubomír [Zostavovateľ, editor]. – 1. vyd. – Roč. 13. – Praha (Česko) : Wolters Kluwer. Wolters Kluwer ČR, 2020. – ISBN 978-80-7598-841-6. – ISSN 2464-7470. – ISSN (online) 2464-7489, s. 245-250 [tlačená forma] [online] </t>
  </si>
  <si>
    <t xml:space="preserve">Alexander Dubček ako ústredná postava augusta 1968 v hranej filmovej a televíznej tvorbe / Timko, Štefan [Autor, UKFFSSUSJ, 100%] ; Literatúra a jej filmová podoba v stredoeurópskom kontexte [15.10.2019, Nitra, Slovensko]. – text. – [slovenčina]. – [OV 020]. – [abstrakt z podujatia - KP] In: Literatúra a jej filmová podoba v stredoeurópskom kontexte [textový dokument (print)] : zborník štúdií z medzinárodnej vedeckej konferencie, konanej 15. októbra 2019 na FSŠ UKF v Nitre / Timko, Štefan [Zostavovateľ, editor] ; Pokorný, Milan [Recenzent] ; Zelenka, Miloš [Recenzent]. – 1. vyd. – Nitra (Slovensko) : Univerzita Konštantína Filozofa v Nitre, 2020. – ISBN 978-80-558-1570-1, s. 113-123 [tlačená forma] </t>
  </si>
  <si>
    <t xml:space="preserve">Allusions and Pastiche in Terry Pratchett's Work / Ondrušeková, Judita [Autor, UKFFFAKAA, 100%] ; 1st Nitra Postgraduate Conference in English Studies [24.10.2019, Nitra, Slovensko]. – text. – [angličtina]. – [OV 020]. – [abstrakt z podujatia - KP] In: 1st Nitra Postgraduate Conference in English Studies: Trends and Perspectives [textový dokument (print)] : conference proceedings / Ondrušeková, Judita [Zostavovateľ, editor] ; Gadušová, Zdenka [Recenzent] ; Miššíková, Gabriela [Recenzent]. – 1. vyd. – Praha (Česko) : Verbum, 2020. – ISBN 978-80-87800-65-2, s. 99-105 [tlačená forma] </t>
  </si>
  <si>
    <t xml:space="preserve">Americký hrdina v začiatkoch americkej filmovej tvorby na pozadí sociokultúrneho fenoménu "americký sen" / Burcl, Pavol [Autor, UKFFFAJZC, 100%] ; Šajgalíková, Helena [Recenzent] ; Spišiaková, Mária [Recenzent] ; Cudzie jazyky v premenách času, 8 [10.11.2017, Bratislava, Slovensko]. – text. – [slovenčina]. – [OV 010]. – [abstrakt z podujatia - KP] In: Cudzie jazyky v premenách času 8 [elektronický dokument] : recenzovaný zborník príspevkov z medzinárodnej vedeckej konferencie, Bratislava 10. november 2017 / Kvapil, Roman [Zostavovateľ, editor]. – 1. vyd. – Roč. 8. – Bratislava (Slovensko) : Ekonomická univerzita v Bratislave. Celouniverzitné pracovisko EUBA. Vydavateľstvo EKONÓM, 2018. – ISBN 978-80-225-4492-4, s. 481-492 [CD-ROM] </t>
  </si>
  <si>
    <t xml:space="preserve">Analysis of biophysical knowledge of medical and urgent health care students at the beginning of their studies / Balázsiová, Zuzana [Autor, UKOLFULFB, 80%] ; Mankovecká, Monika [Autor, UKFFSVKUM, 20%] ; DIDFYZ 2019, 21 [09.10.2019-12.10.2019, Terchová, Slovensko]. – text, graf. – [angličtina]. – [OV 091, 180]. – [abstrakt z podujatia - KP]. – DOI 10.1063/1.5124745. – SIGN-UKO LF ULFB/19. – SCO In: DIDFYZ 2019 [textový dokument (print)] [elektronický dokument] : Formation of the Natural Science Image of the World in the 21st Century / Valovičová, Ľubomíra [Zostavovateľ, editor] ; Ondruška, Ján [Zostavovateľ, editor] ; Zelenický, Ľubomír [Zostavovateľ, editor]. – 1. vyd. – Melville (USA) : American Institute of Physics . AIP Publishing, 2019. – (AIP Conference Proceedings, ISSN 0094-243X, ISSN 1551-7616 ; 2152, SJR: 0,19 ; CiteScore: 0,6 ; SNIP: 0,373). – ISBN 978-0-7354-1897-4, Art. No. 030001, s. [1-6] [tlačená forma] [online] </t>
  </si>
  <si>
    <t xml:space="preserve">Analysis of Heavy Metals in Soil of Selected Inundation Area of the Nitra River / Straňák, Jozef [Autor, 20%] ; Pucherová, Zuzana [Autor, UKFFPVKEE, 10%] ; Píš, Andrej [Autor, 10%] ; Domčeková, Marcela [Autor, 10%] ; Vrábelová, Iveta [Autor, 10%] ; Ličková, Katarína [Autor, 10%] ; Straňák, Štefan [Autor, 10%] ; Záhorský, Maroš [Autor, 10%] ; Šlágorová, Kristína [Autor, 10%] ; Geografické aspekty stredoeurópskeho priestoru, 26 [10.10.2018-11.10.2018, Nitra, Slovensko]. – text. – [angličtina]. – [OV 100, 240]. – [článok z podujatia]. – [recenzované]. – WOS CC In: Geografické informácie [textový dokument (print)] [elektronický dokument] . – Nitra (Slovensko) : Univerzita Konštantína Filozofa v Nitre. – ISSN 1337-9453. – Roč. 22, č. 2 (2018), s. 271-287 [tlačená forma] [online] </t>
  </si>
  <si>
    <t xml:space="preserve">Analysis of II. Pillar of Public Pension System and Its Earnings / Urbaníková, Marta [Autor, UKFFPVUMI, 50%] ; Štubňová, Michaela [Autor, 50%] ; Geografické aspekty stredoeurópskeho priestoru, 26 [10.10.2018-11.10.2018, Nitra, Slovensko]. – text. – [angličtina]. – [OV 080]. – [článok z podujatia]. – [recenzované]. – DOI 10.17846/GI.2018.22.1.508-521. – WOS CC In: Geografické informácie [textový dokument (print)] [elektronický dokument] . – Nitra (Slovensko) : Univerzita Konštantína Filozofa v Nitre. – ISSN 1337-9453. – Roč. 22, č. 1 (2018), s. 508-521 [tlačená forma] [online] </t>
  </si>
  <si>
    <t xml:space="preserve">Analysis of MOOC course: Experiment processing / Kadlečík, Miroslav [Autor, UKFFPVKIN, 50%] ; Munk, Michal [Autor, UKFFPVKIN, 50%] ; DIVAI 2018, 12 [02.05.2018-04.05.2018, Štúrovo, Slovensko]. – text. – [angličtina]. – [OV 160]. – [abstrakt z podujatia - KP]. – [recenzované]. – WOS CC In: DIVAI 2018 [textový dokument (print)] [elektronický dokument] : 12th International Scientific Conference on Distance Learning in Applied Informatics / Turčáni, Milan [Zostavovateľ, editor] ; Balogh, Zoltán [Zostavovateľ, editor] ; Munk, Michal [Zostavovateľ, editor] ; Kapusta, Jozef [Zostavovateľ, editor] ; Benko, Ľubomír [Zostavovateľ, editor]. – 1. vyd. – Praha (Česko) : Wolters Kluwer, 2018. – ISBN 978-80-7598-059-5. – ISSN 2464-7470. – ISSN (online) 2464-7489, s. 451-460 [online] [tlačená forma] </t>
  </si>
  <si>
    <t xml:space="preserve">Analysis of static and interactive content on e-commerce websites with focus on wearable electronics / Balážiová, Iveta [Autor, UKFFFAKMR, 100%] ; Marketing Identity 2019 [05.11.2019-06.11.2019, Smolenice, Slovensko]. – text. – [angličtina]. – [OV 060]. – [abstrakt z podujatia - KP] In: Marketing Identity [elektronický dokument] : Offline Is the New Online : Conference Proceedings from the International Scientific Conference / Kusá, Alena [Zostavovateľ, editor] ; Zaušková, Anna [Zostavovateľ, editor] ; Bučková, Zuzana [Zostavovateľ, editor]. – 1. vyd. – Trnava (Slovensko) : Univerzita sv. Cyrila a Metoda v Trnave. Fakulta masmediálnej komunikácie, 2019. – ISBN (online) 978-80-572-0038-3, s. 770-787 [online] </t>
  </si>
  <si>
    <t xml:space="preserve">Analýza dráhy chodidla pri rôznych rýchlostiach behu / Horička, Pavol [Autor, UKFPFAKTV, 25%] ; Krajčovič, Jaroslav [Autor, UKFPFAKTV, 25%] ; Paška, Ľubomír [Autor, UKFPFAKTV, 25%] ; Piala, Ján [Autor, 25%] ; Sport science in motion [05.09.2019-07.09.2019, Komárno, Slovensko]. – text. – [slovenčina, angličtina]. – [OV 210]. – [abstrakt z podujatia - KP] In: Sport science in motion [elektronický dokument] : proceedings from the scientific conference, Komárno, September 5th – 7th, 2019 = zborník vedeckých a odborných prác z vedeckej konferencie = válogatott tanulmánykötet – válogatott tanulmányok a tudományos konferenciáról / Šimonek, Jaromír [Zostavovateľ, editor] ; Dobay, Beáta [Zostavovateľ, editor] ; Chovanová, Erika [Recenzent] ; Vojtaško, Ľuboš [Recenzent] ; Holienka, Miroslav [Recenzent]. – 1. vyd. – Komárno (Slovensko) : Univerzita J. Selyeho, 2019. – ISBN 978-80-8122-304-4, s. 193-201 [CD-ROM] </t>
  </si>
  <si>
    <t xml:space="preserve">Analýza francúzskej a slovenskej terminológie z oblasti futbalu a ľadového hokeja / Ukušová, Jana [Autor, UKFFFAKTR, 100%] ; Gromová, Edita [Recenzent] ; Djovčoš, Martin [Recenzent] ; Tradícia a inovácia v translatologickom výskume, 6 [01.02.2018, Nitra, Slovensko]. – text. – [slovenčina]. – [OV 020]. – [abstrakt z podujatia - KP] In: Tradícia a inovácia v translatologickom výskume 6 [textový dokument (print)] : zborník z konferencie, konanej v Nitre 1. 2. 2018 / Mészáros, Szabolcs [Zostavovateľ, editor] ; Ukušová, Jana [Zostavovateľ, editor] ; Zahorák, Andrej [Zostavovateľ, editor]. – 1. vyd. – Roč. 6. – Nitra (Slovensko) : Univerzita Konštantína Filozofa v Nitre, 2018. – ISBN 978-80-558-1290-8, s. 103-116 [tlačená forma] </t>
  </si>
  <si>
    <t xml:space="preserve">Analýza chýb strojového prekladu / Pavlová, Renáta [Autor, UKFFFAJZC, 100%] ; FORLANG 2019 [06.06.2019-07.06.2019, Košice, Slovensko]. – text. – [slovenčina]. – [OV 010]. – [abstrakt z podujatia - KP] In: FORLANG [elektronický dokument] : cudzie jazyky v akademickom prostredí. Periodický zborník vedeckých príspevkov a odborných článkov z medzinárodnej vedeckej konferencie konanej 6. - 7. júna 2019 / Kaščáková, Eva [Zostavovateľ, editor] ; Kožaríková, Henrieta [Zostavovateľ, editor]. – 1. vyd. – Roč. 7, č. 1. – Košice (Slovensko) : Technická univerzita v Košiciach, 2019. – ISBN 978-80-553-3398-4. – ISSN 1338-5496. – SIGN-TUKE 210848, s. 101-109 [DVD] </t>
  </si>
  <si>
    <t xml:space="preserve">Analýza krajiny z hľadiska rozvoja erózno-akumulačných procesov pôdy na vybraných lokalitách v k. ú. Dudince s využitím metód diaľkového prieskumu zeme = Landscape analysis in terms of the development of soil erosion-accumulation processes in selected areas in cadastre Dudince using remote control sensing methods / Moravčík, Marek [Autor, UKFFPVKEE, 100%] ; Študentská vedecká konferencia 2021 [14.04.2021, Nitra, Banská Bystrica, Slovensko]. – text. – [slovenčina]. – [OV 100]. – [abstrakt z podujatia - KP] In: Študentská vedecká konferencia 2021 Fakulty prírodných vied Univerzity Konštantína Filozofa v Nitre a Fakulty prírodných vied Univerzity Mateja Bela v Banskej Bystrici [textový dokument (print)] : zborník recenzovaných príspevkov / Francisti, Jan [Zostavovateľ, editor] ; Fodor, Kristián [Zostavovateľ, editor]. – 1. vyd. – Nitra (Slovensko) : Univerzita Konštantína Filozofa v Nitre ; Banská Bystrica (Slovensko) : Univerzita Mateja Bela v Banskej Bystrici, 2021. – (Prírodovedec ; 756). – ISBN 978-80-558-1712-5, s. 63-70 [tlačená forma] </t>
  </si>
  <si>
    <t xml:space="preserve">Analýza povedomia bezpečnosti a ochrany zdravia pri práci vo výchovno-vzdelávacom procese / Tureková, Ivana [Autor, UKFPFAKTT, 100%] ; Inovatívne trendy v odborových didaktikách [21.11.2018, Nitra, Slovensko]. – text. – [slovenčina]. – [OV 010]. – [abstrakt z podujatia - KP] In: Inovatívne trendy v odborových didaktikách [textový dokument (print)] : prepojenie teórie a praxe výučbových stratégií kritického a tvorivého myslenia : zborník štúdií z medzinárodnej vedeckej konferencie, Nitra 21. november 2018 / Duchovičová, Jana [Zostavovateľ, editor] ; Hošová, Dominika [Zostavovateľ, editor] ; Koleňáková, Rebeka Štefánia [Zostavovateľ, editor] ; Bílek, Martin [Recenzent] ; Komora, Juraj [Recenzent]. – 1. vyd. – Nitra (Slovensko) : Univerzita Konštantína Filozofa v Nitre, 2019. – ISBN 978-80-558-1408-7, s. 217-225 [tlačená forma] </t>
  </si>
  <si>
    <t xml:space="preserve">Analýza sentimentu a postojov voči migrácii a migrantom v rámci Facebook postov vybraných slovenských denníkov = Analysis of Sentiment and Attitudes toward Migration and Migrants within Facebook Posts by Selected Slovak Periodicals / Balážiová, Iveta [Autor, UKFFFAKMR, 34%] ; Púchovská, Oľga [Autor, UKFFFAKMR, 33%] ; Štrbová, Edita [Autor, UKFFFAKMR, 33%] ; Jazyk a politika, 4 [20.06.2019, Bratislava, Slovensko]. – [slovenčina]. – [OV 020, 060]. – [abstrakt z podujatia - KP] In: Jazyk a politika: na pomedzí lingvistiky a politológie (4) [textový dokument (print)] : zborník príspevkov zo 4. ročníka medzinárodnej vedeckej konferencie / Štefančík, Radoslav [Zostavovateľ, editor] ; Seresová, Katarína [Recenzent] ; Lišková, Danuša [Recenzent]. – 1. vyd. – Bratislava (Slovensko) : Ekonomická univerzita v Bratislave. Celouniverzitné pracovisko EUBA. Vydavateľstvo EKONÓM, 2019. – ISBN 978-80-225-4641-6, s. 463-482 [tlačená forma] </t>
  </si>
  <si>
    <t xml:space="preserve">Analýza vplyvu prírodného a syntetického vápnika na štruktúru osteoporotickej kosti s využitím animálneho modelu = The Analysis of the Effect of Natural and Synthetic Calcium on Osteoporotic Bone Structure Using an Animal Model / Bábiková, Martina [Autor, UKFFPVKBG, 80%] ; Babosová, Ramona [Autor, UKFFPVKZA, 5%] ; Kováčová, Veronika [Autor, UKFFPVKZA, 15%] ; Študentská vedecká konferencia 2020, 6 [07.04.2020, Nitra, Slovensko]. – text. – [slovenčina]. – [OV 130]. – [abstrakt z podujatia - KP] In: Študentská vedecká konferencia 2020 [elektronický dokument] : zborník recenzovaných príspevkov [zo zrušenej študentskej vedeckej konferencie s plánovaným termínom konania 7.4.2020 v Nitre] / Spišiak, Ján [Zostavovateľ, editor] ; Račáková, Slavka [Zostavovateľ, editor] ; Voštinár, Patrik [Recenzent] ; Melicherčík, Miroslav [Recenzent]. – 1. vyd. – Banská Bystrica (Slovensko) : Univerzita Mateja Bela v Banskej Bystrici ; Nitra (Slovensko) : Univerzita Konštantína Filozofa v Nitre, 2020. – ISBN 978-80-557-1733-3, s. 14-17 [online] </t>
  </si>
  <si>
    <t xml:space="preserve">Andrea Coddington A zsidó nő című regényének jellemző jegyei a bináris oppozíció szemszögéből / Hrbáček, Magdaléna [Autor, UKFFSSUSJ, 100%] ; Transzkulturalizmus és bilingvizmus [17.09.2019-18.09.2019, Nitra, Slovensko]. – text. – [čeština]. – [OV 020]. – [abstrakt z podujatia - KP] In: Transzkulturalizmus és bilingvizmus [textový dokument (print)] / Hegedüs, Orsolya [Zostavovateľ, editor] ; Németh, Zoltán [Zostavovateľ, editor] ; Tóth, Anikó [Zostavovateľ, editor] ; Petres Csizmadia, Gabriela [Zostavovateľ, editor] ; Szirák, Péter [Recenzent] ; Benyovszky, Kristian [Recenzent]. – 1. vyd. – Nitra (Slovensko) : Univerzita Konštantína Filozofa v Nitre. Fakulta stredoeurópskych štúdií, 2019. – ISBN 978-80-558-1478-0, s. 223-238 [tlačená forma] </t>
  </si>
  <si>
    <t xml:space="preserve">Ansätze der Landeskunde im kommunikativen Unterricht / Molnárová, Andrea [Autor, UKFFFAKMK, 100%] ; FORLANG 2019 [06.06.2019-07.06.2019, Košice, Slovensko]. – text. – [nemčina]. – [OV 010]. – [abstrakt z podujatia - KP] In: FORLANG [elektronický dokument] : cudzie jazyky v akademickom prostredí. Periodický zborník vedeckých príspevkov a odborných článkov z medzinárodnej vedeckej konferencie konanej 6. - 7. júna 2019 / Kaščáková, Eva [Zostavovateľ, editor] ; Kožaríková, Henrieta [Zostavovateľ, editor]. – 1. vyd. – Roč. 7, č. 1. – Košice (Slovensko) : Technická univerzita v Košiciach, 2019. – ISBN 978-80-553-3398-4. – ISSN 1338-5496. – SIGN-TUKE 210848, s. 294-303 [DVD] </t>
  </si>
  <si>
    <t xml:space="preserve">Antropocentrická báza jazykového obrazu somatizmu oko / Matiová, Mária [Autor, UKFFFASJL, 100%] ; Komunikácia v odborných reflexiách, 10 [12.09.2018-13.09.2018, Banská Bystrica, Slovensko]. – text. – [slovenčina]. – [OV 020]. – [abstrakt z podujatia - KP] In: Komunikácia v odborných reflexiách [textový dokument (print)] : zborník príspevkov z 10. medzinárodnej vedeckej konferencie, Banská Bystrica, 12. - 13. 9. 2018 / Klincková, Janka [Zostavovateľ, editor] ; Michalewski, Kazimierz [Recenzent] ; Stolac, Diana [Recenzent] ; Patráš, Vladimír [Recenzent]. – 1 vyd. – Banská Bystrica (Slovensko) : Univerzita Mateja Bela v Banskej Bystrici. Vydavateľstvo Univerzity Mateja Bela v Banskej Bystrici - Belianum, 2019. – ISBN 978-80-557-1573-5, s. 450-461 [tlačená forma] </t>
  </si>
  <si>
    <t xml:space="preserve">Anwendung des Slowakischen Nationalkorpus Im Kontext des Fremdsprachlichen Unterrichts = Application of the Slovak national corpus in the foreign language training / Jakubičková, Barbara [Autor, UKFFFAKTR, 100%] ; Cudzie jazyky v premenách času, 11 [06.11.2020, Bratislava, Slovensko]. – text. – [nemčina]. – [OV 020]. – [abstrakt z podujatia - KP] In: Cudzie jazyky v premenách času 11 [elektronický dokument] : recenzovaný zborník príspevkov z medzinárodnej vedeckej konferencie / Kvapil, Roman [Zostavovateľ, editor]. – 1. vyd. – Roč. 11. – Bratislava (Slovensko) : Ekonomická univerzita v Bratislave. Celouniverzitné pracovisko EUBA. Vydavateľstvo EKONÓM, 2021. – ISBN 978-80-225-4823-6, s. 34-43 [CD-ROM] [online] </t>
  </si>
  <si>
    <t xml:space="preserve">Aplikácia poradovej prípravy do hodín telesnej a športovej výchovy v primárnom vzdelávaní / Kalinková, Mária [Autor, UKFPFAKTV, 50%] ; Vailingová, Mária [Autor, 50%] ; Sport science in motion [05.09.2019-07.09.2019, Komárno, Slovensko]. – text. – [slovenčina, angličtina]. – [OV 210]. – [abstrakt z podujatia - KP] In: Sport science in motion [elektronický dokument] : proceedings from the scientific conference, Komárno, September 5th – 7th, 2019 = zborník vedeckých a odborných prác z vedeckej konferencie = válogatott tanulmánykötet – válogatott tanulmányok a tudományos konferenciáról / Šimonek, Jaromír [Zostavovateľ, editor] ; Dobay, Beáta [Zostavovateľ, editor] ; Chovanová, Erika [Recenzent] ; Vojtaško, Ľuboš [Recenzent] ; Holienka, Miroslav [Recenzent]. – 1. vyd. – Komárno (Slovensko) : Univerzita J. Selyeho, 2019. – ISBN 978-80-8122-304-4, s. 150-159 [CD-ROM] </t>
  </si>
  <si>
    <t xml:space="preserve">Aplikačné a neštandardné matematické úlohy / Bočková, Veronika [Autor, UKFFPVKMA, 100%] ; Študentská vedecká konferencia 2018 [21.03.2018, Nitra, Slovensko]. – text. – [slovenčina]. – [OV 240]. – [abstrakt z podujatia - KP] In: Študentská vedecká konferencia 2018 [textový dokument (print)] : zborník recenzovaných príspevkov z konferencie v Nitre 21. 03.2018 / Siládi, Vladimir [Zostavovateľ, editor] ; Račáková, Slavka [Zostavovateľ, editor] ; Voštinár, Patrik [Recenzent] ; Trajteľ, Ľudovít [Recenzent] ; Suchý, Jozef [Recenzent] ; Vagač, Michal [Recenzent] ; Melicherčík, Miroslav [Recenzent]. – 1. vyd. – 2018 (Slovensko) : Univerzita Konštantína Filozofa v Nitre, 2018. – ISBN 978-80-557-1415-8, s. 456-462 [tlačená forma] </t>
  </si>
  <si>
    <t xml:space="preserve">Application of Geographical Information System (GIS) in Geography (Digital Data Preprocessing for Land-use Changes Analysis) / Boltižiar, Martin [Autor, UKFFPVKGR, 50%] ; Chrastina, Peter [Autor, UCMFIFKHIS, 50%] ; DIVAI 2018, 12 [02.05.2018-04.05.2018, Štúrovo, Slovensko]. – text. – [angličtina]. – [OV 160]. – [abstrakt z podujatia - KP]. – [recenzované]. – WOS CC In: DIVAI 2018 [textový dokument (print)] [elektronický dokument] : 12th International Scientific Conference on Distance Learning in Applied Informatics / Turčáni, Milan [Zostavovateľ, editor] ; Balogh, Zoltán [Zostavovateľ, editor] ; Munk, Michal [Zostavovateľ, editor] ; Kapusta, Jozef [Zostavovateľ, editor] ; Benko, Ľubomír [Zostavovateľ, editor]. – 1. vyd. – Praha (Česko) : Wolters Kluwer, 2018. – ISBN 978-80-7598-059-5. – ISSN 2464-7470. – ISSN (online) 2464-7489, s. 29-36 [online] [tlačená forma] </t>
  </si>
  <si>
    <t xml:space="preserve">Application of virtual reality in industrial control systems / Kuna, Peter [Autor, UKFPFAKTT, 40%] ; Hašková, Alena [Autor, UKFPFAKTT, 35%] ; Mukhashavria, Salome [Autor, 25%] ; DIVAI 2020, 13 [21.09.2020-23.09.2020, Štúrovo, Slovensko]. – text. – [angličtina]. – [OV 010]. – [abstrakt z podujatia - KP]. – [recenzované]. – WOS CC In: DIVAI 2020 [textový dokument (print)] [elektronický dokument] : 13th International Scientific Conference on Distance Learning in Applied Informatics, Štúrovo September 21-23, 2020 / Turčáni, Milan [Zostavovateľ, editor] ; Balogh, Zoltán [Zostavovateľ, editor] ; Munk, Michal [Zostavovateľ, editor] ; Magdin, Martin [Zostavovateľ, editor] ; Benko, Ľubomír [Zostavovateľ, editor]. – 1. vyd. – Roč. 13. – Praha (Česko) : Wolters Kluwer. Wolters Kluwer ČR, 2020. – ISBN 978-80-7598-841-6. – ISSN 2464-7470. – ISSN (online) 2464-7489, s. 139-148 [tlačená forma] [online] </t>
  </si>
  <si>
    <t xml:space="preserve">ArduInCar – Palubný počítač založený na Arduine = ArduInCar – Board computer based on Arduino / Tuček, Daniel [Autor, UKFFPVKIN, 100%] ; Študentská vedecká konferencia 2021 [14.04.2021, Nitra, Banská Bystrica, Slovensko]. – text. – [slovenčina]. – [OV 160]. – [abstrakt z podujatia - KP] In: Študentská vedecká konferencia 2021 Fakulty prírodných vied Univerzity Konštantína Filozofa v Nitre a Fakulty prírodných vied Univerzity Mateja Bela v Banskej Bystrici [textový dokument (print)] : zborník recenzovaných príspevkov / Francisti, Jan [Zostavovateľ, editor] ; Fodor, Kristián [Zostavovateľ, editor]. – 1. vyd. – Nitra (Slovensko) : Univerzita Konštantína Filozofa v Nitre ; Banská Bystrica (Slovensko) : Univerzita Mateja Bela v Banskej Bystrici, 2021. – (Prírodovedec ; 756). – ISBN 978-80-558-1712-5, s. 264-269 [tlačená forma] </t>
  </si>
  <si>
    <t xml:space="preserve">Archeologické múzeum v prírode - brána do minulosti : príklad dobrej praxe - Múzeum praveku Bojnice v projekte študentov Katedry muzeológie Filozofickej fakulty Univerzity Konštantína Filozofa v Nitre / Gogová, Stanislava [Autor, UKFFFAKMU, 100%] ; Múzea v prírode. Koncepcia, realita a vízie, 1 [15.05.2019-16.05.2019, Vychylovka, Slovensko]. – text. – [slovenčina]. – [OV 030]. – [abstrakt z podujatia - KP] In: Múzea v prírode. Koncepcia, realita a vízie [textový dokument (print)] : zborník príspevkov z prvého ročníka konferencie Únie múzeí v prírodekonanej 15. a 16. mája 2019 v Skanzene Vychylovka / Kotvasová, Helena [Zostavovateľ, editor] ; Mišunka, Mikuláš [Recenzent] ; Krišková, Zdena [Recenzent]. – 1. vyd. – Čadca (Slovensko) : Kysucké múzeum v Čadci, 2019. – ISBN 978-80-89751-25-9, s. 23-35 [tlačená forma] </t>
  </si>
  <si>
    <t xml:space="preserve">Archeologický výskum zaniknutého pavlínskeho kláštora v Slavci-Gombaseku / Botoš, Alexander [Autor, 70%] ; Mordovin, Maxim [Autor, 15%] ; Bešina, Daniel [Autor, UKFFFAKAR, 15%] ; Najnovšie poznatky z výskumov stredovekých pamiatok na Gotickej ceste, 3 [30.08.2018-31.08.2018, Rožňava, Slovensko]. – text. – [slovenčina]. – [OV 030]. – [abstrakt z podujatia - KP] In: Najnovšie poznatky z výskumov stredovekých pamiatok na Gotickej ceste 3 [textový dokument (print)] [elektronický dokument] : zborník Gotická cesta 3/2018 : zborník príspevkov z 3. ročníka konferencie / Kalinová, Michaela [Zostavovateľ, editor]. – 1 vyd. – Rožňava (Slovensko) : Občianske združenie Gotická cesta ; Bratislava (Slovensko) : Pamiatkový úrad Slovenskej republiky, 2020. – ISBN 978-80-972544-1-4. – ISBN (online) 978-80-972544-2-1, s. 115-126 [tlačená forma] </t>
  </si>
  <si>
    <t xml:space="preserve">Atletická príprava u extraligových hráčov v hokeji v prechodnom období / Krajčovič, Jaroslav [Autor, UKFPFAKTV, 34%] ; Horička, Pavol [Autor, UKFPFAKTV, 33%] ; Paška, Ľubomír [Autor, UKFPFAKTV, 33%] ; Pupiš, Martin [Recenzent] ; Šutka, Vladimír [Recenzent] ; Atletika 2018 [29.11.2018, Nitra, Slovensko]. – text. – [slovenčina]. – [OV 210]. – [abstrakt z podujatia - KP] In: Atletika 2018 [textový dokument (print)] : zborník z medzinárodnej vedeckej konferencie v Nitre 29.11.2018 / Broďáni, Jaroslav [Zostavovateľ, editor]. – 1. vyd. – Nitra (Slovensko) : Univerzita Konštantína Filozofa v Nitre, 2018. – ISBN 978-80-558-1356-1, s. 153-162 [tlačená forma] </t>
  </si>
  <si>
    <t xml:space="preserve">Attendance of Czechia By Slovak Citizens and Its Spatial Dimensions / Krogmann, Alfred [Autor, UKFFPVKGR, 20%] ; Nemčíková, Magdaléna [Autor, UKFFPVKGR, 20%] ; Oremusová, Daša [Autor, UKFFPVKGR, 20%] ; Šolcová, Lucia [Autor, UKFFPVKGR, 20%] ; Dvořáková Líšková, Zuzana [Autor, 20%] ; Geografické aspekty stredoeurópskeho priestoru, 26 [10.10.2018-11.10.2018, Nitra, Slovensko]. – text. – [angličtina]. – [OV 092]. – [článok z podujatia]. – [recenzované]. – WOS CC In: Geografické informácie [textový dokument (print)] [elektronický dokument] . – Nitra (Slovensko) : Univerzita Konštantína Filozofa v Nitre. – ISSN 1337-9453. – Roč. 22, č. 2 (2018), s. 127-137 [tlačená forma] [online] </t>
  </si>
  <si>
    <t xml:space="preserve">Auditívne estetično - báza aktuálnej hudobnej estetiky / Beličová, Renáta [Autor, UKFFFAULK, 100%] ; Boszorád, Martin [Recenzent] ; Migašová, Jana [Recenzent] ; Pragmatické dimenzie umenia a estetiky [19.09.2017-21.09.2017, Bratislava, Slovensko]. – text. – [slovenčina]. – [OV 020]. – [abstrakt z podujatia - KP] In: Pragmatické dimenzie umenia a estetiky [textový dokument (print)] : zborník príspevkov z medzinárodnej konferencie Pragmatické dimenzie umenia a estetiky, ktorá sa konala v dňoch 19. až 21. septembra 2017 / Pašteková, Michaela [Zostavovateľ, editor] ; Debnár, Marek [Zostavovateľ, editor]. – 1. vyd. – Bratislava (Slovensko) : Slovenská asociácia pre estetiku, 2018. – ISBN 978-80-972624-1-9, s. 291-303 [tlačená forma] </t>
  </si>
  <si>
    <t xml:space="preserve">Az utazás interferenciája. „Start és cél között rázkódik a test” / Petres Csizmadia, Gabriela [Autor, UKFFSSUML, 100%] ; Transzkulturalizmus és bilingvizmus [17.09.2019-18.09.2019, Nitra, Slovensko]. – text. – [čeština]. – [OV 020]. – [abstrakt z podujatia - KP] In: Transzkulturalizmus és bilingvizmus [textový dokument (print)] / Hegedüs, Orsolya [Zostavovateľ, editor] ; Németh, Zoltán [Zostavovateľ, editor] ; Tóth, Anikó [Zostavovateľ, editor] ; Petres Csizmadia, Gabriela [Zostavovateľ, editor] ; Szirák, Péter [Recenzent] ; Benyovszky, Kristian [Recenzent]. – 1. vyd. – Nitra (Slovensko) : Univerzita Konštantína Filozofa v Nitre. Fakulta stredoeurópskych štúdií, 2019. – ISBN 978-80-558-1478-0, s. 115-126 [tlačená forma] </t>
  </si>
  <si>
    <t xml:space="preserve">Balážov román o prevýchove prostitútok a jeho filmová podoba / Adamická, Monika [Autor, UKFFSSUSJ, 100%] ; Literatúra a jej filmová podoba v stredoeurópskom kontexte [15.10.2019, Nitra, Slovensko]. – text. – [slovenčina]. – [OV 020]. – [abstrakt z podujatia - KP] In: Literatúra a jej filmová podoba v stredoeurópskom kontexte [textový dokument (print)] : zborník štúdií z medzinárodnej vedeckej konferencie, konanej 15. októbra 2019 na FSŠ UKF v Nitre / Timko, Štefan [Zostavovateľ, editor] ; Pokorný, Milan [Recenzent] ; Zelenka, Miloš [Recenzent]. – 1. vyd. – Nitra (Slovensko) : Univerzita Konštantína Filozofa v Nitre, 2020. – ISBN 978-80-558-1570-1, s. 175-185 [tlačená forma] </t>
  </si>
  <si>
    <t xml:space="preserve">BBC micro:bit na vyučovaní v základnej škole / Krnáč, Roman [Autor, UKFFPVKIN, 50%] ; Klimová, Nika [Autor, UKFFPVKIN, 50%] ; Študentská vedecká konferencia 2019, 3 [09.04.2019, Banská Bystrica, Slovensko]. – text. – [slovenčina]. – [OV 160]. – [abstrakt z podujatia - KP] In: Študentská vedecká konferencia 2019 [elektronický dokument] : zborník recenzovaných príspevkov, Banská Bystrica 9. apríla 2019 / Francisti, Jan [Zostavovateľ, editor] ; Zverková, Katarína [Zostavovateľ, editor] ; Omelka, Radoslav [Zostavovateľ, editor]. – 1. vyd. – Nitra (Slovensko) : Univerzita Konštantína Filozofa v Nitre ; Banská Bystrica (Slovensko) : Univerzita Mateja Bela v Banskej Bystrici, 2019. – ISBN 978-80-558-1433-9, s. 436-444 [online] </t>
  </si>
  <si>
    <t xml:space="preserve">Bedeutung der Pragmatik in Fremdsprachenunterricht = Importance of pragmatic in foreign language teaching / Szabó, Erzsébet [Autor, UKFFFAKGE, 100%] ; Odborný cudzí jazyk: teória a prax [18.12.2020, Nitra, Slovensko]. – text. – [nemčina]. – [OV 010]. – [abstrakt z podujatia - KP] In: Odborný cudzí jazyk: teória a prax [textový dokument (print)] : zborník z medzinárodnej vedeckej konferencie / Zelenická, Elena [Zostavovateľ, editor] ; Timárová, Daniela [Recenzent] ; Kulíková, Terézia [Recenzent]. – 1. vyd. – Nitra (Slovensko) : Univerzita Konštantína Filozofa v Nitre. Filozofická fakulta, 2020. – ISBN 978-80-558-1608-1, s. 159-168 [tlačená forma] </t>
  </si>
  <si>
    <t xml:space="preserve">Benedicite op. 338 Jozefa Rosinského a jeho uplatnenie v umeleckej edukácii / Machutová, Dominika [Autor, UKFPFAKHU, 100%] ; Krušinská, Martina [Recenzent] ; Valachová, Daniela [Recenzent] ; Ars et educatio, 4 [21.11.2017-23.11.2017, Ružomberok, Slovensko]. – text. – [slovenčina]. – [OV 010]. – [abstrakt z podujatia - KP] In: Ars et Educatio IV. [elektronický dokument] : CD-zborník vedeckých príspevkov doktorandov / Procházková, Martina [Zostavovateľ, editor]. – 1. vyd. – Ružomberok (Slovensko) : Katolícka univerzita v Ružomberku. VERBUM - vydavateľstvo KU, 2018. – ISBN 978-80-561-0581-8, s. 21-29 [CD-ROM] </t>
  </si>
  <si>
    <t xml:space="preserve">Bibliou inšpirovaná filmová adaptácia / Hrbáček, Magdaléna [Autor, UKFFSSUSJ, 100%] ; Literatúra a jej filmová podoba v stredoeurópskom kontexte [15.10.2019, Nitra, Slovensko]. – text. – [slovenčina]. – [OV 020]. – [abstrakt z podujatia - KP] In: Literatúra a jej filmová podoba v stredoeurópskom kontexte [textový dokument (print)] : zborník štúdií z medzinárodnej vedeckej konferencie, konanej 15. októbra 2019 na FSŠ UKF v Nitre / Timko, Štefan [Zostavovateľ, editor] ; Pokorný, Milan [Recenzent] ; Zelenka, Miloš [Recenzent]. – 1. vyd. – Nitra (Slovensko) : Univerzita Konštantína Filozofa v Nitre, 2020. – ISBN 978-80-558-1570-1, s. 125-131 [tlačená forma] </t>
  </si>
  <si>
    <t xml:space="preserve">Biogas stations on examples from the regions of western Slovakia / Janíček, František [Autor, 032000, 40%] ; Perný, Milan [Autor, 032000, 30%] ; Šály, Vladimír [Autor, 032000, 20%] ; Némethová, Jana [Autor, UKF.Nitra, 10%] ; Power engineering 2018. Renewable Energy Sources 2018 : 7th International Scientific Conference [05.06.2018-07.06.2018, Tatranské Matliare, Slovensko]. – [angličtina]. – [OV 150]. – [abstrakt z podujatia - KP]. – WOS CC In: Power engineering 2018. Renewable Energy Sources 2018 : 7th International Scientific Conference / Cirák, Július [Zostavovateľ, editor] ; Perný, Milan [Zostavovateľ, editor] ; Kováč, Zoltán [Zostavovateľ, editor] ; Farkas Smitková, Miroslava [Recenzent] ; Martins, Florinda [Recenzent]. – 1 vyd. – Bratislava (Slovensko) : Slovenská technická univerzita v Bratislave, 2018. – ISBN 978-80-89983-02-5. – ISBN 978-80-89983-03-2, s. 25-30 </t>
  </si>
  <si>
    <t xml:space="preserve">Biomonitoring ftalátov s nízkou molekulovou hmotnosťou u detí predškolského veku a ich rodičov / Hlisníková, Henrieta [Autor, UKFFPVKZA, 100%] ; Študentská vedecká konferencia 2018 [21.03.2018, Nitra, Slovensko]. – text. – [slovenčina]. – [OV 130]. – [abstrakt z podujatia - KP] In: Študentská vedecká konferencia 2018 [textový dokument (print)] : zborník recenzovaných príspevkov z konferencie v Nitre 21. 03.2018 / Siládi, Vladimir [Zostavovateľ, editor] ; Račáková, Slavka [Zostavovateľ, editor] ; Voštinár, Patrik [Recenzent] ; Trajteľ, Ľudovít [Recenzent] ; Suchý, Jozef [Recenzent] ; Vagač, Michal [Recenzent] ; Melicherčík, Miroslav [Recenzent]. – 1. vyd. – 2018 (Slovensko) : Univerzita Konštantína Filozofa v Nitre, 2018. – ISBN 978-80-557-1415-8, s. 22-26 [tlačená forma] </t>
  </si>
  <si>
    <t xml:space="preserve">Biophysics in nursing education / Líšková, Miroslava [Autor, UKFFSVKOS, 34%] ; Valovičová, Ľubomíra [Autor, UKFFPVKFY, 33%] ; Ondruška, Ján [Autor, UKFFPVKFY, 33%] ; DIDFYZ 2019, 21 [09.10.2019-12.10.2019, Terchová, Slovensko]. – text. – [angličtina]. – [OV 091, 010, 180]. – [abstrakt z podujatia - KP]. – DOI 10.1063/1.5124763. – SCO In: DIDFYZ 2019 [textový dokument (print)] [elektronický dokument] : Formation of the Natural Science Image of the World in the 21st Century / Valovičová, Ľubomíra [Zostavovateľ, editor] ; Ondruška, Ján [Zostavovateľ, editor] ; Zelenický, Ľubomír [Zostavovateľ, editor]. – 1. vyd. – Melville (USA) : American Institute of Physics . AIP Publishing, 2019. – (AIP Conference Proceedings, ISSN 0094-243X, ISSN 1551-7616 ; 2152, SJR: 0,19 ; CiteScore: 0,6 ; SNIP: 0,373). – ISBN 978-0-7354-1897-4, s. 1-10 [tlačená forma] [online] </t>
  </si>
  <si>
    <t xml:space="preserve">Blogosféra a knižný trh / Rácová, Veronika [Autor, UKFFFASJL, 100%] ; K teoretickým a praktickým aspektom slovenskej literárnej kritiky po roku 2000 [30.11.2018, Prešov, Slovensko]. – text. – [slovenčina]. – [OV 020]. – [abstrakt z podujatia - KP] In: K teoretickým a praktickým aspektom slovenskej literárnej kritiky po roku 2000 [textový dokument (print)] : zborník materiálov z medzinárodnej vedeckej konferencie, konanej 30. novembra 2018 na FF PU v Prešove / Součková, Marta [Zostavovateľ, editor] ; Gavura, Ján [Recenzent] ; Passia, Radoslav [Recenzent]. – 1. vyd. – Prešov (Slovensko) : Prešovská univerzita v Prešove. Filozofická fakulta, 2019. – (Opera Litteraria ; 7/2019). – ISBN 978-80-555-2295-1. – SIGN-PU FF-19 300/19, s. 211-222 [tlačená forma] </t>
  </si>
  <si>
    <t xml:space="preserve">Bratislava Castle and Its Potential for the Development of the Creative Tourism Offer / Palenčíková, Zuzana [Autor, UKFFSSKCR, 50%] ; Machničová, Zina [Autor, 50%] ; Geografické aspekty stredoeurópskeho priestoru, 26 [10.10.2018-11.10.2018, Nitra, Slovensko]. – text. – [angličtina]. – [OV 080]. – [článok z podujatia]. – [recenzované]. – DOI 10.17846/GI.2018.22.2.207-222. – WOS CC In: Geografické informácie [textový dokument (print)] [elektronický dokument] . – Nitra (Slovensko) : Univerzita Konštantína Filozofa v Nitre. – ISSN 1337-9453. – Roč. 22, č. 2 (2018), s. 207-222 [tlačená forma] [online] </t>
  </si>
  <si>
    <t xml:space="preserve">Broadband Monitoring Measurements Analysis to Find the Main Sources Determining the Temporal Trend of Population Exposure in Slovakia / Bojdová, Veronika [Autor, UKFFPVKMA, 50%] ; Skurčák, Ľuboš [Autor, 20%] ; Bojda, Peter [Autor, 20%] ; Rybanský, Ľubomír [Autor, 10%] ; Measurement 2019, 12 [27.05.2019-29.05.2019, Smolenice, Slovensko]. – text. – [angličtina]. – [OV 240]. – [abstrakt z podujatia - KP]. – [recenzované]. – WOS CC ; SCO In: Measurement 2019 [textový dokument (print)] [elektronický dokument] : Proceedings of the 12th International Conference / Maňka, Ján [Zostavovateľ, editor] ; Švehlíková, Jana [Zostavovateľ, editor] ; Witkovský, Viktor [Zostavovateľ, editor] ; Frollo, Ivan [Zostavovateľ, editor]. – 1. vyd. – Bratislava (Slovensko) : Slovenská akadémia vied. Pracoviská SAV. Ústav merania, 2019. – ISBN 978-80-972629-2-1. – ISBN 978-80-972629-3-8, s. 286-290 [tlačená forma] [online] </t>
  </si>
  <si>
    <t xml:space="preserve">Budúci žurnalisti a ich vnímanie sociálnych médií ako zdroja informácií = The future journalists and their perception of social media as a source of information / Kučerová, Lucia [Autor, UKFFFAKMR, 100%] ; Quo vadis 2021 : Masmédia a marketing 20. rokov 21. storočia - nová éra, nové výzvy [08.04.2021, Trnava, Slovensko]. – text. – [slovenčina]. – [OV 060]. – [abstrakt z podujatia - KP] In: Quo vadis marketing [elektronický dokument] : zborník z vedeckej konferencie doktorandov a mladých vedeckých pracovníkov Quo vadis massmedia &amp; marketing organizovanou Fakultou masmediálnej komunikácie UCM v Trnave / Jurišová, Vladimíra [Zostavovateľ, editor] ; Franić, Dáša [Zostavovateľ, editor] ; Urmínová, Marianna [Zostavovateľ, editor] ; Madleňák, Adam [Recenzent] ; Martovič, Matej [Recenzent]. – 1. vyd. – Trnava (Slovensko) : Univerzita sv. Cyrila a Metoda v Trnave. Fakulta masmediálnej komunikácie, 2021. – ISBN (online) 978-80-572-0196-0, s. 214-224 [online] </t>
  </si>
  <si>
    <t xml:space="preserve">Business development analysis in the member states of the European Union / Maroš, Milan [Autor, UKFFPVUMI, 50%] ; Rybanský, Ľubomír [Autor, UKFFPVKMA, 50%] ; The Poprad economic and management forum 2019, 2 [17.10.2019-18.10.2019, Poprad, Slovensko]. – text. – [angličtina]. – [OV 060]. – [abstrakt z podujatia - KP]. – WOS CC In: The Poprad economic and management forum 2019 [textový dokument (print)] : conference proceedings from international scientific conference / Madzík, Peter [Zostavovateľ, editor]. – 1 vyd. – Ružomberok (Slovensko) : Katolícka univerzita v Ružomberku. VERBUM - vydavateľstvo KU, 2019. – ISBN 978-80-561-0671-6. – SIGN-KU A 0.5/423, s. 12-20 [tlačená forma] </t>
  </si>
  <si>
    <t xml:space="preserve">Can Fake News Evoke a Positive/Negative Affect (Emotion)? / Reichel, Jaroslav [Autor, UKFFPVKIN, 25%] ; Magdin, Martin [Autor, UKFFPVKIN, 25%] ; Benko, Ľubomír [Autor, UKFFPVKIN, 25%] ; Koprda, Štefan [Autor, UKFFPVKIN, 25%] ; DIVAI 2020, 13 [21.09.2020-23.09.2020, Štúrovo, Slovensko]. – text. – [angličtina]. – [OV 010]. – [abstrakt z podujatia - KP]. – WOS CC In: DIVAI 2020 [textový dokument (print)] [elektronický dokument] : 13th International Scientific Conference on Distance Learning in Applied Informatics, Štúrovo September 21-23, 2020 / Turčáni, Milan [Zostavovateľ, editor] ; Balogh, Zoltán [Zostavovateľ, editor] ; Munk, Michal [Zostavovateľ, editor] ; Magdin, Martin [Zostavovateľ, editor] ; Benko, Ľubomír [Zostavovateľ, editor]. – 1. vyd. – Roč. 13. – Praha (Česko) : Wolters Kluwer. Wolters Kluwer ČR, 2020. – ISBN 978-80-7598-841-6. – ISSN 2464-7470. – ISSN (online) 2464-7489, s. 563-572 [tlačená forma] [online] </t>
  </si>
  <si>
    <t xml:space="preserve">Case Teaching Studies with the Use of Screencasting as a Supportive Element of Critical Thinking / Klimová, Nika [Autor, UKFFPVKIN, 50%] ; Lovászová, Gabriela [Autor, UKFFPVKIN, 50%] ; DIVAI 2020, 13 [21.09.2020-23.09.2020, Štúrovo, Slovensko]. – text. – [angličtina]. – [OV 160]. – [abstrakt z podujatia - KP]. – WOS CC In: DIVAI 2020 [textový dokument (print)] [elektronický dokument] : 13th International Scientific Conference on Distance Learning in Applied Informatics, Štúrovo September 21-23, 2020 / Turčáni, Milan [Zostavovateľ, editor] ; Balogh, Zoltán [Zostavovateľ, editor] ; Munk, Michal [Zostavovateľ, editor] ; Magdin, Martin [Zostavovateľ, editor] ; Benko, Ľubomír [Zostavovateľ, editor]. – 1. vyd. – Roč. 13. – Praha (Česko) : Wolters Kluwer. Wolters Kluwer ČR, 2020. – ISBN 978-80-7598-841-6. – ISSN 2464-7470. – ISSN (online) 2464-7489, s. 363-372 [tlačená forma] [online] </t>
  </si>
  <si>
    <t xml:space="preserve">Cechy a ich artikuly za vlády Márie Terézie na príklade slobodného kráľovského mesta Trnavy. Vydávanie panovníckych privilegiálnych listín pre organizácie remeselníkov a obchodníkov v mestách v bývalom Uhorsku v rokoch 1740-1780 / Tandlich, Tomáš [Autor, UKFFFAKHI, 100%] ; Glejtek, Miroslav [Recenzent] ; Graus, Igor [Recenzent] ; Mária Terézia a jej doba vo svetle pomocných vied historických [07.09.2017, Bratislava, Slovensko]. – [slovenčina]. – [OV 030]. – [abstrakt z podujatia - KP] In: Mária Terézia a jej doba vo svetle pomocných vied historických [textový dokument (print)] : zborník príspevkov z vedeckej konferencie s medzinárodnou účasťou  pri príležitosti 300. výročia narodenia Márie Terézie, Bratislava 7.9.2017 / Némethová, Silvia [Zostavovateľ, editor]. – 1. vyd. – Bratislava (Slovensko) : Univerzitná knižnica v Bratislave, 2018. – ISBN 978-80-89303-60-1, s. 84-101 </t>
  </si>
  <si>
    <t xml:space="preserve">Celebrity endorsement within digital games' commercials / Púchovská, Oľga [Autor, UKFFFAKMR, 50%] ; Mago, Zdenko [Autor, UCMFMKKDIH, 50%] ; Marketing identity 2018 [06.11.2018-07.11.2018, Smolenice, Slovensko]. – [angličtina]. – [OV 020]. – [abstrakt z podujatia - KP]. – [recenzované]. – WOS CC In: Marketing Identity [textový dokument (print)] : Digital Mirrors - part II. / Kusá, Alena [Zostavovateľ, editor] ; Zaušková, Anna [Zostavovateľ, editor] ; Rusňáková, Lenka [Zostavovateľ, editor]. – 1. vyd. – Trnava (Slovensko) : Univerzita sv. Cyrila a Metoda v Trnave. Fakulta masmediálnej komunikácie, 2018. – ISBN 978-80-8105-985-8. – ISSN 1339-5726, s. 153-167 [tlačená forma] </t>
  </si>
  <si>
    <t xml:space="preserve">Centrum a periféria optimalizovanej reality / Brezňan, Peter [Autor, UKFFFAULK, 100%] ; Estetika centra a periférie - centrum a periféria estetiky [23.10.2019-25.10.2019, Bratislava, Slovensko]. – text. – [slovenčina]. – [OV 020]. – [abstrakt z podujatia - KP] In: Estetika centra a periférie - centrum a periféria estetiky [textový dokument (print)] / Pašteková, Michaela [Zostavovateľ, editor] ; Brezňan, Peter [Zostavovateľ, editor] ; Jablonská, Beata [Recenzent] ; Komanická, Ivana [Recenzent]. – 1. vyd. – Bratislava (Slovensko) : Slovenská asociácia pre estetiku, 2020. – ISBN 978-80-972624-3-3, s. 134-143 [tlačená forma] </t>
  </si>
  <si>
    <t xml:space="preserve">Comparison and Evaluation Functionality of Smart Bracelets for Obtaining Physiological States / Francisti, Jan [Autor, UKFFPVKIN, 50%] ; Balogh, Zoltán [Autor, UKFFPVKIN, 50%] ; DIVAI 2020, 13 [21.09.2020-23.09.2020, Štúrovo, Slovensko]. – text. – [angličtina]. – [OV 160]. – [abstrakt z podujatia - KP]. – WOS CC In: DIVAI 2020 [textový dokument (print)] [elektronický dokument] : 13th International Scientific Conference on Distance Learning in Applied Informatics, Štúrovo September 21-23, 2020 / Turčáni, Milan [Zostavovateľ, editor] ; Balogh, Zoltán [Zostavovateľ, editor] ; Munk, Michal [Zostavovateľ, editor] ; Magdin, Martin [Zostavovateľ, editor] ; Benko, Ľubomír [Zostavovateľ, editor]. – 1. vyd. – Roč. 13. – Praha (Česko) : Wolters Kluwer. Wolters Kluwer ČR, 2020. – ISBN 978-80-7598-841-6. – ISSN 2464-7470. – ISSN (online) 2464-7489, s. 509-519 [tlačená forma] [online] </t>
  </si>
  <si>
    <t xml:space="preserve">Comparison of the Learning Outcomes and the usage of the E-course by Students through Residual Analysis / Obonya, Juraj [Autor, UKFFPVKIN, 50%] ; Kapusta, Jozef [Autor, UKFFPVKIN, 50%] ; DIVAI 2020, 13 [21.09.2020-23.09.2020, Štúrovo, Slovensko]. – text. – [angličtina]. – [OV 160]. – [abstrakt z podujatia - KP]. – WOS CC In: DIVAI 2020 [textový dokument (print)] [elektronický dokument] : 13th International Scientific Conference on Distance Learning in Applied Informatics, Štúrovo September 21-23, 2020 / Turčáni, Milan [Zostavovateľ, editor] ; Balogh, Zoltán [Zostavovateľ, editor] ; Munk, Michal [Zostavovateľ, editor] ; Magdin, Martin [Zostavovateľ, editor] ; Benko, Ľubomír [Zostavovateľ, editor]. – 1. vyd. – Roč. 13. – Praha (Česko) : Wolters Kluwer. Wolters Kluwer ČR, 2020. – ISBN 978-80-7598-841-6. – ISSN 2464-7470. – ISSN (online) 2464-7489, s. 543-552 [tlačená forma] [online] </t>
  </si>
  <si>
    <t xml:space="preserve">Comparison of two staining techniques of Oravka cock demen using specific markers by flow cytometry / Svoradová, Andrea [Autor, UKFFPVKZA, 16%] ; Kuželová, Lenka [Autor, 14%] ; Baláži, Andrej [Autor, 14%] ; Vašíček, Jaromír [Autor, 14%] ; Kulíková, Barbora [Autor, 14%] ; Makarevich, Alexander V. [Autor, 14%] ; Chrenek, Peter [Autor, SPUFBP01, 14%] ; Annual Meeting of DAGENE, 30 [29.05.2019-01.06.2019, Topolčianky, Slovensko]. – [angličtina]. – [OV 190]. – [abstrakt z podujatia - KP]. – [recenzované] In: Danubian animal genetic resources [textový dokument (print)] / [bez zostavovateľa] [Zostavovateľ, editor]. – 1. vyd. – č. 4. – Budapest (Maďarsko) : DAGENE, 2019. – ISSN 2498-5910, s. 84-90 [tlačená forma] </t>
  </si>
  <si>
    <t xml:space="preserve">Consumer behavior at the food market : case study of the Slovak Republic / Madudová, Emília [Autor, ZUZPEDKSP, 50%] ; Máliková, Barbora [Autor, UKFFPVKCH, 50%] ; Rozvoj euroregiónu Beskydy, 12 [19.10.2018, Žilina, Slovensko]. – [slovenčina]. – [OV 080]. – [abstrakt z podujatia - KP]. – [recenzované] In: Rozvoj Euroregiónu Beskydy XII [textový dokument (print)] : kreatívne a inovatívne riešenia v podmienkach digitálnej ekonomiky : zborník z medzinárodnej vedeckej konferencie / Štofko, Stanislav [Zostavovateľ, editor] ; Šoltés, Viktor [Zostavovateľ, editor]. – 1. vyd. – Žilina (Slovensko) : Žilinská univerzita v Žiline, 2018. – ISBN 978-80-554-1502-4, s. 133-142 </t>
  </si>
  <si>
    <t xml:space="preserve">Consumer Shopping Behavior in the Town of Žilina / Trembošová, Miroslava [Autor, UKFFPVKGR, 80%] ; Dubcová, Alena [Autor, UKFFPVKGR, 10%] ; Nagyová, Ľudmila [Autor, SPUFEM16, 10%] ; Andrejovská, Alena [Recenzent] ; Babayan, David [Recenzent] ; International Scientific Days 2018 [16.05.2018-17.05.2018, Nitra, Slovensko]. – text. – [angličtina]. – [OV 080]. – [abstrakt z podujatia - KP]. – DOI 10.15414/isd2018.s2-1.15 In: International Scientific Days 2018 [elektronický dokument] : “Towards Productive, Sustainable and Resilient Global Agriculture and Food Systems.” Conference Proceedings, Nitra May 16-17, 2018 / Horská, Elena [Zostavovateľ, editor] ; Kapsdorferová, Zuzana [Zostavovateľ, editor] ; Hallová, Marcela [Zostavovateľ, editor]. – 1. vyd. – Praha (Česko) : Wolters Kluwer. Wolters Kluwer ČR, 2018. – ISBN 978-80-7598-180-6, s. 493-508 [online] </t>
  </si>
  <si>
    <t xml:space="preserve">Contexts of Changes in Culture and Identity of Lower Land Slovaks / Čukan, Jaroslav [Autor, UKFFFAKMK, 50%] ; Michalík, Boris [Autor, UKFFFAKMK, 50%] ; Stredoeurópske súvislosti národnostného vývoja na začiatku 21. storočia [15.11.2018, Košice, Slovensko]. – text. – [angličtina]. – [OV 020]. – [abstrakt z podujatia - KP] In: Central European Connections in National Minorities' Development at the Beginning of 21. Century [textový dokument (print)] : The proceedings of the International Scientific Conference of the scientific project APVV-15-0745 Trends in the Development of Ethnic Relations in Slovakia  (Comparative Research of Ethnic Issue between 2004 and 2020) – (TESS2) / Kacerová, Barbara [Zostavovateľ, editor] ; Šutaj, Štefan [Zostavovateľ, editor] ; Šutajová, Jana [Zostavovateľ, editor] ; Štempien, Erik [Recenzent] ; Gajdoš, Marián [Recenzent]. – 1. vyd. – Prešov (Slovensko) : Vydavateľstvo Universum EU, 2019. – ISBN 978-80-89946-11-2. – sign UPJS FSEP 010750. – SAF F 138813, s. 165-175 </t>
  </si>
  <si>
    <t xml:space="preserve">Contrastive analysis in teaching English pronunciation / Kissová, Oľga [Autor, UKFPFAKLI, 100%] ; Inovatívne trendy v odborových didaktikách [21.11.2018, Nitra, Slovensko]. – text. – [slovenčina]. – [OV 010]. – [abstrakt z podujatia - KP] In: Inovatívne trendy v odborových didaktikách [textový dokument (print)] : prepojenie teórie a praxe výučbových stratégií kritického a tvorivého myslenia : zborník štúdií z medzinárodnej vedeckej konferencie, Nitra 21. november 2018 / Duchovičová, Jana [Zostavovateľ, editor] ; Hošová, Dominika [Zostavovateľ, editor] ; Koleňáková, Rebeka Štefánia [Zostavovateľ, editor] ; Bílek, Martin [Recenzent] ; Komora, Juraj [Recenzent]. – 1. vyd. – Nitra (Slovensko) : Univerzita Konštantína Filozofa v Nitre, 2019. – ISBN 978-80-558-1408-7, s. 573-587 [tlačená forma] </t>
  </si>
  <si>
    <t xml:space="preserve">Contribution to the Stepwise Transient Method / Malinarič, Svetozár [Autor, UKFFPVKFY, 50%] ; Dieška, Peter [Autor, 036000, 50%] ; Thermophysics 2018, 23 [07.11.2018-09.11.2018, Smolenice, Slovensko]. – text. – [angličtina]. – [OV 091]. – [abstrakt z podujatia - KP]. – DOI 10.1063/1.5047622. – WOS CC In: Thermophysics 2018 [elektronický dokument] : proceedings : 23rd International Meeting of Thermophysics / Trník, Anton [Zostavovateľ, editor] ; Matiašovský, Peter [Zostavovateľ, editor] ; Medveď, Igor [Zostavovateľ, editor]. – 1 vyd. – Melwille (USA) : American Institute of Physics . AIP Publishing, 2018. – (AIP Conference Proceedings, ISSN 0094-243X, ISSN 1551-7616 ; Volume 1988, SJR: 0,182 ; CiteScore: 0,5 ; SNIP: 0,377). – ISBN 978-0-7354-1704-5, s. 1-7 [online] </t>
  </si>
  <si>
    <t xml:space="preserve">Cooperation in teaching and learning analytic geometry / Šovčíková, Petronela [Autor, UKFFPVKMA, 100%] ; APLIMAT 2018, 17 [06.02.2018-08.02.2018, Bratislava, Slovensko]. – text. – [angličtina]. – [OV 240]. – [abstrakt z podujatia - KP] In: Aplimat 2018 [elektronický dokument] : 17th conference on Aplied mathematics proceedings / Szarková, Dagmar [Zostavovateľ, editor] ; Richtáriková, Daniela [Zostavovateľ, editor] ; Letavaj, Peter [Zostavovateľ, editor] ; Gabková, Jana [Zostavovateľ, editor] ; Baicoianu, Alexandra [Recenzent] ; Bruni, Fabio [Recenzent]. – 1. vyd. – Bratislava (Slovensko) : Slovenská technická univerzita v Bratislave, 2018. – ISBN 978-80-227-4765-3, s. 184-196 [USB kľúč] </t>
  </si>
  <si>
    <t xml:space="preserve">Cooperation of firms and secondary vocational schools in the area of enterpreneurial - economic skills (case study) / Papcunová, Viera [Autor, UKFFPVUMI, 80%] ; Vöröšová, Daniela [Autor, 20%] ; The Poprad economic and management forum 2019, 2 [17.10.2019-18.10.2019, Poprad, Slovensko]. – [angličtina]. – [OV 010]. – [abstrakt z podujatia - KP]. – WOS CC In: The Poprad economic and management forum 2019 [textový dokument (print)] : conference proceedings from international scientific conference / Madzík, Peter [Zostavovateľ, editor]. – 1 vyd. – Ružomberok (Slovensko) : Katolícka univerzita v Ružomberku. VERBUM - vydavateľstvo KU, 2019. – ISBN 978-80-561-0671-6. – SIGN-KU A 0.5/423, s. 190-199 [tlačená forma] </t>
  </si>
  <si>
    <t xml:space="preserve">Correlation of message understanding and perceived fluency / Kleman, Peter [Autor, UKFFFAKAA, 100%] ; 1st Nitra Postgraduate Conference in English Studies [24.10.2019, Nitra, Slovensko]. – text. – [angličtina]. – [OV 020]. – [abstrakt z podujatia - KP] In: 1st Nitra Postgraduate Conference in English Studies: Trends and Perspectives [textový dokument (print)] : conference proceedings / Ondrušeková, Judita [Zostavovateľ, editor] ; Gadušová, Zdenka [Recenzent] ; Miššíková, Gabriela [Recenzent]. – 1. vyd. – Praha (Česko) : Verbum, 2020. – ISBN 978-80-87800-65-2, s. 58-69 [tlačená forma] </t>
  </si>
  <si>
    <t xml:space="preserve">Creation of Personalized Learning Courses in Adaptive LMS / Mudrák, Marián [Autor, UKFFPVKIN, 34%] ; Turčáni, Milan [Autor, UKFFPVKIN, 33%] ; Burianová, Mária [Autor, UKFFPVKIN, 33%] ; DIVAI 2018, 12 [02.05.2018-04.05.2018, Štúrovo, Slovensko]. – text. – [angličtina]. – [OV 160]. – [abstrakt z podujatia - KP]. – [recenzované]. – WOS CC In: DIVAI 2018 [textový dokument (print)] [elektronický dokument] : 12th International Scientific Conference on Distance Learning in Applied Informatics / Turčáni, Milan [Zostavovateľ, editor] ; Balogh, Zoltán [Zostavovateľ, editor] ; Munk, Michal [Zostavovateľ, editor] ; Kapusta, Jozef [Zostavovateľ, editor] ; Benko, Ľubomír [Zostavovateľ, editor]. – 1. vyd. – Praha (Česko) : Wolters Kluwer, 2018. – ISBN 978-80-7598-059-5. – ISSN 2464-7470. – ISSN (online) 2464-7489, s. 117-128 [online] [tlačená forma] </t>
  </si>
  <si>
    <t xml:space="preserve">Creation of Territorial Identity in the Chorvátsky Grob Municipality / Nemčíková, Magdaléna [Autor, UKFFPVKGR, 30%] ; Kišová, Veronika [Autor, 30%] ; Krogmann, Alfred [Autor, UKFFPVKGR, 20%] ; Veselovský, Ján [Autor, 20%] ; Geografické aspekty stredoeurópskeho priestoru, 26 [10.10.2018-11.10.2018, Nitra, Slovensko]. – text. – [angličtina]. – [OV 092]. – [článok z podujatia]. – [recenzované]. – DOI 10.17846/GI.2018.22.1.360-369. – WOS CC In: Geografické informácie [textový dokument (print)] [elektronický dokument] . – Nitra (Slovensko) : Univerzita Konštantína Filozofa v Nitre. – ISSN 1337-9453. – Roč. 22, č. 1 (2018), s. 360-369 [tlačená forma] [online] </t>
  </si>
  <si>
    <t xml:space="preserve">Creative Use of Mathematical Strategies in Proofs in Undergraduate Calculus / Varga, Marek [Autor, UKFFPVKMA, 50%] ; Naštická, Zuzana [Autor, UKFFPVKMA, 50%] ; Baicoianu, Alexandra [Recenzent] ; Fabio, Bruni [Recenzent] ; APLIMAT 2018, 17 [06.02.2018-08.02.2018, Bratislava, Slovensko]. – text. – [angličtina]. – [OV 010]. – [abstrakt z podujatia - KP] In: Aplimat 2018 [elektronický dokument] : 17th conference on Aplied mathematics proceedings / Szarková, Dagmar [Zostavovateľ, editor] ; Richtáriková, Daniela [Zostavovateľ, editor] ; Letavaj, Peter [Zostavovateľ, editor] ; Gabková, Jana [Zostavovateľ, editor]. – 1. vyd. – Bratislava (Slovensko) : Slovenská technická univerzita v Bratislave, 2018. – ISBN 978-80-227-4765-3, s. 1083-1089 [USB kľúč] </t>
  </si>
  <si>
    <t xml:space="preserve">Creative Warm - UPS and time fillers for a successful class / Pauliková, Klaudia [Autor, UKFPFAKLI, 100%] ; Kmeťová, Jarmila [Recenzent] ; Bírová, Jana [Recenzent] ; Inovatívne trendy v odborových didaktikách v kontexte požiadaviek praxe [13.11.2017-14.11.2017, Nitra, Slovensko]. – text. – [slovenčina]. – [OV 010]. – [abstrakt z podujatia - KP] In: Inovatívne trendy v odborových didaktikách v kontexte požiadaviek praxe [elektronický dokument] : zborník štúdií z medzinárodnej vedeckej konferencie / Duchovičová, Jana [Zostavovateľ, editor] ; Gunišová, Denisa [Zostavovateľ, editor] ; Kozárová, Nina [Zostavovateľ, editor] ; Koleňáková, Rebeka Štefánia [Zostavovateľ, editor]. – 1. vyd. – Nitra (Slovensko) : Univerzita Konštantína Filozofa v Nitre. Pedagogická fakulta UKF, 2018. – ISBN 978-80-558-1277-9, s. 556-557 [online] </t>
  </si>
  <si>
    <t xml:space="preserve">Crisis Communication in the Creative Industries and its Staffing / Szabóová, Veronika [Autor, UKFFFAKMR, 100%] ; Marketing Identity 2019 [05.11.2019-06.11.2019, Smolenice, Slovensko]. – text. – [angličtina]. – [OV 060]. – [abstrakt z podujatia - KP] In: Marketing Identity 2019 [elektronický dokument] : Offline Is the New Online - aktuálne výzvy onlinovej a offlinovej komunikácie / Čábyová, Ľudmila [Zostavovateľ, editor] ; Bezáková, Zuzana [Zostavovateľ, editor] ; Mendelová, Dáša [Zostavovateľ, editor]. – 1. vyd. – Trnava (Slovensko) : Univerzita sv. Cyrila a Metoda v Trnave. Fakulta masmediálnej komunikácie, 2019. – ISBN (online) 978-80-572-0039-0, s. 335-352 [online] </t>
  </si>
  <si>
    <t xml:space="preserve">Critical Analysis of the EU's Legal Framework for Addressing the Problem of Forced Marriage / Kocina, Petr [Autor, UKFFFAKAE 06.2022, 100%] ; Köverová, Estera [Recenzent] ; Vaško, Lukáš [Recenzent] ; Sexuality, 10 [09.11.2017-10.11.2017, Bratislava, Slovensko]. – text. – [angličtina]. – [OV 020]. – [abstrakt z podujatia - KP] In: Sexuality X [elektronický dokument] : recenzovaný zborník príspevkov z medzinárodnej vedeckej konferencie Sexuality / Fúsková, Jana [Zostavovateľ, editor] ; Hargašová, Lucia [Zostavovateľ, editor]. – 1. vyd. – Bratislava (Slovensko) : Slovenská akadémia vied. Pracoviská SAV. Ústav výskumu sociálnej komunikácie, 2018. – ISBN 978-80-970234-7-8. – ISBN (online) 978-80-970234-8-5. – TUTPFSPD signatúra E073230, s. 36-53 [online] </t>
  </si>
  <si>
    <t xml:space="preserve">Cudzojazyčné vzdelávanie v kontexte multikulturalizmu / Záhumenská, Lucia [Autor, UKFFFAKMK, 50%] ; Molnárová, Andrea [Autor, UKFFFAKMK, 50%] ; Interkultúrna edukácia v prostredí vysokých škôl [27.09.2018, Košice, Slovensko]. – text. – [slovenčina]. – [OV 060]. – [abstrakt z podujatia - KP] In: Interkultúrna edukácia v prostredí vysokých škôl [elektronický dokument] : zborník recenzovaných vedeckých prác s medzinárodnou účasťou / Hrehová, Daniela [Zostavovateľ, editor] ; Janošková, Mária Ria [Zostavovateľ, editor]. – 1. vyd. – Košice (Slovensko) : Technická univerzita v Košiciach, 2018. – ISBN 978-80-553-2797-6, s. 119-124 [CD-ROM] </t>
  </si>
  <si>
    <t xml:space="preserve">Current Discourse on Migration in Select Slovak Online Media : Topical Analysis in the Context of European Union and V4 Countries / Štrbová, Edita [Autor, UKFFFAKMR, 50%] ; Púchovská, Oľga [Autor, UKFFFAKMR, 50%] ; Marketing identity 2018 [06.11.2018-07.11.2018, Smolenice, Slovensko]. – text. – [angličtina]. – [OV 060]. – [abstrakt z podujatia - KP]. – WOS CC In: Marketing Identity [textový dokument (print)] : Digital Mirrors - part II. / Kusá, Alena [Zostavovateľ, editor] ; Zaušková, Anna [Zostavovateľ, editor] ; Rusňáková, Lenka [Zostavovateľ, editor]. – 1. vyd. – Trnava (Slovensko) : Univerzita sv. Cyrila a Metoda v Trnave. Fakulta masmediálnej komunikácie, 2018. – ISBN 978-80-8105-985-8. – ISSN 1339-5726, s. 195-207 [tlačená forma] </t>
  </si>
  <si>
    <t xml:space="preserve">Customer Service Staff and Their Approach to Claim Solving / Korenková, Marcela [Autor, UKFFPVUMI, 100%] ; The Poprad economic and management forum 2019, 2 [17.10.2019-18.10.2019, Poprad, Slovensko]. – text. – [angličtina]. – [OV 060]. – [abstrakt z podujatia - KP]. – WOS CC In: The Poprad economic and management forum 2019 [textový dokument (print)] : conference proceedings from international scientific conference / Madzík, Peter [Zostavovateľ, editor]. – 1 vyd. – Ružomberok (Slovensko) : Katolícka univerzita v Ružomberku. VERBUM - vydavateľstvo KU, 2019. – ISBN 978-80-561-0671-6. – SIGN-KU A 0.5/423, s. 302-310 [tlačená forma] </t>
  </si>
  <si>
    <t xml:space="preserve">Čítanie s porozumením a gramatická kompetencia žiakov stredných škôl = Reading comprehension and grammar competence of secondary school students / Stranovská, Eva [Autor, UKFFFAKGE, 50%] ; Havettová, Romana [Autor, 50%] ; Cudzie jazyky v premenách času, 11 [06.11.2020, Bratislava, Slovensko]. – text. – [slovenčina]. – [OV 010]. – [ŠO 7605]. – [abstrakt z podujatia - KP] In: Cudzie jazyky v premenách času 11 [elektronický dokument] : recenzovaný zborník príspevkov z medzinárodnej vedeckej konferencie / Kvapil, Roman [Zostavovateľ, editor]. – 1. vyd. – Roč. 11. – Bratislava (Slovensko) : Ekonomická univerzita v Bratislave. Celouniverzitné pracovisko EUBA. Vydavateľstvo EKONÓM, 2021. – ISBN 978-80-225-4823-6, s. 339-349 [CD-ROM] [online] </t>
  </si>
  <si>
    <t xml:space="preserve">Čítanie s porozumením vo vyučovaní cudzieho jazyka prostredníctvom pragmalingvistickej typológie = Read-ing comprehension in foreign language teaching through pragmalinguistic typology / Szabó, Erzsébet [Autor, UKFFFAKGE, 50%] ; Stranovská, Eva [Autor, UKFFFAKGE, 50%] ; Cudie jazyky v premenách času, 10 [08.11.2019, Bratislava, Slovensko]. – text. – [slovenčina]. – [OV 020]. – [abstrakt z podujatia - KP] In: Cudzie jazyky v premenách času [elektronický dokument] : recenzovaný zborník príspevkov z medzinárodnej vedeckej konferencie / Kvapil, Roman [Zostavovateľ, editor] ; Adamcová, Lívia [Recenzent] ; Breveníková, Daniela [Recenzent] ; Lišková, Danuša [Recenzent]. – 1. vyd. – Roč. 10. – Bratislava (Slovensko) : Ekonomická univerzita v Bratislave. Celouniverzitné pracovisko EUBA. Vydavateľstvo EKONÓM, 2020. – ISBN 978-80-225-4710-9, s. 486-497 [CD-ROM] [online] </t>
  </si>
  <si>
    <t xml:space="preserve">Čítanie v cudzom jazyku a informačné správanie : výzvy pre čitateľa digitálnej doby = Foreign language reading and information behavior: challenges for the digital reader / Ficzere, Anikó [Autor, UKFFSSKCR, 100%] ; Cudzie jazyky v premenách času, 11 [06.11.2020, Bratislava, Slovensko]. – text. – [slovenčina]. – [OV 020]. – [abstrakt z podujatia - KP] In: Cudzie jazyky v premenách času 11 [elektronický dokument] : recenzovaný zborník príspevkov z medzinárodnej vedeckej konferencie / Kvapil, Roman [Zostavovateľ, editor]. – 1. vyd. – Roč. 11. – Bratislava (Slovensko) : Ekonomická univerzita v Bratislave. Celouniverzitné pracovisko EUBA. Vydavateľstvo EKONÓM, 2021. – ISBN 978-80-225-4823-6, s. 245-253 [CD-ROM] [online] </t>
  </si>
  <si>
    <t xml:space="preserve">Čitateľská gramotnosť ako jedna z najdôležitejších kľúčových kompetencií pre úspech na trhu práce / Gergelyová, Viktória [Autor, UKFFSSUML, 100%] ; Odborný cudzí jazyk: teória a prax [18.12.2020, Nitra, Slovensko]. – text. – [angličtina]. – [OV 010]. – [abstrakt z podujatia - KP] In: Odborný cudzí jazyk: teória a prax [textový dokument (print)] : zborník z medzinárodnej vedeckej konferencie / Zelenická, Elena [Zostavovateľ, editor] ; Timárová, Daniela [Recenzent] ; Kulíková, Terézia [Recenzent]. – 1. vyd. – Nitra (Slovensko) : Univerzita Konštantína Filozofa v Nitre. Filozofická fakulta, 2020. – ISBN 978-80-558-1608-1, s. 44-54 [tlačená forma] </t>
  </si>
  <si>
    <t xml:space="preserve">Čo vidíš na obrázku alebo čo môžeš urobiť s obrázkom? : What do you see in the picture or what can you do with the picture? / Horváthová, Ivana [Autor, UKFFFAKAA, 100%] ; Štefančík, Radoslav [Recenzent] ; Kvapil, Roman [Recenzent] ; Cudzie jazyky v premenách času, 8 [10.11.2017, Bratislava, Slovensko]. – text. – [angličtina]. – [OV 020]. – [abstrakt z podujatia - KP] In: Cudzie jazyky v premenách času 8 [elektronický dokument] : recenzovaný zborník príspevkov z medzinárodnej vedeckej konferencie, Bratislava 10. november 2017 / Kvapil, Roman [Zostavovateľ, editor]. – 1. vyd. – Roč. 8. – Bratislava (Slovensko) : Ekonomická univerzita v Bratislave. Celouniverzitné pracovisko EUBA. Vydavateľstvo EKONÓM, 2018. – ISBN 978-80-225-4492-4, s. 275-282 [CD-ROM] </t>
  </si>
  <si>
    <t xml:space="preserve">Daniel Lichard a ustaľovanie spisovnej slovenčiny / Nemčeková, Jana [Autor, UKFFFASJL, 100%] ; Kolokvium mladých jazykovedcov, 28 [20.11.2019-22.11.2019, Nitra, Slovensko]. – text. – [slovenčina]. – [OV 020, 010]. – [abstrakt z podujatia - KP] In: Varia 28 [elektronický dokument] : zborník príspevkov z 28. kolokvia mladých jazykovedcov / Nemčeková, Jana [Zostavovateľ, editor] ; Petráš, Patrik [Zostavovateľ, editor] ; Krško, Jaromír [Recenzent] ; Diweg-Pukanec, Martin [Recenzent]. – 1. vyd. – Nitra (Slovensko) : Univerzita Konštantína Filozofa v Nitre, 2020. – ISBN 978-80-558-1632-6, s. 161-164 [online] </t>
  </si>
  <si>
    <t xml:space="preserve">Data processing methods in the development of the microlearning-based framework for teaching programming languages / Skalka, Ján [Autor, UKFFPVKIN, 100%] ; DIVAI 2018, 12 [02.05.2018-04.05.2018, Štúrovo, Slovensko]. – text. – [angličtina]. – [OV 160]. – [abstrakt z podujatia - KP]. – [recenzované]. – WOS CC In: DIVAI 2018 [textový dokument (print)] [elektronický dokument] : 12th International Scientific Conference on Distance Learning in Applied Informatics / Turčáni, Milan [Zostavovateľ, editor] ; Balogh, Zoltán [Zostavovateľ, editor] ; Munk, Michal [Zostavovateľ, editor] ; Kapusta, Jozef [Zostavovateľ, editor] ; Benko, Ľubomír [Zostavovateľ, editor]. – 1. vyd. – Praha (Česko) : Wolters Kluwer, 2018. – ISBN 978-80-7598-059-5. – ISSN 2464-7470. – ISSN (online) 2464-7489, s. 503-512 [online] [tlačená forma] </t>
  </si>
  <si>
    <t xml:space="preserve">Deconstructing walls of otherness in James Ragan's hunger wall / Tabačková, Zuzana [Autor, UKFPFAKLI, 100%] ; Albu, Rodica [Recenzent] ; Javorčíková, Jana [Recenzent] ; Skúsenosť inakosti [13.09.2018, Banská Bystrica, Slovensko]. – text. – [angličtina]. – [OV 020]. – [abstrakt z podujatia - KP] In: Skúsenosť inakosti [elektronický dokument] : osobná a politická identita v kultúre, literatúre, preklade a humanitných vedách : recenzovaný vedecký zborník príspevkov  z medzinárodnej konferencie konanej dňa 13. 9. 2018 na Katedre anglistiky a amerikanistiky Filozofickej fakulty Univerzity Mateja Bela v Banskej Bystrici, Slovenská republika = personal and political identity and its reflection in culture, literature, translation and humanities / Javorčíková, Jana [Zostavovateľ, editor] ; Höhn, Eva [Zostavovateľ, editor]. – 1. vyd. – Bratislava (Slovensko) : Z-F LINGUA, 2018. – ISBN 978-80-8177-050-0, s. 157-172 [CD-ROM] </t>
  </si>
  <si>
    <t xml:space="preserve">Démonizácia nepriateľa v 21. storočí / Brhlíková, Radoslava [Autor, UKFFFAKPO, 100%] ; Liďák, Ján [Recenzent] ; Zavrl, Irena [Recenzent] ; Jazyk a politika, 3 [21.06.2018, Bratislava, Slovensko]. – text. – [slovenčina]. – [OV 060]. – [abstrakt z podujatia - KP]. – WOS CC In: Jazyk a politika [textový dokument (print)] : na pomedzí lingvistiky a politológie = between linguistics and political science / Štefančík, Radoslav [Zostavovateľ, editor]. – 1. vyd. – Roč. 3. – Bratislava (Slovensko) : Ekonomická univerzita v Bratislave. Celouniverzitné pracovisko EUBA. Vydavateľstvo EKONÓM, 2018. – ISBN 978-80-225-4528-0, s. 91-101 [tlačená forma] </t>
  </si>
  <si>
    <t xml:space="preserve">Design of experiments in the laboratory and the use of statistical methods for data analysis [Návrh experimentu v laboratóriu a použitie štatistických metód na analýzu dát] / Ballová, Dominika [Autor, 010220, 25%] ; Malá, Radka [Autor, UKFFPVKCH, 25%] ; Jenisová, Zita [Autor, UKFFPVKCH, 25%] ; Porubská, Mária [Autor, UKFFPVKCH, 25%] ; APLIMAT 2019, 18 [05.02.2019-07.02.2019, Bratislava, Slovensko]. – [angličtina]. – [OV 240]. – [abstrakt z podujatia - KP]. – SCO In: Aplimat 2019 [elektronický dokument] : 18th conference on Applied mathematics proceedings / Szarková, Dagmar [Zostavovateľ, editor] ; Richtáriková, Daniela [Zostavovateľ, editor] ; Letavaj, Peter [Zostavovateľ, editor] ; Caranti, Andrea [Recenzent] ; Chvalina, Jan [Recenzent]. – 1. vyd. – Bratislava (Slovensko) : Slovenská technická univerzita v Bratislave, 2019. – ISBN 978-80-227-4884-1, s. 782-792 [USB kľúč] </t>
  </si>
  <si>
    <t xml:space="preserve">Design of non - routine problems in training of future primary school teachers with emphasion on application / Rumanová, Lucia [Autor, UKFFPVKMA, 50%] ; Bočková, Veronika [Autor, UKFFPVKMA, 50%] ; APLIMAT 2019, 18 [05.02.2019-07.02.2019, Bratislava, Slovensko]. – text. – [angličtina]. – [OV 240, 010]. – [abstrakt z podujatia - KP]. – SCO In: Aplimat 2019 [elektronický dokument] : 18th conference on Applied mathematics proceedings / Szarková, Dagmar [Zostavovateľ, editor] ; Richtáriková, Daniela [Zostavovateľ, editor] ; Letavaj, Peter [Zostavovateľ, editor] ; Caranti, Andrea [Recenzent] ; Chvalina, Jan [Recenzent]. – 1. vyd. – Bratislava (Slovensko) : Slovenská technická univerzita v Bratislave, 2019. – ISBN 978-80-227-4884-1, s. 1017-1030 [USB kľúč] </t>
  </si>
  <si>
    <t xml:space="preserve">Design of the Textbook for Environmental Geography / Strišková, Michaela [Autor, 50%] ; Oremusová, Daša [Autor, UKFFPVKGR, 50%] ; Geografické aspekty stredoeurópskeho priestoru, 26 [10.10.2018-11.10.2018, Nitra, Slovensko]. – text. – [angličtina]. – [OV 092]. – [článok z podujatia]. – [recenzované]. – DOI 10.17846/GI.2018.22.1.469-484. – WOS CC In: Geografické informácie [textový dokument (print)] [elektronický dokument] . – Nitra (Slovensko) : Univerzita Konštantína Filozofa v Nitre. – ISSN 1337-9453. – Roč. 22, č. 1 (2018), s. 469-484 [tlačená forma] [online] </t>
  </si>
  <si>
    <t xml:space="preserve">Design Thinking - The Method of Fostering Creative Thinking and Teamworkin Teaching Tourism Product Development / Sándorová, Zuzana [Autor, UKFFSSKCR, 80%] ; Repáňová, Terézia [Autor, UKFFSSKCR, 10%] ; Palenčíková, Zuzana [Autor, UKFFSSKCR, 10%] ; Inovatívne vzdelávacie metódy [09.09.2018, Bratislava, Slovensko]. – text. – [angličtina]. – [OV 080]. – [abstrakt z podujatia - KP] In: Inovatívne vzdelávacie metódy [textový dokument (print)] : motivácia lektorov a študentov : školská reforma zdola : zborník z medzinárodnej konferencie = Education - Motivation - Innovation / Nekolová, Veronika [Zostavovateľ, editor] ; Jarossová, Malgorzata Agnieszka [Recenzent] ; Veszprémi Sirotková, Anna [Recenzent]. – 1. vyd. – Bratislava  (Slovensko) : Academic Business Centrum, 2018. – ISBN 978-80-972600-2-6, s. 46-52 [tlačená forma] </t>
  </si>
  <si>
    <t xml:space="preserve">Determinanty adaptácie žiakov na začiatku školskej dochádzky / Teleková, Radka [Autor, UKFPFAKPE, 100%] ; Juvenilia Paedagogica 2021 [12.02.2021, Trnava, Slovensko]. – [slovenčina]. – [OV 010]. – [abstrakt z podujatia - KP]. – TRUNI ohlas E086130 In: Juvenilia Paedagogica 2021 [elektronický dokument] : aktuálne teoretické a výskumné otázky pedagogiky v konceptoch dizertačných prác doktorandov : zborník príspevkov z konferencie s medzinárodnou účasťou konanej dňa 12.02.2021 pod záštitou dekanky Pedagogickej fakulty / Rajský, Andrej [Zostavovateľ, editor] ; Lechta, Viktor [Recenzent] ; Kudláčová, Blanka [Recenzent]. – 1. vyd. – Trnava (Slovensko) : Trnavská univerzita v Trnave, 2021. – ISBN 978-80-568-0248-9. – TUTPFKPS signatúra E086130, s. 191-196 [CD-ROM] </t>
  </si>
  <si>
    <t xml:space="preserve">Determinanty odborného rastu pedagogických zamestnancov v intenciách profesijného vzdelávania / Onušková, Mária [Autor, UKFPFAKPE, 100%] ; EDUCA 16, 16 [29.04.2021, Nitra, Slovensko]. – text. – [slovenčina]. – [OV 010]. – [abstrakt z podujatia - KP] In: EDUCA 16 [textový dokument (print)] : edukácia - kľúč k úspechu. Zborník príspevkov z 16. vedeckej  konferencie doktorandov s medzinárodnou účasťou, Nitra 29. apríl 2021 / Teleková, Radka [Zostavovateľ, editor] ; Koricina, Michal [Zostavovateľ, editor] ; Petlák, Erich [Recenzent] ; Krystoň, Miroslav [Recenzent]. – 1. vyd. – Nitra (Slovensko) : Univerzita Konštantína Filozofa v Nitre, 2021. – ISBN 978-80-558-1811-5, s. 116-127 [tlačená forma] </t>
  </si>
  <si>
    <t xml:space="preserve">Determinanty odchodu zamestnancov do starobného dôchodku z pohľadu personálneho manažmentu a sebariadenia / Pisoňová, Mária [Autor, UKFPFAKPE, 100%] ; SOCIALIA 2019, 23 [17.10.2019-18.10.2019, hotel Šachtička, Banská Bystrica, Slovensko]. – text. – [slovenčina]. – [OV 010, 060]. – [abstrakt z podujatia - KP] In: SOCIALIA 2019: "Quo vadis sociálna pedagogika v 21. storočí?" [textový dokument (print)] : zborník príspevkov z medzinárodnej vedeckej konferencie SOCIALIA 2019, ktorá sa konala v hoteli Šachtička pri Banskej Bystrici v dňoch 17. - 18. októbra 2019 Banská Bystrica 2019 / [bez zostavovateľa] [Zostavovateľ, editor] ; Határ, Ctibor [Recenzent] ; Radziewicz-Winnicki, Andrzej [Recenzent]. – 1. vyd. – Banská Bystrica (Slovensko) : Univerzita Mateja Bela v Banskej Bystrici. Vydavateľstvo Univerzity Mateja Bela v Banskej Bystrici - Belianum, 2019. – ISBN 978-80-557-1646-6, s. 312-318 [tlačená forma] </t>
  </si>
  <si>
    <t xml:space="preserve">Determinanty rodinného prostredia dieťaťa s postihnutím / Beliková, Vladimíra [Autor, UKFPFAKPE, 50%] ; Zelená, Hana [Autor, UKFPFAKPE, 50%] ; Poráčová, Janka [Recenzent] ; Zahatňanská, Mária [Recenzent] ; Osobnostný a sociálny rozvoj ako základ efektívnej prevencie v škole [09.11.2018, Košice, Slovensko]. – text. – [slovenčina]. – [OV 010]. – [abstrakt z podujatia - KP] In: Osobnostný a sociálny rozvoj ako základ efektívnej prevencie v škole [elektronický dokument] : konferenčný vedecký zborník recenzovaných štúdií s medzinárodnou účasťou / Račková, Mariana [Zostavovateľ, editor] ; Tkáčová, Renáta [Zostavovateľ, editor]. – 1. vyd. – Košice (Slovensko) : Technická univerzita v Košiciach, 2018. – ISBN 978-80-553-3203-1. – SIGN-TUKE 198948, s. 121-130 [CD-ROM] </t>
  </si>
  <si>
    <t xml:space="preserve">Developing agility in basketball = Rozvoj agility v basketbale / Horička, Pavol [Autor, UKFPFAKTV, 50%] ; Šimonek, Jaromír [Autor, UKFPFAKTV, 50%] ; Müller, Anetta [Recenzent] ; Biró, Melinda [Recenzent] ; Sport science in motion [17.05.2018-19.05.2018, Komárno, Slovensko]. – text. – [slovenčina]. – [OV 210]. – [abstrakt z podujatia - KP] In: Sport science in motion [elektronický dokument] : proceedings from the scientific conference, Komárno, May 17th – 19th, 2018 = recenzovaný zborník vedeckých a odborných prác z konferencie = válogatott tanulmánykötet – válogatott tanulmányok a tudományos konferenciáról / Šimonek, Jaromír [Zostavovateľ, editor] ; Dobay, Beáta [Zostavovateľ, editor]. – 1. vyd. – Komárno (Slovensko) : Univerzita J. Selyeho, 2018. – ISBN 978-80-8122-245-0, s. 91-103 [CD-ROM] </t>
  </si>
  <si>
    <t xml:space="preserve">Development of Critical Thinking in Education: A Case Study on Hoax Messages / Klimová, Nika [Autor, UKFFPVKIN, 50%] ; Lovászová, Gabriela [Autor, UKFFPVKIN, 50%] ; ICETA 2019, 17 [21.11.2019-22.11.2019, Starý Smokovec, Slovensko]. – text. – [angličtina]. – [OV 160, 010]. – [abstrakt z podujatia - KP]. – SCO In: ICETA 2019 [elektronický dokument] [textový dokument (print)] : 17th IEEE International conference on emerging elearning technologies and applications : Information and communication technologies in learning : proceedings / Jakab, František [Zostavovateľ, editor]. – 1. vyd. – Denver (USA) : Institute of Electrical and Electronics Engineers, 2019. – ISBN 978-1-7281-4967-7. – ISBN (online) 978-1-7281-4966-0, s. 396-402 [tlačená forma] [USB kľúč] </t>
  </si>
  <si>
    <t xml:space="preserve">Development of hard SKILLS and soft skills through competitive complex projects using BBC micro:bit / Klimová, Nika [Autor, UKFFPVKIN, 25%] ; Kvaššay, Miroslav [Autor, ZUZRIAKIN, 25%] ; Cápay, Martin [Autor, UKFFPVKIN, 25%] ; Bellayová, Magdaléna [Autor, 25%] ; DIVAI 2020, 13 [21.09.2020-23.09.2020, Štúrovo, Slovensko]. – text. – [angličtina]. – [OV 160]. – [abstrakt z podujatia - KP]. – WOS CC In: DIVAI 2020 [textový dokument (print)] [elektronický dokument] : 13th International Scientific Conference on Distance Learning in Applied Informatics, Štúrovo September 21-23, 2020 / Turčáni, Milan [Zostavovateľ, editor] ; Balogh, Zoltán [Zostavovateľ, editor] ; Munk, Michal [Zostavovateľ, editor] ; Magdin, Martin [Zostavovateľ, editor] ; Benko, Ľubomír [Zostavovateľ, editor]. – 1. vyd. – Roč. 13. – Praha (Česko) : Wolters Kluwer. Wolters Kluwer ČR, 2020. – ISBN 978-80-7598-841-6. – ISSN 2464-7470. – ISSN (online) 2464-7489, s. 119-128 [tlačená forma] [online] </t>
  </si>
  <si>
    <t xml:space="preserve">Development of University-Industry Centre of Biomedical and Medical Informatics / Kvaššay, Miroslav [Autor, ZUZRIAKIN, 25%] ; Klimová, Nika [Autor, UKFFPVKIN, 25%] ; Zaitseva, Elena [Autor, ZUZRIAKIN, 25%] ; Maceková, Denisa [Autor, ZUZRIAKIN, 25%] ; DIVAI 2020, 13 [21.09.2020-23.09.2020, Štúrovo, Slovensko]. – text. – [angličtina]. – [OV 160]. – [abstrakt z podujatia - KP]. – WOS CC In: DIVAI 2020 [textový dokument (print)] [elektronický dokument] : 13th International Scientific Conference on Distance Learning in Applied Informatics, Štúrovo September 21-23, 2020 / Turčáni, Milan [Zostavovateľ, editor] ; Balogh, Zoltán [Zostavovateľ, editor] ; Munk, Michal [Zostavovateľ, editor] ; Magdin, Martin [Zostavovateľ, editor] ; Benko, Ľubomír [Zostavovateľ, editor]. – 1. vyd. – Roč. 13. – Praha (Česko) : Wolters Kluwer. Wolters Kluwer ČR, 2020. – ISBN 978-80-7598-841-6. – ISSN 2464-7470. – ISSN (online) 2464-7489, s. 385-394 [tlačená forma] [online] </t>
  </si>
  <si>
    <t xml:space="preserve">Didaktická vybavenosť aktuálnych učebníc chémie / Gašperová, Emília [Autor, 33.334%] ; Jenisová, Zita [Autor, UKFFPVKCH, 33.333%] ; Braniša, Jana [Autor, UKFFPVKCH, 33.333%] ; Inovatívne trendy v odborových didaktikách [21.11.2018, Nitra, Slovensko]. – text. – [slovenčina]. – [OV 010]. – [abstrakt z podujatia - KP] In: Inovatívne trendy v odborových didaktikách [textový dokument (print)] : prepojenie teórie a praxe výučbových stratégií kritického a tvorivého myslenia : zborník štúdií z medzinárodnej vedeckej konferencie, Nitra 21. november 2018 / Duchovičová, Jana [Zostavovateľ, editor] ; Hošová, Dominika [Zostavovateľ, editor] ; Koleňáková, Rebeka Štefánia [Zostavovateľ, editor] ; Bílek, Martin [Recenzent] ; Komora, Juraj [Recenzent]. – 1. vyd. – Nitra (Slovensko) : Univerzita Konštantína Filozofa v Nitre, 2019. – ISBN 978-80-558-1408-7, s. 302-308 [tlačená forma] </t>
  </si>
  <si>
    <t xml:space="preserve">Didaktické prostriedky k vyučovaniu environmentálnych tém / Bilčíková, Jana [Autor, UKFPFAKTT, 100%] ; EDUCA 16, 16 [29.04.2021, Nitra, Slovensko]. – text. – [slovenčina]. – [OV 010]. – [abstrakt z podujatia - KP] In: EDUCA 16 [textový dokument (print)] : edukácia - kľúč k úspechu. Zborník príspevkov z 16. vedeckej  konferencie doktorandov s medzinárodnou účasťou, Nitra 29. apríl 2021 / Teleková, Radka [Zostavovateľ, editor] ; Koricina, Michal [Zostavovateľ, editor] ; Petlák, Erich [Recenzent] ; Krystoň, Miroslav [Recenzent]. – 1. vyd. – Nitra (Slovensko) : Univerzita Konštantína Filozofa v Nitre, 2021. – ISBN 978-80-558-1811-5, s. 8-17 [tlačená forma] </t>
  </si>
  <si>
    <t xml:space="preserve">Die Rolle des Sach-und Textsortenwissens beim Übersetzen von Rechtstexten = The role of legal knowledge and text linguistics in translating legal texts / Wrede, Oľga [Autor, UKFFFAKGE, 100%] ; Cudzie jazyky v premenách času, 9 [09.11.2018, Bratislava, Slovensko]. – text. – [nemčina]. – [OV 020]. – [abstrakt z podujatia - KP] In: Cudzie jazyky v premenách času 9 [elektronický dokument] : recenzovaný zborník príspevkov z medzinárodnej vedeckej konferencie = reviewed conference proceedings from an international scientific conference / Kvapil, Roman [Zostavovateľ, editor] ; Štefančík, Radoslav [Recenzent] ; Šajgalíková, Helena [Recenzent]. – 1. vyd. – Roč. 9. – Bratislava (Slovensko) : Ekonomická univerzita v Bratislave. Celouniverzitné pracovisko EUBA. Vydavateľstvo EKONÓM, 2019. – ISBN 978-80-225-4614-0, s. 541-554 [CD-ROM] </t>
  </si>
  <si>
    <t xml:space="preserve">Die Weiterbildung der Lehrpersonen und Evaluation ihrer Kompetenzen / Hockicková, Beáta [Autor, UKFFFAKGE, 50%] ; Žilová, Ružena [Autor, UKFFFAKGE, 50%] ; Müglová, Daniela [Recenzent] ; Borsuková, Hana [Recenzent] ; Synergien: 25 Jahre Germanistik und DAAD an der Philosoph Konstantin-Universität Nitra, 25 [27.04.2017-28.04.2017, Nitra, Slovensko]. – text. – [nemčina]. – [OV 020]. – [abstrakt z podujatia - KP] In: Synergien - 25 Jahre Germanistik und DAAD an der Philosoph Konstantin-Universität Nitra [textový dokument (print)] : Sammelband. Internationale wissenschaftliche Tagung / Krause, Daniel [Zostavovateľ, editor] ; Wrede, Oľga [Zostavovateľ, editor]. – 1. vyd. – Nitra (Slovensko) : Univerzita Konštantína Filozofa v Nitre, 2018. – ISBN 978-80-558-1305-9, s. 251-276 [tlačená forma] </t>
  </si>
  <si>
    <t xml:space="preserve">Diferencie v pohybovej aktivite, radosti z pohybu a kvalite života žiakov stredných škôl s rôznou športovou úrovňou / Broďáni, Jaroslav [Autor, UKFPFAKTV, 50%] ; Šiška, Ľuboslav [Autor, UKFPFAKTV, 50%] ; Müller, Anetta [Recenzent] ; Biró, Melinda [Recenzent] ; Sport science in motion [17.05.2018-19.05.2018, Komárno, Slovensko]. – text. – [slovenčina]. – [OV 210]. – [abstrakt z podujatia - KP] In: Sport science in motion [elektronický dokument] : proceedings from the scientific conference, Komárno, May 17th – 19th, 2018 = recenzovaný zborník vedeckých a odborných prác z konferencie = válogatott tanulmánykötet – válogatott tanulmányok a tudományos konferenciáról / Šimonek, Jaromír [Zostavovateľ, editor] ; Dobay, Beáta [Zostavovateľ, editor]. – 1. vyd. – Komárno (Slovensko) : Univerzita J. Selyeho, 2018. – ISBN 978-80-8122-245-0, s. 156-166 [CD-ROM] </t>
  </si>
  <si>
    <t xml:space="preserve">Differential scanning calorimetry and thermodilatometry study of mechanically activated kaolin-CaCO3 mixture with anorthite stoichiometry / Obert, Filip [Autor, UKFFPVKFY, 34%] ; Húlan, Tomáš [Autor, UKFFPVKFY, 33%] ; Trník, Anton [Autor, UKFFPVKFY, 33%] ; Central European Symposium on Thermophysics [16.10.2019-18.10.2019, Banská Bystrica, Slovensko]. – text. – [angličtina]. – [OV 091]. – [abstrakt z podujatia - KP]. – WOS CC ; SCO In: CEST 2019 [elektronický dokument] : proceedings of the Central European Symposium on Thermophysics 2019 / Trník, Anton [Zostavovateľ, editor] ; Medveď, Igor [Zostavovateľ, editor]. – 1 vyd. – Melville, NY (USA) : American Institute of Physics . AIP Publishing, 2019. – (AIP Conference Proceedings, ISSN 0094-243X, ISSN 1551-7616 ; Volume 2133, SJR: 0,19 ; CiteScore: 0,6 ; SNIP: 0,373). – ISBN 978-0-7354-1876-9, s. 1-6 [online] [tlačená forma] </t>
  </si>
  <si>
    <t xml:space="preserve">Differentiated approach to teaching foreign languages based on individual psychological variables / Chválová, Katarína [Autor, UKFFFAKRO, 50%] ; Stranovská, Eva [Autor, UKFFFAKGE, 50%] ; Štefančík, Radoslav [Recenzent] ; Kvapil, Roman [Recenzent] ; Cudzie jazyky v premenách času, 8 [10.11.2017, Bratislava, Slovensko]. – text. – [angličtina]. – [OV 010]. – [abstrakt z podujatia - KP] In: Cudzie jazyky v premenách času 8 [elektronický dokument] : recenzovaný zborník príspevkov z medzinárodnej vedeckej konferencie, Bratislava 10. november 2017 / Kvapil, Roman [Zostavovateľ, editor]. – 1. vyd. – Roč. 8. – Bratislava (Slovensko) : Ekonomická univerzita v Bratislave. Celouniverzitné pracovisko EUBA. Vydavateľstvo EKONÓM, 2018. – ISBN 978-80-225-4492-4, s. 299-315 [CD-ROM] </t>
  </si>
  <si>
    <t xml:space="preserve">Differentiation of approaches to guerilla marketing and its interactive use in the digital space / Balážiová, Iveta [Autor, UKFFFAKMR, 100%] ; Kusá, Alena [Recenzent] ; Pavlů, Dušan [Recenzent] ; Quo vadis massmedia, quo vadis marketing [19.04.2018, Trnava, Slovensko]. – text. – [angličtina]. – [OV 060]. – [abstrakt z podujatia - KP] In: Quo vadis massmedia, quo vadis marketing [elektronický dokument] : Conference Proceedings from the International Scientific Conference / Kusá, Alena [Zostavovateľ, editor] ; Pravdová, Hana [Zostavovateľ, editor] ; Zaušková, Anna [Zostavovateľ, editor]. – 1. vyd. – Trnava (Slovensko) : Univerzita sv. Cyrila a Metoda v Trnave. Fakulta masmediálnej komunikácie, 2018. – ISBN (online) 978-80-8105-973-5. – ISSN 2644-4534, s. 8-16 [online] </t>
  </si>
  <si>
    <t xml:space="preserve">Digitálna gramotnosť ako súčasť profesijného profilu učiteľov = Digital literacy as a part of the teacher professional profile / Hašková, Alena [Autor, UKFPFAKTT, 50%] ; Záhorec, Ján [Autor, UKOPDDPP, 50%] ; DIDMATTECH 2019, 32 [20.06.2019-21.06.2019, Trnava, Slovensko]. – text, tab. – [slovenčina]. – [OV 010]. – [abstrakt z podujatia - KP]. – SIGN-UKO PD DP/20 In: 32 DIDMATTECH 2019 [textový dokument (print)] [elektronický dokument] : New methods and technologies in education, Research and practice : International Scientific and Professional Conference Trnava, 20th – 21st June 2019 : proceedings / Stoffová, Veronika [Zostavovateľ, editor] ; Horváth, Roman [Zostavovateľ, editor]. – 1. vyd. – Trnava (Slovensko) : Trnavská univerzita v Trnave, 2019. – ISBN 978-80-568-0357-8. – ISBN (online) 978-80-568-0398-1. – TUTPFKMI signatúra E078334, s. 1-7 [tlačená forma] [online] </t>
  </si>
  <si>
    <t xml:space="preserve">Digitálne rodičovstvo v 21. storočí / Židová, Monika [Autor, UKFPFAKPE, 100%] ; EDUCA 16, 16 [29.04.2021, Nitra, Slovensko]. – text. – [slovenčina]. – [OV 010]. – [abstrakt z podujatia - KP] In: EDUCA 16 [textový dokument (print)] : edukácia - kľúč k úspechu. Zborník príspevkov z 16. vedeckej  konferencie doktorandov s medzinárodnou účasťou, Nitra 29. apríl 2021 / Teleková, Radka [Zostavovateľ, editor] ; Koricina, Michal [Zostavovateľ, editor] ; Petlák, Erich [Recenzent] ; Krystoň, Miroslav [Recenzent]. – 1. vyd. – Nitra (Slovensko) : Univerzita Konštantína Filozofa v Nitre, 2021. – ISBN 978-80-558-1811-5, s. 66-76 [tlačená forma] </t>
  </si>
  <si>
    <t xml:space="preserve">Discovering Plane Curves by GeoGebra / Kmeťová, Mária [Autor, UKFFPVKMA, 100%] ; Symposium on computer geometry, 28 [09.09.2019-12.09.2019, Trenčianske Teplice, Slovensko]. – text. – [angličtina]. – [OV 010]. – [abstrakt z podujatia - KP] In: Proceedings of the slovak-czech conference on geometry and graphics 2019 [textový dokument (print)] [elektronický dokument] / Velichová, Daniela [Zostavovateľ, editor] ; Lávička, Miroslav [Zostavovateľ, editor] ; Szarková, Dagmar [Zostavovateľ, editor]. – 1 vyd. – Bratislava (Slovensko) : Vydavateľstvo SCHK, 2019. – ISBN 978-80-8208-024-0. – ISBN (online) 978-80-86843-65-0, s. 56-62 </t>
  </si>
  <si>
    <t xml:space="preserve">Dívať sa „zboku“ (uvidieť viac?) : fašizmus v nekonvenčnej optike zdanlivo periférnych postáv / Zelená, Hana [Autor, UKFPFAKPE, 100%] ; Estetika centra a periférie - centrum a periféria estetiky [23.10.2019-25.10.2019, Bratislava, Slovensko]. – text. – [slovenčina]. – [OV 020]. – [abstrakt z podujatia - KP] In: Estetika centra a periférie - centrum a periféria estetiky [textový dokument (print)] / Pašteková, Michaela [Zostavovateľ, editor] ; Brezňan, Peter [Zostavovateľ, editor] ; Jablonská, Beata [Recenzent] ; Komanická, Ivana [Recenzent]. – 1. vyd. – Bratislava (Slovensko) : Slovenská asociácia pre estetiku, 2020. – ISBN 978-80-972624-3-3, s. 301-309 [tlačená forma] </t>
  </si>
  <si>
    <t xml:space="preserve">Diverzita v podnikovom vzdelávaní / Flikingerová, Lenka [Autor, UKFPFAKPE, 100%] ; Inovácie v spoločensko-vednom výskume, 11 [01.12.2020, Prešov, Slovensko]. – text. – [slovenčina]. – [OV 010]. – [abstrakt z podujatia - KP] In: Inovácie v spoločensko-vednom výskume [elektronický dokument] / Balogová, Beáta [Zostavovateľ, editor] ; Knurovský, Martin [Zostavovateľ, editor] ; Pasternáková, Lenka [Recenzent] ; Šlosár, Dušan [Recenzent]. – 1. vyd. – Prešov (Slovensko) : Prešovská univerzita v Prešove, 2021. – ISBN (online) 978-80-555-2684-3. – SIGN-PU FF-21 13/21, s. 119-123 [online] </t>
  </si>
  <si>
    <t xml:space="preserve">Diverzita vo verejnej správe / Flikingerová, Lenka [Autor, UKFPFAKPE, 100%] ; EDUCA 16, 16 [29.04.2021, Nitra, Slovensko]. – text. – [slovenčina]. – [OV 010]. – [abstrakt z podujatia - KP] In: EDUCA 16 [textový dokument (print)] : edukácia - kľúč k úspechu. Zborník príspevkov z 16. vedeckej  konferencie doktorandov s medzinárodnou účasťou, Nitra 29. apríl 2021 / Teleková, Radka [Zostavovateľ, editor] ; Koricina, Michal [Zostavovateľ, editor] ; Petlák, Erich [Recenzent] ; Krystoň, Miroslav [Recenzent]. – 1. vyd. – Nitra (Slovensko) : Univerzita Konštantína Filozofa v Nitre, 2021. – ISBN 978-80-558-1811-5, s. 101-105 [tlačená forma] </t>
  </si>
  <si>
    <t xml:space="preserve">Does analytical thinking protect people against unfounded beliefs? Cognitive reflection, proneness to paranormal explanation and astrology / Ballová Mikušková, Eva [Autor, UKFPFAKAP, 50%] ; Čavojová, Vladimíra [Autor, 50%] ; Kognícia a umelý život 2019, 19 [29.05.2019-31.05.2019, Bratislava, Slovensko]. – text. – [slovenčina]. – [OV 060]. – [abstrakt z podujatia - KP] In: Kognícia a umelý život 2019 [elektronický dokument] / Farkaš, Igor [Zostavovateľ, editor] ; Takáč, Martin [Zostavovateľ, editor] ; Gergeľ, Peter [Zostavovateľ, editor] ; Tomko, Matúš [Zostavovateľ, editor]. – 1. vyd. – Bratislava (Slovensko) : Univerzita Komenského v Bratislave, 2019. – ISBN 978-80-223-4720-4. – SIGN-UKO MF19-0181, s. 10-12 [online] </t>
  </si>
  <si>
    <t xml:space="preserve">Dokáže programovanie hardvéru zaujať študentov? / Cápay, Martin [Autor, UKFFPVKIN, 50%] ; Klimová, Nika [Autor, UKFFPVKIN, 50%] ; DidInfo 2019, 25 [03.04.2019-05.04.2019, Banská Bystrica, Slovensko]. – text. – [slovenčina]. – [OV 160]. – [abstrakt z podujatia - KP] In: Didinfo 2019 [elektronický dokument] : medzinárodná konferencia o vyučovaní informatiky : 25. ročník konferencie / Horváthová, Dana [Zostavovateľ, editor] ; Michaliková, Alžbeta [Zostavovateľ, editor] ; Škrinárová, Jarmila [Zostavovateľ, editor] ; Voštinár, Patrik [Zostavovateľ, editor] ; Andrejková, Gabriela [Recenzent] ; Berki, Jan [Recenzent] ; Brodenec, Ivan [Recenzent] ; Cápay, Martin [Recenzent] ; Dudáš, Adam [Recenzent] ; Horváthová, Dana [Recenzent] ; Hudec, Milan [Recenzent] ; Karabáš, Ján [Recenzent] ; Melicherčík, Miroslav [Recenzent] ; Michaliková, Alžbeta [Recenzent] ; Škrinárová, Jarmila [Recenzent] ; Trajteľ, Ľudovít [Recenzent] ; Voštinár, Patrik [Recenzent]. – 1. vyd. – Banská Bystrica (Slovensko) : Univerzita Mateja Bela v Banskej Bystrici, 2019. – ISBN (online) 978-80-557-1533-9. – ISSN (online) 2454-051X, s. 52-57 [online] </t>
  </si>
  <si>
    <t xml:space="preserve">Doktorandské štúdium v kontexte rozvoja technického vzdelávania / Tomková, Viera [Autor, UKFPFAKTT, 100%] ; Súčasnosť a perspektíva doktorandského štúdia [11.10.2019, Nitra, Slovensko]. – text. – [slovenčina]. – [OV 010]. – [abstrakt z podujatia - KP] In: Reflexia absolventov doktorandského štúdia [elektronický dokument] : zborník príspevkov z medzinárodnej vedeckej konferencie doktorandov / Tomková, Viera [Zostavovateľ, editor] ; Kozík, Tomáš [Recenzent] ; Hašková, Alena [Recenzent]. – 1. vyd. – Nitra (Slovensko) : Univerzita Konštantína Filozofa v Nitre. Pedagogická fakulta UKF, 2020. – ISBN (online) 978-80-558-1554-1, s. 54-60 [CD-ROM] </t>
  </si>
  <si>
    <t xml:space="preserve">Domáce násilie a jeho formy = Domestic Violence and its Forms / Selická, Denisa [Autor, UKFFFAKSO, 100%] ; Vizualizácia sociálnej práce VI. [15.05.2020, Sládkovičovo, Slovensko]. – text. – [slovenčina]. – [OV 060]. – [abstrakt z podujatia - KP] In: Vizualizácia sociálnej práce VI. [elektronický dokument] / Mareková, Hermína [Zostavovateľ, editor] ; Šebestová, Petronela [Zostavovateľ, editor] ; Mühlpachr, Pavel [Recenzent] ; Kusin, Vasiľ [Recenzent]. – 1. vyd. – Sládkovičovo (Slovensko) : Vysoká škola Danubius, 2020. – ISBN 978-80-8167-077-0, s. 103-109 [CD-ROM] </t>
  </si>
  <si>
    <t xml:space="preserve">Domáce úlohy v kontexte didaktickej prípravy budúcich učiteľov / Kurincová, Viera [Autor, UKFPFAKPE, 33.334%] ; Klimentová, Anna [Autor, UKFPFAKPE, 33.333%] ; Turzák, Tomáš [Autor, UKFPFAKPE, 33.333%] ; Kmeťová, Jarmila [Recenzent] ; Bírová, Jana [Recenzent] ; Inovatívne trendy v odborových didaktikách v kontexte požiadaviek praxe [13.11.2017-14.11.2017, Nitra, Slovensko]. – text. – [slovenčina]. – [OV 010]. – [abstrakt z podujatia - KP] In: Inovatívne trendy v odborových didaktikách v kontexte požiadaviek praxe [elektronický dokument] : zborník štúdií z medzinárodnej vedeckej konferencie / Duchovičová, Jana [Zostavovateľ, editor] ; Gunišová, Denisa [Zostavovateľ, editor] ; Kozárová, Nina [Zostavovateľ, editor] ; Koleňáková, Rebeka Štefánia [Zostavovateľ, editor]. – 1. vyd. – Nitra (Slovensko) : Univerzita Konštantína Filozofa v Nitre. Pedagogická fakulta UKF, 2018. – ISBN 978-80-558-1277-9, s. 435-441 [online] </t>
  </si>
  <si>
    <t xml:space="preserve">Dostupnosť ambulantných služieb pre rodiny so závislým členom / Tomášik, Vesna [Autor, UKFFSVKSP, 100%] ; Labor socialis - "Sociálna práca- profesia s perspektívou, profesia s poslaním" [20.09.2018, Nitra, Slovensko]. – text. – [slovenčina]. – [OV 060]. – [abstrakt z podujatia - KP] In: Labor socialis - "Sociálna práca- profesia s perspektívou, profesia s poslaním" [elektronický dokument] : recenzovaný zborník príspevkov z vedeckej konferencie s medzinárodnou účasťou, ktorá sa uskutočnila na Univerzite Konštantína Filozofa v Nitre dňa 20. septembra 2018 / Gažiková, Elena [Zostavovateľ, editor] ; Horáková, Magdaléna [Zostavovateľ, editor] ; Gabura, Ján [Recenzent] ; Mojtová, Martina [Recenzent]. – 1. vyd. – Nitra (Slovensko) : Univerzita Konštantína Filozofa v Nitre, 2018. – ISBN 978-80-558-1367-7, s. 35-41 [CD-ROM] </t>
  </si>
  <si>
    <t xml:space="preserve">Drak sa vracia v semiotickom procese / Hrešková, Sylvia [Autor, UKFFSSUSJ, 100%] ; Literatúra a jej filmová podoba v stredoeurópskom kontexte [15.10.2019, Nitra, Slovensko]. – text. – [slovenčina]. – [OV 020]. – [abstrakt z podujatia - KP] In: Literatúra a jej filmová podoba v stredoeurópskom kontexte [textový dokument (print)] : zborník štúdií z medzinárodnej vedeckej konferencie, konanej 15. októbra 2019 na FSŠ UKF v Nitre / Timko, Štefan [Zostavovateľ, editor] ; Pokorný, Milan [Recenzent] ; Zelenka, Miloš [Recenzent]. – 1. vyd. – Nitra (Slovensko) : Univerzita Konštantína Filozofa v Nitre, 2020. – ISBN 978-80-558-1570-1, s. 187-194 [tlačená forma] </t>
  </si>
  <si>
    <t xml:space="preserve">DSC and TGA of a Kaolin-Based Ceramics with Zeolite Addition During Heating up to 1100 degrees C / Sunitrová, Ivana [Autor, UKFFPVKFY, 50%] ; Trník, Anton [Autor, UKFFPVKFY, 50%] ; Thermophysics 2018, 23 [07.11.2018-09.11.2018, Smolenice, Slovensko]. – text. – [angličtina]. – [OV 091]. – [abstrakt z podujatia - KP]. – [recenzované]. – DOI 10.1063/1.5047640. – WOS CC In: Thermophysics 2018 [elektronický dokument] : proceedings : 23rd International Meeting of Thermophysics / Trník, Anton [Zostavovateľ, editor] ; Matiašovský, Peter [Zostavovateľ, editor] ; Medveď, Igor [Zostavovateľ, editor]. – 1 vyd. – Melwille (USA) : American Institute of Physics . AIP Publishing, 2018. – (AIP Conference Proceedings, ISSN 0094-243X, ISSN 1551-7616 ; Volume 1988, SJR: 0,182 ; CiteScore: 0,5 ; SNIP: 0,377). – ISBN 978-0-7354-1704-5, s. 1-7 [online] </t>
  </si>
  <si>
    <t xml:space="preserve">Duchovná terapia v patristickej tradícii (I. S. Romanidis) : Spiritual therapy in patristic tradition (I. S. Romanidis) / Zozuľaková, Viera [Autor, UKFFFAKSO, 100%] ; Religiozita, spiritualita a alternatívne náboženské hnutia [27.11.2019, Nitra, Slovensko]. – text. – [slovenčina]. – [OV 020]. – [abstrakt z podujatia - KP] In: Religiozita, spiritualita a alternatívne náboženské hnutia [textový dokument (print)] : zborník z medzinárodnej vedeckej konferencie, konanej v Nitre dňa 27. novembra 2019,  organizovanej ako súčasť riešenia grantového projektu APVV 17-0158 Perspektívy vývoja súčasnej religiozity na Slovensku / Kondrla, Peter [Zostavovateľ, editor] ; Šuráb, Marian [Recenzent] ; Hlad, Ľubomír [Recenzent]. – 1. vyd. – Nitra (Slovensko) : Univerzita Konštantína Filozofa v Nitre, 2020. – ISBN 978-80-558-1595-4, s. 173-180 [tlačená forma] </t>
  </si>
  <si>
    <t xml:space="preserve">Dve polohy „urbánnej civilnosti“ v lyrike – podoby mesta v poézii Š. Strážaya a I. Štrpku / Rédey, Zoltán [Autor, UKFFFAULK, 100%] ; Podoby mesta v slovenskej poézii 20. storočia [06.10.2017, Bratislava, Slovensko]. – text. – [slovenčina]. – [OV 020]. – [abstrakt z podujatia - KP] In: Podoby mesta v slovenskej poézii 20. storočia [textový dokument (print)] / Šrank, Jaroslav [Zostavovateľ, editor] ; Mikula, Valér [Recenzent] ; Passia, Radoslav [Recenzent]. – 1. vyd. – Bratislava (Slovensko) : Univerzita Komenského v Bratislave, 2018. – ISBN 978-80-223-4622-1, s. 119-143 [tlačená forma] </t>
  </si>
  <si>
    <t xml:space="preserve">Dynamika zmien kondičných schopností v prechodnom a prípravnom období v ľadovom hokeji / Krajčovič, Jaroslav [Autor, UKFPFAKTV, 25%] ; Horička, Pavol [Autor, UKFPFAKTV, 25%] ; Paška, Ľubomír [Autor, UKFPFAKTV, 25%] ; Mjartan, Jakub [Autor, 25%] ; Sport science in motion [05.09.2019-07.09.2019, Komárno, Slovensko]. – text. – [slovenčina, angličtina]. – [OV 210]. – [abstrakt z podujatia - KP] In: Sport science in motion [elektronický dokument] : proceedings from the scientific conference, Komárno, September 5th – 7th, 2019 = zborník vedeckých a odborných prác z vedeckej konferencie = válogatott tanulmánykötet – válogatott tanulmányok a tudományos konferenciáról / Šimonek, Jaromír [Zostavovateľ, editor] ; Dobay, Beáta [Zostavovateľ, editor] ; Chovanová, Erika [Recenzent] ; Vojtaško, Ľuboš [Recenzent] ; Holienka, Miroslav [Recenzent]. – 1. vyd. – Komárno (Slovensko) : Univerzita J. Selyeho, 2019. – ISBN 978-80-8122-304-4, s. 181-192 [CD-ROM] </t>
  </si>
  <si>
    <t xml:space="preserve">Education with physical device BBC micro:bit / Krnáč, Roman [Autor, UKFFPVKIN, 45%] ; Cápay, Martin [Autor, UKFFPVKIN, 45%] ; Koprda, Štefan [Autor, UKFFPVKIN, 10%] ; ICETA 2020, 18 [12.11.2020-13.11.2020, Košice, Slovensko]. – text. – [angličtina]. – [OV 010]. – [abstrakt z podujatia - KP]. – DOI 10.1109/ICETA51985.2020.9379166. – SCO In: ICETA 2020 [elektronický dokument] : 18th IEEE International conference on emerging elearning technologies and applications : Information and communication technologies in learning : proceedings / Jakab, František [Zostavovateľ, editor]. – 1. vyd. – Denver (USA) : Institute of Electrical and Electronics Engineers, 2020. – ISBN 978-0-7381-2366-0, 352-357 [online] </t>
  </si>
  <si>
    <t xml:space="preserve">Edukačné aspekty disciplíny Environmentálna chémia pre učiteľov / Feszterová, Melánia [Autor, UKFFPVKCH, 100%] ; Pucherová, Zuzana [Recenzent] ; Jakab, Imrich [Recenzent] ; Environmentálna výchova, vzdelávanie a osveta v Slovenskej republike [30.01.2018-31.01.2018, Nitra, Slovensko]. – text. – [slovenčina]. – [OV 010]. – [abstrakt z podujatia - KP] In: Environmentálna výchova, vzdelávanie a osveta v Slovenskej republike [textový dokument (print)] : zborník príspevkov z národnej konferencie / Nozdrovická, Jana [Zostavovateľ, editor] ; Petlušová, Viera [Zostavovateľ, editor]. – 1. vyd. – Nitra (Slovensko) : Univerzita Konštantína Filozofa v Nitre, 2018. – ISBN 978-80-558-1261-8, s. 62-69 [tlačená forma] </t>
  </si>
  <si>
    <t xml:space="preserve">Edukačné aspekty environmentálnej geografie na Katedre geografie a regionálneho rozvoja FPV UKF v Nitre / Oremusová, Daša [Autor, UKFFPVKGR, 25%] ; Kramáreková, Hilda [Autor, UKFFPVKGR, 50%] ; Némethová, Jana [Autor, UKFFPVKGR, 25%] ; Pucherová, Zuzana [Recenzent] ; Jakab, Imrich [Recenzent] ; Environmentálna výchova, vzdelávanie a osveta v Slovenskej republike [30.01.2018-31.01.2018, Nitra, Slovensko]. – [slovenčina]. – [OV 100]. – [abstrakt z podujatia - KP] In: Environmentálna výchova, vzdelávanie a osveta v Slovenskej republike [textový dokument (print)] : zborník príspevkov z národnej konferencie / Nozdrovická, Jana [Zostavovateľ, editor] ; Petlušová, Viera [Zostavovateľ, editor]. – 1. vyd. – Nitra (Slovensko) : Univerzita Konštantína Filozofa v Nitre, 2018. – ISBN 978-80-558-1261-8, s. 170-177 [tlačená forma] </t>
  </si>
  <si>
    <t xml:space="preserve">Efekt ghrelínu a proteínkinázy C na uvoľňovanie vybraných hormónov mačacími ovariálnymi bunkami = The effect of ghrelin and proteinkinase C on hormones release by feline ovarian cells / Loncová, Barbora [Autor, UKFFPVKZA, 75%] ; Fabová, Zuzana [Autor, UKFFPVKZA, 25%] ; Študentská vedecká konferencia 2021 [14.04.2021, Nitra, Banská Bystrica, Slovensko]. – text. – [slovenčina]. – [OV 130]. – [abstrakt z podujatia - KP] In: Študentská vedecká konferencia 2021 Fakulty prírodných vied Univerzity Konštantína Filozofa v Nitre a Fakulty prírodných vied Univerzity Mateja Bela v Banskej Bystrici [textový dokument (print)] : zborník recenzovaných príspevkov / Francisti, Jan [Zostavovateľ, editor] ; Fodor, Kristián [Zostavovateľ, editor]. – 1. vyd. – Nitra (Slovensko) : Univerzita Konštantína Filozofa v Nitre ; Banská Bystrica (Slovensko) : Univerzita Mateja Bela v Banskej Bystrici, 2021. – (Prírodovedec ; 756). – ISBN 978-80-558-1712-5, s. 27-30 [tlačená forma] </t>
  </si>
  <si>
    <t xml:space="preserve">Efekt xylénu, rooibosu a ich kombinácie na uvoľňovanie vybraných steroidných hormónov ovariálnymi bunkami ošípaných / Fabová, Zuzana [Autor, UKFFPVKZA, 50%] ; Tarko, Adam [Autor, UKFFPVKZA, 50%] ; Študentská vedecká konferencia 2019, 3 [09.04.2019, Banská Bystrica, Slovensko]. – text. – [slovenčina]. – [OV 130]. – [abstrakt z podujatia - KP] In: Študentská vedecká konferencia 2019 [elektronický dokument] : zborník recenzovaných príspevkov, Banská Bystrica 9. apríla 2019 / Francisti, Jan [Zostavovateľ, editor] ; Zverková, Katarína [Zostavovateľ, editor] ; Omelka, Radoslav [Zostavovateľ, editor]. – 1. vyd. – Nitra (Slovensko) : Univerzita Konštantína Filozofa v Nitre ; Banská Bystrica (Slovensko) : Univerzita Mateja Bela v Banskej Bystrici, 2019. – ISBN 978-80-558-1433-9, s. 22-27 [online] </t>
  </si>
  <si>
    <t xml:space="preserve">Effective prevention of hazardous waste industrial dusts / Tureková, Ivana [Autor, UKFPFAKTT, 50%] ; Mračková, Eva [Autor, KPO, 50%] ; Earth in a trap? 2018 [23.05.2018-25.05.2018, Hodruša-Hámre, Slovensko]. – [angličtina]. – [OV 230]. – [abstrakt z podujatia - KP]. – [recenzované] In: Book of proceedings international scientific conference Earth in a trap? 2018 [elektronický dokument] : Analytical methods in fire and environmental sciences / Bubeníková, Tatiana [Zostavovateľ, editor] ; Veľková, Veronika [Zostavovateľ, editor]. – 1. vyd. – Zvolen (Slovensko) : Technická univerzita vo Zvolene, 2018. – ISBN 978-80-228-3062-1, s. 222-231 </t>
  </si>
  <si>
    <t xml:space="preserve">Egy önéletírás transzkulturális dimenziói : gondolatok  Mila Haugová Zrkadlo dovnútra (Belső tükör) címűautobiográfiájáról / Petres Csizmadia, Gabriela [Autor, UKFFSSUML, 100%] ; Írások mérlegen [22.11.2017-23.11.2017, Bratislava, Slovensko]. – text. – [maďarčina]. – [OV 020]. – [abstrakt z podujatia - KP] In: Írások mérlegen [textový dokument (print)] : emlékkötet Turczel Lajos születésének centenáriuma alkalmából / Csehy, Zoltán [Zostavovateľ, editor] ; Mellár, Dávid [Zostavovateľ, editor] ; Mészáros, Veronika [Zostavovateľ, editor] ; Mészáros, András [Recenzent] ; Polgár, Anikó [Recenzent]. – 1. vyd. – Bratislava (Slovensko) : Združenie Alberta Szenci Molnára, 2018. – ISBN 978-80-971983-5-0. – SIGN-UKO FI 35/18 MJ, s. 182-192 [tlačená forma] </t>
  </si>
  <si>
    <t xml:space="preserve">El problema del concepto de identidad y la otredad en la poesía de octavio paz = The problem of identity and the concept of otherness in octavio paz’s poetry / Albuerne Gayo, Angélica [Autor, UKFFFAKKU, 100%] ; Cudie jazyky v premenách času, 10 [08.11.2019, Bratislava, Slovensko]. – text. – [španielčina]. – [OV 020]. – [abstrakt z podujatia - KP] In: Cudzie jazyky v premenách času [elektronický dokument] : recenzovaný zborník príspevkov z medzinárodnej vedeckej konferencie / Kvapil, Roman [Zostavovateľ, editor] ; Adamcová, Lívia [Recenzent] ; Breveníková, Daniela [Recenzent] ; Lišková, Danuša [Recenzent]. – 1. vyd. – Roč. 10. – Bratislava (Slovensko) : Ekonomická univerzita v Bratislave. Celouniverzitné pracovisko EUBA. Vydavateľstvo EKONÓM, 2020. – ISBN 978-80-225-4710-9, s. 60-69 [CD-ROM] [online] </t>
  </si>
  <si>
    <t xml:space="preserve">Elastic felds in unbounded anisotropic plane with cracks / Nosov, Dmytro [Autor, UKFFPVKFY, 50%] ; Filshtinskii, Leonid [Autor, 50%] ; Študentská vedecká konferencia 2020, 6 [07.04.2020, Nitra, Slovensko]. – text. – [slovenčina]. – [OV 091]. – [abstrakt z podujatia - KP] In: Študentská vedecká konferencia 2020 [elektronický dokument] : zborník recenzovaných príspevkov [zo zrušenej študentskej vedeckej konferencie s plánovaným termínom konania 7.4.2020 v Nitre] / Spišiak, Ján [Zostavovateľ, editor] ; Račáková, Slavka [Zostavovateľ, editor] ; Voštinár, Patrik [Recenzent] ; Melicherčík, Miroslav [Recenzent]. – 1. vyd. – Banská Bystrica (Slovensko) : Univerzita Mateja Bela v Banskej Bystrici ; Nitra (Slovensko) : Univerzita Konštantína Filozofa v Nitre, 2020. – ISBN 978-80-557-1733-3, s. 304-309 [online] </t>
  </si>
  <si>
    <t xml:space="preserve">E-learning Courses Structural Evaluation / Halvoník, Dominik [Autor, UKFFPVKIN, 50%] ; Kapusta, Jozef [Autor, UKFFPVKIN, 50%] ; DIVAI 2018, 12 [02.05.2018-04.05.2018, Štúrovo, Slovensko]. – text. – [angličtina]. – [OV 160]. – [abstrakt z podujatia - KP]. – [recenzované]. – WOS CC In: DIVAI 2018 [textový dokument (print)] [elektronický dokument] : 12th International Scientific Conference on Distance Learning in Applied Informatics / Turčáni, Milan [Zostavovateľ, editor] ; Balogh, Zoltán [Zostavovateľ, editor] ; Munk, Michal [Zostavovateľ, editor] ; Kapusta, Jozef [Zostavovateľ, editor] ; Benko, Ľubomír [Zostavovateľ, editor]. – 1. vyd. – Praha (Česko) : Wolters Kluwer, 2018. – ISBN 978-80-7598-059-5. – ISSN 2464-7470. – ISSN (online) 2464-7489, s. 71-80 [online] [tlačená forma] </t>
  </si>
  <si>
    <t xml:space="preserve">Electronic Word-of-Mouth: determinants of selection of online reviews by Slovak consumers / Gálová, Stanislava [Autor, SPUFEM06, 34%] ; Grežová, Ivana [Autor, SPUFEM06, 33%] ; Grežo, Henrich [Autor, UKFFPVKEE, 33%] ; International Scientific Days 2018 [16.05.2018-17.05.2018, Nitra, Slovensko]. – text. – [angličtina]. – [OV 080]. – [abstrakt z podujatia - KP]. – [recenzované]. – DOI 10.15414/isd2018.s2-1.02 In: International Scientific Days 2018 [elektronický dokument] : “Towards Productive, Sustainable and Resilient Global Agriculture and Food Systems.” Conference Proceedings, Nitra May 16-17, 2018 / Horská, Elena [Zostavovateľ, editor] ; Kapsdorferová, Zuzana [Zostavovateľ, editor] ; Hallová, Marcela [Zostavovateľ, editor]. – 1. vyd. – Praha (Česko) : Wolters Kluwer. Wolters Kluwer ČR, 2018. – ISBN 978-80-7598-180-6, s. 288-300 [online] </t>
  </si>
  <si>
    <t xml:space="preserve">Eliminácia samovrážd na železničných tratiach / Katrušín, Boris [Autor, UKFFSVKPV, 50%] ; Madro, Marek [Autor, 50%] ; Duševné zdravie v školách v kontexte kríz a krízovej intervencie [11.11.2020, Bratislava, Slovensko]. – text. – [slovenčina]. – [OV 060]. – [abstrakt z podujatia - KP]. – PEVŠ ID-311075 In: Duševné zdravie v školách v kontexte kríz a krízovej intervencie [elektronický dokument] : zborník príspevkov z online medzinárodnej vedeckej konferencie Krízová intervencia v školách / Gajdošová, Eva [Zostavovateľ, editor] ; Madro, Marek [Zostavovateľ, editor] ; Valihorová, Marta [Zostavovateľ, editor] ; Szarková, Miroslava [Recenzent] ; Šramová, Blandína [Recenzent]. – 1. vyd. – Žilina (Slovensko) : IPV Inštitút priemyselnej výchovy, 2020. – ISBN 978-80-89902-20-0. – PEVŠ 2020FAI0004, s. 79-90 [online] </t>
  </si>
  <si>
    <t xml:space="preserve">Emocionálne vnímanie hudby deťmi mladšieho školského veku / Kačmárová, Simona [Autor, UKFPFAKHU, 100%] ; Nonartificiálna hudba v edukácii 2020 [22.09.2020-25.09.2020, Nitra, Slovensko]. – text. – [slovenčina]. – [OV 010]. – [abstrakt z podujatia - KP] In: Nonartificiálna hudba v edukácii 2 [elektronický dokument] : zborník príspevkov z webovej konferencie Nonartificiálna hudba v edukácii 2020 / Štrbák Pandiová, Iveta [Zostavovateľ, editor] ; Barilíková-Spišáková, Lenka [Recenzent] ; Račić Derner, Klaudia [Recenzent]. – 1. vyd. – Nitra (Slovensko) : Univerzita Konštantína Filozofa v Nitre. Pedagogická fakulta UKF, 2020. – ISBN 978-80-558-1628-9, s. 16-25 [online] [CD-ROM] </t>
  </si>
  <si>
    <t xml:space="preserve">Emotional and Personality Difficulties with Career Decision Making of Secondary School and University Students = Emocionálne a osobnostné ťažkosti s kariérovým rozhodovaním stredoškolských a vysokoškolských študentov / Baňasová, Katarína [Autor, UKFFSVUAP, 50%] ; Farkašová, Bernadeta [Autor, 50%] ; Psychológia práce a organizácie 2020, 19 [20.05.2020-21.05.2020, Košice, Slovensko]. – [slovenčina]. – [OV 060]. – [abstrakt z podujatia - KP]. – TRUNI ohlas E083163 In: Psychológia práce a organizácie 2020 [elektronický dokument] : zborník z príspevkov z 19. medzinárodnej konferencie / Piterová, Ivana [Zostavovateľ, editor] ; Fedáková, Denisa [Zostavovateľ, editor] ; Výrost, Jozef [Zostavovateľ, editor] ; Adamkovič, Matúš [Recenzent] ; Baňasová, Katarína [Recenzent] ; Bavoľár, Jozef [Recenzent] ; Bozogáňová, Miroslava [Recenzent]. – 1. vyd. – Košice (Slovensko) : Slovenská akadémia vied. Centrum spoločenských a psychologických vied. Spoločenskovedný ústav, 2020. – ISBN (online) 978-80-89524-51-8, s. 79-95 [online] </t>
  </si>
  <si>
    <t xml:space="preserve">English speaking anxiety of english teachers in Slovakia / Kráľová, Zdena [Autor, UKFPFAKLI, 50%] ; Tanistráková-Mikulová, Gabriela [Autor, UKFPFAKLI, 50%] ; Inovatívne trendy v odborových didaktikách [21.11.2018, Nitra, Slovensko]. – text. – [slovenčina]. – [OV 010]. – [abstrakt z podujatia - KP] In: Inovatívne trendy v odborových didaktikách [textový dokument (print)] : prepojenie teórie a praxe výučbových stratégií kritického a tvorivého myslenia : zborník štúdií z medzinárodnej vedeckej konferencie, Nitra 21. november 2018 / Duchovičová, Jana [Zostavovateľ, editor] ; Hošová, Dominika [Zostavovateľ, editor] ; Koleňáková, Rebeka Štefánia [Zostavovateľ, editor] ; Bílek, Martin [Recenzent] ; Komora, Juraj [Recenzent]. – 1. vyd. – Nitra (Slovensko) : Univerzita Konštantína Filozofa v Nitre, 2019. – ISBN 978-80-558-1408-7, s. 567-572 [tlačená forma] </t>
  </si>
  <si>
    <t xml:space="preserve">Enhancing Geoinformation Skills of Geography Students Through Field Geocoding / Vojtek, Matej [Autor, UKFFPVKGR, 45%] ; Vojteková, Jana [Autor, UKFFPVKGR, 44%] ; Boltižiar, Martin [Autor, UKFFPVKGR, 11%] ; DIVAI 2020, 13 [21.09.2020-23.09.2020, Štúrovo, Slovensko]. – text. – [angličtina]. – [OV 092]. – [abstrakt z podujatia - KP]. – WOS CC In: DIVAI 2020 [textový dokument (print)] [elektronický dokument] : 13th International Scientific Conference on Distance Learning in Applied Informatics, Štúrovo September 21-23, 2020 / Turčáni, Milan [Zostavovateľ, editor] ; Balogh, Zoltán [Zostavovateľ, editor] ; Munk, Michal [Zostavovateľ, editor] ; Magdin, Martin [Zostavovateľ, editor] ; Benko, Ľubomír [Zostavovateľ, editor]. – 1. vyd. – Roč. 13. – Praha (Česko) : Wolters Kluwer. Wolters Kluwer ČR, 2020. – ISBN 978-80-7598-841-6. – ISSN 2464-7470. – ISSN (online) 2464-7489, s. 233-241 [tlačená forma] [online] </t>
  </si>
  <si>
    <t xml:space="preserve">Environmental Issues and Climate Change in Media Discourse / Skačan, Juraj [Autor, UKFFFAKFI, 100%] ; Megatrends and Media 2019, 14 [16.04.2019-17.04.2019, Smolenice, Slovensko]. – text. – [angličtina]. – [OV 020]. – [abstrakt z podujatia - KP]. – WOS CC In: Megatrends and Media [elektronický dokument] : Digital Universe / Bučková, Zuzana [Zostavovateľ, editor] ; Rusňáková, Lenka [Zostavovateľ, editor] ; Solík, Martin [Zostavovateľ, editor]. – 1. vyd. – Trnava (Slovensko) : Univerzita sv. Cyrila a Metoda v Trnave. Fakulta masmediálnej komunikácie, 2019. – ISBN (online) 978-80-572-0015-4, s. 242-256 [online] </t>
  </si>
  <si>
    <t xml:space="preserve">Environmentálna výchova v podmienkach základnej školy / Varga, Peter [Autor, UKFFPVKEE, 100%] ; Petlušová, Viera [Recenzent] ; Petluš, Peter [Recenzent] ; Environmentálna výchova, vzdelávanie a osveta v Slovenskej republike [30.01.2018-31.01.2018, Nitra, Slovensko]. – text. – [slovenčina]. – [OV 100]. – [abstrakt z podujatia - KP] In: Environmentálna výchova, vzdelávanie a osveta v Slovenskej republike [textový dokument (print)] : zborník príspevkov z národnej konferencie / Nozdrovická, Jana [Zostavovateľ, editor] ; Petlušová, Viera [Zostavovateľ, editor]. – 1. vyd. – Nitra (Slovensko) : Univerzita Konštantína Filozofa v Nitre, 2018. – ISBN 978-80-558-1261-8, s. 219-230 [tlačená forma] </t>
  </si>
  <si>
    <t xml:space="preserve">Environmentálna výchova v Školskom vzdelávacom programe na Gymnáziu v Topoľčanoch / Krajčík, Milan [Autor, 60%] ; Kramáreková, Hilda [Autor, UKFFPVKGR, 40%] ; Pucherová, Zuzana [Recenzent] ; Jakab, Imrich [Recenzent] ; Environmentálna výchova, vzdelávanie a osveta v Slovenskej republike [30.01.2018-31.01.2018, Nitra, Slovensko]. – text. – [slovenčina]. – [OV 010, 100]. – [abstrakt z podujatia - KP] In: Environmentálna výchova, vzdelávanie a osveta v Slovenskej republike [textový dokument (print)] : zborník príspevkov z národnej konferencie / Nozdrovická, Jana [Zostavovateľ, editor] ; Petlušová, Viera [Zostavovateľ, editor]. – 1. vyd. – Nitra (Slovensko) : Univerzita Konštantína Filozofa v Nitre, 2018. – ISBN 978-80-558-1261-8, s. 127-135 [tlačená forma] </t>
  </si>
  <si>
    <t xml:space="preserve">Environmentálne myslenie a medializácia environmentálnych problémov v kontexte hinduizmu / Skačan, Juraj [Autor, UKFFFAKFI, 100%] ; Myslieť inak – iné v myslení, 6 [21.10.2020-23.10.2020, Bratislava, Slovensko]. – text. – [slovenčina]. – [OV 020]. – [abstrakt z podujatia - KP] In: Myslieť inak – iné v myslení [textový dokument (print)] : zborník vedeckých príspevkov / Gáliková Tolnaiová, Sabína [Zostavovateľ, editor] ; Marchevský, Ondrej [Zostavovateľ, editor] ; Kyslan, Peter [Zostavovateľ, editor] ; Andreanský, Eugen [Recenzent] ; Gálik, Slavomír [Recenzent]. – 1. vyd. – Bratislava (Slovensko) : Slovenská akadémia vied. Pracoviská SAV. Slovenské filozofické združenie, 2021. – ISBN 978-80-973092-6-8. – SIGN-PU FF-21 150/21, s. 229-242 [tlačená forma] </t>
  </si>
  <si>
    <t xml:space="preserve">Esencia katolicizmu a aktuálne trendy v religiozite : náčrt mapy výskumu / Hlad, Ľubomír [Autor, UKFFFAKNS, 100%] ; Aktuálne trendy v religiozite na Slovensku [13.12.2018, Nitra, Slovensko]. – text. – [slovenčina]. – [OV 020]. – [abstrakt z podujatia - KP] In: Aktuálne trendy v religiozite na Slovensku [textový dokument (print)] : zborník príspevkov z vedeckého seminára, Ružomberok 13.12.2018 / Kondrla, Peter [Zostavovateľ, editor] ; Ďurková, Eva [Zostavovateľ, editor] ; Judák, Viliam [Recenzent] ; Šuráb, Marian [Recenzent]. – 1. vyd. – Nitra (Slovensko) : Univerzita Konštantína Filozofa v Nitre, 2019. – ISBN 978-80-558-1426-1, s. 8-30 [tlačená forma] </t>
  </si>
  <si>
    <t xml:space="preserve">Essential characteristics of English haiku / Bohuslavska, Olha [Autor, UKFFFAKAA, 100%] ; 1st Nitra Postgraduate Conference in English Studies [24.10.2019, Nitra, Slovensko]. – text. – [angličtina]. – [OV 020]. – [abstrakt z podujatia - KP] In: 1st Nitra Postgraduate Conference in English Studies: Trends and Perspectives [textový dokument (print)] : conference proceedings / Ondrušeková, Judita [Zostavovateľ, editor] ; Gadušová, Zdenka [Recenzent] ; Miššíková, Gabriela [Recenzent]. – 1. vyd. – Praha (Česko) : Verbum, 2020. – ISBN 978-80-87800-65-2, s. 34-42 [tlačená forma] </t>
  </si>
  <si>
    <t xml:space="preserve">Estetická skúsenosť a veterné mlyny postmediálnej a postfaktuálnej spoločnosti : diagnóza a vízia zmyslu estetiky v kontexte nitrianskej recepčnej školy / Pariláková, Eva [Autor, UKFFFAULK, 100%] ; Súradnice estetiky, umenia a kultúry, IV [08.11.2018-09.11.2018, Prešov, Slovensko]. – [slovenčina]. – [OV 020]. – [abstrakt z podujatia - KP] In: Súradnice estetiky, umenia a kultúry IV [textový dokument (print)] : študovať estetiku: koncepcie, stratégie a súvislosti štúdia estetiky na Slovensku a v zahraničí = studying aesthetics: aesthetics studies`concepts, strategies and context in Slovakia and abroad / Kvokačka, Adrián [Zostavovateľ, editor] ; Migašová, Jana [Zostavovateľ, editor] ; Mistrík, Erich [Recenzent] ; Sošková, Jana [Recenzent]. – 1. vyd. – Prešov (Slovensko) : Prešovská univerzita v Prešove. Filozofická fakulta, 2019. – (Opera Philosophica ; 17/2019). – ISBN 978-80-555-2310-1. – SIGN-PU FF-19 340/19, s. 123-135 [tlačená forma] </t>
  </si>
  <si>
    <t xml:space="preserve">Estetická udalosť a jej dôsledky pre subjekt / Žiak, Peter [Autor, UKFFFAULK, 100%] ; Boszorád, Martin [Recenzent] ; Půtová, Barbora [Recenzent] ; Reflexia kultúrno-spoločenských javov [03.05.2018-04.05.2018, Nitra, Slovensko]. – text. – [slovenčina]. – [OV 020]. – [abstrakt z podujatia - KP] In: Reflexia kultúrno-spoločenských javov [textový dokument (print)] : zborník z konferencie určenej pre doktorandov sociálnych, humanitných a umenovedných odborov, a to 3. - 4. mája 2018 na UKF v Nitre / Hochel, Igor [Zostavovateľ, editor] ; Popovicsová, Jana [Zostavovateľ, editor]. – 1. vyd. – Nitra (Slovensko) : Univerzita Konštantína Filozofa v Nitre, 2018. – ISBN 978-80-558-1341-7, s. 107-120 [tlačená forma] </t>
  </si>
  <si>
    <t xml:space="preserve">Ethnographic writing and the Subcarpathian reportages of Ivan Olbracht / Száz, Pavol [Autor, UKFFSSUML, 100%] ; Szirák, Péter [Recenzent] ; Balázs, Imre József [Recenzent] ; Transzkulturalizmus és bilingvizmus az irodalomban, 1 [06.11.2017-07.11.2017, Nitra, Slovensko]. – text. – [angličtina]. – [OV 020]. – [abstrakt z podujatia - KP] In: Transzkulturalizmus és bilingvizmus az irodalomban [textový dokument (print)] / Németh, Zoltán [Zostavovateľ, editor] ; Roguska, Magdaléna [Zostavovateľ, editor]. – 1. vyd. – Nitra (Slovensko) : Univerzita Konštantína Filozofa v Nitre. Fakulta stredoeurópskych štúdií, 2018. – (Europica varietas ; 120). – ISBN 978-80-558-1295-3, s. 61-70 [tlačená forma] </t>
  </si>
  <si>
    <t xml:space="preserve">Éthos a poésis v umeleckej tvorbe Beaty Panákovej / Gallik, Ján [Autor, UKFFSSUSJ, 100%] ; Éthos a poésis v umeleckej tvorbe pre deti a mládež [16.09.2021-17.09.2021, Prešov, Slovensko]. – text. – [slovenčina]. – [OV 020]. – [abstrakt z podujatia - KP] In: (Po)etika umeleckej tvorby pre deti a mládež [textový dokument (print)] : zborník príspevkov z medzinárodnej vedeckej konferencie Éthos a poésis v umeleckej tvorbe pre deti a mládež, organizovanej pri príležitosti okrúhleho životného jubilea prof. PhDr. Zuzany Stanislavovej, CSc. / Gal Drzewiecka, Iveta [Zostavovateľ, editor] ; Dziak, Dávid [Zostavovateľ, editor] ; Kopčáková, Slávka [Recenzent] ; Šimonová, Brigita [Recenzent]. – 1. vyd. – Prešov (Slovensko) : Prešovská univerzita v Prešove, 2021. – ISBN 978-80-555-2756-7. – SIGN-PU PF-21 136/21, s. 190-202 [tlačená forma] </t>
  </si>
  <si>
    <t xml:space="preserve">Eudaimonia a existenciálny morálny konflikt / Korený, Peter [Autor, UKFFFAKAE 06.2022, 100%] ; Potrebujeme pozitívne myslieť, cítiť a konať? [25.10.2019, Bratislava, Slovensko]. – text. – [slovenčina]. – [OV 020]. – [abstrakt z podujatia - KP] In: Kvalita života a kvalita vzťahov [elektronický dokument] : recenzovaný zborník z konferencie „Potrebujeme pozitívne myslieť, cítiť a konať?", Bratislava, 25.10.2019 / Kallová, Nikola [Zostavovateľ, editor] ; Lukšík, Ivan [Zostavovateľ, editor] ; Šulavíková, Blanka [Recenzent] ; Popper, Miroslav [Recenzent]. – 1. vyd. – Bratislava (Slovensko) : Slovenská akadémia vied, 2020. – ISBN 978-80-973370-4-9, s. 125-140 [online] </t>
  </si>
  <si>
    <t xml:space="preserve">Európska kultúrna pamäť a jej umelecká a estetická reflexia = European cultural memory and its artistic and aesthetic reflection / Kapsová, Eva [Autor, UKFFFAULK, 100%] ; Bilasová, Viera [Recenzent] ; Burlas, Ladislav [Recenzent] ; Súradnice estetiky, umenia a kultúry, 3 [08.11.2017-09.11.2017, Prešov, Slovensko]. – text. – [slovenčina]. – [OV 010]. – [abstrakt z podujatia - KP] In: Súradnice estetiky, umenia a kultúry III [elektronický dokument] : európske estetické myslenie a umelecká tvorba: pramene, metamorfózy a ich relevancia / Kopčáková, Slávka [Zostavovateľ, editor] ; Kvokačka, Adrián [Zostavovateľ, editor]. – 1. vyd. – Prešov (Slovensko) : Prešovská univerzita v Prešove, 2018. – (Studia Aesthetica ; 17). – ISBN 978-80-555-1995-1. – SIGN-PU FF 32/18, s. 245-251 [online] </t>
  </si>
  <si>
    <t xml:space="preserve">Evaluation of financial performance of the local self - government in conditions of Slovakia in context of global changes / Hornyák Gregáňová, Radomíra [Autor, SPUFEM07, 34%] ; Papcunová, Viera [Autor, UKFFPVUMI, 33%] ; Országhová, Dana [Autor, SPUFEM07, 33%] ; Hes, Aleš [Recenzent] ; Čorejová, Tatiana [Recenzent] ; Globalization and its socio-economic consequences, 18 [10.10.2018-11.10.2018, Rajecké Teplice, Slovensko]. – [angličtina]. – [OV 080]. – [abstrakt z podujatia - KP]. – WOS CC In: Globalization and its socio-economic consequences (Part IV. - Behavioural finance) [elektronický dokument] : proceedings / Klieštik, Tomáš [Zostavovateľ, editor]. – 1. vyd. – Žilina (Slovensko) : Žilinská univerzita v Žiline, 2018. – ISBN 978-80-8154-249-7. – ISSN 2454-0943, s. 1599-1606 [online] </t>
  </si>
  <si>
    <t xml:space="preserve">Evaluation of humus content in soil based on environmental and ecological factors in selected areas of central Slovakia / Feszterová, Melánia [Autor, UKFFPVKCH, 70%] ; Hudec, Michal [Autor, 30%] ; Geografické aspekty stredoeurópskeho priestoru, 26 [10.10.2018-11.10.2018, Nitra, Slovensko]. – text. – [angličtina]. – [OV 120]. – [článok z podujatia]. – [recenzované]. – DOI 10.17846/GI.2018.22.2.44-60. – WOS CC In: Geografické informácie [textový dokument (print)] [elektronický dokument] . – Nitra (Slovensko) : Univerzita Konštantína Filozofa v Nitre. – ISSN 1337-9453. – Roč. 22, č. 2 (2018), s. 44-60 [tlačená forma] [online] </t>
  </si>
  <si>
    <t xml:space="preserve">Evaluation of Personalised E-course in Computer Science Education / Turčáni, Milan [Autor, UKFFPVKIN, 50%] ; Mudrák, Marián [Autor, UKFFPVKIN, 50%] ; DIVAI 2020, 13 [21.09.2020-23.09.2020, Štúrovo, Slovensko]. – text. – [angličtina]. – [OV 160]. – [abstrakt z podujatia - KP]. – WOS CC In: DIVAI 2020 [textový dokument (print)] [elektronický dokument] : 13th International Scientific Conference on Distance Learning in Applied Informatics, Štúrovo September 21-23, 2020 / Turčáni, Milan [Zostavovateľ, editor] ; Balogh, Zoltán [Zostavovateľ, editor] ; Munk, Michal [Zostavovateľ, editor] ; Magdin, Martin [Zostavovateľ, editor] ; Benko, Ľubomír [Zostavovateľ, editor]. – 1. vyd. – Roč. 13. – Praha (Česko) : Wolters Kluwer. Wolters Kluwer ČR, 2020. – ISBN 978-80-7598-841-6. – ISSN 2464-7470. – ISSN (online) 2464-7489, s. 573-583 [tlačená forma] [online] </t>
  </si>
  <si>
    <t xml:space="preserve">Evaluation of the management intervetions and their impact on cultural ecosystem services / Turanovičová, Martina [Autor, UKFFPVKEE, 50%] ; Rózová, Zdenka [Autor, UKFFPVKEE, 50%] ; Geografické aspekty stredoeurópskeho priestoru, 26 [10.10.2018-11.10.2018, Nitra, Slovensko]. – text. – [angličtina]. – [OV 100, 240]. – [článok z podujatia]. – [recenzované]. – WOS CC In: Geografické informácie [textový dokument (print)] [elektronický dokument] . – Nitra (Slovensko) : Univerzita Konštantína Filozofa v Nitre. – ISSN 1337-9453. – Roč. 22, č. 2 (2018), s. 315-326 [tlačená forma] [online] </t>
  </si>
  <si>
    <t xml:space="preserve">Evaluation of the municipal property and its reproduction capacity in the conditions of local self-government of Slovakia / Papcunová, Viera [Autor, UKFFPVUMI, 34%] ; Balážová, Eva [Autor, SPUFES14, 33%] ; Ágh, Peter [Autor, 33%] ; Economic theory and practice 2017 [03.10.2017-04.10.2017, Banská Bystrica, Slovensko]. – [angličtina]. – [OV 080]. – [abstrakt z podujatia - KP] In: Economic theory and practice 2017 (1) [elektronický dokument] : proceedings of the Faculty of Economics of Matej Bel University in Banská Bystrica / Boďa, Martin [Zostavovateľ, editor] ; Árendáš, Peter [Recenzent] ; Benkovič, Sladjana [Recenzent] ; Boďa, Martin [Recenzent] ; Brokešová, Zuzana [Recenzent] ; Chovancová, Božena [Recenzent] ; Ďaďo, Jaroslav [Recenzent] ; Elexa, Ľuboš [Recenzent] ; Elexová, Ľudmila [Recenzent] ; Flaška, Filip [Recenzent] ; Gajdošík, Tomáš [Recenzent] ; Grofčíková, Janka [Recenzent] ; Gundová, Petra [Recenzent] ; Horehájová, Mária [Recenzent] ; Huňady, Ján [Recenzent] ; Hvolková, Lenka [Recenzent] ; Ištok, Michal [Recenzent] ; Kaščáková, Alena [Recenzent] ; Kanderová, Mária [Recenzent] ; Kika, Marian [Recenzent] ; Klement, Ladislav [Recenzent] ; Kokavcová, Dagmar [Recenzent] ; Kollár, Igor [Recenzent] ; Kollár, Ján [Recenzent] ; Kološta, Stanislav [Recenzent] ; Kormancová, Gabriela [Recenzent] ; Kovaľová, Marcela [Recenzent] ; Kožiak, Radoslav [Recenzent] ; Kučerová, Jana [Recenzent] ; Kulhánek, Lumír [Recenzent] ; Lacová, Žaneta [Recenzent] ; Ľapinová, Erika [Recenzent] ; Lesáková, Ľubica [Recenzent] ; Malá, Denisa [Recenzent] ; Maráková, Vanda [Recenzent] ; Marčeková, Radka [Recenzent] ; Mazúrová, Barbora [Recenzent] ; Minárová, Martina [Recenzent] ; Musa, Hussam [Recenzent] ; Musová, Zdenka [Recenzent] ; Nedelová, Gabriela [Recenzent] ; Nemec, Juraj [Recenzent] ; Orviská, Marta [Recenzent] ; Pisár, Peter [Recenzent] ; Pompurová, Kristína [Recenzent] ; Považanová, Mariana [Recenzent] ; Sedliačik, Ivan [Recenzent] ; Smerek, Lukáš [Recenzent] ; Murray Svidroňová, Mária [Recenzent] ; Šebo, Ján [Recenzent] ; Šebová, Ľubica [Recenzent] ; Špirková, Jana [Recenzent] ; Šuplata, Marian [Recenzent] ; Táborecká Petrovičová, Janka [Recenzent] ; Úradníček, Vladimír [Recenzent] ; Vallušová, Anna [Recenzent] ; Vetráková, Milota [Recenzent] ; Vinczeová, Miroslava [Recenzent] ; Zelenková, Anna [Recenzent] ; Zimková, Emília [Recenzent] ; Theodoulides, Lenka [Recenzent]. – 1. vyd. – Banská Bystrica (Slovensko) : Univerzita Mateja Bela v Banskej Bystrici. Vydavateľstvo Univerzity Mateja Bela v Banskej Bystrici - Belianum, 2018. – ISBN 978-80-557-1424-0, s. 477-485 [online] </t>
  </si>
  <si>
    <t xml:space="preserve">Evaluation of the Qualitative Parameters of Humus and Selected Heavy Metals Content / Feszterová, Melánia [Autor, UKFFPVKCH, 25%] ; Hudec, Michal [Autor, 25%] ; Porubcová, Lýdia [Autor, UKFFPVKCH, 25%] ; Noga, Henryk [Autor, 25%] ; Baicoianu, Alexandra [Recenzent] ; Fabio, Bruni [Recenzent] ; APLIMAT 2018, 17 [06.02.2018-08.02.2018, Bratislava, Slovensko]. – text. – [angličtina]. – [OV 120]. – [abstrakt z podujatia - KP] In: Aplimat 2018 [elektronický dokument] : 17th conference on Aplied mathematics proceedings / Szarková, Dagmar [Zostavovateľ, editor] ; Richtáriková, Daniela [Zostavovateľ, editor] ; Letavaj, Peter [Zostavovateľ, editor] ; Gabková, Jana [Zostavovateľ, editor]. – 1. vyd. – Bratislava (Slovensko) : Slovenská technická univerzita v Bratislave, 2018. – ISBN 978-80-227-4765-3, s. 377-389 [USB kľúč] </t>
  </si>
  <si>
    <t xml:space="preserve">Evaluation of the ratio of total organic carbon to total nitrogen in soil (Kremnické and Štiavnické Mountains) / Feszterová, Melánia [Autor, UKFFPVKCH, 50%] ; Hudec, Milan [Autor, 50%] ; APLIMAT 2019, 18 [05.02.2019-07.02.2019, Bratislava, Slovensko]. – [angličtina]. – [OV 120]. – [abstrakt z podujatia - KP]. – SCO In: Aplimat 2019 [elektronický dokument] : 18th conference on Applied mathematics proceedings / Szarková, Dagmar [Zostavovateľ, editor] ; Richtáriková, Daniela [Zostavovateľ, editor] ; Letavaj, Peter [Zostavovateľ, editor] ; Caranti, Andrea [Recenzent] ; Chvalina, Jan [Recenzent]. – 1. vyd. – Bratislava (Slovensko) : Slovenská technická univerzita v Bratislave, 2019. – ISBN 978-80-227-4884-1, s. 323-333 [USB kľúč] </t>
  </si>
  <si>
    <t xml:space="preserve">Evalvácia neurónového a štatistického strojového prekladu publicistických textov = Evaluation of Neural and Statistical Machine Translation of Journalistic Texts / Benková, Lucia [Autor, UKFFPVKIN, 100%] ; Študentská vedecká konferencia 2021 [14.04.2021, Nitra, Banská Bystrica, Slovensko]. – text. – [slovenčina]. – [OV 160]. – [abstrakt z podujatia - KP] In: Študentská vedecká konferencia 2021 Fakulty prírodných vied Univerzity Konštantína Filozofa v Nitre a Fakulty prírodných vied Univerzity Mateja Bela v Banskej Bystrici [textový dokument (print)] : zborník recenzovaných príspevkov / Francisti, Jan [Zostavovateľ, editor] ; Fodor, Kristián [Zostavovateľ, editor]. – 1. vyd. – Nitra (Slovensko) : Univerzita Konštantína Filozofa v Nitre ; Banská Bystrica (Slovensko) : Univerzita Mateja Bela v Banskej Bystrici, 2021. – (Prírodovedec ; 756). – ISBN 978-80-558-1712-5, s. 238-245 [tlačená forma] </t>
  </si>
  <si>
    <t xml:space="preserve">Excerpty z kádrového profilu Supermana / Boszorád, Martin [Autor, UKFFFAULK, 100%] ; Umenie, estetika, politika [24.10.2018-26.10.2018, Bratislava, Slovensko]. – text. – [slovenčina]. – [OV 020]. – [abstrakt z podujatia - KP] In: Umenie, estetika, politika [textový dokument (print)] : zborník príspevkov z medzinárodnej konferencie Umenie, estetika, politika 24. - 26. 10. 2018 konanej v Univerzitnej knižnici v Bratislave / Pašteková, Michaela [Zostavovateľ, editor] ; Brezňan, Peter [Zostavovateľ, editor] ; Ridzoňová-Ferenčuhová, Mária [Recenzent] ; Lipták, Michal [Recenzent]. – 1. vyd. – Roč. 2. – Bratislava (Slovensko) : Slovenská asociácia pre estetiku, 2019. – ISBN 978-80-972624-2-6, s. 36-43 [tlačená forma] </t>
  </si>
  <si>
    <t xml:space="preserve">Existentialist Links Between Kierkegaard’s and Unamuno’s Novels = Existencialistické prepojenia medzi románni Kierkegaarda a Unamuna / Albuerne Gayo, Angélica [Autor, UKFFFAKKU, 100%] ; 11. medzinárodné sympózium Jána Albrechta: Filozofické koncepcie v hudbe a umení, 11 [11.10.2019-13.10.2019, Banská Štiavnica, Slovensko]. – text. – [angličtina]. – [OV 020]. – [článok z podujatia]. – [recenzované] In: Ars pro toto [textový dokument (print)] : vedecký a umelecký časopis = science &amp; art journal. – Banská Štiavnica : Hudobná a umelecká akadémia Jána Albrechta v Banskej Štiavnici. – ISSN 1338-6913. – Roč. 9, č. 1 (2020), s. 21-26 [tlačená forma] </t>
  </si>
  <si>
    <t xml:space="preserve">Exkurzia vo vyučovaní prírodovedy / Schlarmannová, Janka [Autor, UKFFPVKZA, 40%] ; Vaculčiaková, Elena [Autor, 30%] ; Matejovičová, Barbora [Autor, UKFFPVKZA, 20%] ; Sandanusová, Anna [Autor, UKFFPVKZA, 10%] ; Didaktické a environmentální aspekty  v přípravě učitelů přírodovědných, zemědělských a příbuzných oborů, 15 [19.03.2020-21.03.2020, Tatranská Štrba, Slovensko]. – text. – [slovenčina]. – [OV 130]. – [abstrakt z podujatia - KP] In: Didaktické a environmentální aspekty v přípravě učitelů přírodovědných, zemědělských a příbuzných oborů [textový dokument (print)] : sborník statí z 15. ročníku konference EDUCO / Dytrtová, Radmila [Zostavovateľ, editor] ; Jordánová, Barbora [Zostavovateľ, editor] ; Málková, Jitka [Recenzent] ; Sandanusová, Anna [Recenzent]. – 1. vyd. – Praha (Česko) : Česká zemědelská univerzita v Praze, 2020. – ISBN 978-80-213-3039-9, s. 110-113 [tlačená forma] </t>
  </si>
  <si>
    <t xml:space="preserve">Experience with Using Robots for Teaching Programming / Voštinár, Patrik [Autor, UMBFP05, 50%] ; Klimová, Nika [Autor, UKFFPVKIN, 50%] ; Information and digital technologies 2019, 4 [25.06.2019-27.06.2019, Žilina, Slovensko]. – text. – [angličtina]. – [OV 160]. – [abstrakt z podujatia - KP]. – [recenzované]. – DOI 10.1109/DT.2019.8813310. – SCO In: Information and digital technologies 2019 [elektronický dokument] : proceedings of the international conference / [bez zostavovateľa] [Zostavovateľ, editor]. – 1. vyd. – Danvers (USA) : Institute of Electrical and Electronics Engineers, 2019. – ISBN 978-1-7281-1401-9, 536-542 [CD-ROM] </t>
  </si>
  <si>
    <t xml:space="preserve">Experiment selection and its role in constructing basic elements knowledge of quantum physics / Sitkey, Matúš [Autor, UKFFPVKFY, 50%] ; Čerňanský, Peter [Autor, UKFFPVKFY, 50%] ; DIDFYZ 2019, 21 [09.10.2019-12.10.2019, Terchová, Slovensko]. – text. – [angličtina]. – [OV 091]. – [abstrakt z podujatia - KP]. – DOI 10.1063/1.5124774. – SCO In: DIDFYZ 2019 [textový dokument (print)] [elektronický dokument] : Formation of the Natural Science Image of the World in the 21st Century / Valovičová, Ľubomíra [Zostavovateľ, editor] ; Ondruška, Ján [Zostavovateľ, editor] ; Zelenický, Ľubomír [Zostavovateľ, editor]. – 1. vyd. – Melville (USA) : American Institute of Physics . AIP Publishing, 2019. – (AIP Conference Proceedings, ISSN 0094-243X, ISSN 1551-7616 ; 2152, SJR: 0,19 ; CiteScore: 0,6 ; SNIP: 0,373). – ISBN 978-0-7354-1897-4, s. 1-12 [tlačená forma] [online] </t>
  </si>
  <si>
    <t xml:space="preserve">Experiments with the tablet in informal education / Valovičová, Ľubomíra [Autor, UKFFPVKFY, 50%] ; Ondruška, Ján [Autor, UKFFPVKFY, 50%] ; DIDFYZ 2019, 21 [09.10.2019-12.10.2019, Terchová, Slovensko]. – text. – [angličtina]. – [OV 091, 010]. – [abstrakt z podujatia - KP]. – DOI 10.1063/1.5124780. – SCO In: DIDFYZ 2019 [textový dokument (print)] [elektronický dokument] : Formation of the Natural Science Image of the World in the 21st Century / Valovičová, Ľubomíra [Zostavovateľ, editor] ; Ondruška, Ján [Zostavovateľ, editor] ; Zelenický, Ľubomír [Zostavovateľ, editor]. – 1. vyd. – Melville (USA) : American Institute of Physics . AIP Publishing, 2019. – (AIP Conference Proceedings, ISSN 0094-243X, ISSN 1551-7616 ; 2152, SJR: 0,19 ; CiteScore: 0,6 ; SNIP: 0,373). – ISBN 978-0-7354-1897-4, s. 1-12 [tlačená forma] [online] </t>
  </si>
  <si>
    <t xml:space="preserve">Experimenty s transformátorom vo vyučovacom procese = The experiments with transformer in teaching process / Sitkey, Matúš [Autor, UKFFPVKFY, 100%] ; Študentská vedecká konferencia 2018 [21.03.2018, Nitra, Slovensko]. – text. – [slovenčina]. – [OV 091]. – [abstrakt z podujatia - KP] In: Študentská vedecká konferencia 2018 [textový dokument (print)] : zborník recenzovaných príspevkov z konferencie v Nitre 21. 03.2018 / Siládi, Vladimir [Zostavovateľ, editor] ; Račáková, Slavka [Zostavovateľ, editor] ; Voštinár, Patrik [Recenzent] ; Trajteľ, Ľudovít [Recenzent] ; Suchý, Jozef [Recenzent] ; Vagač, Michal [Recenzent] ; Melicherčík, Miroslav [Recenzent]. – 1. vyd. – 2018 (Slovensko) : Univerzita Konštantína Filozofa v Nitre, 2018. – ISBN 978-80-557-1415-8, s. 483-487 [tlačená forma] </t>
  </si>
  <si>
    <t xml:space="preserve">Expresia cyklooxygenázy v jejune myší intoxikovaných xylénom a po aplikácii ľanu xylénom a po aplikácii ľanu = Modulation of inflammation processes in xylene-intoxicated mice and after flax application mice and after flax application / Andrejčáková, Zuzana [Autor, UVLFKBF, 40%] ; Vlčková, Radoslava [Autor, UVLFKBF, 20%] ; Sopková, Drahomíra [Autor, UVLFKBF, 20%] ; Petrilla, Vladimír [Autor, UVLFKBF, 5%] ; Ondrašovičová, Silvia [Autor, UVLFKBF, 5%] ; Polláková, Magdaléna [Autor, UVLFKAHF, 5%] ; Sirotkin, Alexander [Autor, UKFFPVKZA, 5%] ; Lazarove dni výživy a veterinárnej dietetiky, 14 [08.09.2021-09.09.2021, Košice, Slovensko]. – [slovenčina]. – [OV 200]. – [abstrakt z podujatia - KP] In: Lazarove dni výživy a veterinárnej dietetiky XIV [textový dokument (print)] : zborník prednášok, medzinárodná vedecká konferencia / Naď, Pavel [Zostavovateľ, editor] ; Bujňák, Lukáš [Zostavovateľ, editor] ; Faixová, Zita [Recenzent] ; Mudroň, Pavol [Recenzent] ; Turek, Peter [Recenzent]. – 1. vyd. – Košice (Slovensko) : Univerzita veterinárskeho lekárstva a farmácie v Košiciach, 2021. – ISBN 978-80-8077-711-1, s. 149-152 [tlačená forma] </t>
  </si>
  <si>
    <t xml:space="preserve">Fenomén multikultúrnej identity (utváranie nových identít v 21. storočí) / Puškár, Jozef [Autor, UKFFFAKKU, 100%] ; Reflexia kultúrno-spoločenských javov [03.05.2018-04.05.2018, Nitra, Slovensko]. – text. – [slovenčina]. – [OV 020]. – [abstrakt z podujatia - KP] In: Reflexia kultúrno-spoločenských javov [textový dokument (print)] : zborník z konferencie určenej pre doktorandov sociálnych, humanitných a umenovedných odborov, a to 3. - 4. mája 2018 na UKF v Nitre / Hochel, Igor [Zostavovateľ, editor] ; Popovicsová, Jana [Zostavovateľ, editor] ; Boszorád, Martin [Recenzent] ; Půtová, Barbora [Recenzent]. – 1. vyd. – Nitra (Slovensko) : Univerzita Konštantína Filozofa v Nitre, 2018. – ISBN 978-80-558-1341-7, s. 79-89 [tlačená forma] </t>
  </si>
  <si>
    <t xml:space="preserve">Fenomén súčasného nezávislého divadla na Slovensku / Ballay, Miroslav [Autor, UKFFFAKKU, 100%] ; Majera, Ľjuboslav [Recenzent] ; Vedral, Jan [Recenzent] ; Súčasná teatrológia a divadlo, 15 [30.11.2018-01.12.2018, Banská Bystrica, Slovensko]. – [slovenčina]. – [OV 020]. – [abstrakt z podujatia - KP] In: Súčasná teatrológia a divadlo. Vzťah divadelnej vedy, vzdelávania a scénického umenia v 21. storočí [textový dokument (print)] : zborník z medzinárodnej Banskobystrickej teatrologickej konferencie 30. 11. a 1. 12. 2018 na Fakulte dramatických umení Akadémie umení v Banskej Bystrici / Knopová, Elena [Zostavovateľ, editor]. – 1. vyd. – Banská Bystrica (Slovensko) : Akadémia umení, 2018. – ISBN 978-80-8206-008-2, s. 120-133 [tlačená forma] </t>
  </si>
  <si>
    <t xml:space="preserve">Film ako "intermédium na druhú"(?) / Boszorád, Martin [Autor, UKFFFAULK, 100%] ; Obraz - slovo - zvuk, 19 [17.10.2019-20.10.2019, Krpáčovo, Slovensko]. – text. – [slovenčina]. – [OV 020]. – [abstrakt z podujatia - KP] In: Obraz - slovo - zvuk [textový dokument (print)] : zborník príspevkov z 19. československej filmologickej konferencie / Dudková, Jana [Recenzent] ; Palúch, Martin [Recenzent]. – 1. vyd. – Bratislava (Slovensko) : Asociácia slovenských filmových klubov ; Slovenský filmový ústav, 2020. – ISBN 978-80-85187-83-0, s. 243-252 [tlačená forma] </t>
  </si>
  <si>
    <t xml:space="preserve">Film ako popkultúrny naratív. Slovo, obraz a zvuk v tvorbe Edgara Wrighta / Malíček, Juraj [Autor, UKFFFAULK, 100%] ; Obraz - slovo - zvuk, 19 [17.10.2019-20.10.2019, Krpáčovo, Slovensko]. – text. – [slovenčina]. – [OV 020]. – [abstrakt z podujatia - KP] In: Obraz - slovo - zvuk [textový dokument (print)] : zborník príspevkov z 19. československej filmologickej konferencie / Dudková, Jana [Recenzent] ; Palúch, Martin [Recenzent]. – 1. vyd. – Bratislava (Slovensko) : Asociácia slovenských filmových klubov ; Slovenský filmový ústav, 2020. – ISBN 978-80-85187-83-0, s. 265-273 [tlačená forma] </t>
  </si>
  <si>
    <t xml:space="preserve">Filmové adaptace Kafkovy Proměny : poznámky ke studiu adaptačních strategií / Mikulášek, Alexej [Autor, UKFFSSUSJ, 100%] ; Literatúra a jej filmová podoba v stredoeurópskom kontexte [15.10.2019, Nitra, Slovensko]. – text. – [slovenčina]. – [OV 020]. – [abstrakt z podujatia - KP] In: Literatúra a jej filmová podoba v stredoeurópskom kontexte [textový dokument (print)] : zborník štúdií z medzinárodnej vedeckej konferencie, konanej 15. októbra 2019 na FSŠ UKF v Nitre / Timko, Štefan [Zostavovateľ, editor] ; Pokorný, Milan [Recenzent] ; Zelenka, Miloš [Recenzent]. – 1. vyd. – Nitra (Slovensko) : Univerzita Konštantína Filozofa v Nitre, 2020. – ISBN 978-80-558-1570-1, s. 157-173 [tlačená forma] </t>
  </si>
  <si>
    <t xml:space="preserve">Filmové stvárnenie dvoch ambivalentných vzťahov (Adelheid a Boží duha) / Gallik, Ján [Autor, UKFFSSUSJ, 100%] ; Literatúra a jej filmová podoba v stredoeurópskom kontexte [15.10.2019, Nitra, Slovensko]. – text. – [slovenčina]. – [OV 020]. – [abstrakt z podujatia - KP] In: Literatúra a jej filmová podoba v stredoeurópskom kontexte [textový dokument (print)] : zborník štúdií z medzinárodnej vedeckej konferencie, konanej 15. októbra 2019 na FSŠ UKF v Nitre / Timko, Štefan [Zostavovateľ, editor] ; Pokorný, Milan [Recenzent] ; Zelenka, Miloš [Recenzent]. – 1. vyd. – Nitra (Slovensko) : Univerzita Konštantína Filozofa v Nitre, 2020. – ISBN 978-80-558-1570-1, s. 57-68 [tlačená forma] </t>
  </si>
  <si>
    <t xml:space="preserve">Fonetika, fonácia a rezonancia v šansóne / Barilíková-Spišáková, Lenka [Autor, 50%] ; Štrbák Pandiová, Iveta [Autor, UKFPFAKHU, 50%] ; Nonartificiálna hudba v edukácii [20.05.2019-24.05.2019, Nitra, Slovensko]. – text. – [slovenčina]. – [OV 010]. – [abstrakt z podujatia - KP] In: Nonartificiálna hudba v edukácii [elektronický dokument] : zborník príspevkov z elektronickej vedeckej konferencieu projektu KEGA – Nonartificiálna hudba vo vokálnej edukácii. Konferencia sa koná pod záštitou dekana Pedagogickej fakulty UKF v Nitre doc. PaedDr. Gábora Pintesa, PhD.  20. – 24. mája 2019 / Štrbák Pandiová, Iveta [Zostavovateľ, editor] ; Švajková, Tatiana [Recenzent] ; Ťahún Mendelová, Antónia [Recenzent]. – 1. vyd. – Nitra (Slovensko) : Univerzita Konštantína Filozofa v Nitre, 2019. – ISBN 978-80-558-1445-2, s. 80-87 [online] </t>
  </si>
  <si>
    <t xml:space="preserve">Fonologické schopnosti vo vzťahu k nadobúdaniu ranej gramotnosti detí / Melišeková Dojčanová, Adela [Autor, UKFPFAKPE, 100%] ; Inovatívne trendy v odborových didaktikách [21.11.2018, Nitra, Slovensko]. – text. – [slovenčina]. – [OV 010]. – [abstrakt z podujatia - KP] In: Inovatívne trendy v odborových didaktikách [textový dokument (print)] : prepojenie teórie a praxe výučbových stratégií kritického a tvorivého myslenia : zborník štúdií z medzinárodnej vedeckej konferencie, Nitra 21. november 2018 / Duchovičová, Jana [Zostavovateľ, editor] ; Hošová, Dominika [Zostavovateľ, editor] ; Koleňáková, Rebeka Štefánia [Zostavovateľ, editor] ; Bílek, Martin [Recenzent] ; Komora, Juraj [Recenzent]. – 1. vyd. – Nitra (Slovensko) : Univerzita Konštantína Filozofa v Nitre, 2019. – ISBN 978-80-558-1408-7, s. 526-531 [tlačená forma] </t>
  </si>
  <si>
    <t xml:space="preserve">Fonologické uvedomovanie vo vzťahu k počiatočnému vývoju gramotnosti / Máčajová, Monika [Autor, UKFPFAKPE, 50%] ; Zajacová, Zuzana [Autor, UKFPFAKPE, 50%] ; Kmeťová, Jarmila [Recenzent] ; Bírová, Jana [Recenzent] ; Inovatívne trendy v odborových didaktikách v kontexte požiadaviek praxe [13.11.2017-14.11.2017, Nitra, Slovensko]. – text. – [slovenčina]. – [OV 010]. – [abstrakt z podujatia - KP] In: Inovatívne trendy v odborových didaktikách v kontexte požiadaviek praxe [elektronický dokument] : zborník štúdií z medzinárodnej vedeckej konferencie / Duchovičová, Jana [Zostavovateľ, editor] ; Gunišová, Denisa [Zostavovateľ, editor] ; Kozárová, Nina [Zostavovateľ, editor] ; Koleňáková, Rebeka Štefánia [Zostavovateľ, editor]. – 1. vyd. – Nitra (Slovensko) : Univerzita Konštantína Filozofa v Nitre. Pedagogická fakulta UKF, 2018. – ISBN 978-80-558-1277-9, s. 306-312 [online] </t>
  </si>
  <si>
    <t xml:space="preserve">Forming the professional skills of a future physics teacher / Zelenický, Ľubomír [Autor, UKFFPVKFY, 60%] ; Rakovská, Mária [Autor, 20%] ; Horváthová, Daniela [Autor, UKFFPVKFY, 20%] ; DIDFYZ 2019, 21 [09.10.2019-12.10.2019, Terchová, Slovensko]. – text. – [angličtina]. – [OV 091, 010]. – [abstrakt z podujatia - KP]. – DOI 10.1063/1.5124784. – SCO In: DIDFYZ 2019 [textový dokument (print)] [elektronický dokument] : Formation of the Natural Science Image of the World in the 21st Century / Valovičová, Ľubomíra [Zostavovateľ, editor] ; Ondruška, Ján [Zostavovateľ, editor] ; Zelenický, Ľubomír [Zostavovateľ, editor]. – 1. vyd. – Melville (USA) : American Institute of Physics . AIP Publishing, 2019. – (AIP Conference Proceedings, ISSN 0094-243X, ISSN 1551-7616 ; 2152, SJR: 0,19 ; CiteScore: 0,6 ; SNIP: 0,373). – ISBN 978-0-7354-1897-4, s. 1-9 [tlačená forma] [online] </t>
  </si>
  <si>
    <t xml:space="preserve">Formovanie kritického myslenia na hodinách ruského jazyka na vysokej škole : inovatívne trendy v odborových didaktikách v kontexte požiadaviek praxe / Kalechyts, Alena [Autor, UKFFFAKRU, 100%] ; Kmeťová, Jarmila [Recenzent] ; Bírová, Jana [Recenzent] ; Inovatívne trendy v odborových didaktikách v kontexte požiadaviek praxe [13.11.2017-14.11.2017, Nitra, Slovensko]. – text. – [slovenčina]. – [OV 010]. – [abstrakt z podujatia - KP] In: Inovatívne trendy v odborových didaktikách v kontexte požiadaviek praxe [elektronický dokument] : zborník štúdií z medzinárodnej vedeckej konferencie / Duchovičová, Jana [Zostavovateľ, editor] ; Gunišová, Denisa [Zostavovateľ, editor] ; Kozárová, Nina [Zostavovateľ, editor] ; Koleňáková, Rebeka Štefánia [Zostavovateľ, editor]. – 1. vyd. – Nitra (Slovensko) : Univerzita Konštantína Filozofa v Nitre. Pedagogická fakulta UKF, 2018. – ISBN 978-80-558-1277-9, s. 266-271 [online] </t>
  </si>
  <si>
    <t xml:space="preserve">Freak show : carnivalization in hunter S. Thompson ́s fear and loathing in Las Vegas / Briedik, Adam [Autor, UKFFFAKAA, 100%] ; 1st Nitra Postgraduate Conference in English Studies [24.10.2019, Nitra, Slovensko]. – text. – [angličtina]. – [OV 020]. – [abstrakt z podujatia - KP] In: 1st Nitra Postgraduate Conference in English Studies: Trends and Perspectives [textový dokument (print)] : conference proceedings / Ondrušeková, Judita [Zostavovateľ, editor] ; Gadušová, Zdenka [Recenzent] ; Miššíková, Gabriela [Recenzent]. – 1. vyd. – Praha (Česko) : Verbum, 2020. – ISBN 978-80-87800-65-2, s. 70-82 [tlačená forma] </t>
  </si>
  <si>
    <t xml:space="preserve">From App Inventor to Java: A Strategy for Mediating the Transition / Tóth, Tomáš [Autor, UKFFPVKIN, 60%] ; Michaličková, Viera [Autor, UKFFPVKIN, 40%] ; ICETA 2018, 16 [15.11.2018-16.11.2018, Starý Smokovec, Slovensko]. – text. – [angličtina]. – [OV 010]. – [abstrakt z podujatia - KP]. – WOS CC ; SCO In: ICETA 2018 [textový dokument (print)] [elektronický dokument] : 16th IEEE International Conference on Emerging eLearning Technologies and Applications : proceedings / Jakab, František [Zostavovateľ, editor]. – 1. vyd. – New Jersey (USA) : Institute of Electrical and Electronics Engineers, 2018. – ISBN 978-1-5386-7912-8. – ISBN (chybné) 978-153867914-2, s. 591-596 [tlačená forma] [online] </t>
  </si>
  <si>
    <t xml:space="preserve">Futurizmus a rozvrat morálnych hodnôt = Futurism and disruption of moral values / Ćurković, Mirta [Autor, UKFFFAKRO, 100%] ; Morálka v kontexte storočí [28.03.2019-29.03.2019, Prešov, Slovensko]. – text. – [slovenčina]. – [OV 020]. – [abstrakt z podujatia - KP] In: Morálka v kontexte storočí [elektronický dokument] : zborník odborných príspevkov / Brodňanská, Erika [Zostavovateľ, editor] ; Koželová, Adriána Ingrid [Zostavovateľ, editor] ; Grusková, Jana [Recenzent] ; Lichner, Miloš [Recenzent]. – 1. vyd. – Prešov (Slovensko) : Prešovská univerzita v Prešove, 2019. – ISBN (online) 978-80-555-2274-6. – SIGN-PU FF-19 203/19, s. 1-10 [online] </t>
  </si>
  <si>
    <t xml:space="preserve">Fylogeografická charakteristika a ekosozologické hodnotenie biokoridorov so zameraním na migráciu veľkých šeliem v okrese Lučenec / Wittlinger, Lukáš [Autor, 50%] ; Šolcová, Lucia [Autor, UKFFPVKGR, 50%] ; Študentská vedecká konferencia 2019, 3 [09.04.2019, Banská Bystrica, Slovensko]. – text. – [slovenčina]. – [OV 100, 092]. – [abstrakt z podujatia - KP] In: Študentská vedecká konferencia 2019 [elektronický dokument] : zborník recenzovaných príspevkov, Banská Bystrica 9. apríla 2019 / Francisti, Jan [Zostavovateľ, editor] ; Zverková, Katarína [Zostavovateľ, editor] ; Omelka, Radoslav [Zostavovateľ, editor]. – 1. vyd. – Nitra (Slovensko) : Univerzita Konštantína Filozofa v Nitre ; Banská Bystrica (Slovensko) : Univerzita Mateja Bela v Banskej Bystrici, 2019. – ISBN 978-80-558-1433-9, s. 95-101 [online] </t>
  </si>
  <si>
    <t xml:space="preserve">Fytogeografia inváznych antropofytov lesných a nelesných biotopov s výrazným antropickým vplyvom v krajine a prognóza variability fytocenóz = Phytogeography of invasive anthropophytes of forest and non-forest habitats with significant human impact to the landscape and prognosis of phytocoenoses variability / Wittlinger, Lukáš [Autor, 50%] ; Petrikovičová, Lucia [Autor, UKFFPVKGR, 50%] ; Študentská vedecká konferencia 2020, 6 [07.04.2020, Nitra, Slovensko]. – text. – [slovenčina]. – [OV 100, 092]. – [abstrakt z podujatia - KP] In: Študentská vedecká konferencia 2020 [elektronický dokument] : zborník recenzovaných príspevkov [zo zrušenej študentskej vedeckej konferencie s plánovaným termínom konania 7.4.2020 v Nitre] / Spišiak, Ján [Zostavovateľ, editor] ; Račáková, Slavka [Zostavovateľ, editor] ; Voštinár, Patrik [Recenzent] ; Melicherčík, Miroslav [Recenzent]. – 1. vyd. – Banská Bystrica (Slovensko) : Univerzita Mateja Bela v Banskej Bystrici ; Nitra (Slovensko) : Univerzita Konštantína Filozofa v Nitre, 2020. – ISBN 978-80-557-1733-3, s. 116-123 [online] </t>
  </si>
  <si>
    <t xml:space="preserve">Genderové rozdiely adolescentov v záujme o pohybové aktivity / Broďáni, Jaroslav [Autor, UKFPFAKTV, 33%] ; Šiška, Ľuboslav [Autor, UKFPFAKTV, 33%] ; Šutka, Vladimír [Autor, UKFPFAKTV, 34%] ; Müller, Anetta [Recenzent] ; Biró, Melinda [Recenzent] ; Sport science in motion [17.05.2018-19.05.2018, Komárno, Slovensko]. – text. – [slovenčina]. – [OV 210]. – [abstrakt z podujatia - KP] In: Sport science in motion [elektronický dokument] : proceedings from the scientific conference, Komárno, May 17th – 19th, 2018 = recenzovaný zborník vedeckých a odborných prác z konferencie = válogatott tanulmánykötet – válogatott tanulmányok a tudományos konferenciáról / Šimonek, Jaromír [Zostavovateľ, editor] ; Dobay, Beáta [Zostavovateľ, editor]. – 1. vyd. – Komárno (Slovensko) : Univerzita J. Selyeho, 2018. – ISBN 978-80-8122-245-0, s. 167-172 [CD-ROM] </t>
  </si>
  <si>
    <t xml:space="preserve">Generation z as a target of mobile apps advertising / Lenghart, Patrik [Autor, UKFFFAKZU, 50%] ; Lesková, Andrea [Autor, UKFFFAKAE 06.2022, 50%] ; Megatrendy a médiá 2021 [21.04.2021, Trnava, Slovensko]. – text. – [angličtina]. – [OV 020]. – [abstrakt z podujatia - KP] In: Megatrends and Media: Home Officetainment [textový dokument (print)] [elektronický dokument] : Conference Proceedings from the International Scientific Conference “Megatrends and Media: Home Officetainment”, 21st April 2021 / Prostináková Hossová, Monika [Zostavovateľ, editor] ; Radošinská, Jana [Zostavovateľ, editor] ; Solík, Martin [Zostavovateľ, editor]. – 1. vyd. – Trnava (Slovensko) : Univerzita sv. Cyrila a Metoda v Trnave. Fakulta masmediálnej komunikácie, 2021. – ISBN 978-80-572-0183-0. – ISSN 2729-7403, s. 414-420 [tlačená forma] [online] </t>
  </si>
  <si>
    <t xml:space="preserve">GeoGebra and Logarithmic Spiral in Educational Process / Vallo, Dušan [Autor, UKFFPVKMA, 50%] ; Ďuriš, Viliam [Autor, UKFFPVKMA, 50%] ; Baicoianu, Alexandra [Recenzent] ; Fabio, Bruni [Recenzent] ; APLIMAT 2018, 17 [06.02.2018-08.02.2018, Bratislava, Slovensko]. – text. – [angličtina]. – [OV 010]. – [abstrakt z podujatia - KP] In: Aplimat 2018 [elektronický dokument] : 17th conference on Aplied mathematics proceedings / Szarková, Dagmar [Zostavovateľ, editor] ; Richtáriková, Daniela [Zostavovateľ, editor] ; Letavaj, Peter [Zostavovateľ, editor] ; Gabková, Jana [Zostavovateľ, editor]. – 1. vyd. – Bratislava (Slovensko) : Slovenská technická univerzita v Bratislave, 2018. – ISBN 978-80-227-4765-3, s. 1076-1082 [USB kľúč] </t>
  </si>
  <si>
    <t xml:space="preserve">GeoGebra-connecting the digital and the physical world / Vágová, Renáta [Autor, UKFFPVKMA, 100%] ; Symposium on computer geometry, 28 [09.09.2019-12.09.2019, Trenčianske Teplice, Slovensko]. – text. – [angličtina]. – [OV 010, 240]. – [abstrakt z podujatia - KP] In: Proceedings of the slovak-czech conference on geometry and graphics 2019 [textový dokument (print)] [elektronický dokument] / Velichová, Daniela [Zostavovateľ, editor] ; Lávička, Miroslav [Zostavovateľ, editor] ; Szarková, Dagmar [Zostavovateľ, editor]. – 1 vyd. – Bratislava (Slovensko) : Vydavateľstvo SCHK, 2019. – ISBN 978-80-8208-024-0. – ISBN (online) 978-80-86843-65-0, s. 177-182 </t>
  </si>
  <si>
    <t xml:space="preserve">Geographical Characteristics of the Territory with Focusing on Selected Anthropogenic Impacts of Mining / Wittlinger, Lukáš [Autor, 50%] ; Šolcová, Lucia [Autor, UKFFPVKGR, 50%] ; Geografické aspekty stredoeurópskeho priestoru, 26 [10.10.2018-11.10.2018, Nitra, Slovensko]. – text. – [angličtina]. – [OV 092]. – [článok z podujatia]. – [recenzované]. – DOI 10.17846/GI.2018.22.1.539-551. – WOS CC In: Geografické informácie [textový dokument (print)] [elektronický dokument] . – Nitra (Slovensko) : Univerzita Konštantína Filozofa v Nitre. – ISSN 1337-9453. – Roč. 22, č. 1 (2018), s. 539-551 [tlačená forma] [online] </t>
  </si>
  <si>
    <t xml:space="preserve">Geometry of Schwarz lantern in Geogebra / Vallo, Dušan [Autor, UKFFPVKMA, 100%] ; APLIMAT 2019, 18 [05.02.2019-07.02.2019, Bratislava, Slovensko]. – text. – [angličtina]. – [OV 240]. – [abstrakt z podujatia - KP]. – SCO In: Aplimat 2019 [elektronický dokument] : 18th conference on Applied mathematics proceedings / Szarková, Dagmar [Zostavovateľ, editor] ; Richtáriková, Daniela [Zostavovateľ, editor] ; Letavaj, Peter [Zostavovateľ, editor] ; Caranti, Andrea [Recenzent] ; Chvalina, Jan [Recenzent]. – 1. vyd. – Bratislava (Slovensko) : Slovenská technická univerzita v Bratislave, 2019. – ISBN 978-80-227-4884-1, s. 1266-1274 [USB kľúč] </t>
  </si>
  <si>
    <t xml:space="preserve">Graphic novel as a powerful tool for english language learning / Szombathová, Veronika [Autor, UKFPFAKLI, 100%] ; Kmeťová, Jarmila [Recenzent] ; Bírová, Jana [Recenzent] ; Inovatívne trendy v odborových didaktikách v kontexte požiadaviek praxe [13.11.2017-14.11.2017, Nitra, Slovensko]. – text. – [slovenčina]. – [OV 010]. – [abstrakt z podujatia - KP] In: Inovatívne trendy v odborových didaktikách v kontexte požiadaviek praxe [elektronický dokument] : zborník štúdií z medzinárodnej vedeckej konferencie / Duchovičová, Jana [Zostavovateľ, editor] ; Gunišová, Denisa [Zostavovateľ, editor] ; Kozárová, Nina [Zostavovateľ, editor] ; Koleňáková, Rebeka Štefánia [Zostavovateľ, editor]. – 1. vyd. – Nitra (Slovensko) : Univerzita Konštantína Filozofa v Nitre. Pedagogická fakulta UKF, 2018. – ISBN 978-80-558-1277-9, s. 289-292 [online] </t>
  </si>
  <si>
    <t xml:space="preserve">Harm reduction na Slovensku / Horáková, Magdaléna [Autor, UKFFSVKSP, 100%] ; Gabura, Ján [Recenzent] ; Mojtová, Martina [Recenzent] ; Labor socialis - "Sociálna práca- profesia s perspektívou, profesia s poslaním" [20.09.2018, Nitra, Slovensko]. – text. – [slovenčina]. – [OV 060]. – [abstrakt z podujatia - KP] In: Labor socialis - "Sociálna práca- profesia s perspektívou, profesia s poslaním" [elektronický dokument] : recenzovaný zborník príspevkov z vedeckej konferencie s medzinárodnou účasťou, ktorá sa uskutočnila na Univerzite Konštantína Filozofa v Nitre dňa 20. septembra 2018 / Gažiková, Elena [Zostavovateľ, editor] ; Horáková, Magdaléna [Zostavovateľ, editor]. – 1. vyd. – Nitra (Slovensko) : Univerzita Konštantína Filozofa v Nitre, 2018. – ISBN 978-80-558-1367-7, s. 64-70 [CD-ROM] </t>
  </si>
  <si>
    <t xml:space="preserve">História akordeónového oddelenia v Žiline a jeho pedagogické osobnosti / Haragová, Paulína [Autor, UKFPFAKHU, 100%] ; Lechta, Viktor [Recenzent] ; Babiaková, Simoneta [Recenzent] ; Juvenilia Paedagogica 2018 [09.02.2018, Trnava, Slovensko]. – [slovenčina]. – [OV 010]. – [abstrakt z podujatia - KP] In: Juvenilia Paedagogica 2018 [elektronický dokument] : aktuálne teoretické a výskumné otázky pedagogiky v konceptoch dizertačných prác doktorandov. Zborník príspevkov z konferencie s medzinárodnou účasťou konanej v Trnave dňa 09.02.2018 / Rajský, Andrej [Zostavovateľ, editor]. – 1. vyd. – Trnava (Slovensko) : Trnavská univerzita v Trnave, 2018. – ISBN 978-80-568-0131-4, s. 48-54 [online] </t>
  </si>
  <si>
    <t xml:space="preserve">Hľadanie lásky a života v knihe Eduard a jeho zázračná cesta / Lauková, Silvia [Autor, UKFFFASJL, 100%] ; Akcenty literatúry pre deti a mládež [23.10.2020, Nitra, Slovensko]. – text. – [slovenčina]. – [OV 020]. – [abstrakt z podujatia - KP] In: Akcenty literatúry pre deti a mládež [textový dokument (print)] : trendy, problémy, interpretácie. Zborník z medzinárodnej konferencie formou videokonferencie, ktorá sa konala v Nitre 23.10.2020 / Hrašková, Mariana [Zostavovateľ, editor] ; Kaizerová, Petra [Zostavovateľ, editor] ; Nemcová, Jana [Recenzent] ; Naščák, Peter [Recenzent]. – 1. vyd. – Nitra (Slovensko) : Univerzita Konštantína Filozofa v Nitre, 2021. – ISBN 978-80-558-1699-9, s. 149-157 [tlačená forma] </t>
  </si>
  <si>
    <t xml:space="preserve">Hodnocení míry antropogenní fragmentace krajiny Slovenska pomocí indikátoru effective mesh size na úrovni krajů = Assessment of anthropogenic landscape fragmentation rate in Slovakia using the effective mesh size indicator at the region level / Dostál, Ivo [Autor, UKFFPVKEE, 100%] ; Študentská vedecká konferencia 2020, 6 [07.04.2020, Nitra, Slovensko]. – text. – [slovenčina]. – [OV 130, 100]. – [abstrakt z podujatia - KP] In: Študentská vedecká konferencia 2020 [elektronický dokument] : zborník recenzovaných príspevkov [zo zrušenej študentskej vedeckej konferencie s plánovaným termínom konania 7.4.2020 v Nitre] / Spišiak, Ján [Zostavovateľ, editor] ; Račáková, Slavka [Zostavovateľ, editor] ; Voštinár, Patrik [Recenzent] ; Melicherčík, Miroslav [Recenzent]. – 1. vyd. – Banská Bystrica (Slovensko) : Univerzita Mateja Bela v Banskej Bystrici ; Nitra (Slovensko) : Univerzita Konštantína Filozofa v Nitre, 2020. – ISBN 978-80-557-1733-3, s. 90-96 [online] </t>
  </si>
  <si>
    <t xml:space="preserve">Hodnotenie intenzity ľudského vplyvu na využívanie krajiny a jej vývoj: prípadová štúdia environmentálne zaťaženej obce Rudňany = Evaluation of the Intensity of Antropogenic Impact on Land Use and Its Development: A Case Study of the Enironmentally-loaded Area Rudňany / Hruška, Matej [Autor, UKOPRZFG, 50%] ; Petrovič, František [Autor, UKFFPVKEE, 50%] ; Boltižiar, Martin [Recenzent] ; Kolejka, Jaromír [Recenzent] ; Geografické aspekty stredoeurópskeho priestoru, 26 [10.10.2018-11.10.2018, Nitra, Slovensko]. – text. – [angličtina]. – [OV 100, 092]. – [článok z podujatia]. – SIGN-UKO PR 733/18. – WOS CC In: Geografické informácie [textový dokument (print)] [elektronický dokument] . – Nitra (Slovensko) : Univerzita Konštantína Filozofa v Nitre. – ISSN 1337-9453. – Roč. 22, č. 2 (2018), s. 70-83 [tlačená forma] [online] </t>
  </si>
  <si>
    <t xml:space="preserve">Hodnotenie mikroklimatických podmienok počas vyučovacieho procesu vo vybranej učebni / Marková, Iveta [Autor, ZUZFBIPŽI, 50%] ; Tureková, Ivana [Autor, UKFPFAKTT, 40%] ; Harangozó, Jozef [Autor, 10%] ; Aktuálne otázky bezpečnosti práce, 33 [01.12.2020-02.12.2020, Košice, Slovensko]. – text. – [slovenčina, angličtina]. – [OV 010, 170]. – [abstrakt z podujatia - KP] In: Aktuálne otázky bezpečnosti práce [elektronický dokument] / [bez zostavovateľa] [Zostavovateľ, editor]. – 1. vyd. – Košice (Slovensko) : Technická univerzita v Košiciach, 2020. – ISBN (online) 978-80-553-3685-5, s. 136-143 [USB kľúč] </t>
  </si>
  <si>
    <t xml:space="preserve">Hodnotenie parametrov mikroklímy vo veľkosklade potravín = Evaluation of hygrothermal microclimatic (HTM) parameters in the food storage / Marková, Iveta [Autor, ZUZFBIPŽI, 40%] ; Tureková, Ivana [Autor, UKFPFAKTT, 40%] ; Jaďuďová, Jana [Autor, UMBFP04, 15%] ; Hroncová, Emília [Autor, UMBFP04, 5%] ; Aktuálne otázky bezpečnosti práce 2019, 32 [04.12.2019-06.12.2019, Vysoké Tatry, Slovensko]. – [slovenčina]. – [OV 230]. – [abstrakt z podujatia - KP] In: Aktuálne otázky bezpečnosti práce [elektronický dokument] / Gorzás, Michal [Zostavovateľ, editor]. – 1. vyd. – Košice (Slovensko) : Technická univerzita v Košiciach, 2019. – ISBN 978-80-553-3434-9, s. [1-11] [CD-ROM] </t>
  </si>
  <si>
    <t xml:space="preserve">Hodnotenie vplyvu extraktu výhonkov repy cukrovej na klíčivosť a rast pšenice letnej / Piršelová, Beáta [Autor, UKFFPVKBG, 35%] ; Lengyelová, Libuša [Autor, UKFFPVKBG, 25%] ; Galuščáková, Ľudmila [Autor, UKFFPVKBG, 25%] ; Kuna, Roman [Autor, UKFFPVKBG, 15%] ; Novák, Ján [Recenzent] ; Šerá, Božena [Recenzent] ; Vliv abiotických a biotických stresorů na vlastnosti rostlin 2018 [05.09.2018-06.09.2018, Zvolen, Slovensko]. – text. – [čeština]. – [OV 130]. – [abstrakt z podujatia - KP] In: Vliv abiotických a biotických stresorů na vlastnosti rostlin 2018 [textový dokument (print)] : Sborník recenzovaných vědeckých prací / Hnilička, František [Zostavovateľ, editor]. – 1. vyd. – Praha (Česko) : Česká zemědelská univerzita v Praze ; Bratislava (Slovensko) : Slovenská akadémia vied. Pracoviská SAV. Ústav ekológie lesa, 2018. – ISBN 978-80-213-2863-1. – ISBN 978-80-89408-31-3, s. 178-182 [tlačená forma] </t>
  </si>
  <si>
    <t xml:space="preserve">Hofmann's electrolyser in laboratory works / Štubňa, Igor [Autor, UKFFPVKFY, 34%] ; Csáki, Štefan [Autor, UKFFPVKFY, 33%] ; Ondruška, Ján [Autor, UKFFPVKFY, 33%] ; DIDFYZ 2019, 21 [09.10.2019-12.10.2019, Terchová, Slovensko]. – text. – [angličtina]. – [OV 091, 010]. – [abstrakt z podujatia - KP]. – DOI 10.1063/1.5124776. – SCO In: DIDFYZ 2019 [textový dokument (print)] [elektronický dokument] : Formation of the Natural Science Image of the World in the 21st Century / Valovičová, Ľubomíra [Zostavovateľ, editor] ; Ondruška, Ján [Zostavovateľ, editor] ; Zelenický, Ľubomír [Zostavovateľ, editor]. – 1. vyd. – Melville (USA) : American Institute of Physics . AIP Publishing, 2019. – (AIP Conference Proceedings, ISSN 0094-243X, ISSN 1551-7616 ; 2152, SJR: 0,19 ; CiteScore: 0,6 ; SNIP: 0,373). – ISBN 978-0-7354-1897-4, s. 1-13 [tlačená forma] [online] </t>
  </si>
  <si>
    <t xml:space="preserve">Homo iconicus / Žilka, Tibor [Autor, UKFFSSUSJ, 100%] ; Problémové aspekty výskumu metafory [24.11.2017, Trenčianske Teplice, Slovensko]. – text. – [slovenčina]. – [OV 020]. – [článok z podujatia]. – [recenzované] In: Philologia [textový dokument (print)] : časopis Ústavu filologických štúdií Pedagogickej fakulty Univerzity Komenského v Bratislave. – Bratislava (Slovensko) : Univerzita Komenského v Bratislave. Pedagogická fakulta UK. Ústav filologických štúdií. – ISSN 1339-2026. – Roč. 28, č. 1 (2018), s. 7-20 [tlačená forma] </t>
  </si>
  <si>
    <t xml:space="preserve">Horský krištáľ v archeologických nálezoch z doby popolnicových polí na Slovensku a okolitých teritóriách = Quartz crystal in archaeological finds from the Urnfield period in Slovakia and the neighbouring territories / Mitáš, Vladimír [Autor, 90%] ; Štubňa, Ján [Autor, UKFFPVGMU, 10%] ; Doba popolnicových polí a doba halštatská, 15 [15.10.2018-19.10.2018, Smolenice, Slovensko]. – text. – [slovenčina]. – [OV 030]. – [abstrakt z podujatia - KP] In: Doba popolnicových polí a doba halštatská [textový dokument (print)] : zborník príspevkov z 15. medzinárodnej konferencie, Smolenice 15. až 19. októbra 2018 / Mitáš, Vladimír [Zostavovateľ, editor] ; Ožďáni, Ondrej [Zostavovateľ, editor] ; Bartík, Juraj [Recenzent] ; Benediková, Lucia [Recenzent]. – 1. vyd. – Nitra (Slovensko) : Slovenská akadémia vied. Pracoviská SAV. Archeologický ústav, 2020. – (Archaeologica Slovaca Monographiae : Communicationes ; 25). – ISBN 978-80-8196-036-9, s. 121-132 [tlačená forma] </t>
  </si>
  <si>
    <t xml:space="preserve">Hrdina a jeho hrdinská podstata v prózach Bohumila Hrabala a ich filmových adaptáciách / Zlatoš, Peter [Autor, UKFFFAULK, 100%] ; Pokorný, Milan [Recenzent] ; Žilka, Tibor [Recenzent] ; Česká literatúra a film, 5 [17.10.2017, Nitra, Slovensko]. – text. – [slovenčina]. – [OV 020]. – [abstrakt z podujatia - KP] In: Česká literatúra a film 5 [textový dokument (print)] : zborník štúdií z medzinárodnej vedeckej konferencie, konanej 17. októbra 2017 na FSŠ v Nitre / Timko, Štefan [Zostavovateľ, editor]. – 1. vyd. – Nitra (Slovensko) : Univerzita Konštantína Filozofa v Nitre, 2018. – ISBN 978-80-558-1303-5, s. 119-136 [tlačená forma] </t>
  </si>
  <si>
    <t xml:space="preserve">Hudobné kompetencie a štúdium estetiky / Beličová, Renáta [Autor, UKFFFAULK, 100%] ; Súradnice estetiky, umenia a kultúry, IV [08.11.2018-09.11.2018, Prešov, Slovensko]. – text. – [slovenčina]. – [OV 020]. – [abstrakt z podujatia - KP] In: Súradnice estetiky, umenia a kultúry IV [textový dokument (print)] : študovať estetiku: koncepcie, stratégie a súvislosti štúdia estetiky na Slovensku a v zahraničí = studying aesthetics: aesthetics studies`concepts, strategies and context in Slovakia and abroad / Kvokačka, Adrián [Zostavovateľ, editor] ; Migašová, Jana [Zostavovateľ, editor] ; Mistrík, Erich [Recenzent] ; Sošková, Jana [Recenzent]. – 1. vyd. – Prešov (Slovensko) : Prešovská univerzita v Prešove. Filozofická fakulta, 2019. – (Opera Philosophica ; 17/2019). – ISBN 978-80-555-2310-1. – SIGN-PU FF-19 340/19, s. 62-72 [tlačená forma] </t>
  </si>
  <si>
    <t xml:space="preserve">Hudobné vzdelávanie v Učiteľskom ústave v Trnave / Tavalyová, Erika [Autor, UKFPFAKHU, 100%] ; Ars et educatio, 8 [24.11.2021-25.11.2021, Ružomberok, Slovensko]. – text. – [slovenčina]. – [OV 010]. – [abstrakt z podujatia - KP] In: Ars et Educatio VII. [elektronický dokument] : CD-zborník vedeckých príspevkov / Procházková, Martina [Zostavovateľ, editor] ; Horvát, Jozef [Zostavovateľ, editor] ; Adamko, Rastislav [Recenzent] ; Zahradníková, Zuzana [Recenzent]. – 1. vyd. – Ružomberok (Slovensko) : Katolícka univerzita v Ružomberku. VERBUM - vydavateľstvo KU, 2021. – ISBN 978-80-561-0893-2, s. 71-76 [CD-ROM] </t>
  </si>
  <si>
    <t xml:space="preserve">Hudobno-dramatické aktivity v zariadeniach pre výkon trestu / Sondorová, Dominika [Autor, UKFPFAKHU, 100%] ; Križovatky, 10 [10.10.2018-11.10.2018, Bratislava, Slovensko]. – text. – [slovenčina]. – [OV 010]. – [abstrakt z podujatia - KP] In: Úskalia náhradnej výchovy [textový dokument (print)] : recenzovaný zborník príspevkov z medzinárodnej konferencie / Hudečková, Viera [Zostavovateľ, editor] ; Bryndzák, Pavel [Zostavovateľ, editor] ; Smiková, Eva [Recenzent] ; Levická, Jana [Recenzent]. – 1. vyd. – Bratislava (Slovensko) : Diagnostické centrum Záhorská Bystrica, 2019. – ISBN 978-80-972188-8-1, s. 123-132 [tlačená forma] </t>
  </si>
  <si>
    <t xml:space="preserve">Humor ako manifest, svetonázor a ideológia –  politická satira v aktuálnych popkultúrnych naratívoch / Malíček, Juraj [Autor, UKFFFAULK, 100%] ; Umenie, estetika, politika [24.10.2018-26.10.2018, Bratislava, Slovensko]. – text. – [slovenčina]. – [OV 020]. – [abstrakt z podujatia - KP] In: Umenie, estetika, politika [textový dokument (print)] : zborník príspevkov z medzinárodnej konferencie Umenie, estetika, politika 24. - 26. 10. 2018 konanej v Univerzitnej knižnici v Bratislave / Pašteková, Michaela [Zostavovateľ, editor] ; Brezňan, Peter [Zostavovateľ, editor] ; Ridzoňová-Ferenčuhová, Mária [Recenzent] ; Lipták, Michal [Recenzent]. – 1. vyd. – Roč. 2. – Bratislava (Slovensko) : Slovenská asociácia pre estetiku, 2019. – ISBN 978-80-972624-2-6, s. 61-68 [tlačená forma] </t>
  </si>
  <si>
    <t xml:space="preserve">Changes in the local self-government in the conditions of Slovak Republic per 25 years / Papcunová, Viera [Autor, UKFFPVUMI, 34%] ; Hudáková, Jarmila [Autor, UKFFPVUMI, 33%] ; Beresecká, Janka [Autor, SPUFES16, 33%] ; Geografické aspekty stredoeurópskeho priestoru, 26 [10.10.2018-11.10.2018, Nitra, Slovensko]. – text. – [angličtina]. – [OV 080, 092, 060]. – [článok z podujatia]. – [recenzované]. – DOI 10.17846/GI.2018.22.2.223-231. – WOS CC In: Geografické informácie [textový dokument (print)] [elektronický dokument] . – Nitra (Slovensko) : Univerzita Konštantína Filozofa v Nitre. – ISSN 1337-9453. – Roč. 22, č. 2 (2018), s. 223-231 [tlačená forma] [online] </t>
  </si>
  <si>
    <t xml:space="preserve">Chybovosť strojového prekladu v kontexte hodnotenia kvality prekladu = Machine Translation Error Rate in the Context of Translation Quality Evaluation / Welnitzová, Katarína [Autor, UCMFIFKAAM, 50%] ; Munková, Daša [Autor, UKFFFAKTR, 50%] ; Forlang, 10 [23.06.2021-24.06.2021, Košice, Slovensko]. – text. – [slovenčina]. – [OV 020]. – [abstrakt z podujatia - KP] In: Forlang [elektronický dokument] : periodický zborník vedeckých príspevkov a odborných článkov z medzinárodnej vedeckej konferencie konanej 23. - 24. júna 2021 : cudzie jazyky v akademickom prostredí = foreign Languages in the Academic Environment = Fremdsprachen im akademischen Bereich = inostrannye jazyki v akademičeskoj srede / Kaščáková, Eva [Zostavovateľ, editor] ; Alieva, Lenka [Recenzent] ; Czéreová, Beáta [Recenzent] ; Hájik, Tomáš [Recenzent] ; Klink, Sandra [Recenzent] ; Kulíková, Terézia [Recenzent] ; Mazurová, Helena [Recenzent] ; Mihalčinová, Zuzana [Recenzent] ; Mihaľová, Alena [Recenzent] ; Pechová, Soňa [Recenzent] ; Sorger, Roman [Recenzent] ; Szabová, Katarína [Recenzent] ; Timárová, Daniela [Recenzent] ; Vráželová, Viktória [Recenzent]. – 1. vyd. – Roč. 8, č. 1. – Košice (Slovensko) : Technická univerzita v Košiciach, 2021. – ISBN (online) 978-80-553-3948-1. – ISSN 1338-5496. – SIGN-TUKE 233160, s. 481-487 [CD-ROM] </t>
  </si>
  <si>
    <t xml:space="preserve">Chyby vo výslovnosti hlások v rečníckych prejavoch / Olšiak, Marcel [Autor, UKFFFASJL, 100%] ; Horák, Karol [Recenzent] ; Záborská, Alexandra [Recenzent] ; Rétorika dnes 2018, 2 [20.06.2018, Banská Bystrica, Slovensko]. – text. – [slovenčina]. – [OV 020]. – [abstrakt z podujatia - KP] In: Rétorika 2018 [textový dokument (print)] : zborník referátov 2. ročníka konferencie Rétorika dnes : Banská Bystrica 20. jún 2018 / Laurinčíková, Zuzana [Zostavovateľ, editor]. – 1. vyd. – Banská Bystrica (Slovensko) : Akadémia umení. Fakulta dramatických umení, 2018. – ISBN 978-80-89555-99-4, s. 29-36 [tlačená forma] </t>
  </si>
  <si>
    <t xml:space="preserve">Identification and Evaluation of Development Trends in the Conurbation of the Cities of Martin and Vrútky Over the Last 23 Years / Nozdrovická, Jana [Autor, UKFFPVKEE, 30%] ; Turanovičová, Martina [Autor, UKFFPVKEE, 40%] ; Gašparovičová, Petra [Autor, UKFFPVKEE, 30%] ; Geografické aspekty stredoeurópskeho priestoru, 26 [10.10.2018-11.10.2018, Nitra, Slovensko]. – text. – [angličtina]. – [OV 100]. – [článok z podujatia]. – [recenzované]. – DOI 10.17846/GI.2018.22.1.384-393. – WOS CC In: Geografické informácie [textový dokument (print)] [elektronický dokument] . – Nitra (Slovensko) : Univerzita Konštantína Filozofa v Nitre. – ISSN 1337-9453. – Roč. 22, č. 2 (2018), s. 384-393 [tlačená forma] [online] </t>
  </si>
  <si>
    <t xml:space="preserve">Identification of Important Activities for Teaching Programming Languages by Decision Trees / Obonya, Juraj [Autor, UKFFPVKIN, 50%] ; Kapusta, Jozef [Autor, UKFFPVKIN, 50%] ; DIVAI 2018, 12 [02.05.2018-04.05.2018, Štúrovo, Slovensko]. – text. – [angličtina]. – [OV 160]. – [abstrakt z podujatia - KP]. – [recenzované]. – WOS CC In: DIVAI 2018 [textový dokument (print)] [elektronický dokument] : 12th International Scientific Conference on Distance Learning in Applied Informatics / Turčáni, Milan [Zostavovateľ, editor] ; Balogh, Zoltán [Zostavovateľ, editor] ; Munk, Michal [Zostavovateľ, editor] ; Kapusta, Jozef [Zostavovateľ, editor] ; Benko, Ľubomír [Zostavovateľ, editor]. – 1. vyd. – Praha (Česko) : Wolters Kluwer, 2018. – ISBN 978-80-7598-059-5. – ISSN 2464-7470. – ISSN (online) 2464-7489, s. 481-490 [online] [tlačená forma] </t>
  </si>
  <si>
    <t xml:space="preserve">Identification of necessary tasks for effective Adoption of Learning Analytics at the University / Drlík, Martin [Autor, UKFFPVKIN, 100%] ; DIVAI 2018, 12 [02.05.2018-04.05.2018, Štúrovo, Slovensko]. – text. – [angličtina]. – [OV 160]. – [abstrakt z podujatia - KP]. – [recenzované]. – WOS CC In: DIVAI 2018 [textový dokument (print)] [elektronický dokument] : 12th International Scientific Conference on Distance Learning in Applied Informatics / Turčáni, Milan [Zostavovateľ, editor] ; Balogh, Zoltán [Zostavovateľ, editor] ; Munk, Michal [Zostavovateľ, editor] ; Kapusta, Jozef [Zostavovateľ, editor] ; Benko, Ľubomír [Zostavovateľ, editor]. – 1. vyd. – Praha (Česko) : Wolters Kluwer, 2018. – ISBN 978-80-7598-059-5. – ISSN 2464-7470. – ISSN (online) 2464-7489, s. 405-418 [online] [tlačená forma] </t>
  </si>
  <si>
    <t xml:space="preserve">Identifikácia dôležitých aktivít pomocou rozhodovacích stromov = Identification of important activities through decision trees / Obonya, Juraj [Autor, UKFFPVKIN, 100%] ; Študentská vedecká konferencia 2018 [21.03.2018, Nitra, Slovensko]. – text. – [slovenčina]. – [OV 160]. – [abstrakt z podujatia - KP] In: Študentská vedecká konferencia 2018 [textový dokument (print)] : zborník recenzovaných príspevkov z konferencie v Nitre 21. 03.2018 / Siládi, Vladimir [Zostavovateľ, editor] ; Račáková, Slavka [Zostavovateľ, editor] ; Voštinár, Patrik [Recenzent] ; Trajteľ, Ľudovít [Recenzent] ; Suchý, Jozef [Recenzent] ; Vagač, Michal [Recenzent] ; Melicherčík, Miroslav [Recenzent]. – 1. vyd. – 2018 (Slovensko) : Univerzita Konštantína Filozofa v Nitre, 2018. – ISBN 978-80-557-1415-8, s. 478-482 [tlačená forma] </t>
  </si>
  <si>
    <t xml:space="preserve">Identita a její rozměry ve významovém dění prózy Susan Faludi Temná komora: reflexe kulturní jinakosti a bytí v „meziprostorech“ = Identity and Its Dimensions in the Semantic Action of the Prose by Susan Faludi In the Darkroom: Reflection of Cultural Otherness and Existence in “Interstices“ / Mikulášek, Alexej [Autor, UKFFSSUSJ, 100%] ; Transzkulturalizmus és bilingvizmus [17.09.2019-18.09.2019, Nitra, Slovensko]. – text. – [čeština]. – [OV 020]. – [abstrakt z podujatia - KP] In: Transzkulturalizmus és bilingvizmus [textový dokument (print)] / Hegedüs, Orsolya [Zostavovateľ, editor] ; Németh, Zoltán [Zostavovateľ, editor] ; Tóth, Anikó [Zostavovateľ, editor] ; Petres Csizmadia, Gabriela [Zostavovateľ, editor] ; Szirák, Péter [Recenzent] ; Benyovszky, Kristian [Recenzent]. – 1. vyd. – Nitra (Slovensko) : Univerzita Konštantína Filozofa v Nitre. Fakulta stredoeurópskych štúdií, 2019. – ISBN 978-80-558-1478-0, s. 269-294 [tlačená forma] </t>
  </si>
  <si>
    <t xml:space="preserve">Identita na rozhraní virtuálneho a reálneho sveta : návrat k hmotnému / Vilím, Erik [Autor, UKFFFAULK, 100%] ; Boszorád, Martin [Recenzent] ; Půtová, Barbora [Recenzent] ; Reflexia kultúrno-spoločenských javov [03.05.2018-04.05.2018, Nitra, Slovensko]. – text. – [slovenčina]. – [OV 020]. – [abstrakt z podujatia - KP] In: Reflexia kultúrno-spoločenských javov [textový dokument (print)] : zborník z konferencie určenej pre doktorandov sociálnych, humanitných a umenovedných odborov, a to 3. - 4. mája 2018 na UKF v Nitre / Hochel, Igor [Zostavovateľ, editor] ; Popovicsová, Jana [Zostavovateľ, editor]. – 1. vyd. – Nitra (Slovensko) : Univerzita Konštantína Filozofa v Nitre, 2018. – ISBN 978-80-558-1341-7, s. 213-219 [tlačená forma] </t>
  </si>
  <si>
    <t xml:space="preserve">Identita, interkulturalita a audiovizuálny preklad / Jánošíková, Zuzana [Autor, UKFFFAKTR, 100%] ; Boszorád, Martin [Recenzent] ; Půtová, Barbora [Recenzent] ; Reflexia kultúrno-spoločenských javov [03.05.2018-04.05.2018, Nitra, Slovensko]. – text. – [slovenčina]. – [OV 020]. – [abstrakt z podujatia - KP] In: Reflexia kultúrno-spoločenských javov [textový dokument (print)] : zborník z konferencie určenej pre doktorandov sociálnych, humanitných a umenovedných odborov, a to 3. - 4. mája 2018 na UKF v Nitre / Hochel, Igor [Zostavovateľ, editor] ; Popovicsová, Jana [Zostavovateľ, editor]. – 1. vyd. – Nitra (Slovensko) : Univerzita Konštantína Filozofa v Nitre, 2018. – ISBN 978-80-558-1341-7, s. 161-172 [tlačená forma] </t>
  </si>
  <si>
    <t xml:space="preserve">Ichtyofauna rieky Rajčianka a Kuneradského potoka = Ichthyofauna of river Rajčianka and Kuneradský stream / Ďurinková, Adriána [Autor, 50%] ; Petrikovičová, Lucia [Autor, UKFFPVKGR, 50%] ; Študentská vedecká konferencia 2020, 6 [07.04.2020, Nitra, Slovensko]. – text. – [slovenčina]. – [OV 100, 092]. – [abstrakt z podujatia - KP] In: Študentská vedecká konferencia 2020 [elektronický dokument] : zborník recenzovaných príspevkov [zo zrušenej študentskej vedeckej konferencie s plánovaným termínom konania 7.4.2020 v Nitre] / Spišiak, Ján [Zostavovateľ, editor] ; Račáková, Slavka [Zostavovateľ, editor] ; Voštinár, Patrik [Recenzent] ; Melicherčík, Miroslav [Recenzent]. – 1. vyd. – Banská Bystrica (Slovensko) : Univerzita Mateja Bela v Banskej Bystrici ; Nitra (Slovensko) : Univerzita Konštantína Filozofa v Nitre, 2020. – ISBN 978-80-557-1733-3, s. 203-210 [online] </t>
  </si>
  <si>
    <t xml:space="preserve">Imitačné cvičenia v telesnej príprave profesionálnych vojakov / Markovič, Roman [Autor, UKFPFAKTV, 100%] ; Sport science in motion [05.09.2019-07.09.2019, Komárno, Slovensko]. – text. – [slovenčina]. – [OV 210]. – [abstrakt z podujatia - KP] In: Sport science in motion [elektronický dokument] : proceedings from the scientific conference, Komárno, September 5th – 7th, 2019 = zborník vedeckých a odborných prác z vedeckej konferencie = válogatott tanulmánykötet – válogatott tanulmányok a tudományos konferenciáról / Šimonek, Jaromír [Zostavovateľ, editor] ; Dobay, Beáta [Zostavovateľ, editor] ; Chovanová, Erika [Recenzent] ; Vojtaško, Ľuboš [Recenzent] ; Holienka, Miroslav [Recenzent]. – 1. vyd. – Komárno (Slovensko) : Univerzita J. Selyeho, 2019. – ISBN 978-80-8122-304-4, s. 92-100 [CD-ROM] </t>
  </si>
  <si>
    <t xml:space="preserve">Impact of Local Action Groups To Support of Tourism Development – Case Study Local Action Group (LAG) Magura-Strážov / Kováč, Tomáš [Autor, 25%] ; Laco, Ján [Autor, 25%] ; Kalivodová, Michaela [Autor, UKFFPVKEE, 25%] ; Boltižiar, Martin [Autor, UKFFPVKGR, 25%] ; Geografické aspekty stredoeurópskeho priestoru, 26 [10.10.2018-11.10.2018, Nitra, Slovensko]. – text. – [angličtina]. – [OV 092]. – [článok z podujatia]. – [recenzované]. – DOI 10.17846/GI.2018.22.1.218-232. – WOS CC In: Geografické informácie [textový dokument (print)] [elektronický dokument] . – Nitra (Slovensko) : Univerzita Konštantína Filozofa v Nitre. – ISSN 1337-9453. – Roč. 22, č. 1 (2018), s. 218-232 [tlačená forma] [online] </t>
  </si>
  <si>
    <t xml:space="preserve">Implementácia mikrokontroléra do vzdelávania na základných a stredných školách = Implementation of microcontroller in education at primary and secondary schools / Krnáč, Roman [Autor, UKFFPVKIN, 50%] ; Cápay, Martin [Autor, UKFFPVKIN, 50%] ; Študentská vedecká konferencia 2020, 6 [07.04.2020, Nitra, Slovensko]. – text. – [slovenčina]. – [OV 160]. – [abstrakt z podujatia - KP] In: Študentská vedecká konferencia 2020 [elektronický dokument] : zborník recenzovaných príspevkov [zo zrušenej študentskej vedeckej konferencie s plánovaným termínom konania 7.4.2020 v Nitre] / Spišiak, Ján [Zostavovateľ, editor] ; Račáková, Slavka [Zostavovateľ, editor] ; Voštinár, Patrik [Recenzent] ; Melicherčík, Miroslav [Recenzent]. – 1. vyd. – Banská Bystrica (Slovensko) : Univerzita Mateja Bela v Banskej Bystrici ; Nitra (Slovensko) : Univerzita Konštantína Filozofa v Nitre, 2020. – ISBN 978-80-557-1733-3, s. 290-294 [online] </t>
  </si>
  <si>
    <t xml:space="preserve">Implementácia modernej učebnej pomôcky do vyučovania zoológie / Tóth, Marek [Autor, 50%] ; Schlarmannová, Janka [Autor, UKFFPVKZA, 50%] ; Inovatívne trendy v odborových didaktikách [21.11.2018, Nitra, Slovensko]. – text. – [slovenčina]. – [OV 010]. – [abstrakt z podujatia - KP] In: Inovatívne trendy v odborových didaktikách [textový dokument (print)] : prepojenie teórie a praxe výučbových stratégií kritického a tvorivého myslenia : zborník štúdií z medzinárodnej vedeckej konferencie, Nitra 21. november 2018 / Duchovičová, Jana [Zostavovateľ, editor] ; Hošová, Dominika [Zostavovateľ, editor] ; Koleňáková, Rebeka Štefánia [Zostavovateľ, editor] ; Bílek, Martin [Recenzent] ; Komora, Juraj [Recenzent]. – 1. vyd. – Nitra (Slovensko) : Univerzita Konštantína Filozofa v Nitre, 2019. – ISBN 978-80-558-1408-7, s. 326-330 [tlačená forma] </t>
  </si>
  <si>
    <t xml:space="preserve">Improving student reading comprehension of learning materials using the analysis of Eye-Tracking data / Kohútek, Michal [Autor, UKFFPVKIN, 34%] ; Turčáni, Milan [Autor, UKFFPVKIN, 33%] ; Magdin, Martin [Autor, UKFFPVKIN, 33%] ; ICETA 2019, 17 [21.11.2019-22.11.2019, Starý Smokovec, Slovensko]. – text. – [angličtina]. – [OV 160]. – [abstrakt z podujatia - KP]. – DOI 10.1109/ICETA48886.2019.9040102. – SCO In: ICETA 2019 [elektronický dokument] [textový dokument (print)] : 17th IEEE International conference on emerging elearning technologies and applications : Information and communication technologies in learning : proceedings / Jakab, František [Zostavovateľ, editor]. – 1. vyd. – Denver (USA) : Institute of Electrical and Electronics Engineers, 2019. – ISBN 978-1-7281-4967-7. – ISBN (online) 978-1-7281-4966-0, s. 411-418 [tlačená forma] [USB kľúč] </t>
  </si>
  <si>
    <t xml:space="preserve">Inakosti a prieniky v hudobno-dramatickej zložke divadiel Ukrajinského národného divadla a Divadla Alexandra Duchnoviča / Kačmárová, Simona [Autor, UKFPFAKHU, 100%] ; Horizonty umenia, 6 [20.10.2019-01.11.2019, Banská Bystrica, Slovensko]. – text. – [slovenčina]. – [OV 010]. – [abstrakt z podujatia - KP] In: Horizonty umenia 6 [elektronický dokument] : zborník príspevkov z medzinárodnej vedeckej webovej konferencie / Strenáčiková, Mária [Zostavovateľ, editor] ; Kolodziejski, Maciej [Recenzent] ; Dushniy, Andriy Ivanovich [Recenzent]. – 1. vyd. – Banská Bystrica (Slovensko) : Akadémia umení, 2019. – ISBN 978-80-8206-028-0, s. 155-165 [CD-ROM] </t>
  </si>
  <si>
    <t xml:space="preserve">Increasing participation of high school students in physical education and sport classes / Šimonek, Jaromír [Autor, UKFPFAKTV, 25%] ; Czaková, Natália [Autor, UKFPFAKTV, 25%] ; Paška, Ľubomír [Autor, UKFPFAKTV, 25%] ; Horička, Pavol [Autor, UKFPFAKTV, 25%] ; Müller, Anetta [Recenzent] ; Biró, Melinda [Recenzent] ; Sport science in motion [17.05.2018-19.05.2018, Komárno, Slovensko]. – text. – [slovenčina]. – [OV 210]. – [abstrakt z podujatia - KP] In: Sport science in motion [elektronický dokument] : proceedings from the scientific conference, Komárno, May 17th – 19th, 2018 = recenzovaný zborník vedeckých a odborných prác z konferencie = válogatott tanulmánykötet – válogatott tanulmányok a tudományos konferenciáról / Šimonek, Jaromír [Zostavovateľ, editor] ; Dobay, Beáta [Zostavovateľ, editor]. – 1. vyd. – Komárno (Slovensko) : Univerzita J. Selyeho, 2018. – ISBN 978-80-8122-245-0, s. 203-209 [CD-ROM] </t>
  </si>
  <si>
    <t xml:space="preserve">Individuácia, personácia a socializácia ako etické nástroje riešenia osobnej a skupinovej deviácie : parciálne reflexie problematiky siekt = Individualization, personation and socialization as ethical tools of personal and group deviation. Partial reflections of the sect area / Pružinec, Tomáš [Autor, UKFFFAKFI, 100%] ; Religiozita, spiritualita a alternatívne náboženské hnutia [27.11.2019, Nitra, Slovensko]. – text. – [slovenčina]. – [OV 020]. – [abstrakt z podujatia - KP] In: Religiozita, spiritualita a alternatívne náboženské hnutia [textový dokument (print)] : zborník z medzinárodnej vedeckej konferencie, konanej v Nitre dňa 27. novembra 2019,  organizovanej ako súčasť riešenia grantového projektu APVV 17-0158 Perspektívy vývoja súčasnej religiozity na Slovensku / Kondrla, Peter [Zostavovateľ, editor] ; Šuráb, Marian [Recenzent] ; Hlad, Ľubomír [Recenzent]. – 1. vyd. – Nitra (Slovensko) : Univerzita Konštantína Filozofa v Nitre, 2020. – ISBN 978-80-558-1595-4, s. 141-164 [tlačená forma] </t>
  </si>
  <si>
    <t xml:space="preserve">Individuálna pedagogická koncepcia učiteľstva v kontexte stratégií vyučovania v materskej škole / Slezáková, Tatiana [Autor, UKFPFAKPE, 100%] ; Kmeťová, Jarmila [Recenzent] ; Bírová, Jana [Recenzent] ; Inovatívne trendy v odborových didaktikách v kontexte požiadaviek praxe [13.11.2017-14.11.2017, Nitra, Slovensko]. – text. – [slovenčina]. – [OV 010]. – [abstrakt z podujatia - KP] In: Inovatívne trendy v odborových didaktikách v kontexte požiadaviek praxe [elektronický dokument] : zborník štúdií z medzinárodnej vedeckej konferencie / Duchovičová, Jana [Zostavovateľ, editor] ; Gunišová, Denisa [Zostavovateľ, editor] ; Kozárová, Nina [Zostavovateľ, editor] ; Koleňáková, Rebeka Štefánia [Zostavovateľ, editor]. – 1. vyd. – Nitra (Slovensko) : Univerzita Konštantína Filozofa v Nitre. Pedagogická fakulta UKF, 2018. – ISBN 978-80-558-1277-9, s. 452-456 [online] </t>
  </si>
  <si>
    <t xml:space="preserve">Influence of Firing Temperature and Compacting Pressure on Density and Young's Modulus of Electroporcelain / Al-Shantir, Omar [Autor, UKFFPVKFY, 34%] ; Trník, Anton [Autor, UKFFPVKFY, 33%] ; Csáki, Štefan [Autor, UKFFPVKFY, 33%] ; Thermophysics 2018, 23 [07.11.2018-09.11.2018, Smolenice, Slovensko]. – text. – [angličtina]. – [OV 091]. – [abstrakt z podujatia - KP]. – [recenzované]. – DOI 10.1063/1.5047595. – WOS CC ; SCO In: Thermophysics 2018 [elektronický dokument] : proceedings : 23rd International Meeting of Thermophysics / Trník, Anton [Zostavovateľ, editor] ; Matiašovský, Peter [Zostavovateľ, editor] ; Medveď, Igor [Zostavovateľ, editor]. – 1 vyd. – Melwille (USA) : American Institute of Physics . AIP Publishing, 2018. – (AIP Conference Proceedings, ISSN 0094-243X, ISSN 1551-7616 ; Volume 1988, SJR: 0,182 ; CiteScore: 0,5 ; SNIP: 0,377). – ISBN 978-0-7354-1704-5, s. 1-9 [online] </t>
  </si>
  <si>
    <t xml:space="preserve">Influence of waste glass addition on thermal properties of kaolin and illite / Ondruška, Ján [Autor, UKFFPVKFY, 33.334%] ; Csáki, Štefan [Autor, UKFFPVKFY, 33.333%] ; Štubňa, Igor [Autor, UKFFPVKFY, 33.333%] ; Central European Symposium on Thermophysics [16.10.2019-18.10.2019, Banská Bystrica, Slovensko]. – text. – [angličtina]. – [OV 091]. – [abstrakt z podujatia - KP]. – WOS CC ; SCO In: CEST 2019 [elektronický dokument] : proceedings of the Central European Symposium on Thermophysics 2019 / Trník, Anton [Zostavovateľ, editor] ; Medveď, Igor [Zostavovateľ, editor]. – 1 vyd. – Melville, NY (USA) : American Institute of Physics . AIP Publishing, 2019. – (AIP Conference Proceedings, ISSN 0094-243X, ISSN 1551-7616 ; Volume 2133, SJR: 0,19 ; CiteScore: 0,6 ; SNIP: 0,373). – ISBN 978-0-7354-1876-9, s. 1-8 [online] [tlačená forma] </t>
  </si>
  <si>
    <t xml:space="preserve">Influence of Zeolite Addition on DC Conductivity of Illitic Clay After Firing at Different Temperatures / Mánik, Marek [Autor, 50%] ; Ondruška, Ján [Autor, UKFFPVKFY, 50%] ; Thermophysics 2018, 23 [07.11.2018-09.11.2018, Smolenice, Slovensko]. – text. – [angličtina]. – [OV 091]. – [abstrakt z podujatia - KP]. – [recenzované]. – DOI 10.1063/1.5047628. – WOS CC ; SCO In: Thermophysics 2018 [elektronický dokument] : proceedings : 23rd International Meeting of Thermophysics / Trník, Anton [Zostavovateľ, editor] ; Matiašovský, Peter [Zostavovateľ, editor] ; Medveď, Igor [Zostavovateľ, editor]. – 1 vyd. – Melwille (USA) : American Institute of Physics . AIP Publishing, 2018. – (AIP Conference Proceedings, ISSN 0094-243X, ISSN 1551-7616 ; Volume 1988, SJR: 0,182 ; CiteScore: 0,5 ; SNIP: 0,377). – ISBN 978-0-7354-1704-5, s. 1-9 [online] </t>
  </si>
  <si>
    <t xml:space="preserve">Innovative Model of Environmental Education in Lower Secondary Education / Zigová, Martina [Autor, UKFFPVKEE, 34%] ; Pucherová, Zuzana [Autor, UKFFPVKEE, 33%] ; Jakab, Imrich [Autor, UKFFPVKEE, 33%] ; DIVAI 2018, 12 [02.05.2018-04.05.2018, Štúrovo, Slovensko]. – text. – [angličtina]. – [OV 160]. – [abstrakt z podujatia - KP]. – [recenzované]. – WOS CC In: DIVAI 2018 [textový dokument (print)] [elektronický dokument] : 12th International Scientific Conference on Distance Learning in Applied Informatics / Turčáni, Milan [Zostavovateľ, editor] ; Balogh, Zoltán [Zostavovateľ, editor] ; Munk, Michal [Zostavovateľ, editor] ; Kapusta, Jozef [Zostavovateľ, editor] ; Benko, Ľubomír [Zostavovateľ, editor]. – 1. vyd. – Praha (Česko) : Wolters Kluwer, 2018. – ISBN 978-80-7598-059-5. – ISSN 2464-7470. – ISSN (online) 2464-7489, s. 205-216 [online] [tlačená forma] </t>
  </si>
  <si>
    <t xml:space="preserve">Inovatívne didaktické prostriedky a ich vplyv na edukačnú klímu v tanečnom odbore na primárnom stupni umeleckého vzdelávania / Hubinská, Zuzana [Autor, UKFPFAKHU, 100%] ; Aktuálne trendy teórie a praxe hudobnej edukácie, 4 [24.10.2018, Banská Bystrica, Slovensko]. – text. – [slovenčina]. – [OV 010]. – [abstrakt z podujatia - KP] In: Aktuálne trendy teórie a praxe hudobnej edukácie 4 [elektronický dokument] [textový dokument (print)] : zborník zo 4. česko - slovenskej doktorandskej konferencie, Banská Bystrica, 24.10.2018 / Strmeňová, Dagmar [Zostavovateľ, editor] ; Langsteinová, Eva [Recenzent] ; Michalová, Eva [Recenzent]. – 1. vyd. – Banská Bystrica (Slovensko) : Univerzita Mateja Bela v Banskej Bystrici, 2018. – ISBN 978-80-557-1526-1. – ISBN (online) 978-80-557-1527-8, s. 55-62 [CD-ROM] [tlačená forma] </t>
  </si>
  <si>
    <t xml:space="preserve">Inovatívne metódy vo vzdelávaní odborných tém a metóda návrhového myslenia / Žitný, Rastislav [Autor, UKFFSSUVP, 100%] ; Súčasnosť a perspektíva doktorandského štúdia [11.10.2019, Nitra, Slovensko]. – text. – [slovenčina]. – [OV 010]. – [abstrakt z podujatia - KP] In: Reflexia absolventov doktorandského štúdia [elektronický dokument] : zborník príspevkov z medzinárodnej vedeckej konferencie doktorandov / Tomková, Viera [Zostavovateľ, editor] ; Kozík, Tomáš [Recenzent] ; Hašková, Alena [Recenzent]. – 1. vyd. – Nitra (Slovensko) : Univerzita Konštantína Filozofa v Nitre. Pedagogická fakulta UKF, 2020. – ISBN (online) 978-80-558-1554-1, s. 94-101 [CD-ROM] </t>
  </si>
  <si>
    <t xml:space="preserve">Inovatívne trendy vo výchove k zdraviu a zdravému životnému štýlu v prepojení s praxou / Juríková, Tünde [Autor, UKFFSSUVP, 25%] ; Viczayová, Ildikó [Autor, UKFFSSUVP, 25%] ; Lehoťáková, Eva [Autor, UKFFSSUVP, 15%] ; Balla, Štefan [Autor, UKFFSSUVP, 25%] ; Fatrcová Šramková, Katarína [Autor, SPUFAP16, 10%] ; Kmeťová, Jarmila [Recenzent] ; Bírová, Jana [Recenzent] ; Inovatívne trendy v odborových didaktikách v kontexte požiadaviek praxe [13.11.2017-14.11.2017, Nitra, Slovensko]. – text. – [slovenčina]. – [OV 010]. – [abstrakt z podujatia - KP] In: Inovatívne trendy v odborových didaktikách v kontexte požiadaviek praxe [elektronický dokument] : zborník štúdií z medzinárodnej vedeckej konferencie / Duchovičová, Jana [Zostavovateľ, editor] ; Gunišová, Denisa [Zostavovateľ, editor] ; Kozárová, Nina [Zostavovateľ, editor] ; Koleňáková, Rebeka Štefánia [Zostavovateľ, editor]. – 1. vyd. – Nitra (Slovensko) : Univerzita Konštantína Filozofa v Nitre. Pedagogická fakulta UKF, 2018. – ISBN 978-80-558-1277-9, s. 58-62 [online] </t>
  </si>
  <si>
    <t xml:space="preserve">Inovatívnosť a tradícia vo vyučovaní slovenského pravopisu / Bánik, Tomáš [Autor, UKFFFASJL, 100%] ; Inovatívne trendy v odborových didaktikách [21.11.2018, Nitra, Slovensko]. – text. – [slovenčina]. – [OV 010]. – [abstrakt z podujatia - KP] In: Inovatívne trendy v odborových didaktikách [textový dokument (print)] : prepojenie teórie a praxe výučbových stratégií kritického a tvorivého myslenia : zborník štúdií z medzinárodnej vedeckej konferencie, Nitra 21. november 2018 / Duchovičová, Jana [Zostavovateľ, editor] ; Hošová, Dominika [Zostavovateľ, editor] ; Koleňáková, Rebeka Štefánia [Zostavovateľ, editor] ; Bílek, Martin [Recenzent] ; Komora, Juraj [Recenzent]. – 1. vyd. – Nitra (Slovensko) : Univerzita Konštantína Filozofa v Nitre, 2019. – ISBN 978-80-558-1408-7, s. 539-543 [tlačená forma] </t>
  </si>
  <si>
    <t xml:space="preserve">Inovatívny prístup k profilu prekladateľa = Innovative Approach to the Profile of a Translator / Vaňková, Pavlína [Autor, UKFFFAKTR, 100%] ; Forlang, 10 [23.06.2021-24.06.2021, Košice, Slovensko]. – text. – [slovenčina]. – [OV 020]. – [abstrakt z podujatia - KP] In: Forlang [elektronický dokument] : periodický zborník vedeckých príspevkov a odborných článkov z medzinárodnej vedeckej konferencie konanej 23. - 24. júna 2021 : cudzie jazyky v akademickom prostredí = foreign Languages in the Academic Environment = Fremdsprachen im akademischen Bereich = inostrannye jazyki v akademičeskoj srede / Kaščáková, Eva [Zostavovateľ, editor] ; Alieva, Lenka [Recenzent] ; Czéreová, Beáta [Recenzent] ; Hájik, Tomáš [Recenzent] ; Klink, Sandra [Recenzent] ; Kulíková, Terézia [Recenzent] ; Mazurová, Helena [Recenzent] ; Mihalčinová, Zuzana [Recenzent] ; Mihaľová, Alena [Recenzent] ; Pechová, Soňa [Recenzent] ; Sorger, Roman [Recenzent] ; Szabová, Katarína [Recenzent] ; Timárová, Daniela [Recenzent] ; Vráželová, Viktória [Recenzent]. – 1. vyd. – Roč. 8, č. 1. – Košice (Slovensko) : Technická univerzita v Košiciach, 2021. – ISBN (online) 978-80-553-3948-1. – ISSN 1338-5496. – SIGN-TUKE 233160, s. 447-456 [CD-ROM] </t>
  </si>
  <si>
    <t xml:space="preserve">Inquiry-based science education as a support of school readiness / Valovičová, Ľubomíra [Autor, UKFFPVKFY, 25%] ; Sollárová, Eva [Autor, UMBPF08, 25%] ; Trníková, Jana [Autor, UKFPFAKLI, 25%] ; Deáková, Natália [Autor, 25%] ; DIDFYZ 2019, 21 [09.10.2019-12.10.2019, Terchová, Slovensko]. – text. – [angličtina]. – [OV 091, 010, 060]. – [abstrakt z podujatia - KP]. – DOI 10.1063/1.5124744. – SCO In: DIDFYZ 2019 [textový dokument (print)] [elektronický dokument] : Formation of the Natural Science Image of the World in the 21st Century / Valovičová, Ľubomíra [Zostavovateľ, editor] ; Ondruška, Ján [Zostavovateľ, editor] ; Zelenický, Ľubomír [Zostavovateľ, editor]. – 1. vyd. – Melville (USA) : American Institute of Physics . AIP Publishing, 2019. – (AIP Conference Proceedings, ISSN 0094-243X, ISSN 1551-7616 ; 2152, SJR: 0,19 ; CiteScore: 0,6 ; SNIP: 0,373). – ISBN 978-0-7354-1897-4, s. [020004-1-020004-7] [tlačená forma] [online] </t>
  </si>
  <si>
    <t xml:space="preserve">Inscenované mestá. Konštruktéri a architekti. Stavebný materiál: J. Šimonovič a M. Kováč / Rácová, Veronika [Autor, UKFFFASJL, 100%] ; Podoby mesta v slovenskej poézii 20. storočia [06.10.2017, Bratislava, Slovensko]. – text. – [slovenčina]. – [OV 020]. – [abstrakt z podujatia - KP] In: Podoby mesta v slovenskej poézii 20. storočia [textový dokument (print)] / Šrank, Jaroslav [Zostavovateľ, editor] ; Mikula, Valér [Recenzent] ; Passia, Radoslav [Recenzent]. – 1. vyd. – Bratislava (Slovensko) : Univerzita Komenského v Bratislave, 2018. – ISBN 978-80-223-4622-1, s. 85-100 [tlačená forma] </t>
  </si>
  <si>
    <t xml:space="preserve">Instagram as a source of new reality:  analysis of digital instamarketing  content used by McDonald's / Púchovská, Oľga [Autor, UKFFFAKMR, 50%] ; Balážiová, Iveta [Autor, UKFFFAKMR, 50%] ; Mistrík, Miloš [Recenzent] ; Hudíková, Zora [Recenzent] ; Megatrends and Media 2018, 13 [24.04.2018-25.04.2018, Smolenice, Slovensko]. – text. – [angličtina]. – [OV 060]. – [abstrakt z podujatia - KP]. – WOS CC In: Megatrends and media [textový dokument (print)] : reality and media bubbles : conference proceedings from the international scientific conference / Solík, Martin [Zostavovateľ, editor] ; Rybanský, Rudolf [Zostavovateľ, editor]. – 1. vyd. – Trnava (Slovensko) : Univerzita sv. Cyrila a Metoda v Trnave. Fakulta masmediálnej komunikácie, 2018. – ISBN 978-80-8105-952-0. – ISSN 2453-6474, s. 106-122 [tlačená forma] </t>
  </si>
  <si>
    <t xml:space="preserve">Inštalovanie výstavy ako vyučbová stratégia kritického a tvorivého myslenia / Kratochvil, Martin [Autor, UKFPFAKVV, 100%] ; Inovatívne trendy v odborových didaktikách [21.11.2018, Nitra, Slovensko]. – text. – [slovenčina]. – [OV 010]. – [abstrakt z podujatia - KP] In: Inovatívne trendy v odborových didaktikách [textový dokument (print)] : prepojenie teórie a praxe výučbových stratégií kritického a tvorivého myslenia : zborník štúdií z medzinárodnej vedeckej konferencie, Nitra 21. november 2018 / Duchovičová, Jana [Zostavovateľ, editor] ; Hošová, Dominika [Zostavovateľ, editor] ; Koleňáková, Rebeka Štefánia [Zostavovateľ, editor] ; Bílek, Martin [Recenzent] ; Komora, Juraj [Recenzent]. – 1. vyd. – Nitra (Slovensko) : Univerzita Konštantína Filozofa v Nitre, 2019. – ISBN 978-80-558-1408-7, s. 628-637 [tlačená forma] </t>
  </si>
  <si>
    <t xml:space="preserve">Inteligencia u detí s ADHD / Popelková, Marta [Autor, UKFFSVKPV, 100%] ; Sociálne procesy a osobnosť 2018, 21 [17.09.2018-19.09.2018, Stará Lesná, Slovensko]. – text. – [slovenčina]. – [OV 060]. – [abstrakt z podujatia - KP] In: Sociálne procesy a osobnosť 2018 [elektronický dokument] : zborník príspevkov / Piterová, Ivana [Zostavovateľ, editor] ; Výrost, Jozef [Zostavovateľ, editor] ; Adamus, Magdalena [Recenzent] ; Ballová Mikušková, Eva [Recenzent]. – 1. vyd. – Košice (Slovensko) : Slovenská akadémia vied. Centrum spoločenských a psychologických vied. Spoločenskovedný ústav, 2019. – ISBN 978-80-89524-40-2, s. 141-148 [online] </t>
  </si>
  <si>
    <t xml:space="preserve">Interactive elements in content marketing / Balážiová, Iveta [Autor, UKFFFAKMR, 100%] ; Marketing identity 2018 [06.11.2018-07.11.2018, Smolenice, Slovensko]. – text. – [angličtina]. – [OV 060]. – [abstrakt z podujatia - KP]. – [recenzované]. – WOS CC In: Marketing Identity [textový dokument (print)] : Digital Mirrors - part I. / Čábyová, Ľudmila [Zostavovateľ, editor] ; Rybanský, Rudolf [Zostavovateľ, editor] ; Bezáková, Zuzana [Zostavovateľ, editor]. – 1. vyd. – Trnava (Slovensko) : Univerzita sv. Cyrila a Metoda v Trnave. Fakulta masmediálnej komunikácie, 2018. – ISBN 978-80-8105-984-1. – ISSN 1339-5726, s. 16-24 [tlačená forma] </t>
  </si>
  <si>
    <t xml:space="preserve">Interactivity in learning materials for the teaching / Pšenáková, Ildikó [Autor, TUTPFKMI, 50%] ; Szabó, Tibor [Autor, UKFFSSUVP, 50%] ; ICETA 2018, 16 [15.11.2018-16.11.2018, Starý Smokovec, Slovensko]. – [angličtina]. – [OV 240]. – [abstrakt z podujatia - KP]. – [recenzované]. – DOI 10.1109/ICETA.2018.8572208. – TUTPFKMI signatúra E072946. – WOS CC ; SCO In: ICETA 2018 [textový dokument (print)] [elektronický dokument] : 16th IEEE International Conference on Emerging eLearning Technologies and Applications : proceedings / Jakab, František [Zostavovateľ, editor]. – 1. vyd. – New Jersey (USA) : Institute of Electrical and Electronics Engineers, 2018. – ISBN 978-1-5386-7912-8. – ISBN (chybné) 978-153867914-2, s. 445-450 [tlačená forma] [online] </t>
  </si>
  <si>
    <t xml:space="preserve">Interakcia pohybu a kvality života žiakov primárneho vzdelávania / Kalinková, Mária [Autor, UKFPFAKTV, 50%] ; Broďáni, Jaroslav [Autor, UKFPFAKTV, 25%] ; Šiška, Ľuboslav [Autor, UKFPFAKTV, 10%] ; Šutka, Vladimír [Autor, UKFPFAKTV, 10%] ; Sogelová, Darina [Autor, 5%] ; Müller, Anetta [Recenzent] ; Biró, Melinda [Recenzent] ; Sport science in motion [17.05.2018-19.05.2018, Komárno, Slovensko]. – text. – [slovenčina]. – [OV 210]. – [abstrakt z podujatia - KP] In: Sport science in motion [elektronický dokument] : proceedings from the scientific conference, Komárno, May 17th – 19th, 2018 = recenzovaný zborník vedeckých a odborných prác z konferencie = válogatott tanulmánykötet – válogatott tanulmányok a tudományos konferenciáról / Šimonek, Jaromír [Zostavovateľ, editor] ; Dobay, Beáta [Zostavovateľ, editor]. – 1. vyd. – Komárno (Slovensko) : Univerzita J. Selyeho, 2018. – ISBN 978-80-8122-245-0, s. 120-131 [CD-ROM] </t>
  </si>
  <si>
    <t xml:space="preserve">Interaktívne prvky vo vyučovaní matematiky = Interactive Elements in Teaching Mathematics / Pšenáková, Ildikó [Autor, TUTPFKMI, 50%] ; Szabó, Tibor [Autor, UKFFSSUVP, 50%] ; DIDMATTECH 2019, 32 [20.06.2019-21.06.2019, Trnava, Slovensko]. – text. – [slovenčina]. – [OV 010, 240]. – [abstrakt z podujatia - KP]. – [recenzované]. – TUTPFKMI signatúra E078343 In: 32 DIDMATTECH 2019 [textový dokument (print)] [elektronický dokument] : New methods and technologies in education, Research and practice : International Scientific and Professional Conference Trnava, 20th – 21st June 2019 : proceedings / Stoffová, Veronika [Zostavovateľ, editor] ; Horváth, Roman [Zostavovateľ, editor]. – 1. vyd. – Trnava (Slovensko) : Trnavská univerzita v Trnave, 2019. – ISBN 978-80-568-0357-8. – ISBN (online) 978-80-568-0398-1. – TUTPFKMI signatúra E078334, s. 1-7 [tlačená forma] [online] </t>
  </si>
  <si>
    <t xml:space="preserve">Interaktívne reklamné displeje - prípadová štúdia / Balážiová, Iveta [Autor, UKFFFAKMR, 100%] ; Fichnová, Katarína [Recenzent] ; Inštitorisová, Dagmar [Recenzent] ; Nové výzvy masmediálnej a marketingovej komunikácie, 7 [04.12.2017, Nitra, Slovensko]. – text. – [slovenčina]. – [OV 060]. – [abstrakt z podujatia - KP] In: Nové výzvy masmediálnej a marketingovej komunikácie 7 [elektronický dokument] : recenzovaný zborník príspevkov zo 7. ročníka vedecko - odborného seminára / Schlosserová, Zuzana [Zostavovateľ, editor] ; Balážiová, Iveta [Zostavovateľ, editor]. – 1. vyd. – Nitra (Slovensko) : Univerzita Konštantína Filozofa v Nitre, 2018. – ISBN 978-80-558-1315-8, s. 6-14 [CD-ROM] </t>
  </si>
  <si>
    <t xml:space="preserve">Interdisciplinary approach for the education of pre-service chemistry teachers / Feszterová, Melánia [Autor, UKFFPVKCH, 100%] ; DIDFYZ 2019, 21 [09.10.2019-12.10.2019, Terchová, Slovensko]. – text. – [angličtina]. – [OV 120]. – [abstrakt z podujatia - KP]. – DOI 10.1063/1.5124749. – SCO In: DIDFYZ 2019 [textový dokument (print)] [elektronický dokument] : Formation of the Natural Science Image of the World in the 21st Century / Valovičová, Ľubomíra [Zostavovateľ, editor] ; Ondruška, Ján [Zostavovateľ, editor] ; Zelenický, Ľubomír [Zostavovateľ, editor]. – 1. vyd. – Melville (USA) : American Institute of Physics . AIP Publishing, 2019. – (AIP Conference Proceedings, ISSN 0094-243X, ISSN 1551-7616 ; 2152, SJR: 0,19 ; CiteScore: 0,6 ; SNIP: 0,373). – ISBN 978-0-7354-1897-4, s. 1-10 [tlačená forma] [online] </t>
  </si>
  <si>
    <t xml:space="preserve">Interdisciplinary relations of mathematics and physics in curriculum of conic sections / Vallo, Dušan [Autor, UKFFPVKMA, 50%] ; Valovičová, Ľubomíra [Autor, UKFFPVKFY, 50%] ; DIDFYZ 2019, 21 [09.10.2019-12.10.2019, Terchová, Slovensko]. – text. – [angličtina]. – [OV 091, 010]. – [abstrakt z podujatia - KP]. – DOI 10.1063/1.5124779. – SCO In: DIDFYZ 2019 [textový dokument (print)] [elektronický dokument] : Formation of the Natural Science Image of the World in the 21st Century / Valovičová, Ľubomíra [Zostavovateľ, editor] ; Ondruška, Ján [Zostavovateľ, editor] ; Zelenický, Ľubomír [Zostavovateľ, editor]. – 1. vyd. – Melville (USA) : American Institute of Physics . AIP Publishing, 2019. – (AIP Conference Proceedings, ISSN 0094-243X, ISSN 1551-7616 ; 2152, SJR: 0,19 ; CiteScore: 0,6 ; SNIP: 0,373). – ISBN 978-0-7354-1897-4, s. 1-9 [tlačená forma] [online] </t>
  </si>
  <si>
    <t xml:space="preserve">Interkultúrne dimenzie vo výučbe odborného jazyka / Zelenická, Elena [Autor, UKFFFAJZC, 100%] ; FORLANG 2019 [06.06.2019-07.06.2019, Košice, Slovensko]. – text. – [angličtina]. – [OV 010]. – [abstrakt z podujatia - KP] In: FORLANG [elektronický dokument] : cudzie jazyky v akademickom prostredí. Periodický zborník vedeckých príspevkov a odborných článkov z medzinárodnej vedeckej konferencie konanej 6. - 7. júna 2019 / Kaščáková, Eva [Zostavovateľ, editor] ; Kožaríková, Henrieta [Zostavovateľ, editor]. – 1. vyd. – Roč. 7, č. 1. – Košice (Slovensko) : Technická univerzita v Košiciach, 2019. – ISBN 978-80-553-3398-4. – ISSN 1338-5496. – SIGN-TUKE 210848, s. 444-448 [DVD] </t>
  </si>
  <si>
    <t xml:space="preserve">Interpretácia - leitmotív literárneho vzdelávania : (metodické čítanie románu Ashera Kravitza The Jewish Dog) / Zeleňáková, Hana [Autor, UKFFFAULK, 100%] ; Akcenty literatúry pre deti a mládež [23.10.2020, Nitra, Slovensko]. – text. – [slovenčina]. – [OV 020]. – [abstrakt z podujatia - KP] In: Akcenty literatúry pre deti a mládež [textový dokument (print)] : trendy, problémy, interpretácie. Zborník z medzinárodnej konferencie formou videokonferencie, ktorá sa konala v Nitre 23.10.2020 / Hrašková, Mariana [Zostavovateľ, editor] ; Kaizerová, Petra [Zostavovateľ, editor] ; Nemcová, Jana [Recenzent] ; Naščák, Peter [Recenzent]. – 1. vyd. – Nitra (Slovensko) : Univerzita Konštantína Filozofa v Nitre, 2021. – ISBN 978-80-558-1699-9, s. 55-72 [tlačená forma] </t>
  </si>
  <si>
    <t xml:space="preserve">Interpretácia a preklad alebo Salingerove poviedky – čo sa v preklade stratilo a čo našlo? / Jánošíková, Zuzana [Autor, UKFFFAKTR, 100%] ; Gromová, Edita [Recenzent] ; Djovčoš, Martin [Recenzent] ; Tradícia a inovácia v translatologickom výskume, 6 [01.02.2018, Nitra, Slovensko]. – text. – [slovenčina]. – [OV 020]. – [abstrakt z podujatia - KP] In: Tradícia a inovácia v translatologickom výskume 6 [textový dokument (print)] : zborník z konferencie, konanej v Nitre 1. 2. 2018 / Mészáros, Szabolcs [Zostavovateľ, editor] ; Ukušová, Jana [Zostavovateľ, editor] ; Zahorák, Andrej [Zostavovateľ, editor]. – 1. vyd. – Roč. 6. – Nitra (Slovensko) : Univerzita Konštantína Filozofa v Nitre, 2018. – ISBN 978-80-558-1290-8, s. 41-50 [tlačená forma] </t>
  </si>
  <si>
    <t xml:space="preserve">Interpretácia populárnej hudby a jazzu ako motivačný prostriedok vo vyčovaní klavírnej hry / Kručayová, Alena [Autor, UKFPFAKHU, 100%] ; Nonartificiálna hudba v edukácii [20.05.2019-24.05.2019, Nitra, Slovensko]. – text. – [slovenčina]. – [OV 010]. – [abstrakt z podujatia - KP] In: Nonartificiálna hudba v edukácii [elektronický dokument] : zborník príspevkov z elektronickej vedeckej konferencieu projektu KEGA – Nonartificiálna hudba vo vokálnej edukácii. Konferencia sa koná pod záštitou dekana Pedagogickej fakulty UKF v Nitre doc. PaedDr. Gábora Pintesa, PhD.  20. – 24. mája 2019 / Štrbák Pandiová, Iveta [Zostavovateľ, editor] ; Švajková, Tatiana [Recenzent] ; Ťahún Mendelová, Antónia [Recenzent]. – 1. vyd. – Nitra (Slovensko) : Univerzita Konštantína Filozofa v Nitre, 2019. – ISBN 978-80-558-1445-2, s. 33-51 [online] </t>
  </si>
  <si>
    <t xml:space="preserve">Intonácia pripravených prejavov v televíznom a rozhlasovom spravodajstve / Petráš, Patrik [Autor, UKFFFASJL, 100%] ; Kolokvium mladých jazykovedcov, 23 [20.11.2013-22.11.2013, Modra, Slovensko]. – text. – [slovenčina]. – [OV 020]. – [abstrakt z podujatia - KP] In: Varia 23 [elektronický dokument] : zborník príspevkov z 23. kolokvia mladých jazykovedcov (Modra-Harmónia 20. – 22. 11. 2013) / Gajdošová, Katarína [Zostavovateľ, editor] ; Gregorík, Peter [Zostavovateľ, editor] ; Tibenská, Eva [Recenzent] ; Skladaná, Jana [Recenzent]. – 1. vyd. – Slovensko : Slovenská akadémia vied. Pracoviská SAV. Slovenská jazykovedná spoločnosť ; Trnava (Slovensko) : Univerzita sv. Cyrila a Metoda v Trnave. Filozofická fakulta. Katedra slovenského jazyka a literatúry, 2020. – ISBN 978-80-971690-5-3, s. 225-230 [online] </t>
  </si>
  <si>
    <t xml:space="preserve">Intuitívna rodičovská didaktika a učenie sa dieťaťa raného veku / Kurincová, Viera [Autor, UKFPFAKPE, 100%] ; Inovatívne trendy v odborových didaktikách [21.11.2018, Nitra, Slovensko]. – text. – [slovenčina]. – [OV 010]. – [abstrakt z podujatia - KP] In: Inovatívne trendy v odborových didaktikách [textový dokument (print)] : prepojenie teórie a praxe výučbových stratégií kritického a tvorivého myslenia : zborník štúdií z medzinárodnej vedeckej konferencie, Nitra 21. november 2018 / Duchovičová, Jana [Zostavovateľ, editor] ; Hošová, Dominika [Zostavovateľ, editor] ; Koleňáková, Rebeka Štefánia [Zostavovateľ, editor] ; Bílek, Martin [Recenzent] ; Komora, Juraj [Recenzent]. – 1. vyd. – Nitra (Slovensko) : Univerzita Konštantína Filozofa v Nitre, 2019. – ISBN 978-80-558-1408-7, s. 20-24 [tlačená forma] </t>
  </si>
  <si>
    <t xml:space="preserve">Involvement of Social Media Influencers in Sustainable Fashion in the Context of the Covid-19 Pandemic / Hodinková, Dana [Autor, UKFFFAKMR, 50%] ; Púchovská, Oľga [Autor, UKFFFAKMR, 50%] ; Marketing identity, 17 [11.11.2020, Trnava, Slovensko]. – text. – [angličtina]. – [OV 060]. – [abstrakt z podujatia - KP]. – WOS CC In: Marketing identity [elektronický dokument] : COVID-2.0 : conference proceedings from the international scientific conference / Kvetanová, Zuzana [Zostavovateľ, editor] ; Bezáková, Zuzana [Zostavovateľ, editor] ; Madleňák, Adam [Zostavovateľ, editor]. – 1. vyd. – Trnava (Slovensko) : Univerzita sv. Cyrila a Metoda v Trnave. Fakulta masmediálnej komunikácie, 2020. – ISBN (online) 978-80-572-0107-6. – ISSN (online) 2729-7527, s. 142-159 [online] </t>
  </si>
  <si>
    <t xml:space="preserve">Iz istorii izučenija slavijanskich paremij (na materijale slovackogo, russkogo, ukrajinskogo i belorusskogo jazykov) / Bordjuhová, Lenka [Autor, UKFFFAKRU, 100%] ; Mladá rusistika - nové tendencie a trendy, 6 [28.01.2020, Bratislava, Slovensko]. – text. – [ruština]. – [OV 020]. – [abstrakt z podujatia - KP] In: Mladá rusistika (6) [elektronický dokument] : nové tendencie a trendy / Bujačková, Zuzana [Zostavovateľ, editor] ; Jalová, Katarína [Zostavovateľ, editor] ; Kusá, Mária [Recenzent] ; Matejko, Ľubor [Recenzent] ; Dulebová, Irina [Recenzent] ; Cingerová, Nina [Recenzent] ; Posokhin, Ivan [Recenzent]. – 1. vyd. – Bratislava (Slovensko) : Univerzita Komenského v Bratislave. Filozofická fakulta UK. Stimul, 2020. – ISBN 978-80-8127-271-4. – ISBN 978-80-8127-272-1, s. 74-82 [online] </t>
  </si>
  <si>
    <t xml:space="preserve">Jaromír Novotný (medzi maľbou a objektom) / Vilím, Erik [Autor, UKFFFAULK, 100%] ; Boszorád, Martin [Recenzent] ; Migašová, Jana [Recenzent] ; Pragmatické dimenzie umenia a estetiky [19.09.2017-21.09.2017, Bratislava, Slovensko]. – text. – [slovenčina]. – [OV 020]. – [abstrakt z podujatia - KP] In: Pragmatické dimenzie umenia a estetiky [textový dokument (print)] : zborník príspevkov z medzinárodnej konferencie Pragmatické dimenzie umenia a estetiky, ktorá sa konala v dňoch 19. až 21. septembra 2017 / Pašteková, Michaela [Zostavovateľ, editor] ; Debnár, Marek [Zostavovateľ, editor]. – 1. vyd. – Bratislava (Slovensko) : Slovenská asociácia pre estetiku, 2018. – ISBN 978-80-972624-1-9, s. 271-280 [tlačená forma] </t>
  </si>
  <si>
    <t xml:space="preserve">Jazyk a štýl vínnych etikiet / Mikulcová, Katarína [Autor, UKFFFASJL, 100%] ; Kolokvium mladých jazykovedcov, 27 [21.11.2018-23.11.2018, Banská Bystrica  - Šachtičky, Slovensko]. – text. – [slovenčina]. – [OV 020]. – [abstrakt z podujatia - KP] In: Varia 27 [elektronický dokument] : zborník príspevkov z 27. kolokvia mladých jazykovedcov / Molnárová, Patrícia [Zostavovateľ, editor] ; Rožai, Gabriel [Zostavovateľ, editor] ; Krško, Jaromír [Recenzent] ; David, Jaroslav [Recenzent]. – 1. vyd. – Banská Bystrica (Slovensko) : Univerzita Mateja Bela v Banskej Bystrici. Vydavateľstvo Univerzity Mateja Bela v Banskej Bystrici - Belianum, 2019. – (Filozofická fakulta). – ISBN 978-80-557-1631-2, s. 108-117 [online] </t>
  </si>
  <si>
    <t xml:space="preserve">Jazyk specijaľnosti kak faktor professionaľnogo razvitija studentov nefilologov / Zelenická, Elena [Autor, UKFFFAJZC, 100%] ; Odborný cudzí jazyk: teória a prax [18.12.2020, Nitra, Slovensko]. – text. – [ruština]. – [OV 010]. – [abstrakt z podujatia - KP] In: Odborný cudzí jazyk: teória a prax [textový dokument (print)] : zborník z medzinárodnej vedeckej konferencie / Zelenická, Elena [Zostavovateľ, editor] ; Timárová, Daniela [Recenzent] ; Kulíková, Terézia [Recenzent]. – 1. vyd. – Nitra (Slovensko) : Univerzita Konštantína Filozofa v Nitre. Filozofická fakulta, 2020. – ISBN 978-80-558-1608-1, s. 196-204 [tlačená forma] </t>
  </si>
  <si>
    <t xml:space="preserve">Jazyk v kontexte kultúry / Rendárová, Mária [Autor, UKFFFAKSJ, 100%] ; Kolokvium mladých jazykovedcov, 26 [06.09.2017-08.09.2017, Prešov, Slovensko]. – text. – [slovenčina]. – [OV 010]. – [abstrakt z podujatia - KP] In: Varia 29 [elektronický dokument] : zborník príspevkov / Hladký, Juraj [Zostavovateľ, editor] ; Závodný, Andrej [Zostavovateľ, editor] ; Vitézová, Eva [Recenzent] ; Diweg-Pukanec, Martin [Recenzent]. – 1. vyd. – Trnava (Slovensko) : Trnavská univerzita v Trnave. Pedagogická fakulta, 2021. – ISBN (online) 978-80-568-0406-3. – TUTPFSJL signatúra E086726, s. 119-123 [online] </t>
  </si>
  <si>
    <t xml:space="preserve">Jazyková kultúra v textoch a kontextoch čítania s porozumením / Hlavatá, Renáta [Autor, UKFFFASJL, 100%] ; FORLANG 2019 [06.06.2019-07.06.2019, Košice, Slovensko]. – text. – [angličtina]. – [OV 010]. – [abstrakt z podujatia - KP] In: FORLANG [elektronický dokument] : cudzie jazyky v akademickom prostredí. Periodický zborník vedeckých príspevkov a odborných článkov z medzinárodnej vedeckej konferencie konanej 6. - 7. júna 2019 / Kaščáková, Eva [Zostavovateľ, editor] ; Kožaríková, Henrieta [Zostavovateľ, editor]. – 1. vyd. – Roč. 7, č. 1. – Košice (Slovensko) : Technická univerzita v Košiciach, 2019. – ISBN 978-80-553-3398-4. – ISSN 1338-5496. – SIGN-TUKE 210848, s. 252-256 [DVD] </t>
  </si>
  <si>
    <t xml:space="preserve">Jazykovo urýchľovaný vývin - podnety a výzvy pre vzdelávanie detí v materských školách / Gatial, Viktor [Autor, UKFPFAKAP, 50%] ; Tomšik, Robert [Autor, UKFPFAKPE, 50%] ; Kmeťová, Jarmila [Recenzent] ; Bírová, Jana [Recenzent] ; Inovatívne trendy v odborových didaktikách v kontexte požiadaviek praxe [13.11.2017-14.11.2017, Nitra, Slovensko]. – text. – [slovenčina]. – [OV 010]. – [abstrakt z podujatia - KP] In: Inovatívne trendy v odborových didaktikách v kontexte požiadaviek praxe [elektronický dokument] : zborník štúdií z medzinárodnej vedeckej konferencie / Duchovičová, Jana [Zostavovateľ, editor] ; Gunišová, Denisa [Zostavovateľ, editor] ; Kozárová, Nina [Zostavovateľ, editor] ; Koleňáková, Rebeka Štefánia [Zostavovateľ, editor]. – 1. vyd. – Nitra (Slovensko) : Univerzita Konštantína Filozofa v Nitre. Pedagogická fakulta UKF, 2018. – ISBN 978-80-558-1277-9, s. 464-467 [online] </t>
  </si>
  <si>
    <t xml:space="preserve">Jouleov pokus v novodobom prevedení – mechanický ekvivalent tepla = The new form of Joule's experiment - Mechanical equivalent of heat / Jindrová, Terézia [Autor, UKFFPVKFY, 100%] ; Študentská vedecká konferencia 2018 [21.03.2018, Nitra, Slovensko]. – text. – [slovenčina]. – [OV 091]. – [abstrakt z podujatia - KP] In: Študentská vedecká konferencia 2018 [textový dokument (print)] : zborník recenzovaných príspevkov z konferencie v Nitre 21. 03.2018 / Siládi, Vladimir [Zostavovateľ, editor] ; Račáková, Slavka [Zostavovateľ, editor] ; Voštinár, Patrik [Recenzent] ; Trajteľ, Ľudovít [Recenzent] ; Suchý, Jozef [Recenzent] ; Vagač, Michal [Recenzent] ; Melicherčík, Miroslav [Recenzent]. – 1. vyd. – 2018 (Slovensko) : Univerzita Konštantína Filozofa v Nitre, 2018. – ISBN 978-80-557-1415-8, s. 446-453 [tlačená forma] </t>
  </si>
  <si>
    <t xml:space="preserve">K literárnokritickej  reflexii básnickej tvorby R. Juroleka / Lietavec, Tomáš [Autor, UKFFFAULK, 100%] ; K teoretickým a praktickým aspektom slovenskej literárnej kritiky po roku 2000 [30.11.2018, Prešov, Slovensko]. – text. – [slovenčina]. – [OV 020]. – [abstrakt z podujatia - KP] In: K teoretickým a praktickým aspektom slovenskej literárnej kritiky po roku 2000 [textový dokument (print)] : zborník materiálov z medzinárodnej vedeckej konferencie, konanej 30. novembra 2018 na FF PU v Prešove / Součková, Marta [Zostavovateľ, editor] ; Gavura, Ján [Recenzent] ; Passia, Radoslav [Recenzent]. – 1. vyd. – Prešov (Slovensko) : Prešovská univerzita v Prešove. Filozofická fakulta, 2019. – (Opera Litteraria ; 7/2019). – ISBN 978-80-555-2295-1. – SIGN-PU FF-19 300/19, s. 113-129 [tlačená forma] </t>
  </si>
  <si>
    <t xml:space="preserve">K niektorým aspektom výskumu bratislavského hudobného nástrojárstva / Szórádová, Eva [Autor, UKFPFAKHU, 100%] ; Malé osobnosti veľkých dejín - veľké osobnosti malých dejín [27.06.2019-28.06.2019, Bratislava, Slovensko]. – text. – [slovenčina]. – [OV 010]. – [abstrakt z podujatia - KP] In: Malé osobnosti veľkých dejín - veľké osobnosti malých dejín : Hudba v Bratislave [textový dokument (print)] [elektronický dokument] : príspevky k hudobnej regionalistike / Bartová, Jana [Zostavovateľ, editor] ; Szórádová, Eva [Zostavovateľ, editor] ; Bugalová, Edita [Recenzent] ; Medňanský, Karol [Recenzent]. – 1. vyd. – Roč. 6. – Bratislava (Slovensko) : Slovenská muzikologická asociácia ; Slovenské národné múzeum. Hudobné múzeum ; Univerzita Komenského v Bratislave. Filozofická fakulta UK. Katedra muzikológie, 2021. – ISBN 978-80-8060-505-6. – ISBN (online) 978-80-8060-504-9, s. 190-205 [tlačená forma] [online] </t>
  </si>
  <si>
    <t xml:space="preserve">K niektorým tendenciám oživovania lokálnych dejín v súčasnom slovenskom divadle / Ballay, Miroslav [Autor, UKFFFAKKU, 100%] ; Témy na okraji záujmu? [23.03.2021, Bratislava, Slovensko]. – text. – [slovenčina]. – [OV 040]. – [abstrakt z podujatia - KP] In: Témy na okraji záujmu? [textový dokument (print)] : zborník vedeckých príspevkov z teatrologického sympózia, ktoré sa konalo online (23. marca 2021) / Mišovic, Karol [Zostavovateľ, editor] ; Bakoš, Oliver [Recenzent] ; Juráni, Miloslav [Recenzent]. – 1. vyd. – Bratislava (Slovensko) : Slovenská akadémia vied. Pracoviská SAV. Ústav divadelnej a filmovej vedy, 2021. – ISBN 978-80-224-1908-6, s. 10-23 [tlačená forma] </t>
  </si>
  <si>
    <t xml:space="preserve">K zlepšeniu čitateľskej kompetencie v materinskom jazyku / Pavlová, Renáta [Autor, UKFFFAJZC, 100%] ; Kolokvium mladých jazykovedcov, 28 [20.11.2019-22.11.2019, Nitra, Slovensko]. – text. – [slovenčina]. – [OV 020, 010]. – [abstrakt z podujatia - KP] In: Varia 28 [elektronický dokument] : zborník príspevkov z 28. kolokvia mladých jazykovedcov / Nemčeková, Jana [Zostavovateľ, editor] ; Petráš, Patrik [Zostavovateľ, editor] ; Krško, Jaromír [Recenzent] ; Diweg-Pukanec, Martin [Recenzent]. – 1. vyd. – Nitra (Slovensko) : Univerzita Konštantína Filozofa v Nitre, 2020. – ISBN 978-80-558-1632-6, s. 180-190 [online] </t>
  </si>
  <si>
    <t xml:space="preserve">Kaleidoskopické obrazy devalvujúceho sveta : (na príklade inscenácie Re re re... nezávislého divadla STOKA) / Ballay, Miroslav [Autor, UKFFFAKKU, 100%] ; K problematike slovenskej alternatívnej kultúry [26.04.2019, Prešov, Slovensko]. – text. – [slovenčina]. – [OV 020]. – [abstrakt z podujatia - KP] In: Kontexty alternatívneho divadla (6) [textový dokument (print)] / Horák, Karol [Zostavovateľ, editor] ; Pukan, Miron [Zostavovateľ, editor] ; Součková, Marta [Recenzent] ; Čahojová-Bernátová, Božena [Recenzent]. – 1. vyd. – Prešov (Slovensko) : Prešovská univerzita v Prešove. Vydavateľstvo Prešovskej univerzity, 2019. – ISBN 978-80-555-2092-6. – SIGN-PU FF-19 749/19, s. 172-198 [tlačená forma] </t>
  </si>
  <si>
    <t xml:space="preserve">Két erős győkér: Galánta és Nagyszombat jelentősége a Kodályi életműben / Józsa, Mónika [Autor, UKFFSSUVP, 100%] ; A felvidék szerepe Kodály Zoltán életművében címmel tartott nemzetközi konferencia előadásaiból kézűlt tanulmánykötet [20.09.2017-21.09.2019, Nitra, Slovensko]. – text. – [maďarčina]. – [OV 010]. – [abstrakt z podujatia - KP] In: A felvidék szerepe Kodály Zoltán életművében címmel tartott nemzetközi konferencia előadásaiból kézűlt tanulmánykötet [textový dokument (print)] : a konferenciát a Nyitrai Konstantin Filozófus Egyetem Közep-európai Tanulmányok Karának Pedagógusképző Intézete szervezte Nyitrán, 2017. szeptember 20-21-én / Józsa, Mónika [Zostavovateľ, editor] ; Štrbák Pandiová, Iveta [Recenzent] ; Erdei, Péter [Recenzent]. – 1. vyd. – Nitra (Slovensko) : Univerzita Konštantína Filozofa v Nitre, 2019. – ISBN 978-80-558-1402-5, s. 37-57 [tlačená forma] </t>
  </si>
  <si>
    <t xml:space="preserve">Kinetic Analysis of Thermal Expansion of Natural Zeolite in Temperature Interval from 700 degrees C to 1100 degrees C During Isothermal Heating / Obert, Filip [Autor, UKFFPVKFY, 50%] ; Trník, Anton [Autor, UKFFPVKFY, 50%] ; Thermophysics 2018, 23 [07.11.2018-09.11.2018, Smolenice, Slovensko]. – text. – [angličtina]. – [OV 091]. – [abstrakt z podujatia - KP]. – [recenzované]. – DOI 10.1063/1.5047626. – WOS CC In: Thermophysics 2018 [elektronický dokument] : proceedings : 23rd International Meeting of Thermophysics / Trník, Anton [Zostavovateľ, editor] ; Matiašovský, Peter [Zostavovateľ, editor] ; Medveď, Igor [Zostavovateľ, editor]. – 1 vyd. – Melwille (USA) : American Institute of Physics . AIP Publishing, 2018. – (AIP Conference Proceedings, ISSN 0094-243X, ISSN 1551-7616 ; Volume 1988, SJR: 0,182 ; CiteScore: 0,5 ; SNIP: 0,377). – ISBN 978-0-7354-1704-5, s. 1-6 [online] </t>
  </si>
  <si>
    <t xml:space="preserve">Kinetic Behaviour of Thermal Transformations of Kaolinite / Ondro, Tomáš [Autor, UKFFPVKFY, 50%] ; Trník, Anton [Autor, UKFFPVKFY, 50%] ; Thermophysics 2018, 23 [07.11.2018-09.11.2018, Smolenice, Slovensko]. – text. – [angličtina]. – [OV 091]. – [abstrakt z podujatia - KP]. – [recenzované]. – DOI 10.1063/1.5047627. – WOS CC ; SCO In: Thermophysics 2018 [elektronický dokument] : proceedings : 23rd International Meeting of Thermophysics / Trník, Anton [Zostavovateľ, editor] ; Matiašovský, Peter [Zostavovateľ, editor] ; Medveď, Igor [Zostavovateľ, editor]. – 1 vyd. – Melwille (USA) : American Institute of Physics . AIP Publishing, 2018. – (AIP Conference Proceedings, ISSN 0094-243X, ISSN 1551-7616 ; Volume 1988, SJR: 0,182 ; CiteScore: 0,5 ; SNIP: 0,377). – ISBN 978-0-7354-1704-5, s. 1-6 [online] </t>
  </si>
  <si>
    <t xml:space="preserve">Kisebbségi nyelvpolitika és névszemiotikai tájkép / Bauko, Ján [Autor, UKFFSSUML, 100%] ; A nyelvföldrajztól a névföldrajzig : nevek a nyelvpolitikai küzdőtérben, 10 [08.06.2019, Komárno, Slovensko]. – text. – [maďarčina]. – [OV 020]. – [abstrakt z podujatia - KP] In: A nyelvföldrajztól a névföldrajzig (10) [textový dokument (print)] : nevek a nyelvpolitikai küzdőtérben / Vörös, Ferenc [Zostavovateľ, editor] ; Barics, Ernő [Recenzent] ; Benő, Attila [Recenzent]. – 1. vyd. – Szombathely (Maďarsko) : Savaria University Press, 2019. – ISBN 978-615-5753-44-2, s. 89-104 [tlačená forma] </t>
  </si>
  <si>
    <t xml:space="preserve">Klasická hudba v pohybových činnostiach na predmetoch tanečnej prípravy / Hubinská, Zuzana [Autor, UKFPFAKHU, 100%] ; Lechta, Viktor [Recenzent] ; Babiaková, Simoneta [Recenzent] ; Juvenilia Paedagogica 2018 [09.02.2018, Trnava, Slovensko]. – text. – [slovenčina]. – [OV 010]. – [abstrakt z podujatia - KP] In: Juvenilia Paedagogica 2018 [elektronický dokument] : aktuálne teoretické a výskumné otázky pedagogiky v konceptoch dizertačných prác doktorandov. Zborník príspevkov z konferencie s medzinárodnou účasťou konanej v Trnave dňa 09.02.2018 / Rajský, Andrej [Zostavovateľ, editor]. – 1. vyd. – Trnava (Slovensko) : Trnavská univerzita v Trnave, 2018. – ISBN 978-80-568-0131-4, s. 61-66 [online] </t>
  </si>
  <si>
    <t xml:space="preserve">Klasifikácia falošných správ pomocou TfIdf a dependenčnej gramatiky = Classification of Fake News Using TfIdf and Dependency Grammar / Nagy, Kitti [Autor, UKFFPVKIN, 100%] ; Študentská vedecká konferencia 2021 [14.04.2021, Nitra, Banská Bystrica, Slovensko]. – text, graf., obr. – [slovenčina]. – [OV 160]. – [abstrakt z podujatia - KP] In: Študentská vedecká konferencia 2021 Fakulty prírodných vied Univerzity Konštantína Filozofa v Nitre a Fakulty prírodných vied Univerzity Mateja Bela v Banskej Bystrici [textový dokument (print)] : zborník recenzovaných príspevkov / Francisti, Jan [Zostavovateľ, editor] ; Fodor, Kristián [Zostavovateľ, editor]. – 1. vyd. – Nitra (Slovensko) : Univerzita Konštantína Filozofa v Nitre ; Banská Bystrica (Slovensko) : Univerzita Mateja Bela v Banskej Bystrici, 2021. – (Prírodovedec ; 756). – ISBN 978-80-558-1712-5, s. 223-229 [tlačená forma] </t>
  </si>
  <si>
    <t xml:space="preserve">Kľúč k osobnému rozvoju a získaniu relevantných vedomostí a zručností potrebných pre úspešné uplatnenie absolventov SŠ a VŠ na trhu práce / Burcl, Pavol [Autor, UKFFFAJZC, 100%] ; Odborný cudzí jazyk: teória a prax [18.12.2020, Nitra, Slovensko]. – text. – [slovenčina]. – [OV 010]. – [abstrakt z podujatia - KP] In: Odborný cudzí jazyk: teória a prax [textový dokument (print)] : zborník z medzinárodnej vedeckej konferencie / Zelenická, Elena [Zostavovateľ, editor] ; Timárová, Daniela [Recenzent] ; Kulíková, Terézia [Recenzent]. – 1. vyd. – Nitra (Slovensko) : Univerzita Konštantína Filozofa v Nitre. Filozofická fakulta, 2020. – ISBN 978-80-558-1608-1, s. 7-22 [tlačená forma] </t>
  </si>
  <si>
    <t xml:space="preserve">Knowledge systematization through the law of energy conservation / Zelenický, Ľubomír [Autor, UKFFPVKFY, 80%] ; Rakovská, Mária [Autor, 20%] ; DIDFYZ 2019, 21 [09.10.2019-12.10.2019, Terchová, Slovensko]. – text. – [angličtina]. – [OV 010]. – [abstrakt z podujatia - KP]. – DOI 10.1063/1.5124783. – SCO In: DIDFYZ 2019 [textový dokument (print)] [elektronický dokument] : Formation of the Natural Science Image of the World in the 21st Century / Valovičová, Ľubomíra [Zostavovateľ, editor] ; Ondruška, Ján [Zostavovateľ, editor] ; Zelenický, Ľubomír [Zostavovateľ, editor]. – 1. vyd. – Melville (USA) : American Institute of Physics . AIP Publishing, 2019. – (AIP Conference Proceedings, ISSN 0094-243X, ISSN 1551-7616 ; 2152, SJR: 0,19 ; CiteScore: 0,6 ; SNIP: 0,373). – ISBN 978-0-7354-1897-4, s. 1-11 [tlačená forma] [online] </t>
  </si>
  <si>
    <t xml:space="preserve">Kódová notácia Miroslava Košnára ako motivačný prvok v začiatkoch výučby hry na akordeóne / Haragová, Paulína [Autor, UKFPFAKHU, 100%] ; Krušinská, Martina [Recenzent] ; Valachová, Daniela [Recenzent] ; Ars et educatio, 4 [21.11.2017-23.11.2017, Ružomberok, Slovensko]. – text. – [slovenčina]. – [OV 010]. – [abstrakt z podujatia - KP] In: Ars et Educatio IV. [elektronický dokument] : CD-zborník vedeckých príspevkov doktorandov / Procházková, Martina [Zostavovateľ, editor]. – 1. vyd. – Ružomberok (Slovensko) : Katolícka univerzita v Ružomberku. VERBUM - vydavateľstvo KU, 2018. – ISBN 978-80-561-0581-8, s. 15-20 [CD-ROM] </t>
  </si>
  <si>
    <t xml:space="preserve">Koexistencia tradičných a nových médií v kontexte postfaktuálnej éry / Moravčíková, Erika [Autor, UKFFFAKKU, 100%] ; Megatrends and Media 2019, 14 [16.04.2019-17.04.2019, Smolenice, Slovensko]. – text. – [slovenčina]. – [OV 060]. – [abstrakt z podujatia - KP] In: Megatrendy a médiá 2019 [elektronický dokument] : Digital Universe / Bučková, Zuzana [Zostavovateľ, editor] ; Kačincová Predmerská, Anna [Zostavovateľ, editor] ; Rusňáková, Lenka [Zostavovateľ, editor] ; Mináriková, Juliána [Recenzent] ; Gajdka, Krzysztof [Recenzent]. – 1. vyd. – Trnava (Slovensko) : Univerzita sv. Cyrila a Metoda v Trnave. Fakulta masmediálnej komunikácie, 2019. – ISBN (online) 978-80-572-0014-7, s. 303-317 [online] </t>
  </si>
  <si>
    <t xml:space="preserve">Komix - moderný nástroj vo vyučovaní geografie / Nemčíková, Magdaléna [Autor, UKFFPVKGR, 25%] ; Bulejová, Alexandra [Autor, 25%] ; Rampašeková, Zuzana [Autor, UKFFPVKGR, 25%] ; Kramáreková, Hilda [Autor, UKFFPVKGR, 25%] ; Kmeťová, Jarmila [Recenzent] ; Bírová, Jana [Recenzent] ; Inovatívne trendy v odborových didaktikách v kontexte požiadaviek praxe [13.11.2017-14.11.2017, Nitra, Slovensko]. – text. – [slovenčina]. – [OV 010]. – [abstrakt z podujatia - KP] In: Inovatívne trendy v odborových didaktikách v kontexte požiadaviek praxe [elektronický dokument] : zborník štúdií z medzinárodnej vedeckej konferencie / Duchovičová, Jana [Zostavovateľ, editor] ; Gunišová, Denisa [Zostavovateľ, editor] ; Kozárová, Nina [Zostavovateľ, editor] ; Koleňáková, Rebeka Štefánia [Zostavovateľ, editor]. – 1. vyd. – Nitra (Slovensko) : Univerzita Konštantína Filozofa v Nitre. Pedagogická fakulta UKF, 2018. – ISBN 978-80-558-1277-9, s. 169-175 [online] </t>
  </si>
  <si>
    <t xml:space="preserve">Kommunikativnyj podchod v obučenii inostrannym jazykam / Gallo, Ján [Autor, UKFFFAKRU, 100%] ; Inovatívne trendy v odborových didaktikách [21.11.2018, Nitra, Slovensko]. – text. – [slovenčina]. – [OV 010]. – [abstrakt z podujatia - KP] In: Inovatívne trendy v odborových didaktikách [textový dokument (print)] : prepojenie teórie a praxe výučbových stratégií kritického a tvorivého myslenia : zborník štúdií z medzinárodnej vedeckej konferencie, Nitra 21. november 2018 / Duchovičová, Jana [Zostavovateľ, editor] ; Hošová, Dominika [Zostavovateľ, editor] ; Koleňáková, Rebeka Štefánia [Zostavovateľ, editor] ; Bílek, Martin [Recenzent] ; Komora, Juraj [Recenzent]. – 1. vyd. – Nitra (Slovensko) : Univerzita Konštantína Filozofa v Nitre, 2019. – ISBN 978-80-558-1408-7, s. 594-599 [tlačená forma] </t>
  </si>
  <si>
    <t xml:space="preserve">Komparačná štúdia konzumu majoritných zdrojov antioxidantov u dospelých osôb počas pandémie covid-19 a predpandemického obdobia / Fatrcová Šramková, Katarína [Autor, SPUFAP16, 20%] ; Schwarzová, Marianna [Autor, SPUFAP16, 20%] ; Kačániová, Miroslava [Autor, SPUFZK06, 20%] ; Tvrdá, Eva [Autor, SPUFBP03, 20%] ; Juríková, Tünde [Autor, UKFFSSUVP, 20%] ; Záhradníctvo 2021 [2021, Nitra, Slovensko]. – [slovenčina]. – [OV 190]. – [abstrakt z podujatia - KP] In: Záhradníctvo 2021 [elektronický dokument] : zborník vedeckých prác z workshopu v Nitre na CD nosiči / Jedlička, Jaroslav [Zostavovateľ, editor] ; Konc, Ľubomír [Zostavovateľ, editor] ; Huszár, Jozef [Recenzent] ; Jedlička, Jaroslav [Recenzent] ; Ailer, Štefan [Recenzent]. – 1. vyd. – Nitra (Slovensko) : Slovenská poľnohospodárska univerzita v Nitre, 2021. – ISBN 978-80-552-2393-3, s. 35-46 </t>
  </si>
  <si>
    <t xml:space="preserve">Komparatívna štúdia konzumácie ovocia a zeleniny predškolákov na Slovensku / Juríková, Tünde [Autor, UKFFSSUVP, 30%] ; Viczayová, Ildikó [Autor, UKFFSSUVP, 30%] ; Fatrcová Šramková, Katarína [Autor, SPUFAP16, 20%] ; Schwarzová, Marianna [Autor, SPUFAP16, 20%] ; Valšíková-Frey, Magdaléna [Recenzent] ; Turianica, Ivan [Recenzent] ; Záhradníctvo 2018 [28.09.2018, Nitra, Slovensko]. – text. – [slovenčina]. – [OV 010, 190]. – [abstrakt z podujatia - KP] In: Záhradníctvo 2018 [elektronický dokument] : zborník vedeckých prác z workshopu v Nitre 28.09.2018 na CD nosiči / Jedlička, Jaroslav [Zostavovateľ, editor] ; Konc, Ľubomír [Zostavovateľ, editor]. – 1. vyd. – Nitra (Slovensko) : Slovenská poľnohospodárska univerzita v Nitre, 2018. – ISBN 978-80-552-1901-1. – ISBN (chybné) 978-80-552-1900-4, s. 243-246 [CD-ROM] </t>
  </si>
  <si>
    <t xml:space="preserve">Komparatívna štúdia používania prírodných antibiotík u študentov z Lučenca a Rimavskej Soboty / Juríková, Tünde [Autor, UKFFSSUVP, 20%] ; Tóthová, Nikoleta [Autor, 20%] ; Viczayová, Ildikó [Autor, UKFFSSUVP, 20%] ; Fatrcová Šramková, Katarína [Autor, SPUFAP16, 20%] ; Schwarzová, Marianna [Autor, SPUFAP16, 20%] ; Valšíková-Frey, Magdaléna [Recenzent] ; Turianica, Ivan [Recenzent] ; Záhradníctvo 2018 [28.09.2018, Nitra, Slovensko]. – [slovenčina]. – [OV 190, 010]. – [abstrakt z podujatia - KP] In: Záhradníctvo 2018 [elektronický dokument] : zborník vedeckých prác z workshopu v Nitre 28.09.2018 na CD nosiči / Jedlička, Jaroslav [Zostavovateľ, editor] ; Konc, Ľubomír [Zostavovateľ, editor]. – 1. vyd. – Nitra (Slovensko) : Slovenská poľnohospodárska univerzita v Nitre, 2018. – ISBN 978-80-552-1901-1. – ISBN (chybné) 978-80-552-1900-4, s. 239-242 [CD-ROM] </t>
  </si>
  <si>
    <t xml:space="preserve">Komunikačné bariéry medzi učiteľom a žiakom s VPU na hodinách cudzieho jazyka = Communication barriers between teacher and student with learning disability in foreign language lessons / Vogelová, Zuzana [Autor, 50%] ; Gadušová, Zdenka [Autor, UKFFFAKAA, 30%] ; Stranovská, Eva [Autor, UKFFFAKGE, 20%] ; Adamcová, Lívia [Recenzent] ; Hrivíková, Tatiana [Recenzent] ; Cudzie jazyky v premenách času, 11 [06.11.2020, Bratislava, Slovensko]. – text. – [slovenčina]. – [OV 010]. – [abstrakt z podujatia - KP] In: Cudzie jazyky v premenách času 11 [elektronický dokument] : recenzovaný zborník príspevkov z medzinárodnej vedeckej konferencie / Kvapil, Roman [Zostavovateľ, editor]. – 1. vyd. – Roč. 11. – Bratislava (Slovensko) : Ekonomická univerzita v Bratislave. Celouniverzitné pracovisko EUBA. Vydavateľstvo EKONÓM, 2021. – ISBN 978-80-225-4823-6, s. 367-375 [CD-ROM] [online] </t>
  </si>
  <si>
    <t xml:space="preserve">Koncepcia nového historizmu ako metóda v didaktike slovenského jazyka a literatúry / Hlavatá, Renáta [Autor, UKFFFASJL, 100%] ; Inovatívne trendy v odborových didaktikách [21.11.2018, Nitra, Slovensko]. – text. – [slovenčina]. – [OV 010]. – [abstrakt z podujatia - KP] In: Inovatívne trendy v odborových didaktikách [textový dokument (print)] : prepojenie teórie a praxe výučbových stratégií kritického a tvorivého myslenia : zborník štúdií z medzinárodnej vedeckej konferencie, Nitra 21. november 2018 / Duchovičová, Jana [Zostavovateľ, editor] ; Hošová, Dominika [Zostavovateľ, editor] ; Koleňáková, Rebeka Štefánia [Zostavovateľ, editor] ; Bílek, Martin [Recenzent] ; Komora, Juraj [Recenzent]. – 1. vyd. – Nitra (Slovensko) : Univerzita Konštantína Filozofa v Nitre, 2019. – ISBN 978-80-558-1408-7, s. 600-610 [tlačená forma] </t>
  </si>
  <si>
    <t xml:space="preserve">Koncept ekosystémových služieb vo vyučovaní environmentálnej výchovy = Concept of ecosystem services in teaching of environmental education / Hladká, Alexandra [Autor, UKFFPVKEE, 100%] ; Študentská vedecká konferencia 2021 [14.04.2021, Nitra, Banská Bystrica, Slovensko]. – text. – [slovenčina]. – [OV 100]. – [abstrakt z podujatia - KP] In: Študentská vedecká konferencia 2021 Fakulty prírodných vied Univerzity Konštantína Filozofa v Nitre a Fakulty prírodných vied Univerzity Mateja Bela v Banskej Bystrici [textový dokument (print)] : zborník recenzovaných príspevkov / Francisti, Jan [Zostavovateľ, editor] ; Fodor, Kristián [Zostavovateľ, editor]. – 1. vyd. – Nitra (Slovensko) : Univerzita Konštantína Filozofa v Nitre ; Banská Bystrica (Slovensko) : Univerzita Mateja Bela v Banskej Bystrici, 2021. – (Prírodovedec ; 756). – ISBN 978-80-558-1712-5, s. 347-354 [tlačená forma] </t>
  </si>
  <si>
    <t xml:space="preserve">Koncept lásky v ruskej paremiológii / Bilčíková, Miriama [Autor, UKFFFAKRU, 100%] ; Forlang, 10 [23.06.2021-24.06.2021, Košice, Slovensko]. – text. – [slovenčina]. – [OV 020]. – [abstrakt z podujatia - KP] In: Forlang [elektronický dokument] : periodický zborník vedeckých príspevkov a odborných článkov z medzinárodnej vedeckej konferencie konanej 23. - 24. júna 2021 : cudzie jazyky v akademickom prostredí = foreign Languages in the Academic Environment = Fremdsprachen im akademischen Bereich = inostrannye jazyki v akademičeskoj srede / Kaščáková, Eva [Zostavovateľ, editor] ; Alieva, Lenka [Recenzent] ; Czéreová, Beáta [Recenzent] ; Hájik, Tomáš [Recenzent] ; Klink, Sandra [Recenzent] ; Kulíková, Terézia [Recenzent] ; Mazurová, Helena [Recenzent] ; Mihalčinová, Zuzana [Recenzent] ; Mihaľová, Alena [Recenzent] ; Pechová, Soňa [Recenzent] ; Sorger, Roman [Recenzent] ; Szabová, Katarína [Recenzent] ; Timárová, Daniela [Recenzent] ; Vráželová, Viktória [Recenzent]. – 1. vyd. – Roč. 8, č. 1. – Košice (Slovensko) : Technická univerzita v Košiciach, 2021. – ISBN (online) 978-80-553-3948-1. – ISSN 1338-5496. – SIGN-TUKE 233160, s. 29-34 [CD-ROM] </t>
  </si>
  <si>
    <t xml:space="preserve">Konkretizace jako forma interpretace: filmová adaptace povídky Franze Kafky Proměna (s přihlédnutím k dalším konkretizačním pokusům) / Mikulášek, Alexej [Autor, UKFFSSUSJ, 100%] ; Pokorný, Milan [Recenzent] ; Žilka, Tibor [Recenzent] ; Česká literatúra a film, 5 [17.10.2017, Nitra, Slovensko]. – text. – [slovenčina]. – [OV 020]. – [abstrakt z podujatia - KP] In: Česká literatúra a film 5 [textový dokument (print)] : zborník štúdií z medzinárodnej vedeckej konferencie, konanej 17. októbra 2017 na FSŠ v Nitre / Timko, Štefan [Zostavovateľ, editor]. – 1. vyd. – Nitra (Slovensko) : Univerzita Konštantína Filozofa v Nitre, 2018. – ISBN 978-80-558-1303-5, s. 87-109 [tlačená forma] </t>
  </si>
  <si>
    <t xml:space="preserve">Konštruktová validita slovenskej verzie dotazníka ASCQ / Balážová, Miroslava [Autor, UKFFSVKPV, 50%] ; Popelková, Marta [Autor, UKFFSVKPV, 50%] ; Ruisel, Imrich [Recenzent] ; Pilárik, Ľubor [Recenzent] ; Psychologické dni 2017, 35 [04.09.2017-06.09.2017, Stará Lesná, Slovensko]. – [slovenčina]. – [OV 060]. – [abstrakt z podujatia - KP] In: Agresia vo verejnom priestore [textový dokument (print)] : 35. Psychologické dni : zborník príspevkov / Sarmány Schuller, Ivan [Zostavovateľ, editor]. – 1. vyd. – Bratislava (Slovensko) : Slovenská akadémia vied. Slovenská psychologická spoločnosť pri SAV, 2018. – ISBN 978-80-88910-58-9, s. 7-15 [tlačená forma] </t>
  </si>
  <si>
    <t xml:space="preserve">Kontextuálne determinácie a kontrasty v literárno-filmovom spracovaní diela Zasľúbená zem / Jozek, Milan [Autor, UKFFFAKAE 06.2022, 100%] ; Literatúra a jej filmová podoba v stredoeurópskom kontexte [15.10.2019, Nitra, Slovensko]. – text. – [slovenčina]. – [OV 020]. – [abstrakt z podujatia - KP] In: Literatúra a jej filmová podoba v stredoeurópskom kontexte [textový dokument (print)] : zborník štúdií z medzinárodnej vedeckej konferencie, konanej 15. októbra 2019 na FSŠ UKF v Nitre / Timko, Štefan [Zostavovateľ, editor] ; Pokorný, Milan [Recenzent] ; Zelenka, Miloš [Recenzent]. – 1. vyd. – Nitra (Slovensko) : Univerzita Konštantína Filozofa v Nitre, 2020. – ISBN 978-80-558-1570-1, s. 145-155 [tlačená forma] </t>
  </si>
  <si>
    <t xml:space="preserve">Kontexty a paralely filmu M. Šulíka Cigán a tragédie W. Shakespeara Hamlet / Vargová, Zuzana [Autor, UKFFSSUSJ, 100%] ; Literatúra a jej filmová podoba v stredoeurópskom kontexte [15.10.2019, Nitra, Slovensko]. – text. – [slovenčina]. – [OV 020]. – [abstrakt z podujatia - KP] In: Literatúra a jej filmová podoba v stredoeurópskom kontexte [textový dokument (print)] : zborník štúdií z medzinárodnej vedeckej konferencie, konanej 15. októbra 2019 na FSŠ UKF v Nitre / Timko, Štefan [Zostavovateľ, editor] ; Pokorný, Milan [Recenzent] ; Zelenka, Miloš [Recenzent]. – 1. vyd. – Nitra (Slovensko) : Univerzita Konštantína Filozofa v Nitre, 2020. – ISBN 978-80-558-1570-1, s. 99-112 [tlačená forma] </t>
  </si>
  <si>
    <t xml:space="preserve">Kontexty zmien kultúry a identity dolnozemských Slovákov / Michalík, Boris [Autor, UKFFFAKMK, 50%] ; Čukan, Jaroslav [Autor, UKFFFAKMK, 50%] ; Stredoeurópske súvislosti národnostného vývoja na začiatku 21. storočia [15.11.2018, Košice, Slovensko]. – text. – [slovenčina]. – [OV 020, 060]. – [abstrakt z podujatia - KP] In: Stredoeurópske súvislosti národnostného vývoja na začiatku 21. storočia [textový dokument (print)] [elektronický dokument] : zborník príspevkov z medzinárodnej vedeckej konferencie z riešenia vedeckého projektu APVV-15-0745 Tendencie vývoja etnických vzťahov na Slovensku (Komparatívny výskum národnostnej problematiky v rokoch 2004 – 2020) – (TESS2) / Šutajová, Jana [Zostavovateľ, editor] ; Šutaj, Štefan [Zostavovateľ, editor] ; Kacerová, Barbara [Zostavovateľ, editor] ; Štempien, Erik [Recenzent] ; Gajdoš, Marián [Recenzent]. – 1. vyd. – Prešov (Slovensko) : Univerzum, 2019. – ISBN 978-80-89946-12-9. – sign UPJS FSEP 010752. – SAF F 138814, s. 166-176 </t>
  </si>
  <si>
    <t xml:space="preserve">Kontrastívny prístup vo vyučovaní výslovnosti cudzích jazykov / Kissová, Oľga [Autor, ZUZUSTCEV, 10%] ; Kráľová, Zdena [Autor, UKFPFAKLI, 90%] ; Kmeťová, Jarmila [Recenzent] ; Bírová, Jana [Recenzent] ; Inovatívne trendy v odborových didaktikách v kontexte požiadaviek praxe [13.11.2017-14.11.2017, Nitra, Slovensko]. – text. – [slovenčina]. – [OV 010]. – [abstrakt z podujatia - KP] In: Inovatívne trendy v odborových didaktikách v kontexte požiadaviek praxe [elektronický dokument] : zborník štúdií z medzinárodnej vedeckej konferencie / Duchovičová, Jana [Zostavovateľ, editor] ; Gunišová, Denisa [Zostavovateľ, editor] ; Kozárová, Nina [Zostavovateľ, editor] ; Koleňáková, Rebeka Štefánia [Zostavovateľ, editor]. – 1. vyd. – Nitra (Slovensko) : Univerzita Konštantína Filozofa v Nitre. Pedagogická fakulta UKF, 2018. – ISBN 978-80-558-1277-9, s. 280-287 [online] </t>
  </si>
  <si>
    <t xml:space="preserve">Konzumná spoločnosť / Štrbová, Monika [Autor, UKFFFAKSO, 100%] ; Vizualizácia sociálnej práce, 5 [22.05.2019, Sládkovičovo, Slovensko]. – text. – [slovenčina]. – [OV 060]. – [abstrakt z podujatia - KP] In: Vizualizácia sociálnej práce 5 [elektronický dokument] / Mareková, Hermína [Zostavovateľ, editor] ; Šebestová, Petronela [Zostavovateľ, editor] ; Spuchľák, Juraj [Recenzent] ; Šebesta, Matej [Recenzent]. – 1. vyd. – Sládkovičovo (Slovensko) : Vysoká škola Danubius, 2019. – ISBN 978-80-8167-069-5, s. 113-120 [CD-ROM] </t>
  </si>
  <si>
    <t xml:space="preserve">Korpusová analýza adjektívno-substantívnych slovných spojení na báze Slovenského národného korpusu = Corpus Analysis of Adjective-Noun Collocations Based on the Slovak National  Corpus / Jakubičková, Barbara [Autor, UKFFFAKTR, 100%] ; Forlang, 10 [23.06.2021-24.06.2021, Košice, Slovensko]. – text. – [slovenčina]. – [OV 020]. – [abstrakt z podujatia - KP] In: Forlang [elektronický dokument] : periodický zborník vedeckých príspevkov a odborných článkov z medzinárodnej vedeckej konferencie konanej 23. - 24. júna 2021 : cudzie jazyky v akademickom prostredí = foreign Languages in the Academic Environment = Fremdsprachen im akademischen Bereich = inostrannye jazyki v akademičeskoj srede / Kaščáková, Eva [Zostavovateľ, editor] ; Alieva, Lenka [Recenzent] ; Czéreová, Beáta [Recenzent] ; Hájik, Tomáš [Recenzent] ; Klink, Sandra [Recenzent] ; Kulíková, Terézia [Recenzent] ; Mazurová, Helena [Recenzent] ; Mihalčinová, Zuzana [Recenzent] ; Mihaľová, Alena [Recenzent] ; Pechová, Soňa [Recenzent] ; Sorger, Roman [Recenzent] ; Szabová, Katarína [Recenzent] ; Timárová, Daniela [Recenzent] ; Vráželová, Viktória [Recenzent]. – 1. vyd. – Roč. 8, č. 1. – Košice (Slovensko) : Technická univerzita v Košiciach, 2021. – ISBN (online) 978-80-553-3948-1. – ISSN 1338-5496. – SIGN-TUKE 233160, s. 169-176 [CD-ROM] </t>
  </si>
  <si>
    <t xml:space="preserve">Kreatívne myslenie učiteľa cudzieho jazyka a jeho rola pri spracovaní učebnicového materiálu pre vyučovacie účely / Gadušová, Zdenka [Autor, UKFFFAKAA, 100%] ; Inovatívne trendy v odborových didaktikách [21.11.2018, Nitra, Slovensko]. – text. – [slovenčina]. – [OV 010]. – [abstrakt z podujatia - KP] In: Inovatívne trendy v odborových didaktikách [textový dokument (print)] : prepojenie teórie a praxe výučbových stratégií kritického a tvorivého myslenia : zborník štúdií z medzinárodnej vedeckej konferencie, Nitra 21. november 2018 / Duchovičová, Jana [Zostavovateľ, editor] ; Hošová, Dominika [Zostavovateľ, editor] ; Koleňáková, Rebeka Štefánia [Zostavovateľ, editor] ; Bílek, Martin [Recenzent] ; Komora, Juraj [Recenzent]. – 1. vyd. – Nitra (Slovensko) : Univerzita Konštantína Filozofa v Nitre, 2019. – ISBN 978-80-558-1408-7, s. 559-566 [tlačená forma] </t>
  </si>
  <si>
    <t xml:space="preserve">Kritické a tvorivé myslenie ako zložky emocionálnej inteligencie / Šlosárová, Simona [Autor, UKFFFAKAE 06.2022, 100%] ; Inovatívne trendy v odborových didaktikách [21.11.2018, Nitra, Slovensko]. – text. – [slovenčina]. – [OV 010]. – [abstrakt z podujatia - KP] In: Inovatívne trendy v odborových didaktikách [textový dokument (print)] : prepojenie teórie a praxe výučbových stratégií kritického a tvorivého myslenia : zborník štúdií z medzinárodnej vedeckej konferencie, Nitra 21. november 2018 / Duchovičová, Jana [Zostavovateľ, editor] ; Hošová, Dominika [Zostavovateľ, editor] ; Koleňáková, Rebeka Štefánia [Zostavovateľ, editor] ; Bílek, Martin [Recenzent] ; Komora, Juraj [Recenzent]. – 1. vyd. – Nitra (Slovensko) : Univerzita Konštantína Filozofa v Nitre, 2019. – ISBN 978-80-558-1408-7, s. 419-422 [tlačená forma] </t>
  </si>
  <si>
    <t xml:space="preserve">Kritické myslenia v kontexte doktorandského štúdia didaktiky technických predmetov / Valentová, Monika [Autor, UKFPFAKTT, 100%] ; Súčasnosť a perspektíva doktorandského štúdia [11.10.2019, Nitra, Slovensko]. – text. – [slovenčina]. – [OV 010]. – [abstrakt z podujatia - KP] In: Reflexia absolventov doktorandského štúdia [elektronický dokument] : zborník príspevkov z medzinárodnej vedeckej konferencie doktorandov / Tomková, Viera [Zostavovateľ, editor] ; Kozík, Tomáš [Recenzent] ; Hašková, Alena [Recenzent]. – 1. vyd. – Nitra (Slovensko) : Univerzita Konštantína Filozofa v Nitre. Pedagogická fakulta UKF, 2020. – ISBN (online) 978-80-558-1554-1, s. 81-86 [CD-ROM] </t>
  </si>
  <si>
    <t xml:space="preserve">Kritické myslenie a jeho psychodidaktická reflexia / Duchovičová, Jana [Autor, UKFPFAKPE, 100%] ; Súčasnosť a perspektíva doktorandského štúdia [11.10.2019, Nitra, Slovensko]. – text. – [slovenčina]. – [OV 010]. – [abstrakt z podujatia - KP] In: Reflexia absolventov doktorandského štúdia [elektronický dokument] : zborník príspevkov z medzinárodnej vedeckej konferencie doktorandov / Tomková, Viera [Zostavovateľ, editor] ; Kozík, Tomáš [Recenzent] ; Hašková, Alena [Recenzent]. – 1. vyd. – Nitra (Slovensko) : Univerzita Konštantína Filozofa v Nitre. Pedagogická fakulta UKF, 2020. – ISBN (online) 978-80-558-1554-1, s. 21-24 [CD-ROM] </t>
  </si>
  <si>
    <t xml:space="preserve">Kritické myslenie a tvorivosť v rozvoji kultúrneho povedomia a vyjadrovania budúcich učiteľov výtvarného umenia / Récka, Adriana [Autor, UKFPFAKVV, 100%] ; Kmeťová, Jarmila [Recenzent] ; Bírová, Jana [Recenzent] ; Inovatívne trendy v odborových didaktikách v kontexte požiadaviek praxe [13.11.2017-14.11.2017, Nitra, Slovensko]. – text. – [slovenčina]. – [OV 010]. – [abstrakt z podujatia - KP] In: Inovatívne trendy v odborových didaktikách v kontexte požiadaviek praxe [elektronický dokument] : zborník štúdií z medzinárodnej vedeckej konferencie / Duchovičová, Jana [Zostavovateľ, editor] ; Gunišová, Denisa [Zostavovateľ, editor] ; Kozárová, Nina [Zostavovateľ, editor] ; Koleňáková, Rebeka Štefánia [Zostavovateľ, editor]. – 1. vyd. – Nitra (Slovensko) : Univerzita Konštantína Filozofa v Nitre. Pedagogická fakulta UKF, 2018. – ISBN 978-80-558-1277-9, s. 399-410 [online] </t>
  </si>
  <si>
    <t xml:space="preserve">Kritické myslenie ako kľúčová kompetencia človeka 21. storočia / Stacho, Maroš [Autor, UKFPFAKPE, 100%] ; Kmeťová, Jarmila [Recenzent] ; Bírová, Jana [Recenzent] ; Inovatívne trendy v odborových didaktikách v kontexte požiadaviek praxe [13.11.2017-14.11.2017, Nitra, Slovensko]. – text. – [slovenčina]. – [OV 010]. – [abstrakt z podujatia - KP] In: Inovatívne trendy v odborových didaktikách v kontexte požiadaviek praxe [elektronický dokument] : zborník štúdií z medzinárodnej vedeckej konferencie / Duchovičová, Jana [Zostavovateľ, editor] ; Gunišová, Denisa [Zostavovateľ, editor] ; Kozárová, Nina [Zostavovateľ, editor] ; Koleňáková, Rebeka Štefánia [Zostavovateľ, editor]. – 1. vyd. – Nitra (Slovensko) : Univerzita Konštantína Filozofa v Nitre. Pedagogická fakulta UKF, 2018. – ISBN 978-80-558-1277-9, s. 504-510 [online] </t>
  </si>
  <si>
    <t xml:space="preserve">Kvalita života u starších ľudí v okrese Michalovce a Trebišov / Halmová, Nora [Autor, UKFPFAKTV, 80%] ; Kubica, Maroš [Autor, 20%] ; Müller, Anetta [Recenzent] ; Biró, Melinda [Recenzent] ; Sport science in motion [17.05.2018-19.05.2018, Komárno, Slovensko]. – text. – [slovenčina]. – [OV 210]. – [abstrakt z podujatia - KP] In: Sport science in motion [elektronický dokument] : proceedings from the scientific conference, Komárno, May 17th – 19th, 2018 = recenzovaný zborník vedeckých a odborných prác z konferencie = válogatott tanulmánykötet – válogatott tanulmányok a tudományos konferenciáról / Šimonek, Jaromír [Zostavovateľ, editor] ; Dobay, Beáta [Zostavovateľ, editor]. – 1. vyd. – Komárno (Slovensko) : Univerzita J. Selyeho, 2018. – ISBN 978-80-8122-245-0, s. 76-85 [CD-ROM] </t>
  </si>
  <si>
    <t xml:space="preserve">Kvetinové lúky inšpirované vidiekom = Flower meadows inspired by the rural landscape / Pástorová, Anna [Autor, UKFFPVKEE, 100%] ; Študentská vedecká konferencia 2021 [14.04.2021, Nitra, Banská Bystrica, Slovensko]. – text. – [slovenčina]. – [OV 100]. – [abstrakt z podujatia - KP] In: Študentská vedecká konferencia 2021 Fakulty prírodných vied Univerzity Konštantína Filozofa v Nitre a Fakulty prírodných vied Univerzity Mateja Bela v Banskej Bystrici [textový dokument (print)] : zborník recenzovaných príspevkov / Francisti, Jan [Zostavovateľ, editor] ; Fodor, Kristián [Zostavovateľ, editor]. – 1. vyd. – Nitra (Slovensko) : Univerzita Konštantína Filozofa v Nitre ; Banská Bystrica (Slovensko) : Univerzita Mateja Bela v Banskej Bystrici, 2021. – (Prírodovedec ; 756). – ISBN 978-80-558-1712-5, s. 55-62 [tlačená forma] </t>
  </si>
  <si>
    <t xml:space="preserve">La enseñanza de la lengua a través de la literatura: estado de la cuestión respecto a la lengua española = Teaching language through literature: the state of play regarding to the spanish language / De Miguel Santos, César [Autor, UKFFFAKRO, 100%] ; Cudie jazyky v premenách času, 10 [08.11.2019, Bratislava, Slovensko]. – text. – [španielčina]. – [OV 020]. – [abstrakt z podujatia - KP] In: Cudzie jazyky v premenách času [elektronický dokument] : recenzovaný zborník príspevkov z medzinárodnej vedeckej konferencie / Kvapil, Roman [Zostavovateľ, editor] ; Adamcová, Lívia [Recenzent] ; Breveníková, Daniela [Recenzent] ; Lišková, Danuša [Recenzent]. – 1. vyd. – Roč. 10. – Bratislava (Slovensko) : Ekonomická univerzita v Bratislave. Celouniverzitné pracovisko EUBA. Vydavateľstvo EKONÓM, 2020. – ISBN 978-80-225-4710-9, s. 451-465 [CD-ROM] [online] </t>
  </si>
  <si>
    <t xml:space="preserve">Lasst die Fäuste sprechen. Oder: Horst Caspars Verstummen / Krause, Daniel [Autor, UKFFFAKGE, 100%] ; Müglová, Daniela [Recenzent] ; Borsuková, Hana [Recenzent] ; Synergien: 25 Jahre Germanistik und DAAD an der Philosoph Konstantin-Universität Nitra, 25 [27.04.2017-28.04.2017, Nitra, Slovensko]. – [nemčina]. – [OV 020]. – [abstrakt z podujatia - KP] In: Synergien - 25 Jahre Germanistik und DAAD an der Philosoph Konstantin-Universität Nitra [textový dokument (print)] : Sammelband. Internationale wissenschaftliche Tagung / Krause, Daniel [Zostavovateľ, editor] ; Wrede, Oľga [Zostavovateľ, editor]. – 1. vyd. – Nitra (Slovensko) : Univerzita Konštantína Filozofa v Nitre, 2018. – ISBN 978-80-558-1305-9, s. 119-126 [tlačená forma] </t>
  </si>
  <si>
    <t xml:space="preserve">Link of the natural and human components of the geosphere in historical development as a motivation for the visit of Moravian Karst / Chalupa, Peter [Autor, 50%] ; Veselovský, Ján [Autor, UKFFPVKGR, 50%] ; Geografické aspekty stredoeurópskeho priestoru, 26 [10.10.2018-11.10.2018, Nitra, Slovensko]. – text. – [slovenčina]. – [OV 092]. – [článok z podujatia]. – [recenzované]. – DOI 10.17846/GI.2018.22.1.163-179. – WOS CC In: Geografické informácie [textový dokument (print)] [elektronický dokument] . – Nitra (Slovensko) : Univerzita Konštantína Filozofa v Nitre. – ISSN 1337-9453. – Roč. 22, č. 1 (2018), s. 163-179 [tlačená forma] [online] </t>
  </si>
  <si>
    <t xml:space="preserve">Literatúra a jej eticko - výchovné inšpirácie pre didaktickú prax / Magová, Lenka [Autor, UKFFFAKAE 06.2022, 100%] ; Kmeťová, Jarmila [Recenzent] ; Bírová, Jana [Recenzent] ; Inovatívne trendy v odborových didaktikách v kontexte požiadaviek praxe [13.11.2017-14.11.2017, Nitra, Slovensko]. – text. – [slovenčina]. – [OV 092]. – [abstrakt z podujatia - KP] In: Inovatívne trendy v odborových didaktikách v kontexte požiadaviek praxe [elektronický dokument] : zborník štúdií z medzinárodnej vedeckej konferencie / Duchovičová, Jana [Zostavovateľ, editor] ; Gunišová, Denisa [Zostavovateľ, editor] ; Kozárová, Nina [Zostavovateľ, editor] ; Koleňáková, Rebeka Štefánia [Zostavovateľ, editor]. – 1. vyd. – Nitra (Slovensko) : Univerzita Konštantína Filozofa v Nitre. Pedagogická fakulta UKF, 2018. – ISBN 978-80-558-1277-9, s. 217-224 [online] </t>
  </si>
  <si>
    <t xml:space="preserve">Literatúra v listoch - list v literatúre. List ako žánrový archetyp imaginatívnej literatúry (v antike a v súčasnosti) / Rédey, Zoltán [Autor, UKFFFAULK, 100%] ; Problémové aspekty výskumu metafory [24.11.2017, Trenčianske Teplice, Slovensko]. – text. – [slovenčina]. – [OV 020]. – [článok z podujatia]. – [recenzované] In: Philologia [textový dokument (print)] : časopis Ústavu filologických štúdií Pedagogickej fakulty Univerzity Komenského v Bratislave. – Bratislava (Slovensko) : Univerzita Komenského v Bratislave. Pedagogická fakulta UK. Ústav filologických štúdií. – ISSN 1339-2026. – Roč. 28, č. 1 (2018), s. 91-112 [tlačená forma] </t>
  </si>
  <si>
    <t xml:space="preserve">Livia Bitton-Jackson trilógiája és a transzkulturalizmus / Lombošová, Kornélia [Autor, UKFFSSUML, 100%] ; Szirák, Péter [Recenzent] ; Balázs, Imre József [Recenzent] ; Transzkulturalizmus és bilingvizmus az irodalomban, 1 [06.11.2017-07.11.2017, Nitra, Slovensko]. – text. – [angličtina]. – [OV 020]. – [abstrakt z podujatia - KP] In: Transzkulturalizmus és bilingvizmus az irodalomban [textový dokument (print)] / Németh, Zoltán [Zostavovateľ, editor] ; Roguska, Magdaléna [Zostavovateľ, editor]. – 1. vyd. – Nitra (Slovensko) : Univerzita Konštantína Filozofa v Nitre. Fakulta stredoeurópskych štúdií, 2018. – (Europica varietas ; 120). – ISBN 978-80-558-1295-3, s. 127-138 [tlačená forma] </t>
  </si>
  <si>
    <t xml:space="preserve">Ľudo Slovenský : inovatívny projekt digitalizácie a popularizácie slovenskej ľudovej piesne a slovesnosti / Ambrózová, Jana [Autor, UKFFFAKEF, 100%] ; Hlôšková, Hana [Recenzent] ; Luther, Daniel [Recenzent] ; Uchovávanie a sprístupňovanie tradičnej ľudovej kultúry v súčasnosti [09.06.2017, Bratislava, Slovensko]. – [slovenčina]. – [OV 030]. – [abstrakt z podujatia - KP] In: Uchovávanie a sprístupňovanie tradičnej ľudovej kultúry v súčasnosti [textový dokument (print)] / Záhumenská, Eva [Zostavovateľ, editor] ; Voľanská, Ľubica [Zostavovateľ, editor]. – 1. vyd. – Bratislava (Slovensko) : Centrum pre tradičnú ľudovú kultúru, 2018. – ISBN 978-80-970602-6-8, s. 98-109 [tlačená forma] </t>
  </si>
  <si>
    <t xml:space="preserve">Ľudová etymológia v slovenčine / Švecová, Natália [Autor, UKFFFASJL, 100%] ; Kolokvium mladých jazykovedcov, 29 [25.11.2020-27.11.2020, Trnava, Slovensko]. – text. – [slovenčina]. – [OV 020]. – [abstrakt z podujatia - KP] In: Varia 29 [elektronický dokument] : zborník príspevkov / Hladký, Juraj [Zostavovateľ, editor] ; Závodný, Andrej [Zostavovateľ, editor] ; Vitézová, Eva [Recenzent] ; Diweg-Pukanec, Martin [Recenzent]. – 1. vyd. – Trnava (Slovensko) : Trnavská univerzita v Trnave. Pedagogická fakulta, 2021. – ISBN (online) 978-80-568-0406-3. – TUTPFSJL signatúra E086726, s. 160-168 [online] </t>
  </si>
  <si>
    <t xml:space="preserve">Ľudová kultúra Nitrianskeho regiónu v umeleckom vzdelávaní / Hubinská, Zuzana [Autor, UKFPFAKHU, 100%] ; Ars et Educatio VI. [19.11.2019-20.11.2019, Ružomberok, Slovensko]. – text. – [slovenčina]. – [OV 010]. – [abstrakt z podujatia - KP] In: Ars et Educatio VI. [elektronický dokument] : CD-zborník vedeckých príspevkov / Procházková, Martina [Zostavovateľ, editor] ; Bednáriková, Janka [Recenzent] ; Jurčo, Milan [Recenzent]. – 1. vyd. – Ružomberok (Slovensko) : Katolícka univerzita v Ružomberku. VERBUM - vydavateľstvo KU, 2020. – ISBN 978-80-561-0769-0, s. 27-32 [CD-ROM] </t>
  </si>
  <si>
    <t xml:space="preserve">Manažmentové opatrenia hodnotných prírodných a kultúrnych lokalít na príklade mestskej časti Ružomberok – Vlkolínec = Management of valuable natural and cultural sites on the example of Ružomberok - Vlkolínec / Krajňáková, Ingrid [Autor, UKFFPVKEE, 100%] ; Študentská vedecká konferencia 2020, 6 [07.04.2020, Nitra, Slovensko]. – text. – [slovenčina]. – [OV 130, 100]. – [abstrakt z podujatia - KP] In: Študentská vedecká konferencia 2020 [elektronický dokument] : zborník recenzovaných príspevkov [zo zrušenej študentskej vedeckej konferencie s plánovaným termínom konania 7.4.2020 v Nitre] / Spišiak, Ján [Zostavovateľ, editor] ; Račáková, Slavka [Zostavovateľ, editor] ; Voštinár, Patrik [Recenzent] ; Melicherčík, Miroslav [Recenzent]. – 1. vyd. – Banská Bystrica (Slovensko) : Univerzita Mateja Bela v Banskej Bystrici ; Nitra (Slovensko) : Univerzita Konštantína Filozofa v Nitre, 2020. – ISBN 978-80-557-1733-3, s. 97-104 [online] </t>
  </si>
  <si>
    <t xml:space="preserve">Matematika je aj tam, kde ju vôbec nečakáme / Laššová, Katarína [Autor, UKFFPVKMA, 100%] ; Študentská vedecká konferencia 2020, 6 [07.04.2020, Nitra, Slovensko]. – text. – [slovenčina]. – [OV 160]. – [abstrakt z podujatia - KP] In: Študentská vedecká konferencia 2020 [elektronický dokument] : zborník recenzovaných príspevkov [zo zrušenej študentskej vedeckej konferencie s plánovaným termínom konania 7.4.2020 v Nitre] / Spišiak, Ján [Zostavovateľ, editor] ; Račáková, Slavka [Zostavovateľ, editor] ; Voštinár, Patrik [Recenzent] ; Melicherčík, Miroslav [Recenzent]. – 1. vyd. – Banská Bystrica (Slovensko) : Univerzita Mateja Bela v Banskej Bystrici ; Nitra (Slovensko) : Univerzita Konštantína Filozofa v Nitre, 2020. – ISBN 978-80-557-1733-3, s. 448-455 [online] </t>
  </si>
  <si>
    <t xml:space="preserve">Mathematics Trails in Initial Teachers' Education in Slovakia / Čeretková, Soňa [Autor, UKFFPVKMA, 50%] ; Bulková, Kristína [Autor, UKFFPVKMA, 50%] ; Aplimat 2020, 19 [04.02.2020-06.02.2020, Bratislava, Slovensko]. – text. – [angličtina]. – [OV 010]. – [abstrakt z podujatia - KP]. – SCO In: Aplimat 2020 [elektronický dokument] : 19th Conference on Applied Mathematics : proceeding / Szarková, Dagmar [Zostavovateľ, editor] ; Richtáriková, Daniela [Zostavovateľ, editor] ; Prášilová, Monika [Zostavovateľ, editor]. – 1 vyd. – Bratislava (Slovensko) : Spektrum STU , 2020. – ISBN 978-80-227-4983-1, s. 232-237 [USB kľúč] </t>
  </si>
  <si>
    <t xml:space="preserve">Media discourse on migration as reflected by political caricatures in V4 countries / Walotek Scianska, Katarzyna [Autor, 20%] ; Spálová, Lucia [Autor, UKFFFAKMR, 40%] ; Szabóová, Veronika [Autor, UKFFFAKMR, 40%] ; Marketing identity 2018 [06.11.2018-07.11.2018, Smolenice, Slovensko]. – text. – [angličtina]. – [OV 060]. – [abstrakt z podujatia - KP]. – [recenzované]. – WOS CC In: Marketing Identity [textový dokument (print)] : Digital Mirrors - part II. / Kusá, Alena [Zostavovateľ, editor] ; Zaušková, Anna [Zostavovateľ, editor] ; Rusňáková, Lenka [Zostavovateľ, editor]. – 1. vyd. – Trnava (Slovensko) : Univerzita sv. Cyrila a Metoda v Trnave. Fakulta masmediálnej komunikácie, 2018. – ISBN 978-80-8105-985-8. – ISSN 1339-5726, s. 254-264 [tlačená forma] </t>
  </si>
  <si>
    <t xml:space="preserve">Mediácia a jej vplyv na verejný obraz náboženstva / Skačan, Juraj [Autor, UKFFFAKFI, 100%] ; Megatrends and Media 2018, 13 [24.04.2018-25.04.2018, Smolenice, Slovensko]. – text. – [slovenčina]. – [OV 060]. – [abstrakt z podujatia - KP] In: Megatrendy a médiá 2018: Realita a mediálne bubliny [textový dokument (print)] [elektronický dokument] / Bučková, Zuzana [Zostavovateľ, editor] ; Rusňáková, Lenka [Zostavovateľ, editor] ; Rybanský, Rudolf [Zostavovateľ, editor] ; Solík, Martin [Zostavovateľ, editor] ; Mináriková, Juliána [Recenzent] ; Gajdka, Krzysztof [Recenzent]. – 1. vyd. – Trnava (Slovensko) : Univerzita sv. Cyrila a Metoda v Trnave. Fakulta masmediálnej komunikácie, 2018. – ISBN 978-80-8105-953-7, s. 351-363 [tlačená forma] [online] </t>
  </si>
  <si>
    <t xml:space="preserve">Medialitizácia náboženstva ako faktor subjektivizácie prístupu k náboženským pravdám u jednotlivca = Mediatization of Religion as Factor of Subjectivization  of Individual Aproach to Religion Rules / Skačan, Juraj [Autor, UKFFFAKFI, 100%] ; Javorská, Andrea [Recenzent] ; Jesenková, Adriana [Recenzent] ; Pravda. Teoretické a praktické kontexty [18.10.2017-20.10.2017, Smolenice, Slovensko]. – [slovenčina]. – [OV 020]. – [abstrakt z podujatia - KP] In: Pravda. Teoretické a praktické kontexty [textový dokument (print)] : zborník vedeckých príspevkov / Gáliková Tolnaiová, Sabína [Zostavovateľ, editor] ; Marchevský, Ondrej [Zostavovateľ, editor] ; Špirko, Dušan [Zostavovateľ, editor]. – 1. vyd. – Bratislava (Slovensko) : Slovenská akadémia vied. Pracoviská SAV. Slovenské filozofické združenie ; Prešov (Slovensko) : Prešovská univerzita v Prešove. Filozofická fakulta, 2018. – ISBN 978-80-973092-0-6. – SIGN-PU FF 93/18, s. 181-187 [tlačená forma] </t>
  </si>
  <si>
    <t xml:space="preserve">Mediálna gramotnosť žiakov 2. stupňa zš / Bielčiková, Kristína [Autor, UKFPFAKPE, 100%] ; EDUCA 16, 16 [29.04.2021, Nitra, Slovensko]. – text. – [slovenčina]. – [OV 010]. – [abstrakt z podujatia - KP] In: EDUCA 16 [textový dokument (print)] : edukácia - kľúč k úspechu. Zborník príspevkov z 16. vedeckej  konferencie doktorandov s medzinárodnou účasťou, Nitra 29. apríl 2021 / Teleková, Radka [Zostavovateľ, editor] ; Koricina, Michal [Zostavovateľ, editor] ; Petlák, Erich [Recenzent] ; Krystoň, Miroslav [Recenzent]. – 1. vyd. – Nitra (Slovensko) : Univerzita Konštantína Filozofa v Nitre, 2021. – ISBN 978-80-558-1811-5, s. 17-24 [tlačená forma] </t>
  </si>
  <si>
    <t xml:space="preserve">Mediálny diskurz o téme migrácie vo vyjadreniach ústavných činiteľov v SR vo vybraných mienkotvorných denníkoch a na Facebooku = Media Discourse on the Topic of Migration in the Statements of Constitutional Officials in the Slovak Republic in Selected Opinion-forming Daily Papers and on Facebook / Spálová, Lucia [Autor, UKFFFAKMR, 50%] ; Szabo, Peter [Autor, UKFFFAKMR, 50%] ; Jazyk a politika, 4 [20.06.2019, Bratislava, Slovensko]. – [slovenčina]. – [OV 020, 060]. – [abstrakt z podujatia - KP] In: Jazyk a politika: na pomedzí lingvistiky a politológie (4) [textový dokument (print)] : zborník príspevkov zo 4. ročníka medzinárodnej vedeckej konferencie / Štefančík, Radoslav [Zostavovateľ, editor] ; Seresová, Katarína [Recenzent] ; Lišková, Danuša [Recenzent]. – 1. vyd. – Bratislava (Slovensko) : Ekonomická univerzita v Bratislave. Celouniverzitné pracovisko EUBA. Vydavateľstvo EKONÓM, 2019. – ISBN 978-80-225-4641-6, s. 432-442 [tlačená forma] </t>
  </si>
  <si>
    <t xml:space="preserve">Mediálny diskurz témy migrácie vo vyjadreniach politických elít SR vo vybraných mienkotvorných denníkoch a na Facebooku / Spálová, Lucia [Autor, UKFFFAKMR, 50%] ; Szabo, Peter [Autor, UKFFFAKMR, 50%] ; Liďák, Ján [Recenzent] ; Zavrl, Irena [Recenzent] ; Jazyk a politika, 3 [21.06.2018, Bratislava, Slovensko]. – text. – [slovenčina]. – [OV 020]. – [abstrakt z podujatia - KP] In: Jazyk a politika [textový dokument (print)] : na pomedzí lingvistiky a politológie = between linguistics and political science / Štefančík, Radoslav [Zostavovateľ, editor]. – 1. vyd. – Roč. 3. – Bratislava (Slovensko) : Ekonomická univerzita v Bratislave. Celouniverzitné pracovisko EUBA. Vydavateľstvo EKONÓM, 2018. – ISBN 978-80-225-4528-0, s. 360-361 [tlačená forma] </t>
  </si>
  <si>
    <t xml:space="preserve">Medzi metafyzikou a pragmatizmom - revitalizácia kategórie/kategórií umenia v populárnej kultúre / Malíček, Juraj [Autor, UKFFFAULK, 100%] ; Otázky a problémy perspektív umenia, respektíve "koncov umenia" v estetických, umenovedných a filozofických teóriách [17.05.2019-19.05.2019, Štrbské Pleso, Slovensko]. – text. – [slovenčina]. – [OV 020]. – [abstrakt z podujatia - KP] In: Otázky a problémy perspektív umenia, respektíve "koncov umenia" v estetických, umenovedných a filozofických teóriách [textový dokument (print)] / Makky, Lukáš [Zostavovateľ, editor] ; Mitášová, Monika [Recenzent] ; Marchevský, Ondrej [Recenzent]. – 1. vyd. – Prešov (Slovensko) : Prešovská univerzita v Prešove. Filozofická fakulta, 2019. – (Studia Aesthetica ; XIX) (Opera Philosophica ; 19/2019). – ISBN 978-80-555-2313-2. – SIGN-PU FF-19 358/19, s. 173-179 [tlačená forma] </t>
  </si>
  <si>
    <t xml:space="preserve">Meranie difúzneho koeficientu expandovaného polystyrénu = Measurement of difusion coefcient of expanded polystyrene / Mánik, Marek [Autor, UKFFPVKFY, 100%] ; Študentská vedecká konferencia 2020, 6 [07.04.2020, Nitra, Slovensko]. – text. – [slovenčina]. – [OV 091]. – [abstrakt z podujatia - KP] In: Študentská vedecká konferencia 2020 [elektronický dokument] : zborník recenzovaných príspevkov [zo zrušenej študentskej vedeckej konferencie s plánovaným termínom konania 7.4.2020 v Nitre] / Spišiak, Ján [Zostavovateľ, editor] ; Račáková, Slavka [Zostavovateľ, editor] ; Voštinár, Patrik [Recenzent] ; Melicherčík, Miroslav [Recenzent]. – 1. vyd. – Banská Bystrica (Slovensko) : Univerzita Mateja Bela v Banskej Bystrici ; Nitra (Slovensko) : Univerzita Konštantína Filozofa v Nitre, 2020. – ISBN 978-80-557-1733-3, s. 321-324 [online] </t>
  </si>
  <si>
    <t xml:space="preserve">Mercator projection as a tool for development of interdisciplinary relations among physics, mathematics and geography / Vallo, Dušan [Autor, UKFFPVKMA, 34%] ; Valovičová, Ľubomíra [Autor, UKFFPVKFY, 33%] ; Kramáreková, Hilda [Autor, UKFFPVKGR, 33%] ; DIDFYZ 2019, 21 [09.10.2019-12.10.2019, Terchová, Slovensko]. – text. – [angličtina]. – [OV 091, 010, 092, 240]. – [abstrakt z podujatia - KP]. – DOI 10.1063/1.5124778. – SCO In: DIDFYZ 2019 [textový dokument (print)] [elektronický dokument] : Formation of the Natural Science Image of the World in the 21st Century / Valovičová, Ľubomíra [Zostavovateľ, editor] ; Ondruška, Ján [Zostavovateľ, editor] ; Zelenický, Ľubomír [Zostavovateľ, editor]. – 1. vyd. – Melville (USA) : American Institute of Physics . AIP Publishing, 2019. – (AIP Conference Proceedings, ISSN 0094-243X, ISSN 1551-7616 ; 2152, SJR: 0,19 ; CiteScore: 0,6 ; SNIP: 0,373). – ISBN 978-0-7354-1897-4, s. 1-12 [tlačená forma] [online] </t>
  </si>
  <si>
    <t xml:space="preserve">Metafora a súčasná (slovenská) lyrika / Rédey, Zoltán [Autor, UKFFFAULK, 100%] ; Problémové aspekty výskumu metafory [24.11.2017, Trenčianske Teplice, Slovensko]. – text. – [slovenčina]. – [OV 020]. – [článok z podujatia]. – [recenzované] In: Philologia [textový dokument (print)] : časopis Ústavu filologických štúdií Pedagogickej fakulty Univerzity Komenského v Bratislave. – Bratislava (Slovensko) : Univerzita Komenského v Bratislave. Pedagogická fakulta UK. Ústav filologických štúdií. – ISSN 1339-2026. – Roč. 28, č. 1 (2018), s. 21-42 [tlačená forma] </t>
  </si>
  <si>
    <t xml:space="preserve">Metóda CLIL v chémii / Máliková, Barbora [Autor, UKFFPVKCH, 100%] ; Študentská vedecká konferencia 2019, 3 [09.04.2019, Banská Bystrica, Slovensko]. – text. – [slovenčina]. – [OV 010, 120]. – [abstrakt z podujatia - KP] In: Študentská vedecká konferencia 2019 [elektronický dokument] : zborník recenzovaných príspevkov, Banská Bystrica 9. apríla 2019 / Francisti, Jan [Zostavovateľ, editor] ; Zverková, Katarína [Zostavovateľ, editor] ; Omelka, Radoslav [Zostavovateľ, editor]. – 1. vyd. – Nitra (Slovensko) : Univerzita Konštantína Filozofa v Nitre ; Banská Bystrica (Slovensko) : Univerzita Mateja Bela v Banskej Bystrici, 2019. – ISBN 978-80-558-1433-9, s. 430-435 [online] </t>
  </si>
  <si>
    <t xml:space="preserve">Metódy diagnostiky žiakov s poruchami učenia školským psychológom / Hlaváčová, Nikoleta [Autor, 50%] ; Gatial, Viktor [Autor, UKFPFAKAP, 50%] ; Študentská vedecká a odborná činnosť Katedry pedagogickej a školskej psychológie [13.05.2019, Nitra, Slovensko]. – text. – [slovenčina]. – [OV 060]. – [abstrakt z podujatia - KP] In: ŠVOČ KPŠP 2019 [Študentská vedecká a odborná činnosť Katedry pedagogickej a školskej psychológie] [elektronický dokument] : zborník príspevkov z 2. ročníka študentskej vedeckej a odbornej činnosti, konanej v Nitre 13.5.2019 / Verešová, Marcela [Zostavovateľ, editor] ; Gatial, Viktor [Zostavovateľ, editor] ; Tomšik, Robert [Zostavovateľ, editor] ; Pavelová, Ľuba [Recenzent] ; Juhásová, Andrea [Recenzent]. – 1. vyd. – Nitra (Slovensko) : Univerzita Konštantína Filozofa v Nitre, 2019. – ISBN 978-80-558-1444-5, s. 68-76 [CD-ROM] </t>
  </si>
  <si>
    <t xml:space="preserve">Miera interaktivity vo vývoji sociálnej komunikácie / Balážiová, Iveta [Autor, UKFFFAKMR, 100%] ; Fichnová, Katarína [Recenzent] ; Inštitorisová, Dagmar [Recenzent] ; Nové výzvy masmediálnej a marketingovej komunikácie, 7 [04.12.2017, Nitra, Slovensko]. – text. – [slovenčina]. – [OV 060]. – [abstrakt z podujatia - KP] In: Nové výzvy masmediálnej a marketingovej komunikácie 7 [elektronický dokument] : recenzovaný zborník príspevkov zo 7. ročníka vedecko - odborného seminára / Schlosserová, Zuzana [Zostavovateľ, editor] ; Balážiová, Iveta [Zostavovateľ, editor]. – 1. vyd. – Nitra (Slovensko) : Univerzita Konštantína Filozofa v Nitre, 2018. – ISBN 978-80-558-1315-8, s. 15-22 [CD-ROM] </t>
  </si>
  <si>
    <t xml:space="preserve">Miesto jazykovedy vo vývine slovenskej hispanistiky / Štúr, Martin [Autor, UKFFFAKRO, 100%] ; Minulosť a perspektívy hispanistiky na Slovensku [17.05.2019, Bratislava, Slovensko]. – [slovenčina]. – [OV 020]. – [abstrakt z podujatia - KP] In: Minulosť a perspektívy hispanistiky na Slovensku [textový dokument (print)] / Palkovičová, Eva [Zostavovateľ, editor] ; Sánchez Presa, Mónica [Zostavovateľ, editor] ; Lenghardtová, Jana [Recenzent] ; Truhlářová, Jana [Recenzent]. – 1. vyd. – Bratislava (Slovensko) : Univerzita Komenského v Bratislave, 2020. – ISBN 978-80-223-4881-2, s. 43-52 [tlačená forma] </t>
  </si>
  <si>
    <t xml:space="preserve">Miesto náboženstva v rodinách rozvedených a znovuzosobášených katolíkov / Lyko, Miroslav [Autor, UKFFFAKNS, 100%] ; Aktuálne trendy v religiozite na Slovensku [13.12.2018, Nitra, Slovensko]. – text. – [slovenčina]. – [OV 020]. – [abstrakt z podujatia - KP] In: Aktuálne trendy v religiozite na Slovensku [textový dokument (print)] : zborník príspevkov z vedeckého seminára, Ružomberok 13.12.2018 / Kondrla, Peter [Zostavovateľ, editor] ; Ďurková, Eva [Zostavovateľ, editor] ; Judák, Viliam [Recenzent] ; Šuráb, Marian [Recenzent]. – 1. vyd. – Nitra (Slovensko) : Univerzita Konštantína Filozofa v Nitre, 2019. – ISBN 978-80-558-1426-1, s. 165-171 [tlačená forma] </t>
  </si>
  <si>
    <t xml:space="preserve">Migrácia v 21. storoči (nepálska a európska skúsenosť) / Krno, Svetozár [Autor, UKFFFAKPO, 100%] ; Súčasné migrácie a ich reflexia v spoločenskom vedomí [22.09.2021-23.09.2021, Nitra, Slovensko]. – text. – [slovenčina]. – [OV 060]. – [abstrakt z podujatia - KP] In: Súčasné migrácie a ich reflexia v spoločenskom vedomí [textový dokument (print)] : zborník príspevkov z medzinárodnej vedeckej (online) konferencie v Nitre 22. - 23. septembra 2021 / Letavajová, Silvia [Zostavovateľ, editor] ; Čukan, Jaroslav [Recenzent] ; Lenč, Jozef [Recenzent] ; Hlinčíková, Miroslava [Recenzent]. – 1. vyd. – Nitra (Slovensko) : Univerzita Konštantína Filozofa v Nitre, 2021. – ISBN 978-80-558-1800-9, s. 296-304 [tlačená forma] </t>
  </si>
  <si>
    <t xml:space="preserve">Michel Houellebecq a kríza francúzskej identity / Žiak, Peter [Autor, UKFFFAKTR, 100%] ; Umenie, estetika, politika [24.10.2018-26.10.2018, Bratislava, Slovensko]. – text. – [slovenčina]. – [OV 020]. – [abstrakt z podujatia - KP] In: Umenie, estetika, politika [textový dokument (print)] : zborník príspevkov z medzinárodnej konferencie Umenie, estetika, politika 24. - 26. 10. 2018 konanej v Univerzitnej knižnici v Bratislave / Pašteková, Michaela [Zostavovateľ, editor] ; Brezňan, Peter [Zostavovateľ, editor] ; Ridzoňová-Ferenčuhová, Mária [Recenzent] ; Lipták, Michal [Recenzent]. – 1. vyd. – Roč. 2. – Bratislava (Slovensko) : Slovenská asociácia pre estetiku, 2019. – ISBN 978-80-972624-2-6, s. 305-313 [tlačená forma] </t>
  </si>
  <si>
    <t xml:space="preserve">Mikrokontroléry ako nástroj technického vzdelávania / Palaj, Miloš [Autor, UKFPFAKTT, 100%] ; Lukáčová, Danka [Recenzent] ; Depešová, Jana [Recenzent] ; Vzájomná informovanosť - cesta k efektívnemu rozvoju vedecko-pedagogickej činnosti [13.06.2018, Nitra, Slovensko]. – text. – [slovenčina]. – [OV 010]. – [abstrakt z podujatia - KP] In: Vzájomná informovanosť - cesta k efektívnemu rozvoju vedecko-pedagogickej činnosti : zborník z medzinárodnej konferencie / Bánesz, Gabriel [Zostavovateľ, editor]. – 1. vyd. – Nitra (Slovensko) : Univerzita Konštantína Filozofa v Nitre, 2018. – ISBN 978-80-558-1369-1, s. 42-46 [tlačená forma] </t>
  </si>
  <si>
    <t xml:space="preserve">Mincovníctvo Keltov na strednom Balkáne - mince Skordiskov v laténskych osadách na Slovensku / Kolníková, Eva [Autor, 60%] ; Tirpák, Ján [Autor, UKFFPVGMU, 40%] ; Zberateľstvo a jeho prínos pre rozvoj numizmatiky [09.06.2019, Banská Bystrica, Slovensko]. – text. – [slovenčina]. – [OV 030]. – [abstrakt z podujatia - KP] In: Numizmatika [textový dokument (print)] : Zberateľstvo a jeho prínos pre rozvoj numizmatiky. Zborník zo sympózia, Banská Bystrica 9. jún 2018 a zo sympózia s medzinárodnou účasťou Drobná plastika v kontexte vekov, ktoré sa konalo 24.11.2018 v Košiciach / [bez zostavovateľa] [Zostavovateľ, editor]. – 1. vyd. – Bratislava (Slovensko) : Slovenská akadémia vied, 2019. – ISBN 80-901414-0-4, s. 1-14 [tlačená forma] </t>
  </si>
  <si>
    <t xml:space="preserve">Mladí ľudia a subkultúry / Selická, Denisa [Autor, UKFFFAKSO, 100%] ; Vizualizácia sociálnej práce, 5 [22.05.2019, Sládkovičovo, Slovensko]. – text. – [slovenčina]. – [OV 060]. – [abstrakt z podujatia - KP] In: Vizualizácia sociálnej práce 5 [elektronický dokument] / Mareková, Hermína [Zostavovateľ, editor] ; Šebestová, Petronela [Zostavovateľ, editor] ; Spuchľák, Juraj [Recenzent] ; Šebesta, Matej [Recenzent]. – 1. vyd. – Sládkovičovo (Slovensko) : Vysoká škola Danubius, 2019. – ISBN 978-80-8167-069-5, s. 74-81 [CD-ROM] </t>
  </si>
  <si>
    <t xml:space="preserve">Model  viacúrovňového vládnutia  a spoločná  zahraničná  a bezpečnostná  politika EÚ = The Multi - Level Governance Model  and  t he EU Common Foreign and Security Policy / Brhlíková, Radoslava [Autor, UKFFFAKPO, 60%] ; Kočnerová, Mária [Autor, UKFFFAKPO, 40%] ; Ekonomické, politické a právne otázky medzinárodných vzťahov, 19 [17.09.2020, Bratislava, Slovensko]. – text. – [slovenčina]. – [OV 080]. – [abstrakt z podujatia - KP] In: Ekonomické, politické a právne otázky medzinárodných vzťahov 2020 [textový dokument (print)] [elektronický dokument] : zborník zmedzinárodnej  vedeckej konferencie konanej online, Bratislava dňa 17. 9. 2020 / Baleha, Andrianna [Zostavovateľ, editor] ; Beňová, Zuzana [Zostavovateľ, editor] ; Jančovič, Peter [Zostavovateľ, editor] ; Kajánek, Tomáš [Zostavovateľ, editor] ; Szabó, Jakub [Zostavovateľ, editor] ; Vlková, Eva [Zostavovateľ, editor] ; Baculáková, Kristína [Recenzent] ; Csányi, Peter [Recenzent]. – 1. vyd. – Bratislava (Slovensko) : Ekonomická univerzita v Bratislave. Celouniverzitné pracovisko EUBA. Vydavateľstvo EKONÓM, 2020. – ISBN 978-80-225-4728-4. – ISSN 2585-9404, s. 60-69 [online] [tlačená forma] </t>
  </si>
  <si>
    <t xml:space="preserve">Modeling of catacaustic curve in geogebra environment / Vallo, Dušan [Autor, UKFFPVKMA, 100%] ; Aplimat 2020, 19 [04.02.2020-06.02.2020, Bratislava, Slovensko]. – text. – [angličtina]. – [OV 240]. – [abstrakt z podujatia - KP]. – [recenzované]. – SCO In: Aplimat 2020 [elektronický dokument] : 19th Conference on Applied Mathematics : proceeding / Szarková, Dagmar [Zostavovateľ, editor] ; Richtáriková, Daniela [Zostavovateľ, editor] ; Prášilová, Monika [Zostavovateľ, editor]. – 1 vyd. – Bratislava (Slovensko) : Spektrum STU , 2020. – ISBN 978-80-227-4983-1, 1082-1088 [USB kľúč] </t>
  </si>
  <si>
    <t xml:space="preserve">Models of the Shopping Behavior of Residents of Urban Parts in the Trnava City / Trembošová, Miroslava [Autor, UKFFPVKGR, 90%] ; Máčajová, Marta [Autor, 5%] ; Močko, Matej [Autor, UKFFPVKEE, 5%] ; Geografické aspekty stredoeurópskeho priestoru, 26 [10.10.2018-11.10.2018, Nitra, Slovensko]. – text. – [angličtina]. – [OV 092]. – [článok z podujatia]. – [recenzované]. – WOS CC In: Geografické informácie [textový dokument (print)] [elektronický dokument] . – Nitra (Slovensko) : Univerzita Konštantína Filozofa v Nitre. – ISSN 1337-9453. – Roč. 22, č. 2 (2018), s. 299-314 [tlačená forma] [online] </t>
  </si>
  <si>
    <t xml:space="preserve">Modely transfigurácie v animovanej rozprávke Karla Zemana Čarodejníkov učeň / Danišová, Nikola [Autor, UKFFFAULK, 100%] ; Pokorný, Milan [Recenzent] ; Žilka, Tibor [Recenzent] ; Česká literatúra a film, 5 [17.10.2017, Nitra, Slovensko]. – [slovenčina]. – [OV 020]. – [abstrakt z podujatia - KP] In: Česká literatúra a film 5 [textový dokument (print)] : zborník štúdií z medzinárodnej vedeckej konferencie, konanej 17. októbra 2017 na FSŠ v Nitre / Timko, Štefan [Zostavovateľ, editor]. – 1. vyd. – Nitra (Slovensko) : Univerzita Konštantína Filozofa v Nitre, 2018. – ISBN 978-80-558-1303-5, s. 20-33 [tlačená forma] </t>
  </si>
  <si>
    <t xml:space="preserve">Modulácia zápalových procesov u myší intoxikovaných xylénom po aplikácii ľanového semena = Modulation of inflammatory processes in xylene intoxicated mice after flaxseed application / Andrejčáková, Zuzana [Autor, UVLFKBF, 30%] ; Vlčková, Radoslava [Autor, UVLFKBF, 20%] ; Sopková, Drahomíra [Autor, UVLFKBF, 20%] ; Petrilla, Vladimír [Autor, UVLFKBF, 10%] ; Polláková, Magdaléna [Autor, UVLFKAHF, 10%] ; Sirotkin, Alexander [Autor, UKFFPVKZA, 10%] ; Košický morfologický deň, 24 [04.06.2021, Košice, Slovensko]. – [slovenčina]. – [OV 200, 130]. – [abstrakt z podujatia - KP] In: 24. Košický morfologický deň [elektronický dokument] : enviromentálna záťaž a jej vplyv na zdravie ľudí a zvierat : zborník vedeckých prác / Holovská, Katarína [Zostavovateľ, editor] ; Almášiová, Viera [Recenzent] ; Petrovová, Eva [Recenzent]. – 1. vyd. – Košice (Slovensko) : Univerzita veterinárskeho lekárstva a farmácie v Košiciach, 2021. – ISBN 978-80-8077-705-0, s. 23-26 [online] [CD-ROM] </t>
  </si>
  <si>
    <t xml:space="preserve">Morfosyntaktická analýza strojového prekladu / Pavlová, Renáta [Autor, UKFFFAJZC, 100%] ; Cudzie jazyky v premenách času, 9 [09.11.2018, Bratislava, Slovensko]. – text. – [slovenčina]. – [OV 020]. – [abstrakt z podujatia - KP] In: Cudzie jazyky v premenách času 8 [elektronický dokument] : recenzovaný zborník príspevkov z medzinárodnej vedeckej konferencie, Bratislava 10. november 2017 / Kvapil, Roman [Zostavovateľ, editor] ; Šajgalíková, Helena [Recenzent] ; Spišiaková, Mária [Recenzent]. – 1. vyd. – Roč. 8. – Bratislava (Slovensko) : Ekonomická univerzita v Bratislave. Celouniverzitné pracovisko EUBA. Vydavateľstvo EKONÓM, 2018. – ISBN 978-80-225-4492-4, s. 31-33 [CD-ROM] </t>
  </si>
  <si>
    <t xml:space="preserve">Morphosyntaktische Analyse der Maschinelen Übersetzung = Morfo-syntaktická analýza strojového prekladu / Machová, Renáta [Autor, UKFFFAJZC, 100%] ; Cudzie jazyky v premenách času, 9 [09.11.2018, Bratislava, Slovensko]. – text. – [nemčina]. – [OV 020]. – [abstrakt z podujatia - KP] In: Cudzie jazyky v premenách času 9 [elektronický dokument] : recenzovaný zborník príspevkov z medzinárodnej vedeckej konferencie = reviewed conference proceedings from an international scientific conference / Kvapil, Roman [Zostavovateľ, editor] ; Štefančík, Radoslav [Recenzent] ; Šajgalíková, Helena [Recenzent]. – 1. vyd. – Roč. 9. – Bratislava (Slovensko) : Ekonomická univerzita v Bratislave. Celouniverzitné pracovisko EUBA. Vydavateľstvo EKONÓM, 2019. – ISBN 978-80-225-4614-0, s. 520-529 [CD-ROM] </t>
  </si>
  <si>
    <t xml:space="preserve">Motor development of Slovak and Hungarian 6-7-year old pupils in the aspect of degree of obesity (first phase of a longitudinal study)kó / Molnár, Andor H. [Autor, 5.565%] ; Šimonek, Jaromír [Autor, UKFPFAKTV, 5.555%] ; Halmová, Nora [Autor, UKFPFAKTV, 5.555%] ; Boros-Bálint, Iuliana [Autor, 5.555%] ; Deak, Gratiela Flavia [Autor, 5.555%] ; Ardelean, Viorel Petru [Autor, 5.555%] ; Andrei, Vasile Liviu [Autor, 5.555%] ; Nagy, Ágnes Virág [Autor, 5.555%] ; Vári, Beáta [Autor, 5.555%] ; Orbán, Kornélia [Autor, 5.555%] ; Fintor, Csaba [Autor, 5.555%] ; Ocskó, Tímea [Autor, 5.555%] ; Szász, Róbert [Autor, 5.555%] ; Olajos, Géza [Autor, 5.555%] ; Györi, Ferenc [Autor, 5.555%] ; Alattyányi, István [Autor, 5.555%] ; Csetreki, Rita [Autor, 5.555%] ; Dobay, Beáta [Autor, UJSPFKTVŠ, 5.555%] ; Sport science in motion [05.09.2019-07.09.2019, Komárno, Slovensko]. – text. – [slovenčina, angličtina]. – [OV 210, 010]. – [abstrakt z podujatia - KP] In: Sport science in motion [elektronický dokument] : proceedings from the scientific conference, Komárno, September 5th – 7th, 2019 = zborník vedeckých a odborných prác z vedeckej konferencie = válogatott tanulmánykötet – válogatott tanulmányok a tudományos konferenciáról / Šimonek, Jaromír [Zostavovateľ, editor] ; Dobay, Beáta [Zostavovateľ, editor] ; Chovanová, Erika [Recenzent] ; Vojtaško, Ľuboš [Recenzent] ; Holienka, Miroslav [Recenzent]. – 1. vyd. – Komárno (Slovensko) : Univerzita J. Selyeho, 2019. – ISBN 978-80-8122-304-4, s. 68-76 [CD-ROM] </t>
  </si>
  <si>
    <t xml:space="preserve">Možnosti a vybrané postupy identifikácie ohrozenia pôdy vodnou eróziou = Options and Selected Methods of Identification of Soil Risk By Water Erosion / Petlušová, Viera [Autor, UKFFPVKEE, 25%] ; Petluš, Peter [Autor, UKFFPVKEE, 25%] ; Tobiašová, Erika [Autor, SPUFAP07, 25%] ; Hreško, Juraj [Autor, UKFFPVKEE, 25%] ; Geografické aspekty stredoeurópskeho priestoru, 26 [10.10.2018-11.10.2018, Nitra, Slovensko]. – text. – [angličtina]. – [OV 100, 190, 092]. – [článok z podujatia]. – [recenzované]. – DOI 10.17846/GI.2018.22.1.403-419. – WOS CC In: Geografické informácie [textový dokument (print)] [elektronický dokument] . – Nitra (Slovensko) : Univerzita Konštantína Filozofa v Nitre. – ISSN 1337-9453. – Roč. 22, č. 1 (2018), s. 403-419 [tlačená forma] [online] </t>
  </si>
  <si>
    <t xml:space="preserve">Možnosti edukácie pre ťažko zdravotne postihnuté deti / Selická, Denisa [Autor, UKFFFAKSO, 100%] ; Vizualizácia sociálnej práce, 5 [22.05.2019, Sládkovičovo, Slovensko]. – text. – [slovenčina]. – [OV 060]. – [abstrakt z podujatia - KP] In: Vizualizácia sociálnej práce 5 [elektronický dokument] / Mareková, Hermína [Zostavovateľ, editor] ; Šebestová, Petronela [Zostavovateľ, editor] ; Spuchľák, Juraj [Recenzent] ; Šebesta, Matej [Recenzent]. – 1. vyd. – Sládkovičovo (Slovensko) : Vysoká škola Danubius, 2019. – ISBN 978-80-8167-069-5, s. 91-100 [CD-ROM] </t>
  </si>
  <si>
    <t xml:space="preserve">Možnosti rozšírenej reality v kombinácií s geolokačnými hrami / Fodor, Kristián [Autor, UKFFPVKIN, 100%] ; Študentská vedecká konferencia 2020, 6 [07.04.2020, Nitra, Slovensko]. – text. – [slovenčina]. – [OV 160]. – [abstrakt z podujatia - KP] In: Študentská vedecká konferencia 2020 [elektronický dokument] : zborník recenzovaných príspevkov [zo zrušenej študentskej vedeckej konferencie s plánovaným termínom konania 7.4.2020 v Nitre] / Spišiak, Ján [Zostavovateľ, editor] ; Račáková, Slavka [Zostavovateľ, editor] ; Voštinár, Patrik [Recenzent] ; Melicherčík, Miroslav [Recenzent]. – 1. vyd. – Banská Bystrica (Slovensko) : Univerzita Mateja Bela v Banskej Bystrici ; Nitra (Slovensko) : Univerzita Konštantína Filozofa v Nitre, 2020. – ISBN 978-80-557-1733-3, s. 231-236 [online] </t>
  </si>
  <si>
    <t xml:space="preserve">Možnosti rozvoja kritického myslenia s ohľadom na individuálne preferencie učenia sa žiakov / Kozárová, Nina [Autor, UKFPFAKPE, 50%] ; Gunišová, Denisa [Autor, UKFPFAKPE, 50%] ; Inovatívne trendy v odborových didaktikách [21.11.2018, Nitra, Slovensko]. – text. – [slovenčina]. – [OV 010]. – [abstrakt z podujatia - KP] In: Inovatívne trendy v odborových didaktikách [textový dokument (print)] : prepojenie teórie a praxe výučbových stratégií kritického a tvorivého myslenia : zborník štúdií z medzinárodnej vedeckej konferencie, Nitra 21. november 2018 / Duchovičová, Jana [Zostavovateľ, editor] ; Hošová, Dominika [Zostavovateľ, editor] ; Koleňáková, Rebeka Štefánia [Zostavovateľ, editor] ; Bílek, Martin [Recenzent] ; Komora, Juraj [Recenzent]. – 1. vyd. – Nitra (Slovensko) : Univerzita Konštantína Filozofa v Nitre, 2019. – ISBN 978-80-558-1408-7, s. 82-89 [tlačená forma] </t>
  </si>
  <si>
    <t xml:space="preserve">Možnosti rozvoja tvorivosti a kritického myslenia vo vyučovaní biológie / Sandanusová, Anna [Autor, UKFFPVKZA, 33.334%] ; Schlarmannová, Janka [Autor, UKFFPVKZA, 33.333%] ; Matejovičová, Barbora [Autor, UKFFPVKZA, 33.333%] ; Inovatívne trendy v odborových didaktikách [21.11.2018, Nitra, Slovensko]. – text. – [slovenčina]. – [OV 010]. – [abstrakt z podujatia - KP] In: Inovatívne trendy v odborových didaktikách [textový dokument (print)] : prepojenie teórie a praxe výučbových stratégií kritického a tvorivého myslenia : zborník štúdií z medzinárodnej vedeckej konferencie, Nitra 21. november 2018 / Duchovičová, Jana [Zostavovateľ, editor] ; Hošová, Dominika [Zostavovateľ, editor] ; Koleňáková, Rebeka Štefánia [Zostavovateľ, editor] ; Bílek, Martin [Recenzent] ; Komora, Juraj [Recenzent]. – 1. vyd. – Nitra (Slovensko) : Univerzita Konštantína Filozofa v Nitre, 2019. – ISBN 978-80-558-1408-7, s. 167-176 [tlačená forma] </t>
  </si>
  <si>
    <t xml:space="preserve">Možnosti silovo-vytrvalostnej prípravy v boxe / Šiška, Ľuboslav [Autor, UKFPFAKTV, 25%] ; Kováčová, Natália [Autor, UKFPFAKTV, 25%] ; Pecho, Juraj [Autor, 25%] ; Šutka, Vladimír [Autor, UKFPFAKTV, 25%] ; Pupiš, Martin [Recenzent] ; Šutka, Vladimír [Recenzent] ; Atletika 2018 [29.11.2018, Nitra, Slovensko]. – text. – [slovenčina]. – [OV 210]. – [abstrakt z podujatia - KP]. – SIGN-UKO TV In: Atletika 2018 [textový dokument (print)] : zborník z medzinárodnej vedeckej konferencie v Nitre 29.11.2018 / Broďáni, Jaroslav [Zostavovateľ, editor]. – 1. vyd. – Nitra (Slovensko) : Univerzita Konštantína Filozofa v Nitre, 2018. – ISBN 978-80-558-1356-1, s. 143-152 [tlačená forma] </t>
  </si>
  <si>
    <t xml:space="preserve">Možnosti využitia Minecraft: Education Edition vo vzdelávaní / Šajben, Jakub [Autor, UKFFPVKIN, 100%] ; Študentská vedecká konferencia 2020, 6 [07.04.2020, Nitra, Slovensko]. – text. – [slovenčina]. – [OV 160]. – [abstrakt z podujatia - KP] In: Študentská vedecká konferencia 2020 [elektronický dokument] : zborník recenzovaných príspevkov [zo zrušenej študentskej vedeckej konferencie s plánovaným termínom konania 7.4.2020 v Nitre] / Spišiak, Ján [Zostavovateľ, editor] ; Račáková, Slavka [Zostavovateľ, editor] ; Voštinár, Patrik [Recenzent] ; Melicherčík, Miroslav [Recenzent]. – 1. vyd. – Banská Bystrica (Slovensko) : Univerzita Mateja Bela v Banskej Bystrici ; Nitra (Slovensko) : Univerzita Konštantína Filozofa v Nitre, 2020. – ISBN 978-80-557-1733-3, s. 448-455 [online] </t>
  </si>
  <si>
    <t xml:space="preserve">Možnosti využitia MS Excelu v práci pedagóga = The possibilities of MS Excel usage in the work of teachers / Pšenák, Péter [Autor, UKOMAKFE, 34%] ; Szabó, Tibor [Autor, UKFFSSUVP, 33%] ; Pšenáková, Ildikó [Autor, TUTPFKMI, 33%] ; DIDMATTECH 2019, 32 [20.06.2019-21.06.2019, Trnava, Slovensko]. – text. – [angličtina]. – [OV 010, 080]. – [abstrakt z podujatia - KP]. – [recenzované]. – TUTPFKMI signatúra E078340 In: 32 DIDMATTECH 2019 [textový dokument (print)] [elektronický dokument] : New methods and technologies in education, Research and practice : International Scientific and Professional Conference Trnava, 20th – 21st June 2019 : proceedings / Stoffová, Veronika [Zostavovateľ, editor] ; Horváth, Roman [Zostavovateľ, editor]. – 1. vyd. – Trnava (Slovensko) : Trnavská univerzita v Trnave, 2019. – ISBN 978-80-568-0357-8. – ISBN (online) 978-80-568-0398-1. – TUTPFKMI signatúra E078334, s. 1-7 [tlačená forma] [online] </t>
  </si>
  <si>
    <t xml:space="preserve">Možnosti využitia zážitkovej pedagogiky v práci učiteľa / Pavličková, Alexandra [Autor, UKFPFAKPE, 100%] ; Kmeťová, Jarmila [Recenzent] ; Bírová, Jana [Recenzent] ; Inovatívne trendy v odborových didaktikách v kontexte požiadaviek praxe [13.11.2017-14.11.2017, Nitra, Slovensko]. – text. – [slovenčina]. – [OV 010]. – [abstrakt z podujatia - KP] In: Inovatívne trendy v odborových didaktikách v kontexte požiadaviek praxe [elektronický dokument] : zborník štúdií z medzinárodnej vedeckej konferencie / Duchovičová, Jana [Zostavovateľ, editor] ; Gunišová, Denisa [Zostavovateľ, editor] ; Kozárová, Nina [Zostavovateľ, editor] ; Koleňáková, Rebeka Štefánia [Zostavovateľ, editor]. – 1. vyd. – Nitra (Slovensko) : Univerzita Konštantína Filozofa v Nitre. Pedagogická fakulta UKF, 2018. – ISBN 978-80-558-1277-9, s. 474-481 [online] </t>
  </si>
  <si>
    <t xml:space="preserve">Multimediálna podpora technického vzdelávania = Technical education suported by the multimedia / Kostolanský, Lukáš [Autor, UKFPFAKTT, 50%] ; Depešová, Jana [Autor, UKFPFAKTT, 50%] ; Študentská vedecká konferencia 2018 [21.03.2018, Nitra, Slovensko]. – text. – [slovenčina]. – [OV 010]. – [abstrakt z podujatia - KP] In: Študentská vedecká konferencia 2018 [textový dokument (print)] : zborník recenzovaných príspevkov z konferencie v Nitre 21. 03.2018 / Siládi, Vladimir [Zostavovateľ, editor] ; Račáková, Slavka [Zostavovateľ, editor] ; Voštinár, Patrik [Recenzent] ; Trajteľ, Ľudovít [Recenzent] ; Suchý, Jozef [Recenzent] ; Vagač, Michal [Recenzent] ; Melicherčík, Miroslav [Recenzent]. – 1. vyd. – 2018 (Slovensko) : Univerzita Konštantína Filozofa v Nitre, 2018. – ISBN 978-80-557-1415-8, s. 470-477 [tlačená forma] </t>
  </si>
  <si>
    <t xml:space="preserve">Music technologies and perspective of systematic  education of sound creation = Hudobné technológie a perspektíva systematickej edukácie zvukovej tvorby / Jarabica, Michal [Autor, UKFPFAKHU, 100%] ; Horizonty umenia, 8 [10.09.2021-15.09.2021, Banská Bystrica, Slovensko]. – text. – [slovenčina]. – [OV 010]. – [abstrakt z podujatia - KP] In: Horizonty umenia 8 [textový dokument (print)] : Zborník príspevkov z medzinárodnej vedeckej webovej konferencie 10.9.2021-15.9.2021 / Strenáčiková, Mária [Zostavovateľ, editor] ; Kolodziejski, Maciej [Recenzent] ; Dushnyi, Andrij [Recenzent] ; Janek, Marián [Recenzent]. – 1. vyd. – Roč. 8. – Banská Bystrica (Slovensko) : Akadémia umení. Fakulta múzických umení, 2021. – ISBN 978-80-8206-049-5, s. 77-82 [tlačená forma] </t>
  </si>
  <si>
    <t xml:space="preserve">Myslenie a konanie u Hannah Arendtovej / Javorská, Andrea [Autor, UKFFFAKFI, 100%] ; Intuícia a imaginácia vo filozofii a vede [10.10.2018-12.10.2018, Stará Lesná, Slovensko]. – text. – [slovenčina]. – [OV 020]. – [abstrakt z podujatia - KP] In: Intuícia a imaginácia vo filozofii a vede [textový dokument (print)] / Javorská, Andrea [Zostavovateľ, editor] ; Kyslan, Peter [Zostavovateľ, editor] ; Szapuová, Mariana [Recenzent] ; Sivák, Jozef [Recenzent]. – 1. vyd. – Bratislava (Slovensko) : Slovenská akadémia vied, 2019. – ISBN 978-80-973092-3-7. – SIGN-PU FF-20 852/19, s. 167-176 [tlačená forma] </t>
  </si>
  <si>
    <t xml:space="preserve">Mystik v McDonalde - konštituovanie popkultúry z umení v kontextoch pragmatizmu a neopragmatizmu / Malíček, Juraj [Autor, UKFFFAULK, 100%] ; Boszorád, Martin [Recenzent] ; Migašová, Jana [Recenzent] ; Pragmatické dimenzie umenia a estetiky [19.09.2017-21.09.2017, Bratislava, Slovensko]. – text. – [slovenčina]. – [OV 020]. – [abstrakt z podujatia - KP] In: Pragmatické dimenzie umenia a estetiky [textový dokument (print)] : zborník príspevkov z medzinárodnej konferencie Pragmatické dimenzie umenia a estetiky, ktorá sa konala v dňoch 19. až 21. septembra 2017 / Pašteková, Michaela [Zostavovateľ, editor] ; Debnár, Marek [Zostavovateľ, editor]. – 1. vyd. – Bratislava (Slovensko) : Slovenská asociácia pre estetiku, 2018. – ISBN 978-80-972624-1-9, s. 253-262 [tlačená forma] </t>
  </si>
  <si>
    <t xml:space="preserve">Na plti umenia v záplave estetična: estetika pomalosti verzus hyperestetika : (empatická kontemplácia ako nová výzva estetickej skúsenosti?) / Pariláková, Eva [Autor, UKFFFAULK, 100%] ; Boszorád, Martin [Recenzent] ; Migašová, Jana [Recenzent] ; Pragmatické dimenzie umenia a estetiky [19.09.2017-21.09.2017, Bratislava, Slovensko]. – text. – [slovenčina]. – [OV 020]. – [abstrakt z podujatia - KP] In: Pragmatické dimenzie umenia a estetiky [textový dokument (print)] : zborník príspevkov z medzinárodnej konferencie Pragmatické dimenzie umenia a estetiky, ktorá sa konala v dňoch 19. až 21. septembra 2017 / Pašteková, Michaela [Zostavovateľ, editor] ; Debnár, Marek [Zostavovateľ, editor]. – 1. vyd. – Bratislava (Slovensko) : Slovenská asociácia pre estetiku, 2018. – ISBN 978-80-972624-1-9, s. 181-191 [tlačená forma] </t>
  </si>
  <si>
    <t xml:space="preserve">Náboženské skúsenosti mládeže v procese premien / Štefaňak, Ondrej [Autor, UKFFFAKSO, 100%] ; Religiozita, spiritualita a alternatívne náboženské hnutia [27.11.2019, Nitra, Slovensko]. – text. – [slovenčina]. – [OV 020]. – [abstrakt z podujatia - KP] In: Religiozita, spiritualita a alternatívne náboženské hnutia [textový dokument (print)] : zborník z medzinárodnej vedeckej konferencie, konanej v Nitre dňa 27. novembra 2019,  organizovanej ako súčasť riešenia grantového projektu APVV 17-0158 Perspektívy vývoja súčasnej religiozity na Slovensku / Kondrla, Peter [Zostavovateľ, editor] ; Šuráb, Marian [Recenzent] ; Hlad, Ľubomír [Recenzent]. – 1. vyd. – Nitra (Slovensko) : Univerzita Konštantína Filozofa v Nitre, 2020. – ISBN 978-80-558-1595-4, s. 65-79 [tlačená forma] </t>
  </si>
  <si>
    <t xml:space="preserve">Náčrt metodického postupu morfodynamickej klasifikácie mikropovodí plies – Vysoké Tatry = Outline of the methodical procedure as a base of morphodynamic classification of the catchment tarns - High Tatra Mts. / Čajková, Silvia [Autor, UKFFPVKEE, 100%] ; Študentská vedecká konferencia 2021 [14.04.2021, Nitra, Banská Bystrica, Slovensko]. – text. – [slovenčina]. – [OV 100]. – [abstrakt z podujatia - KP] In: Študentská vedecká konferencia 2021 Fakulty prírodných vied Univerzity Konštantína Filozofa v Nitre a Fakulty prírodných vied Univerzity Mateja Bela v Banskej Bystrici [textový dokument (print)] : zborník recenzovaných príspevkov / Francisti, Jan [Zostavovateľ, editor] ; Fodor, Kristián [Zostavovateľ, editor]. – 1. vyd. – Nitra (Slovensko) : Univerzita Konštantína Filozofa v Nitre ; Banská Bystrica (Slovensko) : Univerzita Mateja Bela v Banskej Bystrici, 2021. – (Prírodovedec ; 756). – ISBN 978-80-558-1712-5, s. 37-44 [tlačená forma] </t>
  </si>
  <si>
    <t xml:space="preserve">Námety na aplikáciu medzipredmetových vzťahov v biológií človeka / Baksová, Kristína [Autor, 20%] ; Sandanusová, Anna [Autor, UKFFPVKZA, 80%] ; Kmeťová, Jarmila [Recenzent] ; Bírová, Jana [Recenzent] ; Inovatívne trendy v odborových didaktikách v kontexte požiadaviek praxe [13.11.2017-14.11.2017, Nitra, Slovensko]. – text. – [slovenčina]. – [OV 010]. – [abstrakt z podujatia - KP] In: Inovatívne trendy v odborových didaktikách v kontexte požiadaviek praxe [elektronický dokument] : zborník štúdií z medzinárodnej vedeckej konferencie / Duchovičová, Jana [Zostavovateľ, editor] ; Gunišová, Denisa [Zostavovateľ, editor] ; Kozárová, Nina [Zostavovateľ, editor] ; Koleňáková, Rebeka Štefánia [Zostavovateľ, editor]. – 1. vyd. – Nitra (Slovensko) : Univerzita Konštantína Filozofa v Nitre. Pedagogická fakulta UKF, 2018. – ISBN 978-80-558-1277-9, s. 106-110 [online] </t>
  </si>
  <si>
    <t xml:space="preserve">Námety na rozvoj kritického myslenia na hodinách biológie / Sandanusová, Anna [Autor, UKFFPVKZA, 100%] ; Didaktické a environmentální aspekty  v přípravě učitelů přírodovědných, zemědělských a příbuzných oborů, 15 [19.03.2020-21.03.2020, Tatranská Štrba, Slovensko]. – text. – [slovenčina]. – [OV 010, 130]. – [abstrakt z podujatia - KP] In: Didaktické a environmentální aspekty v přípravě učitelů přírodovědných, zemědělských a příbuzných oborů [textový dokument (print)] : sborník statí z 15. ročníku konference EDUCO / Dytrtová, Radmila [Zostavovateľ, editor] ; Jordánová, Barbora [Zostavovateľ, editor] ; Málková, Jitka [Recenzent] ; Sandanusová, Anna [Recenzent]. – 1. vyd. – Praha (Česko) : Česká zemědelská univerzita v Praze, 2020. – ISBN 978-80-213-3039-9, s. 40-46 [tlačená forma] </t>
  </si>
  <si>
    <t xml:space="preserve">Námety na rozvoj tvorivosti a kritického myslenia v biológii / Sandanusová, Anna [Autor, UKFFPVKZA, 34%] ; Schlarmannová, Janka [Autor, UKFFPVKZA, 33%] ; Matejovičová, Barbora [Autor, UKFFPVKZA, 33%] ; Kmeťová, Jarmila [Recenzent] ; Bírová, Jana [Recenzent] ; Inovatívne trendy v odborových didaktikách v kontexte požiadaviek praxe [13.11.2017-14.11.2017, Nitra, Slovensko]. – text. – [slovenčina]. – [OV 010]. – [abstrakt z podujatia - KP] In: Inovatívne trendy v odborových didaktikách v kontexte požiadaviek praxe [elektronický dokument] : zborník štúdií z medzinárodnej vedeckej konferencie / Duchovičová, Jana [Zostavovateľ, editor] ; Gunišová, Denisa [Zostavovateľ, editor] ; Kozárová, Nina [Zostavovateľ, editor] ; Koleňáková, Rebeka Štefánia [Zostavovateľ, editor]. – 1. vyd. – Nitra (Slovensko) : Univerzita Konštantína Filozofa v Nitre. Pedagogická fakulta UKF, 2018. – ISBN 978-80-558-1277-9, s. 93-97 [online] </t>
  </si>
  <si>
    <t xml:space="preserve">Námety na školský chemický experiment v environmentálnej výchove / Jenisová, Zita [Autor, UKFFPVKCH, 100%] ; Petluš, Peter [Recenzent] ; Mišovičová, Regína [Recenzent] ; Environmentálna výchova, vzdelávanie a osveta v Slovenskej republike [30.01.2018-31.01.2018, Nitra, Slovensko]. – text. – [slovenčina]. – [OV 100]. – [abstrakt z podujatia - KP] In: Environmentálna výchova, vzdelávanie a osveta v Slovenskej republike [textový dokument (print)] : zborník príspevkov z národnej konferencie / Nozdrovická, Jana [Zostavovateľ, editor] ; Petlušová, Viera [Zostavovateľ, editor]. – 1. vyd. – Nitra (Slovensko) : Univerzita Konštantína Filozofa v Nitre, 2018. – ISBN 978-80-558-1261-8, s. 103-110 [tlačená forma] </t>
  </si>
  <si>
    <t xml:space="preserve">Námety na tvorivé vyučovanie matematiky / Čeretková, Soňa [Autor, UKFFPVKMA, 50%] ; Bulková, Kristína [Autor, UKFFPVKMA, 50%] ; Kmeťová, Jarmila [Recenzent] ; Bírová, Jana [Recenzent] ; Inovatívne trendy v odborových didaktikách v kontexte požiadaviek praxe [13.11.2017-14.11.2017, Nitra, Slovensko]. – text. – [slovenčina]. – [OV 010]. – [abstrakt z podujatia - KP] In: Inovatívne trendy v odborových didaktikách v kontexte požiadaviek praxe [elektronický dokument] : zborník štúdií z medzinárodnej vedeckej konferencie / Duchovičová, Jana [Zostavovateľ, editor] ; Gunišová, Denisa [Zostavovateľ, editor] ; Kozárová, Nina [Zostavovateľ, editor] ; Koleňáková, Rebeka Štefánia [Zostavovateľ, editor]. – 1. vyd. – Nitra (Slovensko) : Univerzita Konštantína Filozofa v Nitre. Pedagogická fakulta UKF, 2018. – ISBN 978-80-558-1277-9, s. 547-552 [online] </t>
  </si>
  <si>
    <t xml:space="preserve">Názory profesionálnych rodičov a zamestnancov detských domovov na organizačné zabezpečenie profesionálneho rodičovstva / Gažiková, Elena [Autor, UKFFSVKSP, 100%] ; Gabura, Ján [Recenzent] ; Mojtová, Martina [Recenzent] ; Labor socialis - "Sociálna práca- profesia s perspektívou, profesia s poslaním" [20.09.2018, Nitra, Slovensko]. – text. – [slovenčina]. – [OV 060]. – [abstrakt z podujatia - KP] In: Labor socialis - "Sociálna práca- profesia s perspektívou, profesia s poslaním" [elektronický dokument] : recenzovaný zborník príspevkov z vedeckej konferencie s medzinárodnou účasťou, ktorá sa uskutočnila na Univerzite Konštantína Filozofa v Nitre dňa 20. septembra 2018 / Gažiková, Elena [Zostavovateľ, editor] ; Horáková, Magdaléna [Zostavovateľ, editor]. – 1. vyd. – Nitra (Slovensko) : Univerzita Konštantína Filozofa v Nitre, 2018. – ISBN 978-80-558-1367-7, s. 141-146 [CD-ROM] </t>
  </si>
  <si>
    <t xml:space="preserve">Nedeštruktívny výskum vybraných povstaleckých objektov stredoslovenského regiónu / Bordáč, Miloš [Autor, UKFFFAKAR, 100%] ; Výsledky nových archeologických výskumov na strednom Slovensku, 3 [06.12.2018, Oravský Podzámok, Slovensko]. – text. – [slovenčina]. – [OV 030]. – [abstrakt z podujatia - KP] In: Výsledky nových archeologických výskumov na strednom Slovensku 2. a 3. [textový dokument (print)] : Zborník príspevkov z 2. a 3. ročníka konferencie archeológov pôsobiacich v oblasti stredného Slovenska, Banská Bystrica 2017 - Oravský Podzámok 2018 / Jagnešáková, Mária [Zostavovateľ, editor]. – 1. vyd. – Dolný Kubín (Slovensko) : Oravské múzeum P.O.Hviezdoslava, 2019. – ISBN 978-80-89564-27-9, s. 182-189 [tlačená forma] </t>
  </si>
  <si>
    <t xml:space="preserve">Nemfogyasztás, nemkultúra, nemturizmus / Törőcsik, Mária [Autor, 34%] ; Pavluska, Valéria [Autor, 33%] ; Csapó, János [Autor, UKFFSSKCR, 33%] ; Dinya, László [Recenzent] ; Ercsey, Ida [Recenzent] ; A hatékony marketing - EMOK 2018 Nemzetközi Tudományos Konferencia [27.08.2018-28.08.2018, Komárno, Slovensko]. – text. – [maďarčina]. – [OV 020]. – [abstrakt z podujatia - KP] In: A hatékony marketing - EMOK 2018 Nemzetközi Tudományos Konferencia konferenciakötete [elektronický dokument] / Józsa, László [Zostavovateľ, editor] ; Korcsmáros, Enikő [Zostavovateľ, editor] ; Seres Huszárik, Erika [Zostavovateľ, editor]. – 1. vyd. – Komárno (Slovensko) : Univerzita J. Selyeho, 2018. – ISBN 978-80-8122-236-8, s. 875-890 [online] </t>
  </si>
  <si>
    <t xml:space="preserve">Nepokojné divadlo v nestabilnej Európe : marginálie k medzinárodnému festivalu Divadlo Plzeň / Ballay, Miroslav [Autor, UKFFFAKKU, 100%] ; Divadlo a dráma v kontextoch nepokojnej Európy, 16 [29.11.2019-30.11.2019, Banská Bystrica, Slovensko]. – text. – [slovenčina]. – [OV 020]. – [abstrakt z podujatia - KP] In: Divadlo a dráma v kontextoch nepokojnej Európy [textový dokument (print)] / Knopová, Elena [Zostavovateľ, editor] ; Vedral, Jan [Recenzent] ; Majera, Ľjuboslav [Recenzent]. – 1. vyd. – Banská Bystrica (Slovensko) : Akadémia umení. Fakulta dramatických umení, 2019. – ISBN 978-80-8206-026-6, s. 40-52 [tlačená forma] </t>
  </si>
  <si>
    <t xml:space="preserve">Nepôvodný pavúk Brigittea civica ako významný zástupca mestskej araneofauny / Purgat, Pavol [Autor, UKFFPVKEE, 50%] ; Ondrejková, Natália [Autor, 50%] ; Študentská vedecká konferencia 2019, 3 [09.04.2019, Banská Bystrica, Slovensko]. – text. – [slovenčina]. – [OV 100]. – [abstrakt z podujatia - KP] In: Študentská vedecká konferencia 2019 [elektronický dokument] : zborník recenzovaných príspevkov, Banská Bystrica 9. apríla 2019 / Francisti, Jan [Zostavovateľ, editor] ; Zverková, Katarína [Zostavovateľ, editor] ; Omelka, Radoslav [Zostavovateľ, editor]. – 1. vyd. – Nitra (Slovensko) : Univerzita Konštantína Filozofa v Nitre ; Banská Bystrica (Slovensko) : Univerzita Mateja Bela v Banskej Bystrici, 2019. – ISBN 978-80-558-1433-9, s. 47-52 [online] </t>
  </si>
  <si>
    <t xml:space="preserve">Nesklonnosť termínov v špecifických komunikačných oblastiach súčasnej slovenčiny (so zameraním na ekonomickú terminológiu) / Petráš, Patrik [Autor, UKFFFASJL, 100%] ; Kolokvium mladých jazykovedcov, 26 [06.09.2017-08.09.2017, Prešov, Slovensko]. – text. – [slovenčina]. – [OV 020]. – [abstrakt z podujatia - KP] In: Varia 26 [elektronický dokument] : zborník príspevkov z XXVI. kolokvia mladých jazykovedcov / Bodnárová, Martina [Zostavovateľ, editor] ; Klingová, Jana [Zostavovateľ, editor] ; Rešovská, Soňa [Zostavovateľ, editor] ; Ološtiak, Martin [Recenzent] ; Slančová, Daniela [Recenzent]. – 1. vyd. – Prešov (Slovensko) : Prešovská univerzita v Prešove, 2021. – ISBN (online) 978-80-555-2736-9. – SIGN-PU FF-21 99/21, s. 73-97 [online] </t>
  </si>
  <si>
    <t xml:space="preserve">Neural Machine Translation as a Novel Approach to Machine Translation / Benková, Lucia [Autor, UKFFPVKIN, 50%] ; Benko, Ľubomír [Autor, UKFFPVKIN, 50%] ; DIVAI 2020, 13 [21.09.2020-23.09.2020, Štúrovo, Slovensko]. – text. – [angličtina]. – [OV 010]. – [abstrakt z podujatia - KP]. – WOS CC In: DIVAI 2020 [textový dokument (print)] [elektronický dokument] : 13th International Scientific Conference on Distance Learning in Applied Informatics, Štúrovo September 21-23, 2020 / Turčáni, Milan [Zostavovateľ, editor] ; Balogh, Zoltán [Zostavovateľ, editor] ; Munk, Michal [Zostavovateľ, editor] ; Magdin, Martin [Zostavovateľ, editor] ; Benko, Ľubomír [Zostavovateľ, editor]. – 1. vyd. – Roč. 13. – Praha (Česko) : Wolters Kluwer. Wolters Kluwer ČR, 2020. – ISBN 978-80-7598-841-6. – ISSN 2464-7470. – ISSN (online) 2464-7489, s. 499-508 [tlačená forma] [online] </t>
  </si>
  <si>
    <t xml:space="preserve">New Ethnic and Religious Minorities in Slovakia / Letavajová, Silvia [Autor, UKFFFAKMK, 100%] ; Stredoeurópske súvislosti národnostného vývoja na začiatku 21. storočia [15.11.2018, Košice, Slovensko]. – text. – [angličtina]. – [OV 030]. – [abstrakt z podujatia - KP] In: Central European Connections in National Minorities' Development at the Beginning of 21. Century [textový dokument (print)] : The proceedings of the International Scientific Conference of the scientific project APVV-15-0745 Trends in the Development of Ethnic Relations in Slovakia  (Comparative Research of Ethnic Issue between 2004 and 2020) – (TESS2) / Kacerová, Barbara [Zostavovateľ, editor] ; Šutaj, Štefan [Zostavovateľ, editor] ; Šutajová, Jana [Zostavovateľ, editor] ; Štempien, Erik [Recenzent] ; Gajdoš, Marián [Recenzent]. – 1. vyd. – Prešov (Slovensko) : Vydavateľstvo Universum EU, 2019. – ISBN 978-80-89946-11-2. – sign UPJS FSEP 010750. – SAF F 138813, s. 135-144 </t>
  </si>
  <si>
    <t xml:space="preserve">New Forms of the Political Show in Online Media and Social Networks / Chlebcová Hečková, Andrea [Autor, UKFFFAKZU, 50%] ; Veselý, Matúš [Autor, UKFFFAKMR, 50%] ; Megatrends and Media 2018, 13 [24.04.2018-25.04.2018, Smolenice, Slovensko]. – text. – [slovenčina]. – [OV 060]. – [abstrakt z podujatia - KP]. – [recenzované]. – WOS CC In: Megatrends and media [textový dokument (print)] : reality and media bubbles : conference proceedings from the international scientific conference / Solík, Martin [Zostavovateľ, editor] ; Rybanský, Rudolf [Zostavovateľ, editor]. – 1. vyd. – Trnava (Slovensko) : Univerzita sv. Cyrila a Metoda v Trnave. Fakulta masmediálnej komunikácie, 2018. – ISBN 978-80-8105-952-0. – ISSN 2453-6474, s. 31-48 [tlačená forma] </t>
  </si>
  <si>
    <t xml:space="preserve">New Challenges Facing Marketing and Marketing Communication. Employer Branding – Challenges for Leadership in the Corona-Pandemic / Müeller, Alexander [Autor, 50%] ; Müller, Alena [Autor, UKFFFAKMR, 50%] ; Marketing identity, 17 [11.11.2020, Trnava, Slovensko]. – text. – [angličtina]. – [OV 060]. – [abstrakt z podujatia - KP]. – WOS CC In: Marketing identity [elektronický dokument] : COVID-2.0 : conference proceedings from the international scientific conference / Kvetanová, Zuzana [Zostavovateľ, editor] ; Bezáková, Zuzana [Zostavovateľ, editor] ; Madleňák, Adam [Zostavovateľ, editor]. – 1. vyd. – Trnava (Slovensko) : Univerzita sv. Cyrila a Metoda v Trnave. Fakulta masmediálnej komunikácie, 2020. – ISBN (online) 978-80-572-0107-6. – ISSN (online) 2729-7527, s. 441-451 [online] </t>
  </si>
  <si>
    <t xml:space="preserve">New normal: digital leadership / Müller, Axel [Autor, 30%] ; Müller, Alena [Autor, UKFFFAKMR, 70%] ; Megatrendy a médiá 2021 [21.04.2021, Trnava, Slovensko]. – text. – [angličtina]. – [OV 060]. – [abstrakt z podujatia - KP] In: Megatrends and Media: Home Officetainment [textový dokument (print)] [elektronický dokument] : Conference Proceedings from the International Scientific Conference “Megatrends and Media: Home Officetainment”, 21st April 2021 / Prostináková Hossová, Monika [Zostavovateľ, editor] ; Radošinská, Jana [Zostavovateľ, editor] ; Solík, Martin [Zostavovateľ, editor]. – 1. vyd. – Trnava (Slovensko) : Univerzita sv. Cyrila a Metoda v Trnave. Fakulta masmediálnej komunikácie, 2021. – ISBN 978-80-572-0183-0. – ISSN 2729-7403, s. 466-476 [tlačená forma] [online] </t>
  </si>
  <si>
    <t xml:space="preserve">New Slovak gemstones / Štubňa, Ján [Autor, UKFFPVGMU, 17%] ; Fridrichová, Jana [Autor, UKOPRGMP, 17%] ; Illášová, Ľudmila [Autor, UKFFPVGMU, 17%] ; Bačík, Peter [Autor, UKOPRGMP, 17%] ; Pulišová, Zuzana [Autor, UKOPRGGP, 16%] ; Hanus, Radek [Autor, 16%] ; Cempírek, Jan [Recenzent] ; Ertl, Andreas [Recenzent] ; Central European Mineralogical Conference, 5 [26.06.2018-30.06.2018, Banská Štiavnica, Slovensko]. – text, obr. – [angličtina]. – [OV 020, 092]. – [abstrakt z podujatia - KP]. – SIGN-UKO PR 1145/18 In: Joint 5th Central-European Mineralogical Conference and 7th Mineral Sciences in the Carpathians Conference [textový dokument (print)] : Book of Contributions and Abstracts / Ondrejka, Martin [Zostavovateľ, editor] ; Cempírek, Jan [Zostavovateľ, editor] ; Bačík, Peter [Zostavovateľ, editor]. – 1. vyd. – Bratislava (Slovensko) : Univerzita Komenského v Bratislave, 2018. – ISBN 978-80-223-4548-4. – SIGN-UKO PR 202/18, s. 103-105 [tlačená forma] </t>
  </si>
  <si>
    <t xml:space="preserve">Nezamestnaný klient a jeho spôsob života / Selická, Denisa [Autor, UKFFFAKSO, 100%] ; Mrázová, Alžbeta [Recenzent] ; Kaleja, Martin [Recenzent] ; Svetový deň sociálnej práce, 4 [20.03.2018, Sládkovičovo, Slovensko]. – [slovenčina]. – [OV 060]. – [abstrakt z podujatia - KP] In: Svetový deň sociálnej práce 4 [textový dokument (print)] : podpora spoločenstva a udržateľnosť životného prostredia a kultúrny svet : Zborník z vedeckej konferencie, konanej v Sládkovičove 20. marca 2018 / Šebestová, Petronela [Zostavovateľ, editor] ; Mareková, Hermína [Zostavovateľ, editor]. – 1. vyd. – Roč. 4. – Sládkovičovo (Slovensko) : Vysoká škola Danubius, 2018. – ISBN 978-80-8167-065-7, s. 122-145 [tlačená forma] </t>
  </si>
  <si>
    <t xml:space="preserve">Nezávislosť v kultúre a umení ako slobodné sebautváranie (margonálne úvahy) / Fuják, Július [Autor, UKFFFAKKU, 100%] ; Umenie, estetika, politika [24.10.2018-26.10.2018, Bratislava, Slovensko]. – [slovenčina]. – [OV 020]. – [abstrakt z podujatia - KP] In: Umenie, estetika, politika [textový dokument (print)] : zborník príspevkov z medzinárodnej konferencie Umenie, estetika, politika 24. - 26. 10. 2018 konanej v Univerzitnej knižnici v Bratislave / Pašteková, Michaela [Zostavovateľ, editor] ; Brezňan, Peter [Zostavovateľ, editor] ; Ridzoňová-Ferenčuhová, Mária [Recenzent] ; Lipták, Michal [Recenzent]. – 1. vyd. – Roč. 2. – Bratislava (Slovensko) : Slovenská asociácia pre estetiku, 2019. – ISBN 978-80-972624-2-6, s. 237-242 [tlačená forma] </t>
  </si>
  <si>
    <t xml:space="preserve">Nitrianska praktická estetika : princípy, súčasný stav a perspektívy / Zeleňáková, Hana [Autor, UKFFFAULK, 100%] ; Súradnice estetiky, umenia a kultúry, IV [08.11.2018-09.11.2018, Prešov, Slovensko]. – text. – [slovenčina]. – [OV 020]. – [abstrakt z podujatia - KP] In: Súradnice estetiky, umenia a kultúry IV [textový dokument (print)] : študovať estetiku: koncepcie, stratégie a súvislosti štúdia estetiky na Slovensku a v zahraničí = studying aesthetics: aesthetics studies`concepts, strategies and context in Slovakia and abroad / Kvokačka, Adrián [Zostavovateľ, editor] ; Migašová, Jana [Zostavovateľ, editor] ; Mistrík, Erich [Recenzent] ; Sošková, Jana [Recenzent]. – 1. vyd. – Prešov (Slovensko) : Prešovská univerzita v Prešove. Filozofická fakulta, 2019. – (Opera Philosophica ; 17/2019). – ISBN 978-80-555-2310-1. – SIGN-PU FF-19 340/19, s. 53-62 [tlačená forma] </t>
  </si>
  <si>
    <t xml:space="preserve">Non-isothermal kinetic analysis of illite dehydroxylation / Ondro, Tomáš [Autor, UKFFPVKFY, 25%] ; Al-Shantir, Omar [Autor, UKFFPVKFY, 25%] ; Obert, Filip [Autor, UKFFPVKFY, 25%] ; Trník, Anton [Autor, UKFFPVKFY, 25%] ; Central European Symposium on Thermophysics [16.10.2019-18.10.2019, Banská Bystrica, Slovensko]. – text. – [angličtina]. – [OV 091]. – [abstrakt z podujatia - KP]. – WOS CC ; SCO In: CEST 2019 [elektronický dokument] : proceedings of the Central European Symposium on Thermophysics 2019 / Trník, Anton [Zostavovateľ, editor] ; Medveď, Igor [Zostavovateľ, editor]. – 1 vyd. – Melville, NY (USA) : American Institute of Physics . AIP Publishing, 2019. – (AIP Conference Proceedings, ISSN 0094-243X, ISSN 1551-7616 ; Volume 2133, SJR: 0,19 ; CiteScore: 0,6 ; SNIP: 0,373). – ISBN 978-0-7354-1876-9, s. 1-6 [online] [tlačená forma] </t>
  </si>
  <si>
    <t xml:space="preserve">Non-isothermal kinetic analysis of spinel phase crystallization from metakaolinite / Ondro, Tomáš [Autor, UKFFPVKFY, 25%] ; Csáki, Štefan [Autor, UKFFPVKFY, 25%] ; Lukáč, František [Autor, 25%] ; Trník, Anton [Autor, UKFFPVKFY, 25%] ; Central European Symposium on Thermophysics [16.10.2019-18.10.2019, Banská Bystrica, Slovensko]. – text. – [angličtina]. – [OV 091]. – [abstrakt z podujatia - KP]. – DOI 10.1063/1.5120167. – WOS CC ; SCO In: CEST 2019 [elektronický dokument] : proceedings of the Central European Symposium on Thermophysics 2019 / Trník, Anton [Zostavovateľ, editor] ; Medveď, Igor [Zostavovateľ, editor]. – 1 vyd. – Melville, NY (USA) : American Institute of Physics . AIP Publishing, 2019. – (AIP Conference Proceedings, ISSN 0094-243X, ISSN 1551-7616 ; Volume 2133, SJR: 0,19 ; CiteScore: 0,6 ; SNIP: 0,373). – ISBN 978-0-7354-1876-9, s. 1-5 [online] [tlačená forma] </t>
  </si>
  <si>
    <t xml:space="preserve">Normálnejšie ako normálne : Labutia pieseň normalizácie v kinematografii prechodu / Malíček, Juraj [Autor, UKFFFAULK, 100%] ; Zervan, Marian [Recenzent] ; Kovalčik, Jozef [Recenzent] ; Iluzívne a antiiluzívne vo filme, 18 [12.10.2017-15.10.2017, Krpáčovo, Slovensko]. – text. – [slovenčina]. – [OV 020]. – [abstrakt z podujatia - KP] In: Iluzívne a antiiluzívne vo filme [textový dokument (print)] / Kaňuch, Martin [Zostavovateľ, editor]. – 1. vyd. – Bratislava (Slovensko) : Asociácia slovenských filmových klubov, 2018. – ISBN 978-80-970420-5-9, s. 149-155 [tlačená forma] </t>
  </si>
  <si>
    <t xml:space="preserve">Notes to indefinite integrals / Varga, Marek [Autor, UKFFPVKMA, 100%] ; APLIMAT 2019, 18 [05.02.2019-07.02.2019, Bratislava, Slovensko]. – text. – [angličtina]. – [OV 240]. – [abstrakt z podujatia - KP]. – SCO In: Aplimat 2019 [elektronický dokument] : 18th conference on Applied mathematics proceedings / Szarková, Dagmar [Zostavovateľ, editor] ; Richtáriková, Daniela [Zostavovateľ, editor] ; Letavaj, Peter [Zostavovateľ, editor] ; Caranti, Andrea [Recenzent] ; Chvalina, Jan [Recenzent]. – 1. vyd. – Bratislava (Slovensko) : Slovenská technická univerzita v Bratislave, 2019. – ISBN 978-80-227-4884-1, s. 1288-1291 [USB kľúč] </t>
  </si>
  <si>
    <t xml:space="preserve">Nové etnické a náboženské minority na Slovensku / Letavajová, Silvia [Autor, UKFFFAKMK, 100%] ; Stredoeurópske súvislosti národnostného vývoja na začiatku 21. storočia [15.11.2018, Košice, Slovensko]. – text. – [slovenčina]. – [OV 060]. – [abstrakt z podujatia - KP] In: Stredoeurópske súvislosti národnostného vývoja na začiatku 21. storočia [textový dokument (print)] [elektronický dokument] : zborník príspevkov z medzinárodnej vedeckej konferencie z riešenia vedeckého projektu APVV-15-0745 Tendencie vývoja etnických vzťahov na Slovensku (Komparatívny výskum národnostnej problematiky v rokoch 2004 – 2020) – (TESS2) / Šutajová, Jana [Zostavovateľ, editor] ; Šutaj, Štefan [Zostavovateľ, editor] ; Kacerová, Barbara [Zostavovateľ, editor] ; Štempien, Erik [Recenzent] ; Gajdoš, Marián [Recenzent]. – 1. vyd. – Prešov (Slovensko) : Univerzum, 2019. – ISBN 978-80-89946-12-9. – sign UPJS FSEP 010752. – SAF F 138814, s. 137-146 </t>
  </si>
  <si>
    <t xml:space="preserve">Nový informatický predmet Programovanie mobilných zariadení: Koncepcia jeho výučby a ukážky etúd [New Informatics Subject Programming of Mobile Devices: Concept of its Teaching and Samples of Etudes] / Šnajder, Ľubomír [Autor, UPS14500, 25%] ; Guniš, Ján [Autor, UPS14500, 25%] ; Lovászová, Gabriela [Autor, UKFFPVKIN, 25%] ; Michaličková, Viera [Autor, UKFFPVKIN, 25%] ; DidInfo 2019, 25 [03.04.2019-05.04.2019, Banská Bystrica, Slovensko]. – text. – [slovenčina]. – [OV 010, 160]. – [abstrakt z podujatia - KP]. – sign UPJS SSEP 020223 In: Didinfo 2019 [elektronický dokument] : medzinárodná konferencia o vyučovaní informatiky : 25. ročník konferencie / Horváthová, Dana [Zostavovateľ, editor] ; Michaliková, Alžbeta [Zostavovateľ, editor] ; Škrinárová, Jarmila [Zostavovateľ, editor] ; Voštinár, Patrik [Zostavovateľ, editor] ; Andrejková, Gabriela [Recenzent] ; Berki, Jan [Recenzent] ; Brodenec, Ivan [Recenzent] ; Cápay, Martin [Recenzent] ; Dudáš, Adam [Recenzent] ; Horváthová, Dana [Recenzent] ; Hudec, Milan [Recenzent] ; Karabáš, Ján [Recenzent] ; Melicherčík, Miroslav [Recenzent] ; Michaliková, Alžbeta [Recenzent] ; Škrinárová, Jarmila [Recenzent] ; Trajteľ, Ľudovít [Recenzent] ; Voštinár, Patrik [Recenzent]. – 1. vyd. – Banská Bystrica (Slovensko) : Univerzita Mateja Bela v Banskej Bystrici, 2019. – ISBN (online) 978-80-557-1533-9. – ISSN (online) 2454-051X, s. 157-163 [online] </t>
  </si>
  <si>
    <t xml:space="preserve">Nový informatický predmet Programovanie mobilných zariadení: Tvorba projektov [New Informatics Subject Programming of Mobile Devices: Creation of Projects] / Lovászová, Gabriela [Autor, UKFFPVKIN, 25%] ; Michaličková, Viera [Autor, UKFFPVKIN, 25%] ; Guniš, Ján [Autor, UPS14500, 25%] ; Šnajder, Ľubomír [Autor, UPS14500, 25%] ; DidInfo 2019, 25 [03.04.2019-05.04.2019, Banská Bystrica, Slovensko]. – text. – [slovenčina]. – [OV 010, 160]. – [abstrakt z podujatia - KP]. – sign UPJS SSEP 020224 In: Didinfo 2019 [elektronický dokument] : medzinárodná konferencia o vyučovaní informatiky : 25. ročník konferencie / Horváthová, Dana [Zostavovateľ, editor] ; Michaliková, Alžbeta [Zostavovateľ, editor] ; Škrinárová, Jarmila [Zostavovateľ, editor] ; Voštinár, Patrik [Zostavovateľ, editor] ; Andrejková, Gabriela [Recenzent] ; Berki, Jan [Recenzent] ; Brodenec, Ivan [Recenzent] ; Cápay, Martin [Recenzent] ; Dudáš, Adam [Recenzent] ; Horváthová, Dana [Recenzent] ; Hudec, Milan [Recenzent] ; Karabáš, Ján [Recenzent] ; Melicherčík, Miroslav [Recenzent] ; Michaliková, Alžbeta [Recenzent] ; Škrinárová, Jarmila [Recenzent] ; Trajteľ, Ľudovít [Recenzent] ; Voštinár, Patrik [Recenzent]. – 1. vyd. – Banská Bystrica (Slovensko) : Univerzita Mateja Bela v Banskej Bystrici, 2019. – ISBN (online) 978-80-557-1533-9. – ISSN (online) 2454-051X, s. 94-99 [online] </t>
  </si>
  <si>
    <t xml:space="preserve">Nový informatický predmet Riešenie problémov a programovanie [New Informatics Subject Problem Solving and Programming] / Guniš, Ján [Autor, UPS14500, 34%] ; Šnajder, Ľubomír [Autor, UPS14500, 33%] ; Michaličková, Viera [Autor, UKFFPVKIN, 33%] ; DidInfo 2019, 25 [03.04.2019-05.04.2019, Banská Bystrica, Slovensko]. – text. – [slovenčina]. – [OV 010, 160]. – [abstrakt z podujatia - KP]. – sign UPJS SSEP 020211 In: Didinfo 2019 [elektronický dokument] : medzinárodná konferencia o vyučovaní informatiky : 25. ročník konferencie / Horváthová, Dana [Zostavovateľ, editor] ; Michaliková, Alžbeta [Zostavovateľ, editor] ; Škrinárová, Jarmila [Zostavovateľ, editor] ; Voštinár, Patrik [Zostavovateľ, editor] ; Andrejková, Gabriela [Recenzent] ; Berki, Jan [Recenzent] ; Brodenec, Ivan [Recenzent] ; Cápay, Martin [Recenzent] ; Dudáš, Adam [Recenzent] ; Horváthová, Dana [Recenzent] ; Hudec, Milan [Recenzent] ; Karabáš, Ján [Recenzent] ; Melicherčík, Miroslav [Recenzent] ; Michaliková, Alžbeta [Recenzent] ; Škrinárová, Jarmila [Recenzent] ; Trajteľ, Ľudovít [Recenzent] ; Voštinár, Patrik [Recenzent]. – 1. vyd. – Banská Bystrica (Slovensko) : Univerzita Mateja Bela v Banskej Bystrici, 2019. – ISBN (online) 978-80-557-1533-9. – ISSN (online) 2454-051X, s. 62-67 [online] </t>
  </si>
  <si>
    <t xml:space="preserve">O preklade lyrickej básne / Žiak, Peter [Autor, UKFFFAKTR, 100%] ; Tradícia a inovácia v translatologickom výskume, 7 [07.02.2019-08.02.2019, Nitra, Slovensko]. – text. – [slovenčina]. – [OV 020]. – [abstrakt z podujatia - KP] In: Tradícia a inovácia v translatologickom výskume 7 [textový dokument (print)] : inovácia tradície, tradícia inovácie? : zborník príspevkov z medzinárodnej translatologickej konferencie / Ukušová, Jana [Zostavovateľ, editor] ; Koscelníková, Mária [Zostavovateľ, editor] ; Jánošíková, Zuzana [Zostavovateľ, editor] ; Gromová, Edita [Recenzent] ; Djovčoš, Martin [Recenzent]. – 1. vyd. – č. 7. – Nitra (Slovensko) : Univerzita Konštantína Filozofa v Nitre, 2019. – ISBN 978-80-558-1459-9. – TUTPFKAJ signatúra E082243, s. 91-103 [tlačená forma] </t>
  </si>
  <si>
    <t xml:space="preserve">O slovenskom cool filme / klapka 2 / Boszorád, Martin [Autor, UKFFFAULK, 100%] ; Zervan, Marian [Recenzent] ; Kovalčik, Jozef [Recenzent] ; Iluzívne a antiiluzívne vo filme, 18 [12.10.2017-15.10.2017, Krpáčovo, Slovensko]. – [slovenčina]. – [OV 020]. – [abstrakt z podujatia - KP] In: Iluzívne a antiiluzívne vo filme [textový dokument (print)] / Kaňuch, Martin [Zostavovateľ, editor]. – 1. vyd. – Bratislava (Slovensko) : Asociácia slovenských filmových klubov, 2018. – ISBN 978-80-970420-5-9, s. 191-198 [tlačená forma] </t>
  </si>
  <si>
    <t xml:space="preserve">Obraz „iného“ v zahranično-bezpečnostnej politike Slovenska = The Image of Otherness in Slovak Foreign and Security Policy / Brhlíková, Radoslava [Autor, UKFFFAKPO, 100%] ; Jazyk a politika, 4 [20.06.2019, Bratislava, Slovensko]. – [slovenčina]. – [OV 020, 060]. – [abstrakt z podujatia - KP] In: Jazyk a politika: na pomedzí lingvistiky a politológie (4) [textový dokument (print)] : zborník príspevkov zo 4. ročníka medzinárodnej vedeckej konferencie / Štefančík, Radoslav [Zostavovateľ, editor] ; Seresová, Katarína [Recenzent] ; Lišková, Danuša [Recenzent]. – 1. vyd. – Bratislava (Slovensko) : Ekonomická univerzita v Bratislave. Celouniverzitné pracovisko EUBA. Vydavateľstvo EKONÓM, 2019. – ISBN 978-80-225-4641-6, s. 323-332 [tlačená forma] </t>
  </si>
  <si>
    <t xml:space="preserve">Obraz iného v bezpečnostnej politike Slovenska (problematika DOS) = Image of otherness in security policy of Slovakia (the issue of DCA) / Brhlíková, Radoslava [Autor, UKFFFAKPO, 100%] ; Bezpečnostné fórum 2020, 13 [12.02.2020-13.02.2020, Banská Bystrica, Slovensko]. – text. – [slovenčina]. – [OV 020, 060]. – [abstrakt z podujatia - KP] In: Bezpečnostné fórum 2020 [elektronický dokument] : zborník vedeckých prác / Ušiak, Jaroslav [Zostavovateľ, editor] ; Kollár, Dávid [Zostavovateľ, editor] ; Nečas, Pavel [Recenzent] ; Lasicová, Jana [Recenzent]. – 1. vyd. – Banská Bystrica (Slovensko) : Interpolis, 2020. – ISBN 978-80-973394-2-5, s. 30-42 [online] </t>
  </si>
  <si>
    <t xml:space="preserve">Obrazy hrdinu vo vybraných prózach Bohumila Hrabala a ich filmových adaptáciách / Zlatoš, Peter [Autor, UKFFFAULK, 100%] ; Pokorný, Milan [Recenzent] ; Žilka, Tibor [Recenzent] ; Česká literatúra a film, 5 [17.10.2017, Nitra, Slovensko]. – text. – [slovenčina]. – [OV 020]. – [abstrakt z podujatia - KP] In: Česká literatúra a film 5 [textový dokument (print)] : zborník štúdií z medzinárodnej vedeckej konferencie, konanej 17. októbra 2017 na FSŠ v Nitre / Timko, Štefan [Zostavovateľ, editor]. – 1. vyd. – Nitra (Slovensko) : Univerzita Konštantína Filozofa v Nitre, 2018. – ISBN 978-80-558-1303-5, s. 119-136 [tlačená forma] </t>
  </si>
  <si>
    <t xml:space="preserve">Obsah a vizuálne prvky printovej reklamy vo farmaceutickom priemysle na Slovensku v súčasnosti / Schlosserová, Zuzana [Autor, UKFFFAKMR, 100%] ; Fichnová, Katarína [Recenzent] ; Inštitorisová, Dagmar [Recenzent] ; Nové výzvy masmediálnej a marketingovej komunikácie, 7 [04.12.2017, Nitra, Slovensko]. – text. – [slovenčina]. – [OV 060]. – [abstrakt z podujatia - KP] In: Nové výzvy masmediálnej a marketingovej komunikácie 7 [elektronický dokument] : recenzovaný zborník príspevkov zo 7. ročníka vedecko - odborného seminára / Schlosserová, Zuzana [Zostavovateľ, editor] ; Balážiová, Iveta [Zostavovateľ, editor]. – 1. vyd. – Nitra (Slovensko) : Univerzita Konštantína Filozofa v Nitre, 2018. – ISBN 978-80-558-1315-8, s. 52-59 [CD-ROM] </t>
  </si>
  <si>
    <t xml:space="preserve">Obsahová náplň prekážkarských tréningových prostriedkov v športovej príprave mládeže a dospelých / Broďáni, Jaroslav [Autor, UKFPFAKTV, 90%] ; Škvarka, Michal [Autor, 10%] ; Atletika 2019 [28.11.2019, Banská Bystrica, Slovensko]. – text. – [slovenčina]. – [OV 210]. – [abstrakt z podujatia - KP] In: Atletika 2019 [textový dokument (print)] : recenzovaný vedecký zborník z medzinárodnej vedeckej konferencie / Čillík, Ivan [Zostavovateľ, editor] ; Pupiš, Martin [Zostavovateľ, editor] ; Pupišová, Zuzana [Zostavovateľ, editor] ; Franek, Vladimír [Zostavovateľ, editor] ; Čillík, Ivan [Recenzent] ; Pupiš, Martin [Recenzent]. – 1. vyd. – Banská Bystrica (Slovensko) : DALI-BB, 2019. – ISBN 978-80-8141-223-3, s. 43-63 [tlačená forma] </t>
  </si>
  <si>
    <t xml:space="preserve">Od cigánčiny k rómčine - kedy sa bude učiť rómsky jazyk na univerzitách? / Lužica, René [Autor, UKFFSVURS, 100%] ; Inovácia - rómsky jazyk - inklúzia [05.04.2019-06.04.2019, Bratislava, Slovensko]. – text. – [slovenčina]. – [OV 010, 060]. – [abstrakt z podujatia - KP] In: Inovácia - rómsky jazyk - inklúzia [textový dokument (print)] : výučba rómskeho jazyka metodikou vyučovania cudzieho jazyka. Zborník z medzinárodnej vedeckej konferencie, Bratislava, 5. - 6.apríl 2019 / Facuna, Jozef [Zostavovateľ, editor] ; Lužica, René [Zostavovateľ, editor] ; Lukáčová, Ingrid [Recenzent] ; Vaňová, Jarmila [Recenzent]. – 1. vyd. – Bratislava (Slovensko) : Štátny pedagogický ústav, 2019. – ISBN 978-80-8118-226-6, s. 52-62 [tlačená forma] </t>
  </si>
  <si>
    <t xml:space="preserve">Od čítania k čítaniu s porozumením = From reading to readling with comprehension / Gallik, Ján [Autor, UKFFSSUSJ, 100%] ; Premeny školy a učiteľské vzdelávanie v historickom kontexte a nové perspektívy [06.02.2019-07.02.2019, Prešov, Slovensko]. – text. – [slovenčina]. – [OV 010]. – [abstrakt z podujatia - KP] In: Jazyk a umenie pre deti a mládež v hodnotových a didaktických pohľadoch [elektronický dokument] : zborník príspevkov z vedeckej konferencie s medzinárodnou účasťou Premeny školy a učiteľské vzdelávanie v historickom kontexte a nové perspektívy, Prešov, 6.- 7. február 2019 / Mitrová, Adela [Zostavovateľ, editor] ; Sláviková, Zuzana [Zostavovateľ, editor] ; Liptáková, Ľudmila [Recenzent] ; Součková, Marta [Recenzent]. – 1. vyd. – Prešov (Slovensko) : Prešovská univerzita v Prešove, 2019. – ISBN (online) 978-80-555-2316-3. – SIGN-PU PF-19 173/19, s. 240-251 [online] </t>
  </si>
  <si>
    <t xml:space="preserve">Odborný cudzí jazyk technického zamerania vo vysokoškolskom vzdelávaní rusistov / Pulčár, Vlastimil [Autor, UKFFFAKRU, 100%] ; Forlang, 10 [23.06.2021-24.06.2021, Košice, Slovensko]. – text. – [slovenčina]. – [OV 020]. – [abstrakt z podujatia - KP] In: Forlang [elektronický dokument] : periodický zborník vedeckých príspevkov a odborných článkov z medzinárodnej vedeckej konferencie konanej 23. - 24. júna 2021 : cudzie jazyky v akademickom prostredí = foreign Languages in the Academic Environment = Fremdsprachen im akademischen Bereich = inostrannye jazyki v akademičeskoj srede / Kaščáková, Eva [Zostavovateľ, editor] ; Alieva, Lenka [Recenzent] ; Czéreová, Beáta [Recenzent] ; Hájik, Tomáš [Recenzent] ; Klink, Sandra [Recenzent] ; Kulíková, Terézia [Recenzent] ; Mazurová, Helena [Recenzent] ; Mihalčinová, Zuzana [Recenzent] ; Mihaľová, Alena [Recenzent] ; Pechová, Soňa [Recenzent] ; Sorger, Roman [Recenzent] ; Szabová, Katarína [Recenzent] ; Timárová, Daniela [Recenzent] ; Vráželová, Viktória [Recenzent]. – 1. vyd. – Roč. 8, č. 1. – Košice (Slovensko) : Technická univerzita v Košiciach, 2021. – ISBN (online) 978-80-553-3948-1. – ISSN 1338-5496. – SIGN-TUKE 233160, s. 330-335 [CD-ROM] </t>
  </si>
  <si>
    <t xml:space="preserve">Odborová didaktika - jej postavenie v systéme pedagogických vied a v príprave učiteľov / Petrová, Gabriela [Autor, UKFPFAKPE, 100%] ; Kmeťová, Jarmila [Recenzent] ; Bírová, Jana [Recenzent] ; Inovatívne trendy v odborových didaktikách v kontexte požiadaviek praxe [13.11.2017-14.11.2017, Nitra, Slovensko]. – text. – [slovenčina]. – [OV 010]. – [abstrakt z podujatia - KP] In: Inovatívne trendy v odborových didaktikách v kontexte požiadaviek praxe [elektronický dokument] : zborník štúdií z medzinárodnej vedeckej konferencie / Duchovičová, Jana [Zostavovateľ, editor] ; Gunišová, Denisa [Zostavovateľ, editor] ; Kozárová, Nina [Zostavovateľ, editor] ; Koleňáková, Rebeka Štefánia [Zostavovateľ, editor]. – 1. vyd. – Nitra (Slovensko) : Univerzita Konštantína Filozofa v Nitre. Pedagogická fakulta UKF, 2018. – ISBN 978-80-558-1277-9, s. 7-16 [online] </t>
  </si>
  <si>
    <t xml:space="preserve">Odchod zamestnancov do  dôchodku v kontexte personálneho a vekového  manažmentu / Pisoňová, Mária [Autor, UKFPFAKPE, 100%] ; SOCIALIA 2019, 23 [17.10.2019-18.10.2019, hotel Šachtička, Banská Bystrica, Slovensko]. – text. – [slovenčina]. – [OV 010]. – [abstrakt z podujatia - KP] In: SOCIALIA 2019: "Quo vadis sociálna pedagogika v 21. storočí?" [textový dokument (print)] : zborník príspevkov z medzinárodnej vedeckej konferencie SOCIALIA 2019, ktorá sa konala v hoteli Šachtička pri Banskej Bystrici v dňoch 17. - 18. októbra 2019 Banská Bystrica 2019 / [bez zostavovateľa] [Zostavovateľ, editor] ; Határ, Ctibor [Recenzent] ; Radziewicz-Winnicki, Andrzej [Recenzent]. – 1. vyd. – Banská Bystrica (Slovensko) : Univerzita Mateja Bela v Banskej Bystrici. Vydavateľstvo Univerzity Mateja Bela v Banskej Bystrici - Belianum, 2019. – ISBN 978-80-557-1646-6, s. 312-319 [tlačená forma] </t>
  </si>
  <si>
    <t xml:space="preserve">Ohybnosť v boxe / Czaková, Natália [Autor, UKFPFAKTV, 34%] ; Paška, Ľubomír [Autor, UKFPFAKTV, 33%] ; Dimfeld, Sandro [Autor, 33%] ; Müller, Anetta [Recenzent] ; Biró, Melinda [Recenzent] ; Sport science in motion [17.05.2018-19.05.2018, Komárno, Slovensko]. – text. – [slovenčina]. – [OV 210]. – [abstrakt z podujatia - KP] In: Sport science in motion [elektronický dokument] : proceedings from the scientific conference, Komárno, May 17th – 19th, 2018 = recenzovaný zborník vedeckých a odborných prác z konferencie = válogatott tanulmánykötet – válogatott tanulmányok a tudományos konferenciáról / Šimonek, Jaromír [Zostavovateľ, editor] ; Dobay, Beáta [Zostavovateľ, editor]. – 1. vyd. – Komárno (Slovensko) : Univerzita J. Selyeho, 2018. – ISBN 978-80-8122-245-0, s. 167-172 [CD-ROM] </t>
  </si>
  <si>
    <t xml:space="preserve">On different perspectives on teaching EAP = K problematike výučby angličtiny pre akademické účely z rôznych perspektív / Csalová, Oľga [Autor, UKFFFAJZC, 100%] ; Cudzie jazyky v premenách času, 9 [09.11.2018, Bratislava, Slovensko]. – text. – [angličtina]. – [OV 020, 010]. – [abstrakt z podujatia - KP] In: Cudzie jazyky v premenách času 9 [elektronický dokument] : recenzovaný zborník príspevkov z medzinárodnej vedeckej konferencie = reviewed conference proceedings from an international scientific conference / Kvapil, Roman [Zostavovateľ, editor] ; Štefančík, Radoslav [Recenzent] ; Šajgalíková, Helena [Recenzent]. – 1. vyd. – Roč. 9. – Bratislava (Slovensko) : Ekonomická univerzita v Bratislave. Celouniverzitné pracovisko EUBA. Vydavateľstvo EKONÓM, 2019. – ISBN 978-80-225-4614-0, s. 162-170 [CD-ROM] </t>
  </si>
  <si>
    <t xml:space="preserve">On Difficulties with Knowledge Transfer from Visual to Textual Programming / Tóth, Tomáš [Autor, UKFFPVKIN, 50%] ; Lovászová, Gabriela [Autor, UKFFPVKIN, 50%] ; DIVAI 2018, 12 [02.05.2018-04.05.2018, Štúrovo, Slovensko]. – text. – [angličtina]. – [OV 160]. – [abstrakt z podujatia - KP]. – [recenzované]. – WOS CC In: DIVAI 2018 [textový dokument (print)] [elektronický dokument] : 12th International Scientific Conference on Distance Learning in Applied Informatics / Turčáni, Milan [Zostavovateľ, editor] ; Balogh, Zoltán [Zostavovateľ, editor] ; Munk, Michal [Zostavovateľ, editor] ; Kapusta, Jozef [Zostavovateľ, editor] ; Benko, Ľubomír [Zostavovateľ, editor]. – 1. vyd. – Praha (Česko) : Wolters Kluwer, 2018. – ISBN 978-80-7598-059-5. – ISSN 2464-7470. – ISSN (online) 2464-7489, s. 379-386 [online] [tlačená forma] </t>
  </si>
  <si>
    <t xml:space="preserve">On English for the Automotive Industry Course Curriculum Development / Csalová, Oľga [Autor, UKFFFAJZC, 100%] ; FORLANG 2019 [06.06.2019-07.06.2019, Košice, Slovensko]. – text. – [angličtina]. – [OV 010]. – [abstrakt z podujatia - KP] In: FORLANG [elektronický dokument] : cudzie jazyky v akademickom prostredí. Periodický zborník vedeckých príspevkov a odborných článkov z medzinárodnej vedeckej konferencie konanej 6. - 7. júna 2019 / Kaščáková, Eva [Zostavovateľ, editor] ; Kožaríková, Henrieta [Zostavovateľ, editor]. – 1. vyd. – Roč. 7, č. 1. – Košice (Slovensko) : Technická univerzita v Košiciach, 2019. – ISBN 978-80-553-3398-4. – ISSN 1338-5496. – SIGN-TUKE 210848, s. 151-158 [DVD] </t>
  </si>
  <si>
    <t xml:space="preserve">On the Cinderella-like Status of Popular Culture within the Framework of Aesthetic Thought / Boszorád, Martin [Autor, UKFFFAULK, 100%] ; Estetika centra a periférie - centrum a periféria estetiky [23.10.2019-25.10.2019, Bratislava, Slovensko]. – text. – [slovenčina]. – [OV 020]. – [abstrakt z podujatia - KP] In: Estetika centra a periférie - centrum a periféria estetiky [textový dokument (print)] / Pašteková, Michaela [Zostavovateľ, editor] ; Brezňan, Peter [Zostavovateľ, editor] ; Jablonská, Beata [Recenzent] ; Komanická, Ivana [Recenzent]. – 1. vyd. – Bratislava (Slovensko) : Slovenská asociácia pre estetiku, 2020. – ISBN 978-80-972624-3-3, s. 125-133 [tlačená forma] </t>
  </si>
  <si>
    <t xml:space="preserve">Opakovanie od podlahy / Kratochvil, Martin [Autor, UKFPFAKVV, 100%] ; Nonartificiálna hudba v edukácii 2020 [22.09.2020-25.09.2020, Nitra, Slovensko]. – text. – [slovenčina]. – [OV 010]. – [abstrakt z podujatia - KP] In: Nonartificiálna hudba v edukácii 2 [elektronický dokument] : zborník príspevkov z webovej konferencie Nonartificiálna hudba v edukácii 2020 / Štrbák Pandiová, Iveta [Zostavovateľ, editor] ; Barilíková-Spišáková, Lenka [Recenzent] ; Račić Derner, Klaudia [Recenzent]. – 1. vyd. – Nitra (Slovensko) : Univerzita Konštantína Filozofa v Nitre. Pedagogická fakulta UKF, 2020. – ISBN 978-80-558-1628-9, s. 40-48 [online] [CD-ROM] </t>
  </si>
  <si>
    <t xml:space="preserve">Optimalizácia tréningového zaťaženia v ročnom tréningovom cykle u chodca na 50 km s výkonnosťou 3:40:00 hod / Broďáni, Jaroslav [Autor, UKFPFAKTV, 80%] ; Tóth, Matej [Autor, 10%] ; Spišiak, Matej [Autor, UKFPFAKTV, 10%] ; Pupiš, Martin [Recenzent] ; Šutka, Vladimír [Recenzent] ; Atletika 2018 [29.11.2018, Nitra, Slovensko]. – text. – [slovenčina]. – [OV 210]. – [abstrakt z podujatia - KP] In: Atletika 2018 [textový dokument (print)] : zborník z medzinárodnej vedeckej konferencie v Nitre 29.11.2018 / Broďáni, Jaroslav [Zostavovateľ, editor]. – 1. vyd. – Nitra (Slovensko) : Univerzita Konštantína Filozofa v Nitre, 2018. – ISBN 978-80-558-1356-1, s. 18-30 [tlačená forma] </t>
  </si>
  <si>
    <t xml:space="preserve">Organová tvorba vybraných slovenských skladateľov 20. storočia / Štrbák, Marek [Autor, UKFPFAKHU, 100%] ; Horizonty umenia, 8 [10.09.2021-15.09.2021, Banská Bystrica, Slovensko]. – text. – [slovenčina]. – [OV 010]. – [abstrakt z podujatia - KP] In: Horizonty umenia 8 [textový dokument (print)] : Zborník príspevkov z medzinárodnej vedeckej webovej konferencie 10.9.2021-15.9.2021 / Strenáčiková, Mária [Zostavovateľ, editor] ; Kolodziejski, Maciej [Recenzent] ; Dushnyi, Andrij [Recenzent] ; Janek, Marián [Recenzent]. – 1. vyd. – Roč. 8. – Banská Bystrica (Slovensko) : Akadémia umení. Fakulta múzických umení, 2021. – ISBN 978-80-8206-049-5, s. 156-164 [tlačená forma] </t>
  </si>
  <si>
    <t xml:space="preserve">Osamelý bežec v premenách času a poézie. Ivan Štrpka: Fragment (rytierskeho) lesa / Rédey, Zoltán [Autor, UKFFFAULK, 100%] ; Káša, Peter [Recenzent] ; Machala, Lubomír [Recenzent] ; K poetologickým a axiologickým aspektom slovenskej literatúry po roku 2000, 5 [27.11.2017-28.11.2017, Prešov, Slovensko]. – text. – [slovenčina]. – [OV 020]. – [abstrakt z podujatia - KP] In: K poetologickým a axiologickým aspektom slovenskej literatúry po roku 2000 (V) [textový dokument (print)] : zborník materiálov z medzinárodnej vedeckej konferencie, konanej 27.-28. novembra 2017 na FF PU v Prešove / Součková, Marta [Zostavovateľ, editor]. – 1. vyd. – Prešov (Slovensko) : Prešovská univerzita v Prešove. Filozofická fakulta, 2018. – (Opera Litteraria). – ISBN 978-80-555-2072-8. – SIGN-PU FF 350/18, s. 81-96 [tlačená forma] </t>
  </si>
  <si>
    <t xml:space="preserve">Osídlenie Zvolenskej kotliny v praveku : Settlement of the Zvolenska kotlina basin in Prehistory / Beljak Pažinová, Noémi [Autor, UKFFFAKAR, 100%] ; Repka, Dominik [Recenzent] ; Ruttkay, Alexander [Recenzent] ; Stredné Slovensko v stredoveku [14.09.2018, Zvolen, Slovensko]. – text. – [slovenčina]. – [OV 030]. – [abstrakt z podujatia - KP] In: Stredné Slovensko v stredoveku [textový dokument (print)] : vývoj osídlenia regiónu pred udelením mestských privilégií mestu Zvolen / Beljak Pažinová, Noémi [Zostavovateľ, editor] ; Borzová, Zuzana [Zostavovateľ, editor]. – 1. vyd. – Zvolen (Slovensko) : Mesto Zvolen, 2018. – ISBN 978-80-570-0554-4, s. 6-33 [tlačená forma] </t>
  </si>
  <si>
    <t xml:space="preserve">Partenogenetická aktivácia oocytov ošípanej v in vitro podmienkach / Bartková, Alexandra [Autor, UKFFPVKBG, 100%] ; Študentská vedecká konferencia 2018 [21.03.2018, Nitra, Slovensko]. – text. – [slovenčina]. – [OV 130]. – [abstrakt z podujatia - KP] In: Študentská vedecká konferencia 2018 [textový dokument (print)] : zborník recenzovaných príspevkov z konferencie v Nitre 21. 03.2018 / Siládi, Vladimir [Zostavovateľ, editor] ; Račáková, Slavka [Zostavovateľ, editor] ; Voštinár, Patrik [Recenzent] ; Trajteľ, Ľudovít [Recenzent] ; Suchý, Jozef [Recenzent] ; Vagač, Michal [Recenzent] ; Melicherčík, Miroslav [Recenzent]. – 1. vyd. – 2018 (Slovensko) : Univerzita Konštantína Filozofa v Nitre, 2018. – ISBN 978-80-557-1415-8, s. 11-16 [tlačená forma] </t>
  </si>
  <si>
    <t xml:space="preserve">Pavúky ako modelové živočíchy hodnotenia disturbancie záhrad / Ondrejková, Natália [Autor, 50%] ; Purgat, Pavol [Autor, UKFFPVKEE, 50%] ; Študentská vedecká konferencia 2019, 3 [09.04.2019, Banská Bystrica, Slovensko]. – text. – [slovenčina]. – [OV 100]. – [abstrakt z podujatia - KP] In: Študentská vedecká konferencia 2019 [elektronický dokument] : zborník recenzovaných príspevkov, Banská Bystrica 9. apríla 2019 / Francisti, Jan [Zostavovateľ, editor] ; Zverková, Katarína [Zostavovateľ, editor] ; Omelka, Radoslav [Zostavovateľ, editor]. – 1. vyd. – Nitra (Slovensko) : Univerzita Konštantína Filozofa v Nitre ; Banská Bystrica (Slovensko) : Univerzita Mateja Bela v Banskej Bystrici, 2019. – ISBN 978-80-558-1433-9, s. 41-46 [online] </t>
  </si>
  <si>
    <t xml:space="preserve">Pedagogická prax z pohľadu súčasnej doby / Kajanová, Veronika [Autor, 50%] ; Jenisová, Zita [Autor, UKFFPVKCH, 50%] ; Inovatívne trendy v odborových didaktikách [21.11.2018, Nitra, Slovensko]. – text. – [slovenčina]. – [OV 010]. – [abstrakt z podujatia - KP] In: Inovatívne trendy v odborových didaktikách [textový dokument (print)] : prepojenie teórie a praxe výučbových stratégií kritického a tvorivého myslenia : zborník štúdií z medzinárodnej vedeckej konferencie, Nitra 21. november 2018 / Duchovičová, Jana [Zostavovateľ, editor] ; Hošová, Dominika [Zostavovateľ, editor] ; Koleňáková, Rebeka Štefánia [Zostavovateľ, editor] ; Bílek, Martin [Recenzent] ; Komora, Juraj [Recenzent]. – 1. vyd. – Nitra (Slovensko) : Univerzita Konštantína Filozofa v Nitre, 2019. – ISBN 978-80-558-1408-7, s. 309-315 [tlačená forma] </t>
  </si>
  <si>
    <t xml:space="preserve">Percepcia ženského tela v reklame u dospievajúcich v období strednej a neskorej adolescencie / Bulanda, Ivana [Autor, UKFFFAKMR, 80%] ; Dubovická, Ivana [Autor, 20%] ; Fichnová, Katarína [Recenzent] ; Inštitorisová, Dagmar [Recenzent] ; Nové výzvy masmediálnej a marketingovej komunikácie, 7 [04.12.2017, Nitra, Slovensko]. – text. – [slovenčina]. – [OV 060]. – [abstrakt z podujatia - KP] In: Nové výzvy masmediálnej a marketingovej komunikácie 7 [elektronický dokument] : recenzovaný zborník príspevkov zo 7. ročníka vedecko - odborného seminára / Schlosserová, Zuzana [Zostavovateľ, editor] ; Balážiová, Iveta [Zostavovateľ, editor]. – 1. vyd. – Nitra (Slovensko) : Univerzita Konštantína Filozofa v Nitre, 2018. – ISBN 978-80-558-1315-8, s. 23-30 [CD-ROM] </t>
  </si>
  <si>
    <t xml:space="preserve">Periféria a centrum vo výtvarnej tvorbe, recepcii a inštitucionálnej distribúcii. Motívy a súvislosti / Kapsová, Eva [Autor, UKFFFAULK, 100%] ; Estetika centra a periférie - centrum a periféria estetiky [23.10.2019-25.10.2019, Bratislava, Slovensko]. – text. – [slovenčina]. – [OV 020]. – [abstrakt z podujatia - KP] In: Estetika centra a periférie - centrum a periféria estetiky [textový dokument (print)] / Pašteková, Michaela [Zostavovateľ, editor] ; Brezňan, Peter [Zostavovateľ, editor] ; Jablonská, Beata [Recenzent] ; Komanická, Ivana [Recenzent]. – 1. vyd. – Bratislava (Slovensko) : Slovenská asociácia pre estetiku, 2020. – ISBN 978-80-972624-3-3, s. 281-291 [tlačená forma] </t>
  </si>
  <si>
    <t xml:space="preserve">Periodizácia športovej prípravy Mateja Tótha na Majstrovstvá Európy 2018 v chôdzi na 50 km / Broďáni, Jaroslav [Autor, UKFPFAKTV, 98%] ; Tóth, Matej [Autor, 1%] ; Spišiak, Matej [Autor, UKFPFAKTV, 1%] ; Jančoková, Ľudmila [Recenzent] ; Pupiš, Martin [Recenzent] ; Kondičný tréning v roku 2018 [22.11.2018, Banská Bystrica, Slovensko]. – text. – [slovenčina]. – [OV 210]. – [abstrakt z podujatia - KP] In: Kondičný tréning v roku 2018 [textový dokument (print)] : recenzovaný zborník z medzinárodnej vedeckej konferencie / Pupiš, Martin [Zostavovateľ, editor] ; Pupišová, Zuzana [Zostavovateľ, editor]. – 1. vyd. – Banská Bystrica (Slovensko) : Slovenská asociácia kondičných trénerov ; Univerzita Mateja Bela v Banskej Bystrici. Filozofická fakulta. Katedra telesnej výchovy a športu, 2018. – ISBN 978-80-8141-196-0, s. 110-120 [tlačená forma] </t>
  </si>
  <si>
    <t xml:space="preserve">Petri Net Model of Student Choices in a LMS Moodle E-Course / Kuchárik, Michal [Autor, UKFFPVKIN, 34%] ; Balogh, Zoltán [Autor, UKFFPVKIN, 33%] ; Drozda, Martin [Autor, 035000, 33%] ; DIVAI 2018, 12 [02.05.2018-04.05.2018, Štúrovo, Slovensko]. – text. – [angličtina]. – [OV 160]. – [abstrakt z podujatia - KP]. – [recenzované]. – WOS CC In: DIVAI 2018 [textový dokument (print)] [elektronický dokument] : 12th International Scientific Conference on Distance Learning in Applied Informatics / Turčáni, Milan [Zostavovateľ, editor] ; Balogh, Zoltán [Zostavovateľ, editor] ; Munk, Michal [Zostavovateľ, editor] ; Kapusta, Jozef [Zostavovateľ, editor] ; Benko, Ľubomír [Zostavovateľ, editor]. – 1. vyd. – Praha (Česko) : Wolters Kluwer, 2018. – ISBN 978-80-7598-059-5. – ISSN 2464-7470. – ISSN (online) 2464-7489, s. 303-312 [online] [tlačená forma] </t>
  </si>
  <si>
    <t xml:space="preserve">Phonetic measures of speech rate and fluency assessments in read speech / Kleman, Peter [Autor, UKFFFAKAA, 100%] ; ICETA 2019, 17 [21.11.2019-22.11.2019, Starý Smokovec, Slovensko]. – text. – [angličtina]. – [OV 020]. – [abstrakt z podujatia - KP]. – SCO In: ICETA 2019 [elektronický dokument] [textový dokument (print)] : 17th IEEE International conference on emerging elearning technologies and applications : Information and communication technologies in learning : proceedings / Jakab, František [Zostavovateľ, editor]. – 1. vyd. – Denver (USA) : Institute of Electrical and Electronics Engineers, 2019. – ISBN 978-1-7281-4967-7. – ISBN (online) 978-1-7281-4966-0, s. 390-395 [tlačená forma] [USB kľúč] </t>
  </si>
  <si>
    <t xml:space="preserve">Phonetische Übungen als Mittel zur Verbesserung der deutschen Aussprache bei slowakischen Lernenden / Molnárová, Andrea [Autor, UKFFFAKMK, 100%] ; Synergien: 25 Jahre Germanistik und DAAD an der Philosoph Konstantin-Universität Nitra, 25 [27.04.2017-28.04.2017, Nitra, Slovensko]. – text. – [nemčina]. – [OV 020]. – [abstrakt z podujatia - KP]. – [recenzované] In: Synergien - 25 Jahre Germanistik und DAAD an der Philosoph Konstantin-Universität Nitra [textový dokument (print)] : Sammelband. Internationale wissenschaftliche Tagung / Krause, Daniel [Zostavovateľ, editor] ; Wrede, Oľga [Zostavovateľ, editor]. – 1. vyd. – Nitra (Slovensko) : Univerzita Konštantína Filozofa v Nitre, 2018. – ISBN 978-80-558-1305-9, s. 123-130 [tlačená forma] </t>
  </si>
  <si>
    <t xml:space="preserve">Plane, physical or dynamic representations of 3D objects. Which do you prefer when teaching solid geometry? / Vágová, Renáta [Autor, UKFFPVKMA, 100%] ; APLIMAT 2019, 18 [05.02.2019-07.02.2019, Bratislava, Slovensko]. – text. – [angličtina]. – [OV 240, 091]. – [abstrakt z podujatia - KP]. – SCO In: Aplimat 2019 [elektronický dokument] : 18th conference on Applied mathematics proceedings / Szarková, Dagmar [Zostavovateľ, editor] ; Richtáriková, Daniela [Zostavovateľ, editor] ; Letavaj, Peter [Zostavovateľ, editor] ; Caranti, Andrea [Recenzent] ; Chvalina, Jan [Recenzent]. – 1. vyd. – Bratislava (Slovensko) : Slovenská technická univerzita v Bratislave, 2019. – ISBN 978-80-227-4884-1, s. 1236-1250 [USB kľúč] </t>
  </si>
  <si>
    <t xml:space="preserve">Pluricentrikus nyelv és transzkulturális jelenségek Norbert György Klára címűregényében / Tóth, Anikó [Autor, UKFFSSUML, 100%] ; Vančo, Ildikó [Recenzent] ; Sánta, Szilárd [Recenzent] ; Transzkulturalizmus és bilingvizmus az irodalomban, 1 [06.11.2017-07.11.2017, Nitra, Slovensko]. – [maďarčina]. – [OV 020]. – [abstrakt z podujatia - KP] In: Transzkulturalizmus és bilingvizmus a közép-európai irodalmakban [textový dokument (print)] / Németh, Zoltán [Zostavovateľ, editor] ; Roguska, Magdaléna [Zostavovateľ, editor]. – 1. vyd. – Nitra (Slovensko) : Univerzita Konštantína Filozofa v Nitre, 2018. – ISBN 978-80-558-1338-7, s. 73-83 [tlačená forma] </t>
  </si>
  <si>
    <t xml:space="preserve">Pluricentrikus nyelv és transzkulturalizmus a kortárs határon túli magyar irodalmakban / Németh, Zoltán [Autor, UKFFSSUML, 100%] ; Vančo, Ildikó [Recenzent] ; Sánta, Szilárd [Recenzent] ; Transzkulturalizmus és bilingvizmus az irodalomban, 1 [06.11.2017-07.11.2017, Nitra, Slovensko]. – text. – [maďarčina]. – [OV 020]. – [abstrakt z podujatia - KP] In: Transzkulturalizmus és bilingvizmus a közép-európai irodalmakban [textový dokument (print)] / Németh, Zoltán [Zostavovateľ, editor] ; Roguska, Magdaléna [Zostavovateľ, editor]. – 1. vyd. – Nitra (Slovensko) : Univerzita Konštantína Filozofa v Nitre, 2018. – ISBN 978-80-558-1338-7, s. 59-72 [tlačená forma] </t>
  </si>
  <si>
    <t xml:space="preserve">Podiel improvizácie v hudobnej praxi a v hudobnodramatickej výchove / Tischler, Ladislav [Autor, UKFPFAKHU, 100%] ; Nonartificiálna hudba v edukácii [20.05.2019-24.05.2019, Nitra, Slovensko]. – text. – [slovenčina]. – [OV 010]. – [abstrakt z podujatia - KP] In: Nonartificiálna hudba v edukácii [elektronický dokument] : zborník príspevkov z elektronickej vedeckej konferencieu projektu KEGA – Nonartificiálna hudba vo vokálnej edukácii. Konferencia sa koná pod záštitou dekana Pedagogickej fakulty UKF v Nitre doc. PaedDr. Gábora Pintesa, PhD.  20. – 24. mája 2019 / Štrbák Pandiová, Iveta [Zostavovateľ, editor] ; Švajková, Tatiana [Recenzent] ; Ťahún Mendelová, Antónia [Recenzent]. – 1. vyd. – Nitra (Slovensko) : Univerzita Konštantína Filozofa v Nitre, 2019. – ISBN 978-80-558-1445-2, s. 52-59 [online] </t>
  </si>
  <si>
    <t xml:space="preserve">Podiel plaveckej výkonnosti na výsledkoch prijímacích skúšok na Katedre telesnej výchovy a športu Univerzity Konštantína Filozofa v Nitre / Kováčová, Natália [Autor, UKFPFAKTV, 90%] ; Broďáni, Jaroslav [Autor, UKFPFAKTV, 10%] ; Plávanie v kontexte edukácie a vedy [18.10.2019, Bratislava, Slovensko]. – text. – [slovenčina]. – [OV 010, 210]. – [abstrakt z podujatia - KP] In: Plávanie v kontexte edukácie a vedy [elektronický dokument] [textový dokument (print)] : zborník z vedeckej konferencie pri príležitosti životného jubilea doc. Dušana Jursíka, PhD. / Macejková, Yvetta [Zostavovateľ, editor] ; Benčuriková, Ľubomíra [Zostavovateľ, editor] ; Jurák, Daniel [Recenzent] ; Kutlík, Dušan [Recenzent]. – 1. vyd. – Bratislava (Slovensko) : Univerzita Komenského v Bratislave. Fakulta telesnej výchovy a športu UK, 2019. – ISBN 978-80-89075-84-3. – SIGN-UKO TV tv-20/165. – SIGN-UKO TV B 14.326, s. 59-68 [online] [CD-ROM] [tlačená forma] </t>
  </si>
  <si>
    <t xml:space="preserve">Podoby angažovanosti v súčasnej slovenskej poézii?! (Elementárny náčrt problematiky) / Lietavec, Tomáš [Autor, UKFFFAULK, 100%] ; K poetologickým a axiologickým aspektom slovenskej literatúry po roku 2000, 6 [21.11.2019-22.11.2019, Prešov, Slovensko]. – [slovenčina]. – [OV 020]. – [abstrakt z podujatia - KP] In: K poetologickým a axiologickým aspektom slovenskej literatúry po roku 2000 (VI) [textový dokument (print)] : zborník materiálov z medzinárodnej vedeckej konferencie, konanej 21. – 22. novembra 2019 na FF PU v Prešove / Součková, Marta [Zostavovateľ, editor] ; Gavura, Ján [Recenzent] ; Passia, Radoslav [Recenzent]. – 1. vyd. – Prešov (Slovensko) : Prešovská univerzita v Prešove. Filozofická fakulta, 2020. – (Opera Litteraria ; 12/2020). – ISBN 978-80-555-2561-7. – SIGN-PU FF-20 410/20, s. 175-194 [tlačená forma] </t>
  </si>
  <si>
    <t xml:space="preserve">Podpora celebritami v politickej komunikácii. Historická perspektíva = Celebrity Endorsement in Political Communication. Historical Perspective / Mikuláš, Peter [Autor, UKFFFAKMR, 50%] ; Mikulášová, Alena [Autor, UKFFFAKHI, 50%] ; Jazyk a politika, 4 [20.06.2019, Bratislava, Slovensko]. – [slovenčina]. – [OV 060, 030]. – [abstrakt z podujatia - KP] In: Jazyk a politika: na pomedzí lingvistiky a politológie (4) [textový dokument (print)] : zborník príspevkov zo 4. ročníka medzinárodnej vedeckej konferencie / Štefančík, Radoslav [Zostavovateľ, editor] ; Seresová, Katarína [Recenzent] ; Lišková, Danuša [Recenzent]. – 1. vyd. – Bratislava (Slovensko) : Ekonomická univerzita v Bratislave. Celouniverzitné pracovisko EUBA. Vydavateľstvo EKONÓM, 2019. – ISBN 978-80-225-4641-6, s. 483-492 [tlačená forma] </t>
  </si>
  <si>
    <t xml:space="preserve">Poetika a interpretácia lyriky : (o poetike básne Štefana Strážaya) / Rédey, Zoltán [Autor, UKFFFAULK, 100%] ; Hochel, Igor [Recenzent] ; Hermida de Blas, Alejandro [Recenzent] ; Poetika poézie a jej prekladu [07.12.2017-08.12.2017, Bratislava, Slovensko]. – text. – [slovenčina]. – [OV 020]. – [abstrakt z podujatia - KP] In: Poetika poézie a jej prekladu [textový dokument (print)] : venované životnému výročiu básnika, literárneho vedca a prekladateľa Jána Zambora / Bokníková, Andrea [Zostavovateľ, editor] ; Tollarovič, Peter [Zostavovateľ, editor]. – 1. vyd. – Bratislava (Slovensko) : Univerzita Komenského v Bratislave, 2018. – ISBN 978-80-223-4638-2. – SIGN-UKO FI 44/18 SL, s. 275-282 [tlačená forma] </t>
  </si>
  <si>
    <t xml:space="preserve">Poetika opotrebovanosti / Baďová, Petra [Autor, UKFFFAULK, 100%] ; Boszorád, Martin [Recenzent] ; Migašová, Jana [Recenzent] ; Pragmatické dimenzie umenia a estetiky [19.09.2017-21.09.2017, Bratislava, Slovensko]. – text. – [slovenčina]. – [OV 020]. – [abstrakt z podujatia - KP] In: Pragmatické dimenzie umenia a estetiky [textový dokument (print)] : zborník príspevkov z medzinárodnej konferencie Pragmatické dimenzie umenia a estetiky, ktorá sa konala v dňoch 19. až 21. septembra 2017 / Pašteková, Michaela [Zostavovateľ, editor] ; Debnár, Marek [Zostavovateľ, editor]. – 1. vyd. – Bratislava (Slovensko) : Slovenská asociácia pre estetiku, 2018. – ISBN 978-80-972624-1-9, s. 184-193 [tlačená forma] </t>
  </si>
  <si>
    <t xml:space="preserve">Pohybová aktivita u 11.-15. ročných detí v Západoslovenskom kraji / Halmová, Nora [Autor, UKFPFAKTV, 34%] ; Kanásová, Janka [Autor, UKFPFAKTV, 33%] ; Korimová, Libuša [Autor, 33%] ; Sport science in motion [05.09.2019-07.09.2019, Komárno, Slovensko]. – text. – [slovenčina, angličtina]. – [OV 210]. – [abstrakt z podujatia - KP] In: Sport science in motion [elektronický dokument] : proceedings from the scientific conference, Komárno, September 5th – 7th, 2019 = zborník vedeckých a odborných prác z vedeckej konferencie = válogatott tanulmánykötet – válogatott tanulmányok a tudományos konferenciáról / Šimonek, Jaromír [Zostavovateľ, editor] ; Dobay, Beáta [Zostavovateľ, editor] ; Chovanová, Erika [Recenzent] ; Vojtaško, Ľuboš [Recenzent] ; Holienka, Miroslav [Recenzent]. – 1. vyd. – Komárno (Slovensko) : Univerzita J. Selyeho, 2019. – ISBN 978-80-8122-304-4, s. 101-110 [CD-ROM] </t>
  </si>
  <si>
    <t xml:space="preserve">Pohybové stvárnenie vybraných častí suity Karneval zvierat / Hubinská, Zuzana [Autor, UKFPFAKHU, 100%] ; Kmeťová, Jarmila [Recenzent] ; Bírová, Jana [Recenzent] ; Inovatívne trendy v odborových didaktikách v kontexte požiadaviek praxe [13.11.2017-14.11.2017, Nitra, Slovensko]. – text. – [slovenčina]. – [OV 010]. – [abstrakt z podujatia - KP] In: Inovatívne trendy v odborových didaktikách v kontexte požiadaviek praxe [elektronický dokument] : zborník štúdií z medzinárodnej vedeckej konferencie / Duchovičová, Jana [Zostavovateľ, editor] ; Gunišová, Denisa [Zostavovateľ, editor] ; Kozárová, Nina [Zostavovateľ, editor] ; Koleňáková, Rebeka Štefánia [Zostavovateľ, editor]. – 1. vyd. – Nitra (Slovensko) : Univerzita Konštantína Filozofa v Nitre. Pedagogická fakulta UKF, 2018. – ISBN 978-80-558-1277-9, s. 376-379 [online] </t>
  </si>
  <si>
    <t xml:space="preserve">Pohybový režim žiakov stredného školského veku v regióne Orava / Baranová, Petra [Autor, 50%] ; Šimonek, Jaromír [Autor, UKFPFAKTV, 50%] ; Sport science in motion [05.09.2019-07.09.2019, Komárno, Slovensko]. – text. – [slovenčina, angličtina]. – [OV 210]. – [abstrakt z podujatia - KP] In: Sport science in motion [elektronický dokument] : proceedings from the scientific conference, Komárno, September 5th – 7th, 2019 = zborník vedeckých a odborných prác z vedeckej konferencie = válogatott tanulmánykötet – válogatott tanulmányok a tudományos konferenciáról / Šimonek, Jaromír [Zostavovateľ, editor] ; Dobay, Beáta [Zostavovateľ, editor] ; Chovanová, Erika [Recenzent] ; Vojtaško, Ľuboš [Recenzent] ; Holienka, Miroslav [Recenzent]. – 1. vyd. – Komárno (Slovensko) : Univerzita J. Selyeho, 2019. – ISBN 978-80-8122-304-4, s. 111-129 [CD-ROM] </t>
  </si>
  <si>
    <t xml:space="preserve">Ponuka edukačných aktivít pre inštitucionalizovaných dospelých a seniorov so zdravotným postihnutím v Nitrianskom kraji / Határ, Ctibor [Autor, UKFPFAKPE, 100%] ; Kuril, Jozef [Recenzent] ; Krystoň, Miroslav [Recenzent] ; Vzdelávanie dospelých v regionálnom kontexte [15.11.2017, Bratislava, Slovensko]. – [slovenčina]. – [OV 010]. – [abstrakt z podujatia - KP] In: Vzdelávanie dospelých v regionálnom kontexte [textový dokument (print)] : zborník vedeckých štúdií z konferencie, konanej v Bratislave dňa 15.11.2017 / Prusáková, Viera [Zostavovateľ, editor] ; Matúšová, Silvia [Zostavovateľ, editor]. – 1. vyd. – Bratislava (Slovensko) : Vysoká škola ekonómie a manažmentu verejnej správy v Bratislave, 2018. – ISBN 978-80-89654-40-6, s. 267-276 [tlačená forma] </t>
  </si>
  <si>
    <t xml:space="preserve">Pornografia v literatúre ako recepčný problém / Žiak, Peter [Autor, UKFFFAKTR, 100%] ; Estetika centra a periférie - centrum a periféria estetiky [23.10.2019-25.10.2019, Bratislava, Slovensko]. – text. – [slovenčina]. – [OV 020]. – [abstrakt z podujatia - KP] In: Estetika centra a periférie - centrum a periféria estetiky [textový dokument (print)] / Pašteková, Michaela [Zostavovateľ, editor] ; Brezňan, Peter [Zostavovateľ, editor] ; Jablonská, Beata [Recenzent] ; Komanická, Ivana [Recenzent]. – 1. vyd. – Bratislava (Slovensko) : Slovenská asociácia pre estetiku, 2020. – ISBN 978-80-972624-3-3, s. 319-327 [tlačená forma] </t>
  </si>
  <si>
    <t xml:space="preserve">Porovnanie frazém v slovenčine a v angličtine z aspektu jazykového obrazu sveta / Rendárová, Mária [Autor, UKFFFAKSJ, 100%] ; Kolokvium mladých jazykovedcov, 28 [20.11.2019-22.11.2019, Nitra, Slovensko]. – text. – [slovenčina]. – [OV 020, 010]. – [abstrakt z podujatia - KP] In: Varia 28 [elektronický dokument] : zborník príspevkov z 28. kolokvia mladých jazykovedcov / Nemčeková, Jana [Zostavovateľ, editor] ; Petráš, Patrik [Zostavovateľ, editor] ; Krško, Jaromír [Recenzent] ; Diweg-Pukanec, Martin [Recenzent]. – 1. vyd. – Nitra (Slovensko) : Univerzita Konštantína Filozofa v Nitre, 2020. – ISBN 978-80-558-1632-6, s. 223-227 [online] </t>
  </si>
  <si>
    <t xml:space="preserve">Porovnanie inteligencie u detí s narušenou komunikačnou schopnosťou, poruchou pozornosti s hyperaktivitou a špecifickými poruchami učenia / Jančiarová, Mária [Autor, UKFFSVKPV, 50%] ; Popelková, Marta [Autor, UKFFSVKPV, 50%] ; Školská psychológia 2018 [17.10.2018-18.10.2018, Košice, Slovensko]. – text. – [slovenčina]. – [OV 010]. – [abstrakt z podujatia - KP] In: Školská psychológia 2018 - história a perspektívy [elektronický dokument] : zborník príspevkov z medzinárodnej vedeckej konferencie / Kačmár, Pavol [Zostavovateľ, editor] ; Mesárošová, Margita [Zostavovateľ, editor] ; Lovaš, Ladislav [Zostavovateľ, editor] ; Babinčák, Peter [Recenzent] ; Búgelová, Tatiana [Recenzent]. – 1. vyd. – Košice (Slovensko) : Univerzita Pavla Jozefa Šafárika v Košiciach, 2019. – ISBN 978-80-8152-742-5. – sign UPJS FSEP 010341, s. 150-158 [online] </t>
  </si>
  <si>
    <t xml:space="preserve">Porovnanie prípravy vrcholovej chodkyne pripravujúcej sa na 20 km a 50 km / Pupiš, Martin [Autor, UMBFF09, 34%] ; Czaková, Mária [Autor, UMBFF09, 33%] ; Spišiak, Matej [Autor, UKFPFAKTV, 33%] ; Atletika 2018 [29.11.2018, Nitra, Slovensko]. – text. – [slovenčina]. – [OV 210]. – [abstrakt z podujatia - KP] In: Atletika 2018 [textový dokument (print)] : zborník z medzinárodnej vedeckej konferencie v Nitre 29.11.2018 / Broďáni, Jaroslav [Zostavovateľ, editor] ; Pupiš, Martin [Recenzent] ; Šutka, Vladimír [Recenzent]. – 1. vyd. – Nitra (Slovensko) : Univerzita Konštantína Filozofa v Nitre, 2018. – ISBN 978-80-558-1356-1, s. 38-45 [tlačená forma] </t>
  </si>
  <si>
    <t xml:space="preserve">Postavenie učiteľa v kontexte súčasnej edukácie / Valachová, Zuzana [Autor, 33.334%] ; Jenisová, Zita [Autor, UKFFPVKCH, 33.333%] ; Braniša, Jana [Autor, UKFFPVKCH, 33.333%] ; Kmeťová, Jarmila [Recenzent] ; Bírová, Jana [Recenzent] ; Inovatívne trendy v odborových didaktikách v kontexte požiadaviek praxe [13.11.2017-14.11.2017, Nitra, Slovensko]. – text. – [slovenčina]. – [OV 010]. – [abstrakt z podujatia - KP] In: Inovatívne trendy v odborových didaktikách v kontexte požiadaviek praxe [elektronický dokument] : zborník štúdií z medzinárodnej vedeckej konferencie / Duchovičová, Jana [Zostavovateľ, editor] ; Gunišová, Denisa [Zostavovateľ, editor] ; Kozárová, Nina [Zostavovateľ, editor] ; Koleňáková, Rebeka Štefánia [Zostavovateľ, editor]. – 1. vyd. – Nitra (Slovensko) : Univerzita Konštantína Filozofa v Nitre. Pedagogická fakulta UKF, 2018. – ISBN 978-80-558-1277-9, s. 429-434 [online] </t>
  </si>
  <si>
    <t xml:space="preserve">Postmoderné hľadanie transcendencie v perspektíve morálnej cnosti religio : parciálne reflexie problematiky siekt = Postmodern Quest for Transcendence in the Perspective of the Moral Virtue Religio / Blaščíková, Andrea [Autor, UKFFFAKNS, 100%] ; Religiozita, spiritualita a alternatívne náboženské hnutia [27.11.2019, Nitra, Slovensko]. – text. – [slovenčina]. – [OV 020]. – [abstrakt z podujatia - KP] In: Religiozita, spiritualita a alternatívne náboženské hnutia [textový dokument (print)] : zborník z medzinárodnej vedeckej konferencie, konanej v Nitre dňa 27. novembra 2019,  organizovanej ako súčasť riešenia grantového projektu APVV 17-0158 Perspektívy vývoja súčasnej religiozity na Slovensku / Kondrla, Peter [Zostavovateľ, editor] ; Šuráb, Marian [Recenzent] ; Hlad, Ľubomír [Recenzent]. – 1. vyd. – Nitra (Slovensko) : Univerzita Konštantína Filozofa v Nitre, 2020. – ISBN 978-80-558-1595-4, s. 165-172 [tlačená forma] </t>
  </si>
  <si>
    <t xml:space="preserve">Postoje a skúsenosti s bádateľským vyučovaním učiteľov prírodovedných a technických predmetov v podmienkach slovenských škôl / Tkáčová, Zuzana [Autor, UKFPFAKTT, 100%] ; Inovatívne trendy v odborových didaktikách [21.11.2018, Nitra, Slovensko]. – text. – [slovenčina]. – [OV 010]. – [abstrakt z podujatia - KP] In: Inovatívne trendy v odborových didaktikách [textový dokument (print)] : prepojenie teórie a praxe výučbových stratégií kritického a tvorivého myslenia : zborník štúdií z medzinárodnej vedeckej konferencie, Nitra 21. november 2018 / Duchovičová, Jana [Zostavovateľ, editor] ; Hošová, Dominika [Zostavovateľ, editor] ; Koleňáková, Rebeka Štefánia [Zostavovateľ, editor] ; Bílek, Martin [Recenzent] ; Komora, Juraj [Recenzent]. – 1. vyd. – Nitra (Slovensko) : Univerzita Konštantína Filozofa v Nitre, 2019. – ISBN 978-80-558-1408-7, s. 141-147 [tlačená forma] </t>
  </si>
  <si>
    <t xml:space="preserve">Postoje Slovákov k zahraničným študentom na Slovensku / Hučková, Jana [Autor, UKFFFAKMK, 100%] ; Súčasné migrácie a ich reflexia v spoločenskom vedomí [22.09.2021-23.09.2021, Nitra, Slovensko]. – text. – [slovenčina]. – [OV 060]. – [abstrakt z podujatia - KP] In: Súčasné migrácie a ich reflexia v spoločenskom vedomí [textový dokument (print)] : zborník príspevkov z medzinárodnej vedeckej (online) konferencie v Nitre 22. - 23. septembra 2021 / Letavajová, Silvia [Zostavovateľ, editor] ; Čukan, Jaroslav [Recenzent] ; Lenč, Jozef [Recenzent] ; Hlinčíková, Miroslava [Recenzent]. – 1. vyd. – Nitra (Slovensko) : Univerzita Konštantína Filozofa v Nitre, 2021. – ISBN 978-80-558-1800-9, s. 178-198 [tlačená forma] </t>
  </si>
  <si>
    <t xml:space="preserve">Postoje žiakov primárneho vzdelávania k práci s mentálnymi mapami v edukačnom procese / Koleňáková, Rebeka Štefánia [Autor, UKFPFAKPE, 100%] ; Kmeťová, Jarmila [Recenzent] ; Bírová, Jana [Recenzent] ; Inovatívne trendy v odborových didaktikách v kontexte požiadaviek praxe [13.11.2017-14.11.2017, Nitra, Slovensko]. – text. – [slovenčina]. – [OV 010]. – [abstrakt z podujatia - KP] In: Inovatívne trendy v odborových didaktikách v kontexte požiadaviek praxe [elektronický dokument] : zborník štúdií z medzinárodnej vedeckej konferencie / Duchovičová, Jana [Zostavovateľ, editor] ; Gunišová, Denisa [Zostavovateľ, editor] ; Kozárová, Nina [Zostavovateľ, editor] ; Koleňáková, Rebeka Štefánia [Zostavovateľ, editor]. – 1. vyd. – Nitra (Slovensko) : Univerzita Konštantína Filozofa v Nitre. Pedagogická fakulta UKF, 2018. – ISBN 978-80-558-1277-9, s. 511-516 [online] </t>
  </si>
  <si>
    <t xml:space="preserve">Postoje žiakov základnej školy k vyučovacím predmetom Ekológia a chémia / Feszterová, Melánia [Autor, UKFFPVKCH, 50%] ; Gáliková, Lucia [Autor, 50%] ; Pucherová, Zuzana [Recenzent] ; Jakab, Imrich [Recenzent] ; Environmentálna výchova, vzdelávanie a osveta v Slovenskej republike [30.01.2018-31.01.2018, Nitra, Slovensko]. – text. – [slovenčina]. – [OV 010]. – [abstrakt z podujatia - KP] In: Environmentálna výchova, vzdelávanie a osveta v Slovenskej republike [textový dokument (print)] : zborník príspevkov z národnej konferencie / Nozdrovická, Jana [Zostavovateľ, editor] ; Petlušová, Viera [Zostavovateľ, editor]. – 1. vyd. – Nitra (Slovensko) : Univerzita Konštantína Filozofa v Nitre, 2018. – ISBN 978-80-558-1261-8, s. 54-69 [tlačená forma] </t>
  </si>
  <si>
    <t xml:space="preserve">Potenciál filozofie pre deti v podmienkach slovenského školstva so zameraním na rozvíjanie úrovne kritického a tvorivého myslenia / Borisová, Simona [Autor, UKFPFAKPE, 100%] ; Inovatívne trendy v odborových didaktikách [21.11.2018, Nitra, Slovensko]. – text. – [slovenčina]. – [OV 010]. – [abstrakt z podujatia - KP] In: Inovatívne trendy v odborových didaktikách [textový dokument (print)] : prepojenie teórie a praxe výučbových stratégií kritického a tvorivého myslenia : zborník štúdií z medzinárodnej vedeckej konferencie, Nitra 21. november 2018 / Duchovičová, Jana [Zostavovateľ, editor] ; Hošová, Dominika [Zostavovateľ, editor] ; Koleňáková, Rebeka Štefánia [Zostavovateľ, editor] ; Bílek, Martin [Recenzent] ; Komora, Juraj [Recenzent]. – 1. vyd. – Nitra (Slovensko) : Univerzita Konštantína Filozofa v Nitre, 2019. – ISBN 978-80-558-1408-7, s. 106-109 [tlačená forma] </t>
  </si>
  <si>
    <t xml:space="preserve">Potravinová pyramída ako príklad implementácie zdravého stravovania do každodenného života / Juríková, Tünde [Autor, UKFFSSUVP, 16.67%] ; Viczayová, Ildikó [Autor, UKFFSSUVP, 16.666%] ; Lehoťáková, Eva [Autor, UKFFSSUVP, 16.666%] ; Balla, Štefan [Autor, UKFFSSUVP, 16.666%] ; Fatrcová Šramková, Katarína [Autor, SPUFAP16, 16.666%] ; Schwarzová, Marianna [Autor, SPUFAP16, 16.666%] ; Inovatívne trendy v odborových didaktikách [21.11.2018, Nitra, Slovensko]. – text. – [slovenčina]. – [OV 190, 010]. – [abstrakt z podujatia - KP] In: Inovatívne trendy v odborových didaktikách [textový dokument (print)] : prepojenie teórie a praxe výučbových stratégií kritického a tvorivého myslenia : zborník štúdií z medzinárodnej vedeckej konferencie, Nitra 21. november 2018 / Duchovičová, Jana [Zostavovateľ, editor] ; Hošová, Dominika [Zostavovateľ, editor] ; Koleňáková, Rebeka Štefánia [Zostavovateľ, editor] ; Bílek, Martin [Recenzent] ; Komora, Juraj [Recenzent]. – 1. vyd. – Nitra (Slovensko) : Univerzita Konštantína Filozofa v Nitre, 2019. – ISBN 978-80-558-1408-7, s. 334-337 [tlačená forma] </t>
  </si>
  <si>
    <t xml:space="preserve">Potravinové preferencie zeleniny, ovocia, orechov a strukovín v gravidite v komparácií s prekoncepčným obdobím / Cabadajová, Mária [Autor, 30%] ; Fatrcová Šramková, Katarína [Autor, SPUFAP16, 30%] ; Schwarzová, Marianna [Autor, SPUFAP16, 30%] ; Juríková, Tünde [Autor, UKFFSSUVP, 10%] ; Valšíková-Frey, Magdaléna [Recenzent] ; Turianica, Ivan [Recenzent] ; Záhradníctvo 2018 [28.09.2018, Nitra, Slovensko]. – text. – [slovenčina]. – [OV 190, 010]. – [abstrakt z podujatia - KP] In: Záhradníctvo 2018 [elektronický dokument] : zborník vedeckých prác z workshopu v Nitre 28.09.2018 na CD nosiči / Jedlička, Jaroslav [Zostavovateľ, editor] ; Konc, Ľubomír [Zostavovateľ, editor]. – 1. vyd. – Nitra (Slovensko) : Slovenská poľnohospodárska univerzita v Nitre, 2018. – ISBN 978-80-552-1901-1. – ISBN (chybné) 978-80-552-1900-4, s. 214-225 [CD-ROM] </t>
  </si>
  <si>
    <t xml:space="preserve">Používanie technológií a vnímanie vzťahu ku škole dospievajúcimi v systéme nižšieho sekundárneho vzdelávania / Čerešník, Michal [Autor, UKFPFAKAP, 50%] ; Čerešníková, Miroslava [Autor, UKFFSVURS, 50%] ; Kaliská, Lada [Recenzent] ; Šramová, Blandína [Recenzent] ; Duševné zdravie a wellbeing virtuálnej generácie [21.11.2018, Bratislava, Slovensko]. – [slovenčina]. – [OV 010, 060]. – [abstrakt z podujatia - KP] In: Duševné zdravie a wellbeing virtuálnej generácie [textový dokument (print)] : zborník príspevkov z medzinárodnej vedeckej konferencie, 21.11.2018 / Gajdošová, Eva [Zostavovateľ, editor] ; Madro, Marek [Zostavovateľ, editor] ; Valihorová, Marta [Zostavovateľ, editor]. – 1. vyd. – Bratislava (Slovensko) : IPčko, 2018. – ISBN 978-80-971933-7-9. – PEVŠ 2018FAI0014, s. 195-204 [tlačená forma] </t>
  </si>
  <si>
    <t xml:space="preserve">Pozícia a budúcnosť tlačených novín = Position and future of print newspaper / Mierková, Dóra [Autor, UKFFSSUSJ, 100%] ; Megatrendy a médiá 2021 [21.04.2021, Trnava, Slovensko]. – [slovenčina]. – [OV 020]. – [abstrakt z podujatia - KP] In: Megatrendy a médiá 2021: Home Officetainment [textový dokument (print)] [elektronický dokument] / Brník, Andrej [Zostavovateľ, editor] ; Graca, Martin [Zostavovateľ, editor] ; Prostináková Hossová, Monika [Zostavovateľ, editor] ; Solík, Martin [Zostavovateľ, editor] ; Mináriková, Juliána [Recenzent] ; Gajdka, Krzysztof [Recenzent]. – 1. vyd. – Trnava (Slovensko) : Univerzita sv. Cyrila a Metoda v Trnave. Fakulta masmediálnej komunikácie, 2021. – ISBN 978-80-572-0184-7, s. 92-101 [tlačená forma] [online] </t>
  </si>
  <si>
    <t xml:space="preserve">Pozoruhodné nálezy pavúkovcov na Slovensku ako dopad medzinárodného transportu / Ondrejková, Natália [Autor, UKFFPVKEE, 50%] ; Purgat, Pavol [Autor, UKFFPVKEE, 50%] ; Študentská vedecká konferencia 2020, 6 [07.04.2020, Nitra, Slovensko]. – text. – [slovenčina]. – [OV 160]. – [abstrakt z podujatia - KP] In: Študentská vedecká konferencia 2020 [elektronický dokument] : zborník recenzovaných príspevkov [zo zrušenej študentskej vedeckej konferencie s plánovaným termínom konania 7.4.2020 v Nitre] / Spišiak, Ján [Zostavovateľ, editor] ; Račáková, Slavka [Zostavovateľ, editor] ; Voštinár, Patrik [Recenzent] ; Melicherčík, Miroslav [Recenzent]. – 1. vyd. – Banská Bystrica (Slovensko) : Univerzita Mateja Bela v Banskej Bystrici ; Nitra (Slovensko) : Univerzita Konštantína Filozofa v Nitre, 2020. – ISBN 978-80-557-1733-3, s. 105-108 [online] </t>
  </si>
  <si>
    <t xml:space="preserve">Požičaná planéta - moderná učebnica pre environmentálnu výchovu / Blaško, Jaroslav [Autor, 50%] ; Jakab, Imrich [Autor, UKFFPVKEE, 50%] ; Petlušová, Viera [Recenzent] ; Petluš, Peter [Recenzent] ; Environmentálna výchova, vzdelávanie a osveta v Slovenskej republike [30.01.2018-31.01.2018, Nitra, Slovensko]. – text. – [slovenčina]. – [OV 100]. – [abstrakt z podujatia - KP] In: Environmentálna výchova, vzdelávanie a osveta v Slovenskej republike [textový dokument (print)] : zborník príspevkov z národnej konferencie / Nozdrovická, Jana [Zostavovateľ, editor] ; Petlušová, Viera [Zostavovateľ, editor]. – 1. vyd. – Nitra (Slovensko) : Univerzita Konštantína Filozofa v Nitre, 2018. – ISBN 978-80-558-1261-8, s. 36-42 [tlačená forma] </t>
  </si>
  <si>
    <t xml:space="preserve">Pôvodný slovenský muzikál v réžii Martina Kákoša / Sondorová, Dominika [Autor, UKFPFAKHU, 100%] ; Horizonty umenia, 6 [20.10.2019-01.11.2019, Banská Bystrica, Slovensko]. – text. – [slovenčina]. – [OV 010]. – [abstrakt z podujatia - KP] In: Horizonty umenia 6 [elektronický dokument] : zborník príspevkov z medzinárodnej vedeckej webovej konferencie / Strenáčiková, Mária [Zostavovateľ, editor] ; Kolodziejski, Maciej [Recenzent] ; Dushniy, Andriy Ivanovich [Recenzent]. – 1. vyd. – Banská Bystrica (Slovensko) : Akadémia umení, 2019. – ISBN 978-80-8206-028-0, s. 436-450 [CD-ROM] </t>
  </si>
  <si>
    <t xml:space="preserve">Práca s filozofickým textom - súčasť univerzitnej prípravy budúcich učiteľov občianskej náuky / Predanocyová, Ľubica [Autor, UKFFFAKFI, 100%] ; Kritické myslenie a filozofická reflexia v edukácii [15.01.2019, Banská Bystrica, Slovensko]. – text. – [slovenčina]. – [OV 020]. – [abstrakt z podujatia - KP] In: Kritické myslenie a filozofická reflexia v edukácii [elektronický dokument] : zborník štúdií z vedeckého kolokvia / Kaliský, Ján [Zostavovateľ, editor] ; Javorská, Andrea [Recenzent] ; Platková Olejárová, Gabriela [Recenzent]. – 1. vyd. – Banská Bystrica (Slovensko) : Univerzita Mateja Bela v Banskej Bystrici. Vydavateľstvo Univerzity Mateja Bela v Banskej Bystrici - Belianum, 2020. – ISBN 978-80-557-1673-2, s. 79-92 [online] </t>
  </si>
  <si>
    <t xml:space="preserve">Práca s literárnym textom v odbornej jazykovej príprave cudzincov / Vančo, Dominik [Autor, UKFFFASJL, 100%] ; Odborný cudzí jazyk: teória a prax [18.12.2020, Nitra, Slovensko]. – text. – [slovenčina]. – [OV 020]. – [abstrakt z podujatia - KP] In: Odborný cudzí jazyk: teória a prax [textový dokument (print)] : zborník z medzinárodnej vedeckej konferencie / Zelenická, Elena [Zostavovateľ, editor] ; Timárová, Daniela [Recenzent] ; Kulíková, Terézia [Recenzent]. – 1. vyd. – Nitra (Slovensko) : Univerzita Konštantína Filozofa v Nitre. Filozofická fakulta, 2020. – ISBN 978-80-558-1608-1, s. 177-188 [tlačená forma] </t>
  </si>
  <si>
    <t xml:space="preserve">Pracovná spokojnosť ako faktor podporujúci stabilitu pracovnej sily / Petrová, Gabriela [Autor, UKFPFAKPE, 50%] ; Zimanová, Radka [Autor, UKFPFAKPE, 50%] ; Kuril, Jozef [Recenzent] ; Krystoň, Miroslav [Recenzent] ; Vzdelávanie dospelých v regionálnom kontexte [15.11.2017, Bratislava, Slovensko]. – [slovenčina]. – [OV 010]. – [abstrakt z podujatia - KP] In: Vzdelávanie dospelých v regionálnom kontexte [textový dokument (print)] : zborník vedeckých štúdií z konferencie, konanej v Bratislave dňa 15.11.2017 / Prusáková, Viera [Zostavovateľ, editor] ; Matúšová, Silvia [Zostavovateľ, editor]. – 1. vyd. – Bratislava (Slovensko) : Vysoká škola ekonómie a manažmentu verejnej správy v Bratislave, 2018. – ISBN 978-80-89654-40-6, s. 215-220 [tlačená forma] </t>
  </si>
  <si>
    <t xml:space="preserve">Pragmatika hudobnej enkulturácie : poznámky k estetickej výchove a vzdelávaniu inšpirované myslením Jozefa Kresánka / Beličová, Renáta [Autor, UKFFFAULK, 100%] ; Súradnice estetiky, umenia a kultúry, 5 [07.11.2019-08.11.2019, Prešov, Slovensko]. – text. – [slovenčina]. – [OV 020]. – [abstrakt z podujatia - KP] In: Súradnice estetiky, umenia a kultúry 5 [textový dokument (print)] [elektronický dokument] : estetická výchova a prax vyučovania estetiky v kontextoch európskeho estetického myslenia 19. a 20. storočia – dialóg s tradíciou a súčasné koncepcie / Kopčáková, Slávka [Zostavovateľ, editor] ; Štefková, Markéta [Recenzent] ; Zákutná, Sandra [Recenzent]. – 1. vyd. – Prešov (Slovensko) : Prešovská univerzita v Prešove. Filozofická fakulta, 2020. – (Opera Philosophica ; 25/2020) (Studia Aesthetica ; XX). – ISBN 978-80-555-2516-7. – ISBN (online) 978-80-555-2517-4. – SIGN-PU FF-20 290/20, s. 153-164 [tlačená forma] </t>
  </si>
  <si>
    <t xml:space="preserve">Pragmatika zmyslu básnického diela / Rédey, Zoltán [Autor, UKFFFAULK, 100%] ; Boszorád, Martin [Recenzent] ; Migašová, Jana [Recenzent] ; Pragmatické dimenzie umenia a estetiky [19.09.2017-21.09.2017, Bratislava, Slovensko]. – text. – [slovenčina]. – [OV 020]. – [abstrakt z podujatia - KP] In: Pragmatické dimenzie umenia a estetiky [textový dokument (print)] : zborník príspevkov z medzinárodnej konferencie Pragmatické dimenzie umenia a estetiky, ktorá sa konala v dňoch 19. až 21. septembra 2017 / Pašteková, Michaela [Zostavovateľ, editor] ; Debnár, Marek [Zostavovateľ, editor]. – 1. vyd. – Bratislava (Slovensko) : Slovenská asociácia pre estetiku, 2018. – ISBN 978-80-972624-1-9, s. 109-117 [tlačená forma] </t>
  </si>
  <si>
    <t xml:space="preserve">Praktická interpretácia tvorby umelca ako prostriedok rozvoja kritického myslenia a tvorivosti / Satková, Janka [Autor, UKFPFAKVV, 100%] ; Inovatívne trendy v odborových didaktikách [21.11.2018, Nitra, Slovensko]. – text. – [slovenčina]. – [OV 010]. – [abstrakt z podujatia - KP] In: Inovatívne trendy v odborových didaktikách [textový dokument (print)] : prepojenie teórie a praxe výučbových stratégií kritického a tvorivého myslenia : zborník štúdií z medzinárodnej vedeckej konferencie, Nitra 21. november 2018 / Duchovičová, Jana [Zostavovateľ, editor] ; Hošová, Dominika [Zostavovateľ, editor] ; Koleňáková, Rebeka Štefánia [Zostavovateľ, editor] ; Bílek, Martin [Recenzent] ; Komora, Juraj [Recenzent]. – 1. vyd. – Nitra (Slovensko) : Univerzita Konštantína Filozofa v Nitre, 2019. – ISBN 978-80-558-1408-7, s. 638-646 [tlačená forma] </t>
  </si>
  <si>
    <t xml:space="preserve">Praktické aspekty integrácie irackých utečencov na Slovensku / Janák, Miroslav [Autor, 30%] ; Morávková, Silvia [Autor, UKFFSVKSP, 40%] ; Šmitalová, Jana [Autor, 20%] ; Grofčíková, Anastázia [Autor, 10%] ; Gabura, Ján [Recenzent] ; Mojtová, Martina [Recenzent] ; Labor socialis - "Sociálna práca- profesia s perspektívou, profesia s poslaním" [20.09.2018, Nitra, Slovensko]. – text. – [slovenčina]. – [OV 060]. – [abstrakt z podujatia - KP] In: Labor socialis - "Sociálna práca- profesia s perspektívou, profesia s poslaním" [elektronický dokument] : recenzovaný zborník príspevkov z vedeckej konferencie s medzinárodnou účasťou, ktorá sa uskutočnila na Univerzite Konštantína Filozofa v Nitre dňa 20. septembra 2018 / Gažiková, Elena [Zostavovateľ, editor] ; Horáková, Magdaléna [Zostavovateľ, editor]. – 1. vyd. – Nitra (Slovensko) : Univerzita Konštantína Filozofa v Nitre, 2018. – ISBN 978-80-558-1367-7, s. 121-131 [CD-ROM] </t>
  </si>
  <si>
    <t xml:space="preserve">Pravda a post-pravda v ére klimatických zmien = Truth and Post-Truth in the Age of Climate Change / Sťahel, Richard [Autor, UKFFFAKFI, 100%] ; Javorská, Andrea [Recenzent] ; Jesenková, Adriana [Recenzent] ; Pravda. Teoretické a praktické kontexty [18.10.2017-20.10.2017, Smolenice, Slovensko]. – [slovenčina]. – [OV 020]. – [abstrakt z podujatia - KP] In: Pravda. Teoretické a praktické kontexty [textový dokument (print)] : zborník vedeckých príspevkov / Gáliková Tolnaiová, Sabína [Zostavovateľ, editor] ; Marchevský, Ondrej [Zostavovateľ, editor] ; Špirko, Dušan [Zostavovateľ, editor]. – 1. vyd. – Bratislava (Slovensko) : Slovenská akadémia vied. Pracoviská SAV. Slovenské filozofické združenie ; Prešov (Slovensko) : Prešovská univerzita v Prešove. Filozofická fakulta, 2018. – ISBN 978-80-973092-0-6. – SIGN-PU FF 93/18, s. 188-192 [tlačená forma] </t>
  </si>
  <si>
    <t xml:space="preserve">Pravda a umelecké dielo v Heideggerovom myslení = Truth and Post-Truth in the Age of Climate Change / Jančiar, Peter [Autor, UKFFFAKFI, 100%] ; Javorská, Andrea [Recenzent] ; Jesenková, Adriana [Recenzent] ; Pravda. Teoretické a praktické kontexty [18.10.2017-20.10.2017, Smolenice, Slovensko]. – [slovenčina]. – [OV 020]. – [abstrakt z podujatia - KP] In: Pravda. Teoretické a praktické kontexty [textový dokument (print)] : zborník vedeckých príspevkov / Gáliková Tolnaiová, Sabína [Zostavovateľ, editor] ; Marchevský, Ondrej [Zostavovateľ, editor] ; Špirko, Dušan [Zostavovateľ, editor]. – 1. vyd. – Bratislava (Slovensko) : Slovenská akadémia vied. Pracoviská SAV. Slovenské filozofické združenie ; Prešov (Slovensko) : Prešovská univerzita v Prešove. Filozofická fakulta, 2018. – ISBN 978-80-973092-0-6. – SIGN-PU FF 93/18, s. 93-96 [tlačená forma] </t>
  </si>
  <si>
    <t xml:space="preserve">Pravdepodobnosť, ba až pravda = Probability Even Truth / Kocinová, Lenka [Autor, UKFFFAKFI, 100%] ; Javorská, Andrea [Recenzent] ; Jesenková, Adriana [Recenzent] ; Pravda. Teoretické a praktické kontexty [18.10.2017-20.10.2017, Smolenice, Slovensko]. – [slovenčina]. – [OV 020]. – [abstrakt z podujatia - KP] In: Pravda. Teoretické a praktické kontexty [textový dokument (print)] : zborník vedeckých príspevkov / Gáliková Tolnaiová, Sabína [Zostavovateľ, editor] ; Marchevský, Ondrej [Zostavovateľ, editor] ; Špirko, Dušan [Zostavovateľ, editor]. – 1. vyd. – Bratislava (Slovensko) : Slovenská akadémia vied. Pracoviská SAV. Slovenské filozofické združenie ; Prešov (Slovensko) : Prešovská univerzita v Prešove. Filozofická fakulta, 2018. – ISBN 978-80-973092-0-6. – SIGN-PU FF 93/18, s. 137-140 [tlačená forma] </t>
  </si>
  <si>
    <t xml:space="preserve">Prediction of financial time series using artificial neural networks / Štubňová, Michaela [Autor, UKFFPVUMI, 100%] ; Aplimat 2020, 19 [04.02.2020-06.02.2020, Bratislava, Slovensko]. – text. – [angličtina]. – [OV 240]. – [abstrakt z podujatia - KP]. – SCO In: Aplimat 2020 [elektronický dokument] : 19th Conference on Applied Mathematics : proceeding / Szarková, Dagmar [Zostavovateľ, editor] ; Richtáriková, Daniela [Zostavovateľ, editor] ; Prášilová, Monika [Zostavovateľ, editor]. – 1 vyd. – Bratislava (Slovensko) : Spektrum STU , 2020. – ISBN 978-80-227-4983-1, 1011-1019 [USB kľúč] </t>
  </si>
  <si>
    <t xml:space="preserve">Predikcia predčasného ukončenia štúdia s využitím rôznych techník strojového učenia = Towards Predicting Student’s Dropout Using Different Machine Learning Techniques / Kabathová, Janka [Autor, UKFFPVKIN, 100%] ; Študentská vedecká konferencia 2021 [14.04.2021, Nitra, Banská Bystrica, Slovensko]. – text. – [slovenčina]. – [OV 160]. – [abstrakt z podujatia - KP] In: Študentská vedecká konferencia 2021 Fakulty prírodných vied Univerzity Konštantína Filozofa v Nitre a Fakulty prírodných vied Univerzity Mateja Bela v Banskej Bystrici [textový dokument (print)] : zborník recenzovaných príspevkov / Francisti, Jan [Zostavovateľ, editor] ; Fodor, Kristián [Zostavovateľ, editor]. – 1. vyd. – Nitra (Slovensko) : Univerzita Konštantína Filozofa v Nitre ; Banská Bystrica (Slovensko) : Univerzita Mateja Bela v Banskej Bystrici, 2021. – (Prírodovedec ; 756). – ISBN 978-80-558-1712-5, s. 270-276 [tlačená forma] </t>
  </si>
  <si>
    <t xml:space="preserve">Prediktory čítania s porozumením v cudzojazyčnej výučbe = Predictors of reading comprehension in foreign language teaching / Havettová, Romana [Autor, UKFFFAKRO, 50%] ; Stranovská, Eva [Autor, UKFFFAKGE, 50%] ; Cudie jazyky v premenách času, 10 [08.11.2019, Bratislava, Slovensko]. – text. – [slovenčina]. – [OV 020]. – [abstrakt z podujatia - KP] In: Cudzie jazyky v premenách času [elektronický dokument] : recenzovaný zborník príspevkov z medzinárodnej vedeckej konferencie / Kvapil, Roman [Zostavovateľ, editor] ; Adamcová, Lívia [Recenzent] ; Breveníková, Daniela [Recenzent] ; Lišková, Danuša [Recenzent]. – 1. vyd. – Roč. 10. – Bratislava (Slovensko) : Ekonomická univerzita v Bratislave. Celouniverzitné pracovisko EUBA. Vydavateľstvo EKONÓM, 2020. – ISBN 978-80-225-4710-9, s. 344-355 [CD-ROM] [online] </t>
  </si>
  <si>
    <t xml:space="preserve">Prediktory well-beingu u žiakov základných a stredných škôl / Šeboková, Gabriela [Autor, UKFFSVKPV, 25%] ; Uhláriková, Jana [Autor, UKFFSVKPV, 25%] ; Popelková, Marta [Autor, UKFFSVKPV, 25%] ; Zaťková, Marta [Autor, UKFFSVKPV, 25%] ; Školská psychológia 2018 [17.10.2018-18.10.2018, Košice, Slovensko]. – text. – [slovenčina]. – [OV 010]. – [abstrakt z podujatia - KP] In: Školská psychológia 2018 - história a perspektívy [elektronický dokument] : zborník príspevkov z medzinárodnej vedeckej konferencie / Kačmár, Pavol [Zostavovateľ, editor] ; Mesárošová, Margita [Zostavovateľ, editor] ; Lovaš, Ladislav [Zostavovateľ, editor] ; Babinčák, Peter [Recenzent] ; Búgelová, Tatiana [Recenzent]. – 1. vyd. – Košice (Slovensko) : Univerzita Pavla Jozefa Šafárika v Košiciach, 2019. – ISBN 978-80-8152-742-5. – sign UPJS FSEP 010341, s. 248-260 [online] </t>
  </si>
  <si>
    <t xml:space="preserve">Preferencia doslovných alebo metaforických významov / Rendárová, Mária [Autor, UKFFFAKSJ, 100%] ; Kolokvium mladých jazykovedcov, 23 [20.11.2013-22.11.2013, Modra, Slovensko]. – [slovenčina]. – [OV 020]. – [abstrakt z podujatia - KP] In: Varia 23 [elektronický dokument] : zborník príspevkov z 23. kolokvia mladých jazykovedcov (Modra-Harmónia 20. – 22. 11. 2013) / Gajdošová, Katarína [Zostavovateľ, editor] ; Gregorík, Peter [Zostavovateľ, editor] ; Tibenská, Eva [Recenzent] ; Skladaná, Jana [Recenzent]. – 1. vyd. – Slovensko : Slovenská akadémia vied. Pracoviská SAV. Slovenská jazykovedná spoločnosť ; Trnava (Slovensko) : Univerzita sv. Cyrila a Metoda v Trnave. Filozofická fakulta. Katedra slovenského jazyka a literatúry, 2020. – ISBN 978-80-971690-5-3, s. 157-175 [online] </t>
  </si>
  <si>
    <t xml:space="preserve">Preferencie stratégií rozvíjajúcich kritické myslenie žiakov a budovanie individuálnej stratégie vyučovania učiteľom / Fenyvesiová, Lívia [Autor, UKFPFAKPE, 25%] ; Duchovičová, Jana [Autor, UKFPFAKPE, 25%] ; Grofčíková, Soňa [Autor, UKFPFAKPE, 25%] ; Tomšik, Robert [Autor, UKFPFAKPE, 25%] ; Kmeťová, Jarmila [Recenzent] ; Bírová, Jana [Recenzent] ; Inovatívne trendy v odborových didaktikách v kontexte požiadaviek praxe [13.11.2017-14.11.2017, Nitra, Slovensko]. – text. – [slovenčina]. – [OV 010]. – [abstrakt z podujatia - KP] In: Inovatívne trendy v odborových didaktikách v kontexte požiadaviek praxe [elektronický dokument] : zborník štúdií z medzinárodnej vedeckej konferencie / Duchovičová, Jana [Zostavovateľ, editor] ; Gunišová, Denisa [Zostavovateľ, editor] ; Kozárová, Nina [Zostavovateľ, editor] ; Koleňáková, Rebeka Štefánia [Zostavovateľ, editor]. – 1. vyd. – Nitra (Slovensko) : Univerzita Konštantína Filozofa v Nitre. Pedagogická fakulta UKF, 2018. – ISBN 978-80-558-1277-9, s. 517-522 [online] </t>
  </si>
  <si>
    <t xml:space="preserve">Pregraduálna príprava učiteľov na environmentálnu výchovu, vzdelávanie a osvetu / Jakab, Imrich [Autor, UKFFPVKEE, 50%] ; Petlušová, Viera [Autor, UKFFPVKEE, 50%] ; Petluš, Peter [Recenzent] ; Mišovičová, Regína [Recenzent] ; Environmentálna výchova, vzdelávanie a osveta v Slovenskej republike [30.01.2018-31.01.2018, Nitra, Slovensko]. – text. – [slovenčina]. – [OV 100]. – [abstrakt z podujatia - KP] In: Environmentálna výchova, vzdelávanie a osveta v Slovenskej republike [textový dokument (print)] : zborník príspevkov z národnej konferencie / Nozdrovická, Jana [Zostavovateľ, editor] ; Petlušová, Viera [Zostavovateľ, editor]. – 1. vyd. – Nitra (Slovensko) : Univerzita Konštantína Filozofa v Nitre, 2018. – ISBN 978-80-558-1261-8, s. 7-14 [tlačená forma] </t>
  </si>
  <si>
    <t xml:space="preserve">Preklad piesní v audiovizuálnych dielach pre detského diváka / Koscelníková, Mária [Autor, UKFFFAKTR, 100%] ; Tradícia a inovácia v translatologickom výskume, 7 [07.02.2019-08.02.2019, Nitra, Slovensko]. – text. – [slovenčina]. – [OV 020]. – [abstrakt z podujatia - KP] In: Tradícia a inovácia v translatologickom výskume 7 [textový dokument (print)] : inovácia tradície, tradícia inovácie? : zborník príspevkov z medzinárodnej translatologickej konferencie / Ukušová, Jana [Zostavovateľ, editor] ; Koscelníková, Mária [Zostavovateľ, editor] ; Jánošíková, Zuzana [Zostavovateľ, editor] ; Gromová, Edita [Recenzent] ; Djovčoš, Martin [Recenzent]. – 1. vyd. – č. 7. – Nitra (Slovensko) : Univerzita Konštantína Filozofa v Nitre, 2019. – ISBN 978-80-558-1459-9. – TUTPFKAJ signatúra E082243, s. 43-58 [tlačená forma] </t>
  </si>
  <si>
    <t xml:space="preserve">Prekladateľské agentúry na Slovensku = Translation agencies in Slovakia / Vaňková, Pavlína [Autor, UKFFFAKTR, 100%] ; Cudzie jazyky v premenách času, 11 [06.11.2020, Bratislava, Slovensko]. – text. – [slovenčina]. – [OV 020]. – [abstrakt z podujatia - KP] In: Cudzie jazyky v premenách času 11 [elektronický dokument] : recenzovaný zborník príspevkov z medzinárodnej vedeckej konferencie / Kvapil, Roman [Zostavovateľ, editor]. – 1. vyd. – Roč. 11. – Bratislava (Slovensko) : Ekonomická univerzita v Bratislave. Celouniverzitné pracovisko EUBA. Vydavateľstvo EKONÓM, 2021. – ISBN 978-80-225-4823-6, s. 399-408 [CD-ROM] [online] </t>
  </si>
  <si>
    <t xml:space="preserve">Premeny vo viere v osobného Boha u súčasnej religióznej mládeže na Slovensku a ich implikácie pre súčasnú kresťanskú spiritualitu : Changes in belief in personal God among youth in Slovakia nowadays and their implications for contemporary christian spirituality / Ďurková, Eva [Autor, UKFFFAKAE 06.2022, 100%] ; Religiozita, spiritualita a alternatívne náboženské hnutia [27.11.2019, Nitra, Slovensko]. – text. – [slovenčina]. – [OV 020]. – [abstrakt z podujatia - KP] In: Religiozita, spiritualita a alternatívne náboženské hnutia [textový dokument (print)] : zborník z medzinárodnej vedeckej konferencie, konanej v Nitre dňa 27. novembra 2019,  organizovanej ako súčasť riešenia grantového projektu APVV 17-0158 Perspektívy vývoja súčasnej religiozity na Slovensku / Kondrla, Peter [Zostavovateľ, editor] ; Šuráb, Marian [Recenzent] ; Hlad, Ľubomír [Recenzent]. – 1. vyd. – Nitra (Slovensko) : Univerzita Konštantína Filozofa v Nitre, 2020. – ISBN 978-80-558-1595-4, s. 81-92 [tlačená forma] </t>
  </si>
  <si>
    <t xml:space="preserve">Preparation of transgenic tobacco plants for functional analyses of dehydrin gene At1g54410 / Zimová, Mária [Autor, UKFFPVKBG, 60%] ; Boszorádová, Eva [Autor, 30%] ; Moravčíková, Jana [Autor, 10%] ; Aplikované prírodné vedy 2018 [11.04.2018, Trnava, Slovensko]. – [slovenčina]. – [OV 010]. – [abstrakt z podujatia - KP]. – [recenzované] In: Aplikované prírodné vedy 2018 [textový dokument (print)] [elektronický dokument] : zborník prác z celoslovenskej študentskej vedeckej konferencie študentov 1., 2. a 3. stupňa vysokoškolského štúdia, konanej v Trnave 11. apríla 2018 / Horník, Miroslav [Zostavovateľ, editor]. – 1. vyd. – Trnava (Slovensko) : Univerzita sv. Cyrila a Metoda v Trnave, 2018. – ISBN 978-80-8105-925-4, s. 225-230 [tlačená forma] [CD-ROM] </t>
  </si>
  <si>
    <t xml:space="preserve">Preventívne a intervenčné opatrenia zamerané na syndróm vyhorenia / Hučková, Jana [Autor, UKFFFAKMK, 100%] ; Schavel, Milan [Recenzent] ; Mátel, Andrej [Recenzent] ; Podoby supervízie a prevencia syndrómu vyhorenia [17.10.2018-18.10.2018, Piešťany, Slovensko]. – [slovenčina]. – [OV 020]. – [abstrakt z podujatia - KP] In: Podoby supervízie a prevencia syndrómu vyhorenia [elektronický dokument] : zborník z medzinárodnej vedeckej konferencie / Schavel, Milan [Zostavovateľ, editor] ; Kuzyšin, Bohuslav [Zostavovateľ, editor] ; Hunyadiová, Stanislava [Zostavovateľ, editor]. – 1. vyd. – Bratislava (Slovensko) : Vysoká škola zdravotníctva a sociálnej práce sv. Alžbety v Bratislave, 2018. – ISBN 978-80-8132-193-1. – SIGN-PU PBF 91/18, s. 182-190 [CD-ROM] </t>
  </si>
  <si>
    <t xml:space="preserve">Prezentácia témy migrácie v sučasných nemeckých médiách / Molnárová, Andrea [Autor, UKFFFAKMK, 100%] ; Súčasné migrácie a ich reflexia v spoločenskom vedomí [22.09.2021-23.09.2021, Nitra, Slovensko]. – text. – [slovenčina]. – [OV 060]. – [abstrakt z podujatia - KP] In: Súčasné migrácie a ich reflexia v spoločenskom vedomí [textový dokument (print)] : zborník príspevkov z medzinárodnej vedeckej (online) konferencie v Nitre 22. - 23. septembra 2021 / Letavajová, Silvia [Zostavovateľ, editor] ; Čukan, Jaroslav [Recenzent] ; Lenč, Jozef [Recenzent] ; Hlinčíková, Miroslava [Recenzent]. – 1. vyd. – Nitra (Slovensko) : Univerzita Konštantína Filozofa v Nitre, 2021. – ISBN 978-80-558-1800-9, s. 127-142 [tlačená forma] </t>
  </si>
  <si>
    <t xml:space="preserve">Priamy a nepriamy rozvoj tvorivosti výtvarnou formou / Satková, Janka [Autor, UKFPFAKVV, 100%] ; Kmeťová, Jarmila [Recenzent] ; Bírová, Jana [Recenzent] ; Inovatívne trendy v odborových didaktikách v kontexte požiadaviek praxe [13.11.2017-14.11.2017, Nitra, Slovensko]. – text. – [slovenčina]. – [OV 010]. – [abstrakt z podujatia - KP] In: Inovatívne trendy v odborových didaktikách v kontexte požiadaviek praxe [elektronický dokument] : zborník štúdií z medzinárodnej vedeckej konferencie / Duchovičová, Jana [Zostavovateľ, editor] ; Gunišová, Denisa [Zostavovateľ, editor] ; Kozárová, Nina [Zostavovateľ, editor] ; Koleňáková, Rebeka Štefánia [Zostavovateľ, editor]. – 1. vyd. – Nitra (Slovensko) : Univerzita Konštantína Filozofa v Nitre. Pedagogická fakulta UKF, 2018. – ISBN 978-80-558-1277-9, s. 558-561 [online] </t>
  </si>
  <si>
    <t xml:space="preserve">Príbeh a jeho potenciál v rámci rozvoja tvorivosti na hodinách etickej výchovy / Magová, Lenka [Autor, UKFFFAKAE 06.2022, 100%] ; Inovatívne trendy v odborových didaktikách [21.11.2018, Nitra, Slovensko]. – text. – [slovenčina]. – [OV 010]. – [abstrakt z podujatia - KP] In: Inovatívne trendy v odborových didaktikách [textový dokument (print)] : prepojenie teórie a praxe výučbových stratégií kritického a tvorivého myslenia : zborník štúdií z medzinárodnej vedeckej konferencie, Nitra 21. november 2018 / Duchovičová, Jana [Zostavovateľ, editor] ; Hošová, Dominika [Zostavovateľ, editor] ; Koleňáková, Rebeka Štefánia [Zostavovateľ, editor] ; Bílek, Martin [Recenzent] ; Komora, Juraj [Recenzent]. – 1. vyd. – Nitra (Slovensko) : Univerzita Konštantína Filozofa v Nitre, 2019. – ISBN 978-80-558-1408-7, s. 365-369 [tlačená forma] </t>
  </si>
  <si>
    <t xml:space="preserve">Priestorová štruktúra populácií Prunus spinosa agg. na juhozápadnom Slovensku = Spatial structure of Prunus spinosa agg. populations in Southwestern Slovakia / Baranec, Tibor [Autor, SPUFAP02, 25%] ; Ikrényi, Ivan [Autor, SPUFAP02, 25%] ; Galuščáková, Ľudmila [Autor, UKFFPVKBG, 25%] ; Soták, Ján [Autor, 25%] ; Dendrologické dni [11.10.2018, Vieska nad Žitavou, Slovensko]. – [slovenčina]. – [OV 190]. – [abstrakt z podujatia - KP] In: Dendrologické dni v Arboréte Mlyňany 2018 [textový dokument (print)] : dreviny a prostredie : recenzovaný zborník príspevkov vedeckej konferencie, Arborétum Mlyňany SAV, 11. októbra 2018 / Filová, Angela [Zostavovateľ, editor] ; Ferus, Peter [Zostavovateľ, editor] ; Hrubík, Pavel [Recenzent] ; Rovná, Katarína [Recenzent]. – 1 vyd. – Vieska nad Žitavou (Slovensko) : Slovenská akadémia vied, 2018. – ISBN 978-80-89408-33-7, s. 5-12 [tlačená forma] </t>
  </si>
  <si>
    <t xml:space="preserve">Princípy a metodika zahraničných edukačných programov Pre starších dospelých / Koricina, Michal [Autor, UKFPFAKPE, 100%] ; EDUCA 16, 16 [29.04.2021, Nitra, Slovensko]. – text. – [slovenčina]. – [OV 010]. – [ŠO 7605]. – [abstrakt z podujatia - KP] In: EDUCA 16 [textový dokument (print)] : edukácia - kľúč k úspechu. Zborník príspevkov z 16. vedeckej  konferencie doktorandov s medzinárodnou účasťou, Nitra 29. apríl 2021 / Teleková, Radka [Zostavovateľ, editor] ; Koricina, Michal [Zostavovateľ, editor] ; Petlák, Erich [Recenzent] ; Krystoň, Miroslav [Recenzent]. – 1. vyd. – Nitra (Slovensko) : Univerzita Konštantína Filozofa v Nitre, 2021. – ISBN 978-80-558-1811-5, s. 106-115 [tlačená forma] </t>
  </si>
  <si>
    <t xml:space="preserve">Príprava na rodinný život v procese celoživotnej výchovy a vzdelávania / Zelená, Hana [Autor, UKFPFAKPE, 100%] ; Kmeťová, Jarmila [Recenzent] ; Bírová, Jana [Recenzent] ; Inovatívne trendy v odborových didaktikách v kontexte požiadaviek praxe [13.11.2017-14.11.2017, Nitra, Slovensko]. – text. – [slovenčina]. – [OV 010]. – [abstrakt z podujatia - KP] In: Inovatívne trendy v odborových didaktikách v kontexte požiadaviek praxe [elektronický dokument] : zborník štúdií z medzinárodnej vedeckej konferencie / Duchovičová, Jana [Zostavovateľ, editor] ; Gunišová, Denisa [Zostavovateľ, editor] ; Kozárová, Nina [Zostavovateľ, editor] ; Koleňáková, Rebeka Štefánia [Zostavovateľ, editor]. – 1. vyd. – Nitra (Slovensko) : Univerzita Konštantína Filozofa v Nitre. Pedagogická fakulta UKF, 2018. – ISBN 978-80-558-1277-9, s. 482-491 [online] </t>
  </si>
  <si>
    <t xml:space="preserve">Pripravenosť absolventov SŠ na využívanie prostriedkov IKT = The readiness of high school graduates in use of ict resources / Pribilová, Katarína [Autor, TUTPFKMI, 34%] ; Pšenáková, Ildikó [Autor, TUTPFKMI, 33%] ; Szabó, Tibor [Autor, UKFFSSUVP, 33%] ; DIDMATTECH 2019, 32 [20.06.2019-21.06.2019, Trnava, Slovensko]. – [slovenčina]. – [OV 010, 240]. – [abstrakt z podujatia - KP]. – [recenzované]. – TUTPFKMI signatúra E078347 In: 32 DIDMATTECH 2019 [textový dokument (print)] [elektronický dokument] : New methods and technologies in education, Research and practice : International Scientific and Professional Conference Trnava, 20th – 21st June 2019 : proceedings / Stoffová, Veronika [Zostavovateľ, editor] ; Horváth, Roman [Zostavovateľ, editor]. – 1. vyd. – Trnava (Slovensko) : Trnavská univerzita v Trnave, 2019. – ISBN 978-80-568-0357-8. – ISBN (online) 978-80-568-0398-1. – TUTPFKMI signatúra E078334, s. [1-7] [tlačená forma] [online] </t>
  </si>
  <si>
    <t xml:space="preserve">Problém Lovecraft. Kontroverzná osobnosť ako esenciálny prvok v kultúrnej identite a pamäti mesta / Pevčíková, Jozefa [Autor, UKFFFAULK, 100%] ; Rozvoj urbánnej kultúry, 3 [18.03.2021-19.03.2021, Banská Bystrica, Slovensko]. – text. – [slovenčina]. – [OV 020]. – [abstrakt z podujatia - KP] In: Rozvoj urbánnej kultúry [textový dokument (print)] : zborník z medzinárodnej vedeckej konferencie / Höhn, Eva [Zostavovateľ, editor] ; Reichwalderová, Eva [Zostavovateľ, editor] ; Zelenková, Anna [Recenzent] ; Chalupa, Jiří [Recenzent]. – 1. vyd. – Banská Bystrica (Slovensko) : Univerzita Mateja Bela v Banskej Bystrici, 2021. – ISBN 978-80-8141-257-8, s. 99-114 [tlačená forma] </t>
  </si>
  <si>
    <t xml:space="preserve">Problem Solving in Dynamic Geometry Environment Using the Intercept Theorem / Kmeťová, Mária [Autor, UKFFPVKMA, 50%] ; Kmeť, Tibor [Autor, UJSEFKMI, 50%] ; APLIMAT 2019, 18 [05.02.2019-07.02.2019, Bratislava, Slovensko]. – [angličtina]. – [OV 240]. – [abstrakt z podujatia - KP]. – SCO In: Aplimat 2019 [elektronický dokument] : 18th conference on Applied mathematics proceedings / Szarková, Dagmar [Zostavovateľ, editor] ; Richtáriková, Daniela [Zostavovateľ, editor] ; Letavaj, Peter [Zostavovateľ, editor] ; Caranti, Andrea [Recenzent] ; Chvalina, Jan [Recenzent]. – 1. vyd. – Bratislava (Slovensko) : Slovenská technická univerzita v Bratislave, 2019. – ISBN 978-80-227-4884-1, s. 649-656 [USB kľúč] </t>
  </si>
  <si>
    <t xml:space="preserve">Problém vrstvenia kociek - vizualizácia „neviditeľných“ objektov = The problem of cube layering  – visualisation of „invisible“ solids / Vágová, Renáta [Autor, UKFFPVKMA, 100%] ; Študentská vedecká konferencia 2018 [21.03.2018, Nitra, Slovensko]. – text. – [slovenčina]. – [OV 240]. – [abstrakt z podujatia - KP] In: Študentská vedecká konferencia 2018 [textový dokument (print)] : zborník recenzovaných príspevkov z konferencie v Nitre 21. 03.2018 / Siládi, Vladimir [Zostavovateľ, editor] ; Račáková, Slavka [Zostavovateľ, editor] ; Voštinár, Patrik [Recenzent] ; Trajteľ, Ľudovít [Recenzent] ; Suchý, Jozef [Recenzent] ; Vagač, Michal [Recenzent] ; Melicherčík, Miroslav [Recenzent]. – 1. vyd. – 2018 (Slovensko) : Univerzita Konštantína Filozofa v Nitre, 2018. – ISBN 978-80-557-1415-8, s. 494-501 [tlačená forma] </t>
  </si>
  <si>
    <t xml:space="preserve">Profil učiteľa techniky z pohľadu odborovej didaktiky / Hašková, Alena [Autor, UKFPFAKTT, 100%] ; Kmeťová, Jarmila [Recenzent] ; Bírová, Jana [Recenzent] ; Inovatívne trendy v odborových didaktikách v kontexte požiadaviek praxe [13.11.2017-14.11.2017, Nitra, Slovensko]. – text. – [slovenčina]. – [OV 010]. – [abstrakt z podujatia - KP] In: Inovatívne trendy v odborových didaktikách v kontexte požiadaviek praxe [elektronický dokument] : zborník štúdií z medzinárodnej vedeckej konferencie / Duchovičová, Jana [Zostavovateľ, editor] ; Gunišová, Denisa [Zostavovateľ, editor] ; Kozárová, Nina [Zostavovateľ, editor] ; Koleňáková, Rebeka Štefánia [Zostavovateľ, editor]. – 1. vyd. – Nitra (Slovensko) : Univerzita Konštantína Filozofa v Nitre. Pedagogická fakulta UKF, 2018. – ISBN 978-80-558-1277-9, s. 334-340 [online] </t>
  </si>
  <si>
    <t xml:space="preserve">Profile moralne a religijne afiliacje młodzieży studenckiej jako przykład sekularyzacji i indywidualizacji religijności : studium socjologiczne na podstawie badań ogólnopolskich. = Moral profiles and religious affiliations of student youth as an example of secularization and individualization of religiosity : a sociological study based on nationwide research in Poland / Swiatkiewicz, Wojciech  Krzysztof [Autor, UKFFFAKSO, 100%] ; Religiozita, spiritualita a alternatívne náboženské hnutia [27.11.2019, Nitra, Slovensko]. – text. – [slovenčina]. – [OV 020]. – [abstrakt z podujatia - KP] In: Religiozita, spiritualita a alternatívne náboženské hnutia [textový dokument (print)] : zborník z medzinárodnej vedeckej konferencie, konanej v Nitre dňa 27. novembra 2019,  organizovanej ako súčasť riešenia grantového projektu APVV 17-0158 Perspektívy vývoja súčasnej religiozity na Slovensku / Kondrla, Peter [Zostavovateľ, editor] ; Šuráb, Marian [Recenzent] ; Hlad, Ľubomír [Recenzent]. – 1. vyd. – Nitra (Slovensko) : Univerzita Konštantína Filozofa v Nitre, 2020. – ISBN 978-80-558-1595-4, s. 21-38 [tlačená forma] </t>
  </si>
  <si>
    <t xml:space="preserve">Proglas v kontexte literatúry pre deti a mládež / Vančo, Dominik [Autor, UKFFFASJL, 100%] ; Akcenty literatúry pre deti a mládež [23.10.2020, Nitra, Slovensko]. – text. – [slovenčina]. – [OV 020]. – [abstrakt z podujatia - KP] In: Akcenty literatúry pre deti a mládež [textový dokument (print)] : trendy, problémy, interpretácie. Zborník z medzinárodnej konferencie formou videokonferencie, ktorá sa konala v Nitre 23.10.2020 / Hrašková, Mariana [Zostavovateľ, editor] ; Kaizerová, Petra [Zostavovateľ, editor] ; Nemcová, Jana [Recenzent] ; Naščák, Peter [Recenzent]. – 1. vyd. – Nitra (Slovensko) : Univerzita Konštantína Filozofa v Nitre, 2021. – ISBN 978-80-558-1699-9, s. 169-177 [tlačená forma] </t>
  </si>
  <si>
    <t xml:space="preserve">Projektové vyučovanie v technickom vzdelávaní / Ažaltovičová, Michaela [Autor, UKFPFAKTT, 100%] ; Lukáčová, Danka [Recenzent] ; Depešová, Jana [Recenzent] ; Vzájomná informovanosť - cesta k efektívnemu rozvoju vedecko-pedagogickej činnosti [21.06.2016, Nitra, Slovensko]. – text. – [slovenčina]. – [OV 010]. – [abstrakt z podujatia - KP] In: Vzájomná informovanosť - cesta k efektívnemu rozvoju vedecko-pedagogickej činnosti : zborník z medzinárodnej konferencie / Bánesz, Gabriel [Zostavovateľ, editor]. – 1. vyd. – Nitra (Slovensko) : Univerzita Konštantína Filozofa v Nitre, 2018. – ISBN 978-80-558-1369-1, s. 5-12 [tlačená forma] </t>
  </si>
  <si>
    <t xml:space="preserve">Proposal of Local Territorial System of Ecological Stability for Bzovík Village / Rajniak, Andrej [Autor, UKFFPVKEE, 50%] ; Miklós, László [Autor, 50%] ; Geografické aspekty stredoeurópskeho priestoru, 26 [10.10.2018-11.10.2018, Nitra, Slovensko]. – text. – [angličtina]. – [OV 100]. – [článok z podujatia]. – [recenzované]. – WOS CC In: Geografické informácie [textový dokument (print)] [elektronický dokument] . – Nitra (Slovensko) : Univerzita Konštantína Filozofa v Nitre. – ISSN 1337-9453. – Roč. 22, č. 1 (2018), s. 448-459 [tlačená forma] [online] </t>
  </si>
  <si>
    <t xml:space="preserve">Proposal To Increase Attractiveness of the Orava Tourism Region By Electronic Technologies / Rampašeková, Zuzana [Autor, UKFFPVKGR, 40%] ; Lacika, Ján [Autor, UKFFPVKGR, 30%] ; Kováčik, Štefan [Autor, 30%] ; Geografické aspekty stredoeurópskeho priestoru, 26 [10.10.2018-11.10.2018, Nitra, Slovensko]. – text. – [angličtina]. – [OV 092]. – [článok z podujatia]. – [recenzované]. – WOS CC In: Geografické informácie [textový dokument (print)] [elektronický dokument] . – Nitra (Slovensko) : Univerzita Konštantína Filozofa v Nitre. – ISSN 1337-9453. – Roč. 22, č. 2 (2018), s. 258-270 [tlačená forma] [online] </t>
  </si>
  <si>
    <t xml:space="preserve">Propriálno-semiotický obraz bilingválnych obcí Slovenska / Bauko, Ján [Autor, UKFFSSUML, 100%] ; Konvergencie a divergencie v propriálnej sfére, 20 [26.06.2017-28.06.2017, Banská Bystrica, Slovensko]. – text. – [slovenčina]. – [OV 020]. – [abstrakt z podujatia - KP] In: Konvergencie a divergencie v propriálnej sfére [textový dokument (print)] : 20. slovenská onomastická konferencia, zborník referátov, Banská Bystrica, 26. - 28. júna 2017 / Chomová, Alexandra [Zostavovateľ, editor] ; Krško, Jaromír [Zostavovateľ, editor] ; Valentová, Iveta [Zostavovateľ, editor] ; Gałkowski, Artur [Recenzent] ; Majtán, Milan [Recenzent] ; Žigo, Pavol [Recenzent]. – 1 vyd. – Bratislava (Slovensko) : Slovenská akadémia vied. Veda, vydavateľstvo Slovenskej akadémie vied, 2019. – ISBN 978-80-224-1732-7, s. 138-148 [tlačená forma] </t>
  </si>
  <si>
    <t xml:space="preserve">Prózai archívumok mérlegen : három antológiában feltárt csehszlovákiai magyar prózarétegek / Tóth, Anikó [Autor, UKFFSSUML, 100%] ; Polgár, Anikó [Recenzent] ; Mészáros, András [Recenzent] ; Írások mérlegen [22.11.2017-23.11.2017, Bratislava, Slovensko]. – [maďarčina]. – [OV 020, 010]. – [abstrakt z podujatia - KP] In: Írások mérlegen [textový dokument (print)] : emlékkötet Turczel Lajos születésének centenáriuma alkalmából / Csehy, Zoltán [Zostavovateľ, editor] ; Mellár, Dávid [Zostavovateľ, editor] ; Mészáros, Veronika [Zostavovateľ, editor]. – 1. vyd. – Bratislava (Slovensko) : Združenie Alberta Szenci Molnára, 2018. – ISBN 978-80-971983-5-0. – SIGN-UKO FI 35/18 MJ, s. 31-42 [tlačená forma] </t>
  </si>
  <si>
    <t xml:space="preserve">Prvé výsledky analýzy rastlinných makrozvyškov z lokality Hradisko Neštich = The first Results of Plant Macroremains Analysis in Neštich Hillfort / Hurajtová, Natália [Autor, UKFFPVKEE, 100%] ; Študentská vedecká konferencia 2020, 6 [07.04.2020, Nitra, Slovensko]. – text. – [slovenčina]. – [OV 130, 100]. – [abstrakt z podujatia - KP] In: Študentská vedecká konferencia 2020 [elektronický dokument] : zborník recenzovaných príspevkov [zo zrušenej študentskej vedeckej konferencie s plánovaným termínom konania 7.4.2020 v Nitre] / Spišiak, Ján [Zostavovateľ, editor] ; Račáková, Slavka [Zostavovateľ, editor] ; Voštinár, Patrik [Recenzent] ; Melicherčík, Miroslav [Recenzent]. – 1. vyd. – Banská Bystrica (Slovensko) : Univerzita Mateja Bela v Banskej Bystrici ; Nitra (Slovensko) : Univerzita Konštantína Filozofa v Nitre, 2020. – ISBN 978-80-557-1733-3, s. 77-81 [online] </t>
  </si>
  <si>
    <t xml:space="preserve">Prvouka ako vyučovací predmet rozvíjajúci myslenie žiaka / Nagyová, Alexandra [Autor, UKFPFAKPE, 100%] ; Inovatívne trendy v odborových didaktikách [21.11.2018, Nitra, Slovensko]. – text. – [slovenčina]. – [OV 010]. – [abstrakt z podujatia - KP] In: Inovatívne trendy v odborových didaktikách [textový dokument (print)] : prepojenie teórie a praxe výučbových stratégií kritického a tvorivého myslenia : zborník štúdií z medzinárodnej vedeckej konferencie, Nitra 21. november 2018 / Duchovičová, Jana [Zostavovateľ, editor] ; Hošová, Dominika [Zostavovateľ, editor] ; Koleňáková, Rebeka Štefánia [Zostavovateľ, editor] ; Bílek, Martin [Recenzent] ; Komora, Juraj [Recenzent]. – 1. vyd. – Nitra (Slovensko) : Univerzita Konštantína Filozofa v Nitre, 2019. – ISBN 978-80-558-1408-7, s. 130-133 [tlačená forma] </t>
  </si>
  <si>
    <t xml:space="preserve">Psychodidaktické atribúty rozvoja kritického myslenia žiakov / Kozárová, Nina [Autor, UKFPFAKPE, 50%] ; Gunišová, Denisa [Autor, UKFPFAKPE, 50%] ; Kmeťová, Jarmila [Recenzent] ; Bírová, Jana [Recenzent] ; Inovatívne trendy v odborových didaktikách v kontexte požiadaviek praxe [13.11.2017-14.11.2017, Nitra, Slovensko]. – text. – [slovenčina]. – [OV 010]. – [abstrakt z podujatia - KP] In: Inovatívne trendy v odborových didaktikách v kontexte požiadaviek praxe [elektronický dokument] : zborník štúdií z medzinárodnej vedeckej konferencie / Duchovičová, Jana [Zostavovateľ, editor] ; Gunišová, Denisa [Zostavovateľ, editor] ; Kozárová, Nina [Zostavovateľ, editor] ; Koleňáková, Rebeka Štefánia [Zostavovateľ, editor]. – 1. vyd. – Nitra (Slovensko) : Univerzita Konštantína Filozofa v Nitre. Pedagogická fakulta UKF, 2018. – ISBN 978-80-558-1277-9, s. 499-503 [online] </t>
  </si>
  <si>
    <t xml:space="preserve">Public Procurement as an Innovative Tool of EU Policies (Case Study) / Hornyák Gregáňová, Radomíra [Autor, 50%] ; Papcunová, Viera [Autor, UKFFPVUMI, 50%] ; International Scientific Days 2020 [14.05.2020, Nitra, Slovensko]. – text. – [angličtina]. – [OV 080]. – [abstrakt z podujatia - KP]. – DOI 10.18515/dBEM.ISD.P01.2020 In: International Scientific Days 2020 [elektronický dokument] : "Innovative Approaches for Sustainable Agriculture and Food Systems Development" : conference proceedings / Horská, Elena [Zostavovateľ, editor] ; Kapsdorferová, Zuzana [Zostavovateľ, editor] ; Hallová, Marcela [Zostavovateľ, editor] ; Andrejovská, Alena [Recenzent] ; Babčanová, Dagmar [Recenzent] ; Bencová, Tatiana [Recenzent]. – st vyd. – Gödöllő (Maďarsko) : Szent István Egyetem, 2020. – ISBN 978-963-269-918-9, s. 391-401 [online] </t>
  </si>
  <si>
    <t xml:space="preserve">Reading Between the Lines and Intercultural Communication in Contemporary British Fiction / Židová, Diana [Autor, UKFPFAKLI, 100%] ; Kmeťová, Jarmila [Recenzent] ; Bírová, Jana [Recenzent] ; Inovatívne trendy v odborových didaktikách v kontexte požiadaviek praxe [13.11.2017-14.11.2017, Nitra, Slovensko]. – text. – [slovenčina]. – [OV 020]. – [abstrakt z podujatia - KP] In: Inovatívne trendy v odborových didaktikách v kontexte požiadaviek praxe [elektronický dokument] : zborník štúdií z medzinárodnej vedeckej konferencie / Duchovičová, Jana [Zostavovateľ, editor] ; Gunišová, Denisa [Zostavovateľ, editor] ; Kozárová, Nina [Zostavovateľ, editor] ; Koleňáková, Rebeka Štefánia [Zostavovateľ, editor]. – 1. vyd. – Nitra (Slovensko) : Univerzita Konštantína Filozofa v Nitre. Pedagogická fakulta UKF, 2018. – ISBN 978-80-558-1277-9, s. 313-319 [online] </t>
  </si>
  <si>
    <t xml:space="preserve">Realization of dual education - case study = Realizácia duálneho vzdelávania - prípadová štúdia / Lukáčová, Danka [Autor, UKFPFAKTT, 50%] ; Bánesz, Gabriel [Autor, UKFPFAKTT, 30%] ; Zmeková, Dagmar [Autor, UKFPFAKTT, 20%] ; Vplyv industry 4.0 na tvorbu pracovných miest 2020 [12.11.2020, Trenčín, Slovensko]. – text. – [slovenčina, angličtina]. – [OV 010]. – [abstrakt z podujatia - KP] In: Vplyv industry 4.0 na tvorbu pracovných miest 2020 [elektronický dokument] : zborník vedeckých príspevkov z medzinárodnej vedeckej konferencie / Kordoš, Marcel [Zostavovateľ, editor] ; Holomek, Jaroslav [Recenzent] ; Grenčíková, Adriana [Recenzent] ; Habánik, Jozef [Recenzent] ; Karbach, Rolf [Recenzent] ; Navickas, Valentinas [Recenzent] ; Rievajová, Eva [Recenzent] ; Sika, Peter [Recenzent] ; Siniak, Nikola [Recenzent] ; Šafránková, Jana Marie [Recenzent] ; Vojtovič, Sergej [Recenzent]. – 1. vyd. – Trenčín (Slovensko) : Trenčianska univerzita Alexandra Dubčeka v Trenčíne. Fakulta sociálno-ekonomických vzťahov, 2021. – ISBN (online) 978-80-8075-940-7. – TUAD PC018221, s. 295-303 [online] </t>
  </si>
  <si>
    <t xml:space="preserve">Reflexia inovácií v cudzojazyčnom vzdelávaní v rámci technických študijných odborov v kontexte duálneho a celoživotného vzdelávania v súlade so špecifickými potrebami regiónu / Burcl, Pavol [Autor, UKFFFAJZC, 100%] ; FORLANG 2019 [06.06.2019-07.06.2019, Košice, Slovensko]. – text. – [angličtina]. – [OV 010]. – [abstrakt z podujatia - KP] In: FORLANG [elektronický dokument] : cudzie jazyky v akademickom prostredí. Periodický zborník vedeckých príspevkov a odborných článkov z medzinárodnej vedeckej konferencie konanej 6. - 7. júna 2019 / Kaščáková, Eva [Zostavovateľ, editor] ; Kožaríková, Henrieta [Zostavovateľ, editor]. – 1. vyd. – Roč. 7, č. 1. – Košice (Slovensko) : Technická univerzita v Košiciach, 2019. – ISBN 978-80-553-3398-4. – ISSN 1338-5496. – SIGN-TUKE 210848, s. 145-150 [DVD] </t>
  </si>
  <si>
    <t xml:space="preserve">Rehabilitácia cnosti - aktuálny trend v etike alebo v religiozite? / Blaščíková, Andrea [Autor, UKFFFAKNS, 100%] ; Aktuálne trendy v religiozite na Slovensku [13.12.2018, Nitra, Slovensko]. – text. – [slovenčina]. – [OV 020]. – [abstrakt z podujatia - KP] In: Aktuálne trendy v religiozite na Slovensku [textový dokument (print)] : zborník príspevkov z vedeckého seminára, Ružomberok 13.12.2018 / Kondrla, Peter [Zostavovateľ, editor] ; Ďurková, Eva [Zostavovateľ, editor] ; Judák, Viliam [Recenzent] ; Šuráb, Marian [Recenzent]. – 1. vyd. – Nitra (Slovensko) : Univerzita Konštantína Filozofa v Nitre, 2019. – ISBN 978-80-558-1426-1, s. 62-72 [tlačená forma] </t>
  </si>
  <si>
    <t xml:space="preserve">Rehabilitácia dýchania v intenzívnej starostlivosti / Mankovecká, Monika [Autor, UKFFSVKUM, 100%] ; Zrubcová, Dana [Recenzent] ; Živanovič, Vida [Recenzent] ; Bezpečné poskytovanie zdravotnej starostlivosti na pracoviskách anestéziológie a intenzívnej medicíny [14.06.2018-15.06.2018, Bratislava, Slovensko]. – text. – [slovenčina]. – [OV 180]. – [abstrakt z podujatia - KP] In: Bezpečné poskytovanie zdravotnej starostlivosti na pracoviskách anestéziológie a intenzívnej medicíny [elektronický dokument] / Bratová, Andrea [Zostavovateľ, editor] ; Laurinc, Milan [Zostavovateľ, editor]. – 1. vyd. – Bratislava (Slovensko) : Slovenská komora sestier a pôrodných asistentiek, 2018. – ISBN 978-80-89542-75-8, s. 41-45 [online] </t>
  </si>
  <si>
    <t xml:space="preserve">Rekurzivita v jazyku = Recursivity in Language / Štúr, Martin [Autor, UKFFFAKRO, 100%] ; 11. medzinárodné sympózium Jána Albrechta: Filozofické koncepcie v hudbe a umení, 11 [11.10.2019-13.10.2019, Banská Štiavnica, Slovensko]. – text. – [angličtina]. – [OV 020]. – [článok z podujatia]. – [recenzované] In: Ars pro toto [textový dokument (print)] : vedecký a umelecký časopis = science &amp; art journal. – Banská Štiavnica : Hudobná a umelecká akadémia Jána Albrechta v Banskej Štiavnici. – ISSN 1338-6913. – Roč. 9, č. 1 (2020), s. 17-20 [tlačená forma] </t>
  </si>
  <si>
    <t xml:space="preserve">Religiózne obsahy v mediálnom posolstve / Moravčíková, Veronika [Autor, UKFFFAKKU, 100%] ; Mináriková, Juliána [Recenzent] ; Gajdka, Krzysztof [Recenzent] ; Megatrends and Media 2018, 13 [24.04.2018-25.04.2018, Smolenice, Slovensko]. – [angličtina]. – [OV 060]. – [abstrakt z podujatia - KP] In: Megatrendy a médiá 2018: Realita a mediálne bubliny [textový dokument (print)] [elektronický dokument] / Bučková, Zuzana [Zostavovateľ, editor] ; Rusňáková, Lenka [Zostavovateľ, editor] ; Rybanský, Rudolf [Zostavovateľ, editor] ; Solík, Martin [Zostavovateľ, editor]. – 1. vyd. – Trnava (Slovensko) : Univerzita sv. Cyrila a Metoda v Trnave. Fakulta masmediálnej komunikácie, 2018. – ISBN 978-80-8105-953-7, s. 311-335 [tlačená forma] [online] </t>
  </si>
  <si>
    <t xml:space="preserve">Repetícia, vzor a rytmus : opakovanie ako metóda tvorby artefaktu v praxi / Kratochvil, Martin [Autor, UKFPFAKVV, 100%] ; Horizonty umenia, 7 [01.10.2020-15.10.2020, Banská Bystrica, Slovensko]. – text. – [slovenčina]. – [OV 010]. – [abstrakt z podujatia - KP] In: Horizonty umenia 7 [elektronický dokument] : zborník príspevkov z medzinárodnej vedeckej webovej konferencie / Strenáčiková, Mária [Zostavovateľ, editor] ; Kolodziejski, Maciej [Recenzent] ; Dushniy, Andriy Ivanovich [Recenzent] ; Janek, Marián [Recenzent]. – 1. vyd. – Roč. 7. – Banská Bystrica (Slovensko) : Akadémia umení. Fakulta múzických umení, 2020. – ISBN 978-80-8206-036-5, s. 135-142 [CD-ROM] </t>
  </si>
  <si>
    <t xml:space="preserve">Rétorika a jej možné uplatnenie v komunikačných sférach / Bodis, Martin [Autor, UKFFFASJL, 100%] ; FORLANG 2019 [06.06.2019-07.06.2019, Košice, Slovensko]. – text. – [angličtina]. – [OV 010]. – [abstrakt z podujatia - KP] In: FORLANG [elektronický dokument] : cudzie jazyky v akademickom prostredí. Periodický zborník vedeckých príspevkov a odborných článkov z medzinárodnej vedeckej konferencie konanej 6. - 7. júna 2019 / Kaščáková, Eva [Zostavovateľ, editor] ; Kožaríková, Henrieta [Zostavovateľ, editor]. – 1. vyd. – Roč. 7, č. 1. – Košice (Slovensko) : Technická univerzita v Košiciach, 2019. – ISBN 978-80-553-3398-4. – ISSN 1338-5496. – SIGN-TUKE 210848, s. 136-144 [DVD] </t>
  </si>
  <si>
    <t xml:space="preserve">Revúcky zbor za vlády Jozefa II. a Leopolda II. / Jakubej, Ján [Autor, UKFFFAKHI, 100%] ; Benka, Jozef [Recenzent] ; Kišš, Igor [Recenzent] ; Deň ECAV na Slovensku [31.10.2017, Bratislava, Slovensko]. – text. – [slovenčina]. – [OV 030]. – [abstrakt z podujatia - KP] In: História seniorátov ECAV na Slovensku [textový dokument (print)] / Klátik, Miloš [Zostavovateľ, editor]. – 1. vyd. – Liptovský Mikuláš (Slovensko) : Tranoscius, 2018. – ISBN 978-80-7140-537-5, s. 54-58 [tlačená forma] </t>
  </si>
  <si>
    <t xml:space="preserve">Rimaszombat/Rimavská Sobota névszemiotikai tájképe / Angyal, Ladislav [Autor, UKFFSSUML, 100%] ; A nyelvföldrajztól a névföldrajzig : nevek a nyelvpolitikai küzdőtérben, 10 [08.06.2019, Komárno, Slovensko]. – text. – [maďarčina]. – [OV 020]. – [abstrakt z podujatia - KP] In: A nyelvföldrajztól a névföldrajzig (10) [textový dokument (print)] : nevek a nyelvpolitikai küzdőtérben / Vörös, Ferenc [Zostavovateľ, editor] ; Barics, Ernő [Recenzent] ; Benő, Attila [Recenzent]. – 1. vyd. – Szombathely (Maďarsko) : Savaria University Press, 2019. – ISBN 978-615-5753-44-2, s. 105-118 [tlačená forma] </t>
  </si>
  <si>
    <t xml:space="preserve">Risks of professional parenting / Gažiková, Elena [Autor, UKFFSVKSP, 50%] ; Šeboková, Gabriela [Autor, UKFFSVKPV, 30%] ; Fellnerová, Nikoleta [Autor, UKFFSVKSP, 20%] ; Children in the net [2020, Bratislava, Slovensko]. – text. – [angličtina]. – [OV 060]. – [abstrakt z podujatia - KP] In: Children in the net [textový dokument (print)] [elektronický dokument] : World scientific conference : Social, Legal and Medical Consequences of emotional Abuse in Children : Conference Proceedings / Tinka, Jozef [Zostavovateľ, editor] ; Klementis, Martin [Zostavovateľ, editor] ; Oláh, Michal [Recenzent] ; Dušatková, Alena [Recenzent]. – 1. vyd. – Bratislava (Slovensko) : Rada pre práva dieťaťa - Slovenská republika, 2020. – ISBN 978-80-973305-2-1, s. 168-177 [tlačená forma] [online] </t>
  </si>
  <si>
    <t xml:space="preserve">Riziká spojené s prácou z domu / Harangozó, Jozef [Autor, UKFPFAKTT, 50%] ; Tureková, Ivana [Autor, UKFPFAKTT, 50%] ; Globálne existenciálne riziká 2020, 10 [10.09.2020, Bratislava, Slovensko]. – text. – [slovenčina]. – [OV 010]. – [abstrakt z podujatia - KP] In: Globálne existenciálne riziká 2020 [textový dokument (print)] [elektronický dokument] : recenzovaný zborník príspevkov z 10. medzinárodnej vedeckej konferencie / Klinec, Ivan [Zostavovateľ, editor] ; Nemoga, Karol [Zostavovateľ, editor] ; Rusko, Miroslav [Zostavovateľ, editor] ; Bednárová, Lucia [Recenzent] ; Klinec, Ivan [Recenzent]. – 1. vyd. – Žilina (Slovensko) : Strix, 2020. – (ESE ; No. 53). – ISBN 978-80-973460-4-1, s. 153-156 [tlačená forma] [online] </t>
  </si>
  <si>
    <t xml:space="preserve">Rodičovstvo ako sociálna reprezentácia = Parenthood as a social representation / Lukšík, Ivan [Autor, TUTPFSPD, 50%] ; Marková, Dagmar [Autor, UKFFFAKAE 06.2022, 50%] ; Köverová, Estera [Recenzent] ; Vaško, Lukáš [Recenzent] ; Sexuality, 10 [09.11.2017-10.11.2017, Bratislava, Slovensko]. – text. – [slovenčina]. – [OV 020]. – [abstrakt z podujatia - KP]. – TUTPFSPD signatúra E073230 In: Sexuality X [elektronický dokument] : recenzovaný zborník príspevkov z medzinárodnej vedeckej konferencie Sexuality / Fúsková, Jana [Zostavovateľ, editor] ; Hargašová, Lucia [Zostavovateľ, editor]. – 1. vyd. – Bratislava (Slovensko) : Slovenská akadémia vied. Pracoviská SAV. Ústav výskumu sociálnej komunikácie, 2018. – ISBN 978-80-970234-7-8. – ISBN (online) 978-80-970234-8-5. – TUTPFSPD signatúra E073230, s. 74-86 [online] </t>
  </si>
  <si>
    <t xml:space="preserve">Rodina a workoholizmus / Štrbová, Monika [Autor, UKFFFAKSO, 100%] ; Mrázová, Alžbeta [Recenzent] ; Kusin, Vasiľ [Recenzent] ; Vizualizácia sociálnej práce, 4 [25.05.2018, Sládkovičovo, Slovensko]. – text. – [slovenčina]. – [OV 060]. – [abstrakt z podujatia - KP] In: Vizualizácia sociálnej práce 4 [textový dokument (print)] : zborník príspevkov z konferencie, ktorá sa  konala 25.5.2018 v budove Vysokej školy Danubius v Sládkovičove / Šebestová, Petronela [Zostavovateľ, editor] ; Mareková, Hermína [Zostavovateľ, editor]. – 1. vyd. – Sládkovičovo (Slovensko) : Vysoká škola Danubius, 2018. – ISBN 978-80-8167-066-4, s. 112-119 [tlačená forma] </t>
  </si>
  <si>
    <t xml:space="preserve">Rodové rozdiely vo fyzickej aktivite, motivácii k fyzickej aktivite a postoji k vlastnému telu v adolescencii / Sollár, Tomáš [Autor, UKFFSVUAP, 50%] ; Romanová, Martina [Autor, UKFFSVUAP, 50%] ; Müller, Anetta [Recenzent] ; Biró, Melinda [Recenzent] ; Sport science in motion [17.05.2018-19.05.2018, Komárno, Slovensko]. – text. – [slovenčina]. – [OV 060]. – [abstrakt z podujatia - KP] In: Sport science in motion [elektronický dokument] : proceedings from the scientific conference, Komárno, May 17th – 19th, 2018 = recenzovaný zborník vedeckých a odborných prác z konferencie = válogatott tanulmánykötet – válogatott tanulmányok a tudományos konferenciáról / Šimonek, Jaromír [Zostavovateľ, editor] ; Dobay, Beáta [Zostavovateľ, editor]. – 1. vyd. – Komárno (Slovensko) : Univerzita J. Selyeho, 2018. – ISBN 978-80-8122-245-0, s. 194-202 [CD-ROM] </t>
  </si>
  <si>
    <t xml:space="preserve">Role of intercultural competence in teaching english as a foreign language / Ivenz, Petra [Autor, UKFPFAKLI, 100%] ; Juvenilia Paedagogica 2021 [12.02.2021, Trnava, Slovensko]. – [angličtina]. – [OV 010]. – [abstrakt z podujatia - KP]. – TRUNI ohlas E086130 In: Juvenilia Paedagogica 2021 [elektronický dokument] : aktuálne teoretické a výskumné otázky pedagogiky v konceptoch dizertačných prác doktorandov : zborník príspevkov z konferencie s medzinárodnou účasťou konanej dňa 12.02.2021 pod záštitou dekanky Pedagogickej fakulty / Rajský, Andrej [Zostavovateľ, editor] ; Lechta, Viktor [Recenzent] ; Kudláčová, Blanka [Recenzent]. – 1. vyd. – Trnava (Slovensko) : Trnavská univerzita v Trnave, 2021. – ISBN 978-80-568-0248-9. – TUTPFKPS signatúra E086130, s. 74-79 [CD-ROM] </t>
  </si>
  <si>
    <t xml:space="preserve">Role of Local Self-government in Pre-primary Education / Papcunová, Viera [Autor, UKFFPVUMI, 100%] ; Verejná správa v súčasnom demokratickom a právnom štáte [15.11.2018, Košice, Slovensko]. – [angličtina]. – [OV 060]. – [abstrakt z podujatia - KP] In: Verejná správa v súčasnom demokratickom a právnom štáte (Časť 2.) [elektronický dokument] [textový dokument (print)] : recenzovaný zborník príspevkov z medzinárodnej vedeckej konferencie organizovanej pri príležitosti 20. výročia vzniku Fakulty verejnej správy Univerzity Pavla Jozefa Šafárika v Košiciach konanej dňa 15. novembra 2018 v Košiciach / Palúš, Igor [Zostavovateľ, editor] ; Mitaľ, Ondrej [Zostavovateľ, editor] ; Žofčinová, Vladimíra [Zostavovateľ, editor] ; Balogová, Beáta [Recenzent] ; Chovanec, Jaroslav [Recenzent]. – 1. vyd. – Košice (Slovensko) : Univerzita Pavla Jozefa Šafárika v Košiciach, 2018. – ISBN 978-80-8152-701-2. – ISBN (online) 978-80-8152-703-6. – sign UPJS VSEP 02420, s. 229-239 [tlačená forma] [online] </t>
  </si>
  <si>
    <t xml:space="preserve">Román a semióza životného sveta / Žiak, Peter [Autor, UKFFFAULK, 100%] ; Boszorád, Martin [Recenzent] ; Migašová, Jana [Recenzent] ; Pragmatické dimenzie umenia a estetiky [19.09.2017-21.09.2017, Bratislava, Slovensko]. – text. – [slovenčina]. – [OV 020]. – [abstrakt z podujatia - KP] In: Pragmatické dimenzie umenia a estetiky [textový dokument (print)] : zborník príspevkov z medzinárodnej konferencie Pragmatické dimenzie umenia a estetiky, ktorá sa konala v dňoch 19. až 21. septembra 2017 / Pašteková, Michaela [Zostavovateľ, editor] ; Debnár, Marek [Zostavovateľ, editor]. – 1. vyd. – Bratislava (Slovensko) : Slovenská asociácia pre estetiku, 2018. – ISBN 978-80-972624-1-9, s. 100-108 [tlačená forma] </t>
  </si>
  <si>
    <t xml:space="preserve">Rozšírené srdce: centrum umenia? / Pariláková, Eva [Autor, UKFFFAULK, 100%] ; Estetika centra a periférie - centrum a periféria estetiky [23.10.2019-25.10.2019, Bratislava, Slovensko]. – text. – [slovenčina]. – [OV 020]. – [abstrakt z podujatia - KP] In: Estetika centra a periférie - centrum a periféria estetiky [textový dokument (print)] / Pašteková, Michaela [Zostavovateľ, editor] ; Brezňan, Peter [Zostavovateľ, editor] ; Jablonská, Beata [Recenzent] ; Komanická, Ivana [Recenzent]. – 1. vyd. – Bratislava (Slovensko) : Slovenská asociácia pre estetiku, 2020. – ISBN 978-80-972624-3-3, s. 291-300 [tlačená forma] </t>
  </si>
  <si>
    <t xml:space="preserve">Rozšírenie a habitatová charakteristika inváznych druhov Fallopia spp. na severozápadnom Slovensku / Čistoňová, Zuzana [Autor, UKFFPVKEE, 100%] ; Študentská vedecká konferencia 2018 [21.03.2018, Nitra, Slovensko]. – text. – [slovenčina]. – [OV 091]. – [abstrakt z podujatia - KP] In: Študentská vedecká konferencia 2018 [textový dokument (print)] : zborník recenzovaných príspevkov z konferencie v Nitre 21. 03.2018 / Siládi, Vladimir [Zostavovateľ, editor] ; Račáková, Slavka [Zostavovateľ, editor] ; Voštinár, Patrik [Recenzent] ; Trajteľ, Ľudovít [Recenzent] ; Suchý, Jozef [Recenzent] ; Vagač, Michal [Recenzent] ; Melicherčík, Miroslav [Recenzent]. – 1. vyd. – 2018 (Slovensko) : Univerzita Konštantína Filozofa v Nitre, 2018. – ISBN 978-80-557-1415-8, s. 59-65 [tlačená forma] </t>
  </si>
  <si>
    <t xml:space="preserve">Rozvíjanie čítania s porozumením v cudzom jazyku prostredníctvom intervencie / Szabó, Erzsébet [Autor, UKFFFAKGE, 33%] ; Havettová, Romana [Autor, UKFFFAKRO, 34%] ; Stranovská, Eva [Autor, UKFFFAKGE, 33%] ; Forlang, 10 [23.06.2021-24.06.2021, Košice, Slovensko]. – text. – [slovenčina]. – [OV 010]. – [ŠO 7605]. – [abstrakt z podujatia - KP] In: Forlang [elektronický dokument] : periodický zborník vedeckých príspevkov a odborných článkov z medzinárodnej vedeckej konferencie konanej 23. - 24. júna 2021 : cudzie jazyky v akademickom prostredí = foreign Languages in the Academic Environment = Fremdsprachen im akademischen Bereich = inostrannye jazyki v akademičeskoj srede / Kaščáková, Eva [Zostavovateľ, editor] ; Alieva, Lenka [Recenzent] ; Czéreová, Beáta [Recenzent] ; Hájik, Tomáš [Recenzent] ; Klink, Sandra [Recenzent] ; Kulíková, Terézia [Recenzent] ; Mazurová, Helena [Recenzent] ; Mihalčinová, Zuzana [Recenzent] ; Mihaľová, Alena [Recenzent] ; Pechová, Soňa [Recenzent] ; Sorger, Roman [Recenzent] ; Szabová, Katarína [Recenzent] ; Timárová, Daniela [Recenzent] ; Vráželová, Viktória [Recenzent]. – 1. vyd. – Roč. 8, č. 1. – Košice (Slovensko) : Technická univerzita v Košiciach, 2021. – ISBN (online) 978-80-553-3948-1. – ISSN 1338-5496. – SIGN-TUKE 233160, s. 169-176 [CD-ROM] </t>
  </si>
  <si>
    <t xml:space="preserve">Rozvíjanie emocionálnej inteligencie vo výučbe etickej výchovy / Šlosárová, Simona [Autor, UKFFFAKAE 06.2022, 100%] ; Kmeťová, Jarmila [Recenzent] ; Bírová, Jana [Recenzent] ; Inovatívne trendy v odborových didaktikách v kontexte požiadaviek praxe [13.11.2017-14.11.2017, Nitra, Slovensko]. – text. – [slovenčina]. – [OV 010]. – [abstrakt z podujatia - KP] In: Inovatívne trendy v odborových didaktikách v kontexte požiadaviek praxe [elektronický dokument] : zborník štúdií z medzinárodnej vedeckej konferencie / Duchovičová, Jana [Zostavovateľ, editor] ; Gunišová, Denisa [Zostavovateľ, editor] ; Kozárová, Nina [Zostavovateľ, editor] ; Koleňáková, Rebeka Štefánia [Zostavovateľ, editor]. – 1. vyd. – Nitra (Slovensko) : Univerzita Konštantína Filozofa v Nitre. Pedagogická fakulta UKF, 2018. – ISBN 978-80-558-1277-9, s. 225-229 [online] </t>
  </si>
  <si>
    <t xml:space="preserve">Rozvíjanie tvorivého a kritického myslenia v etickej výchove / Lomnický, Igor [Autor, UKFFFAKAE 06.2022, 100%] ; Inovatívne trendy v odborových didaktikách [21.11.2018, Nitra, Slovensko]. – text. – [slovenčina]. – [OV 010]. – [abstrakt z podujatia - KP] In: Inovatívne trendy v odborových didaktikách [textový dokument (print)] : prepojenie teórie a praxe výučbových stratégií kritického a tvorivého myslenia : zborník štúdií z medzinárodnej vedeckej konferencie, Nitra 21. november 2018 / Duchovičová, Jana [Zostavovateľ, editor] ; Hošová, Dominika [Zostavovateľ, editor] ; Koleňáková, Rebeka Štefánia [Zostavovateľ, editor] ; Bílek, Martin [Recenzent] ; Komora, Juraj [Recenzent]. – 1. vyd. – Nitra (Slovensko) : Univerzita Konštantína Filozofa v Nitre, 2019. – ISBN 978-80-558-1408-7, s. 357-364 [tlačená forma] </t>
  </si>
  <si>
    <t xml:space="preserve">Rozvíjanie tvorivého a kritického myslenia v intenciách interpersonálnej komunikácie : inovatívne trendy v odborových didaktikách v kontexte požiadaviek praxe / Predanocyová, Ľubica [Autor, UKFFFAKFI, 50%] ; Jonášková, Gabriela [Autor, UKFFFAKFI, 50%] ; Kmeťová, Jarmila [Recenzent] ; Bírová, Jana [Recenzent] ; Inovatívne trendy v odborových didaktikách v kontexte požiadaviek praxe [13.11.2017-14.11.2017, Nitra, Slovensko]. – text. – [slovenčina]. – [OV 010]. – [abstrakt z podujatia - KP] In: Inovatívne trendy v odborových didaktikách v kontexte požiadaviek praxe [elektronický dokument] : zborník štúdií z medzinárodnej vedeckej konferencie / Duchovičová, Jana [Zostavovateľ, editor] ; Gunišová, Denisa [Zostavovateľ, editor] ; Kozárová, Nina [Zostavovateľ, editor] ; Koleňáková, Rebeka Štefánia [Zostavovateľ, editor]. – 1. vyd. – Nitra (Slovensko) : Univerzita Konštantína Filozofa v Nitre. Pedagogická fakulta UKF, 2018. – ISBN 978-80-558-1277-9, s. 562-563 [online] </t>
  </si>
  <si>
    <t xml:space="preserve">Rozvoj tvorivosti na didaktických disciplínach vyučovaných na KVTV PF UKF v Nitre / Satková, Janka [Autor, UKFPFAKVV, 100%] ; Kmeťová, Jarmila [Recenzent] ; Bírová, Jana [Recenzent] ; Inovatívne trendy v odborových didaktikách v kontexte požiadaviek praxe [13.11.2017-14.11.2017, Nitra, Slovensko]. – text. – [slovenčina]. – [OV 010]. – [abstrakt z podujatia - KP] In: Inovatívne trendy v odborových didaktikách v kontexte požiadaviek praxe [elektronický dokument] : zborník štúdií z medzinárodnej vedeckej konferencie / Duchovičová, Jana [Zostavovateľ, editor] ; Gunišová, Denisa [Zostavovateľ, editor] ; Kozárová, Nina [Zostavovateľ, editor] ; Koleňáková, Rebeka Štefánia [Zostavovateľ, editor]. – 1. vyd. – Nitra (Slovensko) : Univerzita Konštantína Filozofa v Nitre. Pedagogická fakulta UKF, 2018. – ISBN 978-80-558-1277-9, s. 380-386 [online] </t>
  </si>
  <si>
    <t xml:space="preserve">Rozvoj tvorivosti prostredníctvom metódy "Učím sa učím ťa" / Frtúsová, Zuzana [Autor, 20%] ; Sandanusová, Anna [Autor, UKFFPVKZA, 80%] ; Kmeťová, Jarmila [Recenzent] ; Bírová, Jana [Recenzent] ; Inovatívne trendy v odborových didaktikách v kontexte požiadaviek praxe [13.11.2017-14.11.2017, Nitra, Slovensko]. – text. – [slovenčina]. – [OV 010]. – [abstrakt z podujatia - KP] In: Inovatívne trendy v odborových didaktikách v kontexte požiadaviek praxe [elektronický dokument] : zborník štúdií z medzinárodnej vedeckej konferencie / Duchovičová, Jana [Zostavovateľ, editor] ; Gunišová, Denisa [Zostavovateľ, editor] ; Kozárová, Nina [Zostavovateľ, editor] ; Koleňáková, Rebeka Štefánia [Zostavovateľ, editor]. – 1. vyd. – Nitra (Slovensko) : Univerzita Konštantína Filozofa v Nitre. Pedagogická fakulta UKF, 2018. – ISBN 978-80-558-1277-9, s. 111-115 [online] </t>
  </si>
  <si>
    <t xml:space="preserve">Rozvojové aktivity a propagácia MAS Termál = Developmental activities and promotion of LAG Termál / Boriková, Stela [Autor, UKFFPVKGR, 100%] ; Študentská vedecká konferencia 2021 [14.04.2021, Nitra, Banská Bystrica, Slovensko]. – text. – [slovenčina]. – [OV 092]. – [abstrakt z podujatia - KP] In: Študentská vedecká konferencia 2021 Fakulty prírodných vied Univerzity Konštantína Filozofa v Nitre a Fakulty prírodných vied Univerzity Mateja Bela v Banskej Bystrici [textový dokument (print)] : zborník recenzovaných príspevkov / Francisti, Jan [Zostavovateľ, editor] ; Fodor, Kristián [Zostavovateľ, editor]. – 1. vyd. – Nitra (Slovensko) : Univerzita Konštantína Filozofa v Nitre ; Banská Bystrica (Slovensko) : Univerzita Mateja Bela v Banskej Bystrici, 2021. – (Prírodovedec ; 756). – ISBN 978-80-558-1712-5, s. 89-96 [tlačená forma] </t>
  </si>
  <si>
    <t xml:space="preserve">Rôznorodé perspektívy a prístup k jedinému ideálu omladzovania literatúry v talianskom futurizme / Ćurković, Mirta [Autor, UKFFFAKRO, 100%] ; In Pluribus Unitas : Jednota v mnohosti, 9 [07.12.2020-08.12.2020, Prešov, Slovensko]. – text. – [slovenčina]. – [OV 020]. – [abstrakt z podujatia - KP] In: In Pluribus Unitas 9 [textový dokument (print)] : jednota v mnohosti = unity in diversity / Kardis, Mária [Zostavovateľ, editor] ; Tlučková, Dominika [Zostavovateľ, editor] ; Bak, Tadeusz [Recenzent] ; Borza, Peter [Recenzent]. – 1. vyd. – Prešov (Slovensko) : Prešovská univerzita v Prešove. Gréckokatolícka teologická fakulta, 2021. – ISBN 978-80-555-2702-4. – SIGN-PU GTF-21 50/21, s. 129-138 [tlačená forma] </t>
  </si>
  <si>
    <t xml:space="preserve">Rubrics as Self-Assessment Tool of Mathematical Education / Šabíková, Henrieta [Autor, UKFFPVKMA, 34%] ; Judinová, Lenka [Autor, 33%] ; Čeretková, Soňa [Autor, UKFFPVKMA, 33%] ; Baicoianu, Alexandra [Recenzent] ; Fabio, Bruni [Recenzent] ; APLIMAT 2018, 17 [06.02.2018-08.02.2018, Bratislava, Slovensko]. – text. – [angličtina]. – [OV 240]. – [abstrakt z podujatia - KP] In: Aplimat 2018 [elektronický dokument] : 17th conference on Aplied mathematics proceedings / Szarková, Dagmar [Zostavovateľ, editor] ; Richtáriková, Daniela [Zostavovateľ, editor] ; Letavaj, Peter [Zostavovateľ, editor] ; Gabková, Jana [Zostavovateľ, editor]. – 1. vyd. – Bratislava (Slovensko) : Slovenská technická univerzita v Bratislave, 2018. – ISBN 978-80-227-4765-3, s. 918-924 [USB kľúč] </t>
  </si>
  <si>
    <t xml:space="preserve">Rudolf Urc - filmár ako sa patrí / Lužica, René [Autor, UKFFSVURS, 90%] ; Mayerová, Ingrid [Autor, VSMUFTFADT, 10%] ; Rudolf Urc - tvorca a interpret histórie [08.04.2019, Bratislava, Slovensko]. – text. – [slovenčina]. – [OV 020]. – [abstrakt z podujatia - KP] In: Rudolf Urc - tvorca a interpret histórie [textový dokument (print)] : zborník prispevkov z konferencie, ktorá sa uskutočnila v Bratislave 8. apríla 2019 / Gubčová, Eva [Zostavovateľ, editor] ; Macek, Václav [Zostavovateľ, editor] ; Šošková, Eva [Zostavovateľ, editor] ; Mertová, Michaela [Recenzent] ; Mojžišová, Zuzana [Recenzent]. – 1. vyd. – Bratislava (Slovensko) : Slovenská filmová a televízna akadémia, 2020. – ISBN 978-80-85739-82-4, s. 11-17 [tlačená forma] </t>
  </si>
  <si>
    <t xml:space="preserve">Russian theaters in the digital space / Zacharová, Jana [Autor, UKFFFAKMR, 100%] ; Quo vadis 2021 : Masmédia a marketing 20. rokov 21. storočia - nová éra, nové výzvy [08.04.2021, Trnava, Slovensko]. – text. – [angličtina]. – [OV 020]. – [abstrakt z podujatia - KP] In: Quo vadis marketing [elektronický dokument] : zborník z vedeckej konferencie doktorandov a mladých vedeckých pracovníkov Quo vadis massmedia &amp; marketing organizovanou Fakultou masmediálnej komunikácie UCM v Trnave / Jurišová, Vladimíra [Zostavovateľ, editor] ; Franić, Dáša [Zostavovateľ, editor] ; Urmínová, Marianna [Zostavovateľ, editor] ; Madleňák, Adam [Recenzent] ; Martovič, Matej [Recenzent]. – 1. vyd. – Trnava (Slovensko) : Univerzita sv. Cyrila a Metoda v Trnave. Fakulta masmediálnej komunikácie, 2021. – ISBN (online) 978-80-572-0196-0, s. 195-203 [online] </t>
  </si>
  <si>
    <t xml:space="preserve">Rýmové uvedomovanie ako súčasť rozvíjania fonologického uvedomovania u detí predškolského veku / Máčajová, Monika [Autor, UKFPFAKPE, 50%] ; Zajacová, Zuzana [Autor, UKFPFAKPE, 50%] ; Inovatívne trendy v odborových didaktikách [21.11.2018, Nitra, Slovensko]. – text. – [slovenčina]. – [OV 010]. – [abstrakt z podujatia - KP] In: Inovatívne trendy v odborových didaktikách [textový dokument (print)] : prepojenie teórie a praxe výučbových stratégií kritického a tvorivého myslenia : zborník štúdií z medzinárodnej vedeckej konferencie, Nitra 21. november 2018 / Duchovičová, Jana [Zostavovateľ, editor] ; Hošová, Dominika [Zostavovateľ, editor] ; Koleňáková, Rebeka Štefánia [Zostavovateľ, editor] ; Bílek, Martin [Recenzent] ; Komora, Juraj [Recenzent]. – 1. vyd. – Nitra (Slovensko) : Univerzita Konštantína Filozofa v Nitre, 2019. – ISBN 978-80-558-1408-7, s. 512-519 [tlačená forma] </t>
  </si>
  <si>
    <t xml:space="preserve">Scientific conceptual map as a compliance tool in a comprehensive understanding of the concept of energy / Jindrová, Terézia [Autor, UKFFPVKFY, 100%] ; DIDFYZ 2019, 21 [09.10.2019-12.10.2019, Terchová, Slovensko]. – text. – [angličtina]. – [OV 091, 010]. – [abstrakt z podujatia - KP]. – DOI 10.1063/1.5124756. – SCO In: DIDFYZ 2019 [textový dokument (print)] [elektronický dokument] : Formation of the Natural Science Image of the World in the 21st Century / Valovičová, Ľubomíra [Zostavovateľ, editor] ; Ondruška, Ján [Zostavovateľ, editor] ; Zelenický, Ľubomír [Zostavovateľ, editor]. – 1. vyd. – Melville (USA) : American Institute of Physics . AIP Publishing, 2019. – (AIP Conference Proceedings, ISSN 0094-243X, ISSN 1551-7616 ; 2152, SJR: 0,19 ; CiteScore: 0,6 ; SNIP: 0,373). – ISBN 978-0-7354-1897-4, s. 1-7 [tlačená forma] [online] </t>
  </si>
  <si>
    <t xml:space="preserve">Sebaponímanie nadaných žiakov / Hošová, Dominika [Autor, UKFPFAKPE, 100%] ; Kmeťová, Jarmila [Recenzent] ; Bírová, Jana [Recenzent] ; Inovatívne trendy v odborových didaktikách v kontexte požiadaviek praxe [13.11.2017-14.11.2017, Nitra, Slovensko]. – text. – [slovenčina]. – [OV 010]. – [abstrakt z podujatia - KP] In: Inovatívne trendy v odborových didaktikách v kontexte požiadaviek praxe [elektronický dokument] : zborník štúdií z medzinárodnej vedeckej konferencie / Duchovičová, Jana [Zostavovateľ, editor] ; Gunišová, Denisa [Zostavovateľ, editor] ; Kozárová, Nina [Zostavovateľ, editor] ; Koleňáková, Rebeka Štefánia [Zostavovateľ, editor]. – 1. vyd. – Nitra (Slovensko) : Univerzita Konštantína Filozofa v Nitre. Pedagogická fakulta UKF, 2018. – ISBN 978-80-558-1277-9, s. 542-546 [online] </t>
  </si>
  <si>
    <t xml:space="preserve">Sebaregulácia študentov učiteľstva / Hošová, Dominika [Autor, UKFPFAKPE, 100%] ; Inovatívne trendy v odborových didaktikách [21.11.2018, Nitra, Slovensko]. – text. – [slovenčina]. – [OV 010]. – [abstrakt z podujatia - KP] In: Inovatívne trendy v odborových didaktikách [textový dokument (print)] : prepojenie teórie a praxe výučbových stratégií kritického a tvorivého myslenia : zborník štúdií z medzinárodnej vedeckej konferencie, Nitra 21. november 2018 / Duchovičová, Jana [Zostavovateľ, editor] ; Hošová, Dominika [Zostavovateľ, editor] ; Koleňáková, Rebeka Štefánia [Zostavovateľ, editor] ; Bílek, Martin [Recenzent] ; Komora, Juraj [Recenzent]. – 1. vyd. – Nitra (Slovensko) : Univerzita Konštantína Filozofa v Nitre, 2019. – ISBN 978-80-558-1408-7, s. 111-115 [tlačená forma] </t>
  </si>
  <si>
    <t xml:space="preserve">Selected Geographical Aspects of the Landscape with Scattered Settlement (On the Example of the Village Hrušov) / Lacika, Ján [Autor, UKFFPVKGR, 50%] ; Hanušin, Ján [Autor, 50%] ; Geografické aspekty stredoeurópskeho priestoru, 26 [10.10.2018-11.10.2018, Nitra, Slovensko]. – text. – [angličtina]. – [OV 092]. – [článok z podujatia]. – [recenzované]. – DOI 10.17846/GI.2018.22.1.256-273. – WOS CC In: Geografické informácie [textový dokument (print)] [elektronický dokument] . – Nitra (Slovensko) : Univerzita Konštantína Filozofa v Nitre. – ISSN 1337-9453. – Roč. 22, č. 1 (2018), s. 256-273 [tlačená forma] [online] </t>
  </si>
  <si>
    <t xml:space="preserve">Selected Statistical Methods and Indicators of Agriculture Evaulation / Michalina, Denis [Autor, UKFFPVKGR, 60%] ; Némethová, Jana [Autor, UKFFPVKGR, 40%] ; Geografické aspekty stredoeurópskeho priestoru, 26 [10.10.2018-11.10.2018, Nitra, Slovensko]. – text. – [slovenčina]. – [OV 092]. – [článok z podujatia]. – [recenzované]. – DOI 10.17846/GI.2018.22.1.300-316. – WOS CC In: Geografické informácie [textový dokument (print)] [elektronický dokument] . – Nitra (Slovensko) : Univerzita Konštantína Filozofa v Nitre. – ISSN 1337-9453. – Roč. 22, č. 1 (2018), s. 300-316 [tlačená forma] [online] </t>
  </si>
  <si>
    <t xml:space="preserve">Selmec mint transzkulturális tér / Tóth, Anikó [Autor, UKFFSSUML, 100%] ; Transzkulturalizmus és bilingvizmus [17.09.2019-18.09.2019, Nitra, Slovensko]. – text. – [čeština]. – [OV 020]. – [abstrakt z podujatia - KP] In: Transzkulturalizmus és bilingvizmus [textový dokument (print)] / Hegedüs, Orsolya [Zostavovateľ, editor] ; Németh, Zoltán [Zostavovateľ, editor] ; Tóth, Anikó [Zostavovateľ, editor] ; Petres Csizmadia, Gabriela [Zostavovateľ, editor] ; Szirák, Péter [Recenzent] ; Benyovszky, Kristian [Recenzent]. – 1. vyd. – Nitra (Slovensko) : Univerzita Konštantína Filozofa v Nitre. Fakulta stredoeurópskych štúdií, 2019. – ISBN 978-80-558-1478-0, s. 49-64 [tlačená forma] </t>
  </si>
  <si>
    <t xml:space="preserve">Semantisches Differential und semantische Selektion als Untersuchungsmethoden in der Fremdsprachendidaktik / Stranovská, Eva [Autor, UKFFFAKGE, 50%] ; Stančeková, Svetlana [Autor, UKFFFAKRO, 50%] ; Müglová, Daniela [Recenzent] ; Borsuková, Hana [Recenzent] ; Synergien: 25 Jahre Germanistik und DAAD an der Philosoph Konstantin-Universität Nitra, 25 [27.04.2017-28.04.2017, Nitra, Slovensko]. – text. – [nemčina]. – [OV 020]. – [abstrakt z podujatia - KP] In: Synergien - 25 Jahre Germanistik und DAAD an der Philosoph Konstantin-Universität Nitra [textový dokument (print)] : Sammelband. Internationale wissenschaftliche Tagung / Krause, Daniel [Zostavovateľ, editor] ; Wrede, Oľga [Zostavovateľ, editor]. – 1. vyd. – Nitra (Slovensko) : Univerzita Konštantína Filozofa v Nitre, 2018. – ISBN 978-80-558-1305-9, s. 345-356 [tlačená forma] </t>
  </si>
  <si>
    <t xml:space="preserve">Serial position effect and the modification of its validity by emotional advertising appeals / Szabóová, Veronika [Autor, UKFFFAKMR, 100%] ; Marketing identity 2018 [06.11.2018-07.11.2018, Smolenice, Slovensko]. – text. – [angličtina]. – [OV 060]. – [abstrakt z podujatia - KP]. – [recenzované]. – WOS CC In: Marketing Identity [textový dokument (print)] : Digital Mirrors - part I. / Čábyová, Ľudmila [Zostavovateľ, editor] ; Rybanský, Rudolf [Zostavovateľ, editor] ; Bezáková, Zuzana [Zostavovateľ, editor]. – 1. vyd. – Trnava (Slovensko) : Univerzita sv. Cyrila a Metoda v Trnave. Fakulta masmediálnej komunikácie, 2018. – ISBN 978-80-8105-984-1. – ISSN 1339-5726, 265-276 [tlačená forma] </t>
  </si>
  <si>
    <t xml:space="preserve">Sexting a možnosti intervencie prostredníctvom inštrumentálneho obohacovania / Jedličková, Petra [Autor, UKFPFAKPE, 50%] ; Hollá, Katarína [Autor, UKFPFAKPE, 50%] ; SOCIALIA 2019, 23 [17.10.2019-18.10.2019, hotel Šachtička, Banská Bystrica, Slovensko]. – text. – [slovenčina]. – [OV 010, 060]. – [abstrakt z podujatia - KP] In: SOCIALIA 2019: "Quo vadis sociálna pedagogika v 21. storočí?" [textový dokument (print)] : zborník príspevkov z medzinárodnej vedeckej konferencie SOCIALIA 2019, ktorá sa konala v hoteli Šachtička pri Banskej Bystrici v dňoch 17. - 18. októbra 2019 Banská Bystrica 2019 / [bez zostavovateľa] [Zostavovateľ, editor] ; Határ, Ctibor [Recenzent] ; Radziewicz-Winnicki, Andrzej [Recenzent]. – 1. vyd. – Banská Bystrica (Slovensko) : Univerzita Mateja Bela v Banskej Bystrici. Vydavateľstvo Univerzity Mateja Bela v Banskej Bystrici - Belianum, 2019. – ISBN 978-80-557-1646-6, s. 192-196 [tlačená forma] </t>
  </si>
  <si>
    <t xml:space="preserve">Shopoholizmus z pohľadu sociológie / Selická, Denisa [Autor, UKFFFAKSO, 100%] ; Mrázová, Alžbeta [Recenzent] ; Kusin, Vasiľ [Recenzent] ; Vizualizácia sociálnej práce, 4 [25.05.2018, Sládkovičovo, Slovensko]. – [slovenčina]. – [OV 060]. – [abstrakt z podujatia - KP] In: Vizualizácia sociálnej práce 4 [textový dokument (print)] : zborník príspevkov z konferencie, ktorá sa  konala 25.5.2018 v budove Vysokej školy Danubius v Sládkovičove / Šebestová, Petronela [Zostavovateľ, editor] ; Mareková, Hermína [Zostavovateľ, editor]. – 1. vyd. – Sládkovičovo (Slovensko) : Vysoká škola Danubius, 2018. – ISBN 978-80-8167-066-4, s. 92-98 [tlačená forma] </t>
  </si>
  <si>
    <t xml:space="preserve">Shore hardness and Young ́s modulus of alumina porcelain mixture fired at 300 °C - 1250 °C / Mánik, Miroslav [Autor, 20%] ; Obert, Filip [Autor, UKFFPVKFY, 20%] ; Ondruška, Ján [Autor, UKFFPVKFY, 20%] ; Húlan, Tomáš [Autor, UKFFPVKFY, 20%] ; Štubňa, Igor [Autor, UKFFPVKFY, 20%] ; Preparation  of Ceramic Materilas, 13 [25.06.2019-27.06.2019, Jahodná, Slovensko]. – text. – [angličtina]. – [OV 091]. – [abstrakt z podujatia - KP] In: Preparation  of Ceramic Materials [textový dokument (print)] [elektronický dokument] : proceedings of the 13th international conference / Plešingerová, Beatrice [Zostavovateľ, editor] ; Medveď, Dávid [Zostavovateľ, editor] ; Hnatko, Miroslav [Recenzent] ; Fabián, Martin [Recenzent] ; Ivanová, Dana [Recenzent]. – 1. vyd. – Košice (Slovensko) : Technická univerzita v Košiciach, 2019. – ISBN 978-80-553-3314-4, s. 71-76 [tlačená forma] [online] </t>
  </si>
  <si>
    <t xml:space="preserve">Skúsenosti s implementáciou CLIL metódy na základnej škole : Experience with Implementation of CLIL Method at Primary School / Tokárová, Barbora [Autor, 70%] ; Jenisová, Zita [Autor, UKFFPVKCH, 30%] ; 15. medzinárodná konferencia študentov doktorandského štúdia v oblasti teórie prírodovedného vzdelávania, 15 [22.11.2019-23.11.2019, Komárno, Slovensko]. – text. – [slovenčina]. – [OV 010, 120]. – [abstrakt z podujatia - KP] In: 15. medzinárodná konferencia študentov doktorandského štúdia v oblasti teórie prírodovedného vzdelávania : (zborník príspevkov) : 22. - 23. 11. 2019 / Vargová, Andrea [Zostavovateľ, editor] ; Szarka, Katarína [Zostavovateľ, editor] ; Bílek, Martin [Recenzent] ; Brestenská, Beáta [Recenzent]. – 1. vyd. – Komárno (Slovensko) : Univerzita J. Selyeho, 2020. – ISBN 978-80-8122-349-5, s. 123-134 [online] </t>
  </si>
  <si>
    <t xml:space="preserve">Skúsenosti vysokoškolákov s migrantmi na Slovensku a miera ich akceptácie / Letavajová, Silvia [Autor, UKFFFAKMK, 50%] ; Zima, Roman [Autor, UKFFFAKMK, 50%] ; Súčasné migrácie a ich reflexia v spoločenskom vedomí [22.09.2021-23.09.2021, Nitra, Slovensko]. – text. – [slovenčina]. – [OV 010]. – [abstrakt z podujatia - KP] In: Súčasné migrácie a ich reflexia v spoločenskom vedomí [textový dokument (print)] : zborník príspevkov z medzinárodnej vedeckej (online) konferencie v Nitre 22. - 23. septembra 2021 / Letavajová, Silvia [Zostavovateľ, editor] ; Čukan, Jaroslav [Recenzent] ; Lenč, Jozef [Recenzent] ; Hlinčíková, Miroslava [Recenzent]. – 1. vyd. – Nitra (Slovensko) : Univerzita Konštantína Filozofa v Nitre, 2021. – ISBN 978-80-558-1800-9, s. 143-158 [tlačená forma] </t>
  </si>
  <si>
    <t xml:space="preserve">Slepá Baba / Kratochvil, Martin [Autor, UKFPFAKVV, 100%] ; CREA-AE 2018, 5 [01.11.2018-15.11.2018, Banská Bystrica, Slovensko]. – [slovenčina]. – [OV 010]. – [abstrakt z podujatia - KP] In: CREA-AE 2018 [elektronický dokument] : kreatívne reflexívne emocionálne alternatívne - umelecké vzdelávanie, zborník z elektronickej konferencie s medzinárodnou účasťou,  1. - 15. 11. 2018 / Valachová, Daniela [Zostavovateľ, editor] ; Lipárová, Lenka [Zostavovateľ, editor] ; Gašperová, Júlia [Zostavovateľ, editor] ; Bergerová, Xénia [Recenzent] ; Kováčová, Barbora [Recenzent]. – 1 vyd. – Banská Bystrica (Slovensko) : Univerzita Mateja Bela v Banskej Bystrici, 2018. – ISBN 978-80-557-1519-3, s. 139-147 [online] </t>
  </si>
  <si>
    <t xml:space="preserve">Slovak consumers from generation Y and their shopping behavior on discount portals / Koprda, Tomáš [Autor, UKFFFAKMR, 25%] ; Bulanda, Ivana [Autor, UKFFFAKMR, 25%] ; Viteková, Ivana [Autor, UKFFFAKMR, 25%] ; Blahová, Blanka [Autor, 25%] ; Andrejovská, Alena [Recenzent] ; Babayan, David [Recenzent] ; International Scientific Days 2018 [16.05.2018-17.05.2018, Nitra, Slovensko]. – text. – [angličtina]. – [OV 060]. – [abstrakt z podujatia - KP] In: International Scientific Days 2018 [elektronický dokument] : “Towards Productive, Sustainable and Resilient Global Agriculture and Food Systems.” Conference Proceedings, Nitra May 16-17, 2018 / Horská, Elena [Zostavovateľ, editor] ; Kapsdorferová, Zuzana [Zostavovateľ, editor] ; Hallová, Marcela [Zostavovateľ, editor]. – 1. vyd. – Praha (Česko) : Wolters Kluwer. Wolters Kluwer ČR, 2018. – ISBN 978-80-7598-180-6, s. 275-287 [online] </t>
  </si>
  <si>
    <t xml:space="preserve">Slovak Traditional Culture in English Language Teaching / Záhumenská, Lucia [Autor, UKFFFAKMK, 100%] ; FORLANG 2019 [06.06.2019-07.06.2019, Košice, Slovensko]. – text. – [angličtina]. – [OV 010]. – [abstrakt z podujatia - KP] In: FORLANG [elektronický dokument] : cudzie jazyky v akademickom prostredí. Periodický zborník vedeckých príspevkov a odborných článkov z medzinárodnej vedeckej konferencie konanej 6. - 7. júna 2019 / Kaščáková, Eva [Zostavovateľ, editor] ; Kožaríková, Henrieta [Zostavovateľ, editor]. – 1. vyd. – Roč. 7, č. 1. – Košice (Slovensko) : Technická univerzita v Košiciach, 2019. – ISBN 978-80-553-3398-4. – ISSN 1338-5496. – SIGN-TUKE 210848, s. 428-436 [DVD] </t>
  </si>
  <si>
    <t xml:space="preserve">Slovami proti smrti. Modely riešenia sporu ideality a reality v slovesnom diele / Zeleňáková, Hana [Autor, UKFFFAULK, 100%] ; Boszorád, Martin [Recenzent] ; Migašová, Jana [Recenzent] ; Pragmatické dimenzie umenia a estetiky [19.09.2017-21.09.2017, Bratislava, Slovensko]. – text. – [slovenčina]. – [OV 020]. – [abstrakt z podujatia - KP] In: Pragmatické dimenzie umenia a estetiky [textový dokument (print)] : zborník príspevkov z medzinárodnej konferencie Pragmatické dimenzie umenia a estetiky, ktorá sa konala v dňoch 19. až 21. septembra 2017 / Pašteková, Michaela [Zostavovateľ, editor] ; Debnár, Marek [Zostavovateľ, editor]. – 1. vyd. – Bratislava (Slovensko) : Slovenská asociácia pre estetiku, 2018. – ISBN 978-80-972624-1-9, s. 175-183 [tlačená forma] </t>
  </si>
  <si>
    <t xml:space="preserve">Slovenské ľudové divadlo v Nitre vo svetle dobovej tlače / Palárik, Miroslav [Autor, UKFFFAKHI, 100%] ; Divadelníctvo v regióne : Színház a régióban [11.09.2020, Šaľa, Slovensko]. – text. – [slovenčina]. – [OV 030]. – [abstrakt z podujatia - KP] In: Divadelníctvo v regióne : Színház a régióban [textový dokument (print)] : medzinárodná konferencia konaná dňa 11. septembra 2020 v Štátnom archíve Šaľa / [bez zostavovateľa] [Zostavovateľ, editor] ; Palárik, Miroslav [Recenzent] ; Bátovská, Jarmila [Recenzent]. – 1. vyd. – Nitra (Slovensko) : Ministerstvo vnútra Slovenskej republiky, 2020. – ISBN 978-80-973263-2-6, s. 145-157 [tlačená forma] </t>
  </si>
  <si>
    <t xml:space="preserve">Slovenské pedagogické časopisy a ich obsahová orientácia v období prvej polovice 20.storočia / Pavličková, Alexandra [Autor, UKFPFAKPE, 90%] ; Mičianová, Lucia [Autor, 10%] ; Periodiká v minulosti a súčasnosti [12.09.2017-13.09.2017, Bratislava, Slovensko]. – text. – [slovenčina]. – [OV 010]. – [abstrakt z podujatia - KP] In: Periodiká v minulosti a súčasnosti [textový dokument (print)] : zborník príspevkov / Škovierová, Angela [Zostavovateľ, editor] ; Kačírek, Ľuboš [Recenzent] ; Žeňuchová, Katarína [Recenzent] ; Vaneková, Oľga [Recenzent]. – 1. vyd. – Bratislava (Slovensko) : Univerzitná knižnica v Bratislave, 2018. – ISBN 978-80-89303-63-2. – SIGN-UKO LF UCJ/18, s. 90-99 [tlačená forma] </t>
  </si>
  <si>
    <t xml:space="preserve">Slovenskí Židia po druhej svetovej vojne v dielach Antona Baláža / Adamická, Monika [Autor, UKFFSSUSJ, 100%] ; Židovský kultúrny fenomén vstredoeurópskom kontexte, 3 [11.04.2019, Sereď, Slovensko]. – text. – [slovenčina]. – [OV 020]. – [abstrakt z podujatia - KP] In: Židovský kultúrny fenomén v stredoeurópskom kontexte 3 [textový dokument (print)] : zborník z 3. ročníka medzinárodnej vedeckej konferencie, Sereď 11. apríla 2019 / Hrbáček, Magdaléna [Zostavovateľ, editor] ; Bolemant, Lilla [Recenzent] ; Mizerová, Božena [Recenzent]. – 1. vyd. – Nitra (Slovensko) : Univerzita Konštantína Filozofa v Nitre, 2019. – ISBN 978-80-973283-0-6, s. 65-73 [tlačená forma] </t>
  </si>
  <si>
    <t xml:space="preserve">Social media stratégia strany Progresívne Slovensko pred voľbami do Európskeho parlamentu = Social Media Strategy of the Progressive Slovakia Party before the European Parliament Elections / Szabóová, Veronika [Autor, UKFFFAKMR, 100%] ; Jazyk a politika, 4 [20.06.2019, Bratislava, Slovensko]. – [slovenčina]. – [OV 020, 060]. – [abstrakt z podujatia - KP] In: Jazyk a politika: na pomedzí lingvistiky a politológie (4) [textový dokument (print)] : zborník príspevkov zo 4. ročníka medzinárodnej vedeckej konferencie / Štefančík, Radoslav [Zostavovateľ, editor] ; Seresová, Katarína [Recenzent] ; Lišková, Danuša [Recenzent]. – 1. vyd. – Bratislava (Slovensko) : Ekonomická univerzita v Bratislave. Celouniverzitné pracovisko EUBA. Vydavateľstvo EKONÓM, 2019. – ISBN 978-80-225-4641-6, s. 493-505 [tlačená forma] </t>
  </si>
  <si>
    <t xml:space="preserve">Sociálna práca s dysfunkčnými rodinami ako prevencia vyňatia dieťaťa / Minarovičová, Katarína [Autor, UKFFSVKSP, 100%] ; Gabura, Ján [Recenzent] ; Mojtová, Martina [Recenzent] ; Labor socialis - "Sociálna práca- profesia s perspektívou, profesia s poslaním" [20.09.2018, Nitra, Slovensko]. – text. – [slovenčina]. – [OV 060]. – [abstrakt z podujatia - KP] In: Labor socialis - "Sociálna práca- profesia s perspektívou, profesia s poslaním" [elektronický dokument] : recenzovaný zborník príspevkov z vedeckej konferencie s medzinárodnou účasťou, ktorá sa uskutočnila na Univerzite Konštantína Filozofa v Nitre dňa 20. septembra 2018 / Gažiková, Elena [Zostavovateľ, editor] ; Horáková, Magdaléna [Zostavovateľ, editor]. – 1. vyd. – Nitra (Slovensko) : Univerzita Konštantína Filozofa v Nitre, 2018. – ISBN 978-80-558-1367-7, s. 47-52 [CD-ROM] </t>
  </si>
  <si>
    <t xml:space="preserve">Sociálne aspekty vybraných problémových foriem spirituality / Lesková, Andrea [Autor, UKFFFAKAE 06.2022, 100%] ; Aktuálne trendy v religiozite na Slovensku [13.12.2018, Nitra, Slovensko]. – text. – [slovenčina]. – [OV 020]. – [abstrakt z podujatia - KP] In: Aktuálne trendy v religiozite na Slovensku [textový dokument (print)] : zborník príspevkov z vedeckého seminára, Ružomberok 13.12.2018 / Kondrla, Peter [Zostavovateľ, editor] ; Ďurková, Eva [Zostavovateľ, editor] ; Judák, Viliam [Recenzent] ; Šuráb, Marian [Recenzent]. – 1. vyd. – Nitra (Slovensko) : Univerzita Konštantína Filozofa v Nitre, 2019. – ISBN 978-80-558-1426-1, s. 88-96 [tlačená forma] </t>
  </si>
  <si>
    <t xml:space="preserve">Sociálne svedomie formované kresťanským modelom lásky = Social conscience formed by the Christian model of love / Lyko, Miroslav [Autor, UKFFFAKNS, 100%] ; Religiozita, spiritualita a alternatívne náboženské hnutia [27.11.2019, Nitra, Slovensko]. – text. – [slovenčina]. – [OV 020]. – [abstrakt z podujatia - KP] In: Religiozita, spiritualita a alternatívne náboženské hnutia [textový dokument (print)] : zborník z medzinárodnej vedeckej konferencie, konanej v Nitre dňa 27. novembra 2019,  organizovanej ako súčasť riešenia grantového projektu APVV 17-0158 Perspektívy vývoja súčasnej religiozity na Slovensku / Kondrla, Peter [Zostavovateľ, editor] ; Šuráb, Marian [Recenzent] ; Hlad, Ľubomír [Recenzent]. – 1. vyd. – Nitra (Slovensko) : Univerzita Konštantína Filozofa v Nitre, 2020. – ISBN 978-80-558-1595-4, s. 249-260 [tlačená forma] </t>
  </si>
  <si>
    <t xml:space="preserve">Sociálny štát - súčasná problematika minimálnej mzdy na Slovensku / Pikna, Jakub [Autor, UKFFSVKSP, 100%] ; Labor Socialis - "Sociálna práca v súčasnosti - objavovanie rozmanitosti" [26.09.2019, Nitra, Slovensko]. – text. – [slovenčina]. – [OV 060]. – [abstrakt z podujatia - KP] In: Labor Socialis "Sociálna práca v súčasnosti - objavovanie rozmanitosti" [textový dokument (print)] : zborník príspevkov z vedeckej konferencie s medzinárodnou účasťou, Nitra 26. septembra 2019 / Gažiková, Elena [Zostavovateľ, editor] ; Minarovičová, Katarína [Zostavovateľ, editor] ; Gabura, Ján [Recenzent] ; Kozubík, Michal [Recenzent]. – 1. vyd. – Nitra (Slovensko) : Univerzita Konštantína Filozofa v Nitre, 2020. – ISBN 978-80-558-1492-6, s. 60-68 [tlačená forma] </t>
  </si>
  <si>
    <t xml:space="preserve">Sociokultúrne fenomény v anglo-americkom kontexte a ich reflexia v slovenskom prostredí = Socio-cultural phenomena in the anglo-american context and their reflection in the Slovak surroundings / Burcl, Pavol [Autor, UKFFFAJZC, 100%] ; Cudzie jazyky v premenách času, 9 [09.11.2018, Bratislava, Slovensko]. – text. – [angličtina]. – [OV 020]. – [abstrakt z podujatia - KP] In: Cudzie jazyky v premenách času 9 [elektronický dokument] : recenzovaný zborník príspevkov z medzinárodnej vedeckej konferencie = reviewed conference proceedings from an international scientific conference / Kvapil, Roman [Zostavovateľ, editor] ; Štefančík, Radoslav [Recenzent] ; Šajgalíková, Helena [Recenzent]. – 1. vyd. – Roč. 9. – Bratislava (Slovensko) : Ekonomická univerzita v Bratislave. Celouniverzitné pracovisko EUBA. Vydavateľstvo EKONÓM, 2019. – ISBN 978-80-225-4614-0, s. 361-367 [CD-ROM] </t>
  </si>
  <si>
    <t xml:space="preserve">Socioterapia ako metóda sociálnej práce? / Gabura, Ján [Autor, UKFFSVKSP, 100%] ; Labor socialis - "Sociálna práca- profesia s perspektívou, profesia s poslaním" [20.09.2018, Nitra, Slovensko]. – text. – [slovenčina]. – [OV 060]. – [abstrakt z podujatia - KP] In: Labor socialis - "Sociálna práca- profesia s perspektívou, profesia s poslaním" [elektronický dokument] : recenzovaný zborník príspevkov z vedeckej konferencie s medzinárodnou účasťou, ktorá sa uskutočnila na Univerzite Konštantína Filozofa v Nitre dňa 20. septembra 2018 / Gažiková, Elena [Zostavovateľ, editor] ; Horáková, Magdaléna [Zostavovateľ, editor] ; Gabura, Ján [Recenzent] ; Mojtová, Martina [Recenzent]. – 1. vyd. – Nitra (Slovensko) : Univerzita Konštantína Filozofa v Nitre, 2018. – ISBN 978-80-558-1367-7, s. 7-17 [CD-ROM] </t>
  </si>
  <si>
    <t xml:space="preserve">Softvérové dizajnovanie webových aplikácií = Software designing of Web Applications / Sabol, Dávid [Autor, UKFFPVKIN, 100%] ; Študentská vedecká konferencia 2021 [14.04.2021, Nitra, Banská Bystrica, Slovensko]. – text. – [slovenčina]. – [OV 160]. – [abstrakt z podujatia - KP] In: Študentská vedecká konferencia 2021 Fakulty prírodných vied Univerzity Konštantína Filozofa v Nitre a Fakulty prírodných vied Univerzity Mateja Bela v Banskej Bystrici [textový dokument (print)] : zborník recenzovaných príspevkov / Francisti, Jan [Zostavovateľ, editor] ; Fodor, Kristián [Zostavovateľ, editor]. – 1. vyd. – Nitra (Slovensko) : Univerzita Konštantína Filozofa v Nitre ; Banská Bystrica (Slovensko) : Univerzita Mateja Bela v Banskej Bystrici, 2021. – (Prírodovedec ; 756). – ISBN 978-80-558-1712-5, s. 246-251 [tlačená forma] </t>
  </si>
  <si>
    <t xml:space="preserve">Solving Aspects Diversity of PLC Systems in Programmers Preparation = Riešenie aspektov diverzity PLC systémov v príprave programátorov / Kuna, Peter [Autor, UKFPFAKTT, 34%] ; Danko, Florián [Autor, 33%] ; Hašková, Alena [Autor, UKFPFAKTT, 33%] ; Vplyv industry 4.0 na tvorbu pracovných miest 2020 [12.11.2020, Trenčín, Slovensko]. – text. – [slovenčina, angličtina]. – [OV 010]. – [abstrakt z podujatia - KP] In: Vplyv industry 4.0 na tvorbu pracovných miest 2020 [elektronický dokument] : zborník vedeckých príspevkov z medzinárodnej vedeckej konferencie / Kordoš, Marcel [Zostavovateľ, editor] ; Holomek, Jaroslav [Recenzent] ; Grenčíková, Adriana [Recenzent] ; Habánik, Jozef [Recenzent] ; Karbach, Rolf [Recenzent] ; Navickas, Valentinas [Recenzent] ; Rievajová, Eva [Recenzent] ; Sika, Peter [Recenzent] ; Siniak, Nikola [Recenzent] ; Šafránková, Jana Marie [Recenzent] ; Vojtovič, Sergej [Recenzent]. – 1. vyd. – Trenčín (Slovensko) : Trenčianska univerzita Alexandra Dubčeka v Trenčíne. Fakulta sociálno-ekonomických vzťahov, 2021. – ISBN (online) 978-80-8075-940-7. – TUAD PC018221, s. 262-271 [online] </t>
  </si>
  <si>
    <t xml:space="preserve">Solving Some Special Tasks for Arithmetic Functions and Perfect Numbers / Ďuriš, Viliam [Autor, UKFFPVKMA, 100%] ; Aplimat 2020, 19 [04.02.2020-06.02.2020, Bratislava, Slovensko]. – text. – [angličtina]. – [OV 240]. – [abstrakt z podujatia - KP]. – [recenzované]. – SCO In: Aplimat 2020 [elektronický dokument] : 19th Conference on Applied Mathematics : proceeding / Szarková, Dagmar [Zostavovateľ, editor] ; Richtáriková, Daniela [Zostavovateľ, editor] ; Prášilová, Monika [Zostavovateľ, editor]. – 1 vyd. – Bratislava (Slovensko) : Spektrum STU , 2020. – ISBN 978-80-227-4983-1, s. 374-383 [USB kľúč] </t>
  </si>
  <si>
    <t xml:space="preserve">Solving the Waste Problem by Modernizing the Secondary Education / Jakab, Imrich [Autor, UKFFPVKEE, 33.334%] ; Szabová, Lucia [Autor, UKFFPVKEE, 33.333%] ; Pucherová, Zuzana [Autor, UKFFPVKEE, 33.333%] ; DIVAI 2020, 13 [21.09.2020-23.09.2020, Štúrovo, Slovensko]. – text. – [angličtina]. – [OV 100]. – [abstrakt z podujatia - KP]. – WOS CC In: DIVAI 2020 [textový dokument (print)] [elektronický dokument] : 13th International Scientific Conference on Distance Learning in Applied Informatics, Štúrovo September 21-23, 2020 / Turčáni, Milan [Zostavovateľ, editor] ; Balogh, Zoltán [Zostavovateľ, editor] ; Munk, Michal [Zostavovateľ, editor] ; Magdin, Martin [Zostavovateľ, editor] ; Benko, Ľubomír [Zostavovateľ, editor]. – 1. vyd. – Roč. 13. – Praha (Česko) : Wolters Kluwer. Wolters Kluwer ČR, 2020. – ISBN 978-80-7598-841-6. – ISSN 2464-7470. – ISSN (online) 2464-7489, s. 351-362 [tlačená forma] [online] </t>
  </si>
  <si>
    <t xml:space="preserve">Some Aspects of Teaching Calculus in Mathematics Teacher Education: The Case of infinite Series / Fulier, Jozef [Autor, UKFFPVKMA, 100%] ; APLIMAT 2019, 18 [05.02.2019-07.02.2019, Bratislava, Slovensko]. – text. – [angličtina]. – [OV 240, 091]. – [abstrakt z podujatia - KP]. – SCO In: Aplimat 2019 [elektronický dokument] : 18th conference on Applied mathematics proceedings / Szarková, Dagmar [Zostavovateľ, editor] ; Richtáriková, Daniela [Zostavovateľ, editor] ; Letavaj, Peter [Zostavovateľ, editor] ; Caranti, Andrea [Recenzent] ; Chvalina, Jan [Recenzent]. – 1. vyd. – Bratislava (Slovensko) : Slovenská technická univerzita v Bratislave, 2019. – ISBN 978-80-227-4884-1, s. 371-392 [USB kľúč] </t>
  </si>
  <si>
    <t xml:space="preserve">Some Aspects of Visualization and Visual Thinking in Mathematics and Mathematics Teacher Education / Fulier, Jozef [Autor, UKFFPVKMA, 50%] ; Vallo, Dušan [Autor, UKFFPVKMA, 50%] ; Aplimat 2020, 19 [04.02.2020-06.02.2020, Bratislava, Slovensko]. – text. – [angličtina]. – [OV 240]. – [abstrakt z podujatia - KP]. – SCO In: Aplimat 2020 [elektronický dokument] : 19th Conference on Applied Mathematics : proceeding / Szarková, Dagmar [Zostavovateľ, editor] ; Richtáriková, Daniela [Zostavovateľ, editor] ; Prášilová, Monika [Zostavovateľ, editor]. – 1 vyd. – Bratislava (Slovensko) : Spektrum STU , 2020. – ISBN 978-80-227-4983-1, s. 459-478 [USB kľúč] </t>
  </si>
  <si>
    <t xml:space="preserve">Some Remarks on Number Theory in High School Education / Szabó, Tibor [Autor, UKFFSSUVP, 50%] ; Žitný, Rastislav [Autor, UKFFSSUVP, 50%] ; APLIMAT 2019, 18 [05.02.2019-07.02.2019, Bratislava, Slovensko]. – text. – [angličtina]. – [OV 010]. – [abstrakt z podujatia - KP]. – SCO In: Aplimat 2019 [elektronický dokument] : 18th conference on Applied mathematics proceedings / Szarková, Dagmar [Zostavovateľ, editor] ; Richtáriková, Daniela [Zostavovateľ, editor] ; Letavaj, Peter [Zostavovateľ, editor] ; Caranti, Andrea [Recenzent] ; Chvalina, Jan [Recenzent]. – 1. vyd. – Bratislava (Slovensko) : Slovenská technická univerzita v Bratislave, 2019. – ISBN 978-80-227-4884-1, s. 1135-1141 [USB kľúč] </t>
  </si>
  <si>
    <t xml:space="preserve">Spatial Variability of the Cancer Diseases Intensity in Slovakia / Dubcová, Alena [Autor, UKFFPVKGR, 45%] ; Vilinová, Katarína [Autor, UKFFPVKGR, 50%] ; Mikulová, Lucia [Autor, 5%] ; Geografické aspekty stredoeurópskeho priestoru, 26 [10.10.2018-11.10.2018, Nitra, Slovensko]. – text. – [slovenčina]. – [OV 092]. – [článok z podujatia]. – [recenzované]. – WOS CC In: Geografické informácie [textový dokument (print)] [elektronický dokument] . – Nitra (Slovensko) : Univerzita Konštantína Filozofa v Nitre. – ISSN 1337-9453. – Roč. 22, č. 1 (2018), s. 77-90 [tlačená forma] [online] </t>
  </si>
  <si>
    <t xml:space="preserve">Spiritualita (krajiny) v dobe nových médií : (interpretačná analýza diel Lucie Papčovej) / Vilím, Erik [Autor, UKFFFAULK, 100%] ; Burlas, Ladislav [Recenzent] ; Bilasová, Viera [Recenzent] ; Súradnice estetiky, umenia a kultúry, 3 [08.11.2017-09.11.2017, Prešov, Slovensko]. – text. – [slovenčina]. – [OV 020]. – [abstrakt z podujatia - KP] In: Súradnice estetiky, umenia a kultúry III [elektronický dokument] : európske estetické myslenie a umelecká tvorba: pramene, metamorfózy a ich relevancia / Kopčáková, Slávka [Zostavovateľ, editor] ; Kvokačka, Adrián [Zostavovateľ, editor]. – 1. vyd. – Prešov (Slovensko) : Prešovská univerzita v Prešove, 2018. – (Studia Aesthetica ; 17). – ISBN 978-80-555-1995-1. – SIGN-PU FF 32/18, s. 151-158 [online] </t>
  </si>
  <si>
    <t xml:space="preserve">Spiritualita (krajiny) v dobe nových médií (interpretačná analýzy diel Lucie Papčovej) = Spiritulity (of landscape) in the age of new media (interpretation analysis of the artworks by Lucia  Papčová) / Vilím, Erik [Autor, UKFFFAULK, 100%] ; Bilasová, Viera [Recenzent] ; Burlas, Ladislav [Recenzent] ; Súradnice estetiky, umenia a kultúry, 3 [08.11.2017-09.11.2017, Prešov, Slovensko]. – text. – [slovenčina]. – [OV 020]. – [abstrakt z podujatia - KP] In: Súradnice estetiky, umenia a kultúry III [elektronický dokument] : európske estetické myslenie a umelecká tvorba: pramene, metamorfózy a ich relevancia / Kopčáková, Slávka [Zostavovateľ, editor] ; Kvokačka, Adrián [Zostavovateľ, editor]. – 1. vyd. – Prešov (Slovensko) : Prešovská univerzita v Prešove, 2018. – (Studia Aesthetica ; 17). – ISBN 978-80-555-1995-1. – SIGN-PU FF 32/18, s. 267-277 [online] </t>
  </si>
  <si>
    <t xml:space="preserve">Spisovná arabčina verzus hovorové varianty - arabská diglosia v edukačnom procese / Al-Absiová, Eva [Autor, UKFFFAJZC, 100%] ; Šajgalíková, Helena [Recenzent] ; Spišiaková, Mária [Recenzent] ; Cudzie jazyky v premenách času, 8 [10.11.2017, Bratislava, Slovensko]. – text. – [slovenčina]. – [OV 010]. – [abstrakt z podujatia - KP] In: Cudzie jazyky v premenách času 8 [elektronický dokument] : recenzovaný zborník príspevkov z medzinárodnej vedeckej konferencie, Bratislava 10. november 2017 / Kvapil, Roman [Zostavovateľ, editor]. – 1. vyd. – Roč. 8. – Bratislava (Slovensko) : Ekonomická univerzita v Bratislave. Celouniverzitné pracovisko EUBA. Vydavateľstvo EKONÓM, 2018. – ISBN 978-80-225-4492-4, s. 18-27 [CD-ROM] </t>
  </si>
  <si>
    <t xml:space="preserve">Spod závejov amerických : obrázky zo života Slovákov v podaní Gustáva M. Petrovského / Židová, Diana [Autor, UKFPFAKLI, 100%] ; Albu, Rodica [Recenzent] ; Javorčíková, Jana [Recenzent] ; Skúsenosť inakosti [13.09.2018, Banská Bystrica, Slovensko]. – [slovenčina]. – [OV 060]. – [abstrakt z podujatia - KP] In: Skúsenosť inakosti [elektronický dokument] : osobná a politická identita v kultúre, literatúre, preklade a humanitných vedách : recenzovaný vedecký zborník príspevkov  z medzinárodnej konferencie konanej dňa 13. 9. 2018 na Katedre anglistiky a amerikanistiky Filozofickej fakulty Univerzity Mateja Bela v Banskej Bystrici, Slovenská republika = personal and political identity and its reflection in culture, literature, translation and humanities / Javorčíková, Jana [Zostavovateľ, editor] ; Höhn, Eva [Zostavovateľ, editor]. – 1. vyd. – Bratislava (Slovensko) : Z-F LINGUA, 2018. – ISBN 978-80-8177-050-0, s. 148-158 [CD-ROM] </t>
  </si>
  <si>
    <t xml:space="preserve">Spolupráca rodiny a školy v kontexte prevencie elektronického šikanovania / Kurincová, Viera [Autor, UKFPFAKPE, 35%] ; Turzák, Tomáš [Autor, UKFPFAKPE, 35%] ; Zelená, Hana [Autor, UKFPFAKPE, 30%] ; Perspektívy rozvoja pedagogiky a andragogiky v Slovenskej republike a v krajinách strednej Európy [29.11.2018, Bratislava, Slovensko]. – text. – [slovenčina]. – [OV 010]. – [abstrakt z podujatia - KP] In: Perspektívy rozvoja pedagogiky a andragogiky v Slovenskej republike a v krajinách strednej Európy [elektronický dokument] / Bakošová, Zlatica [Zostavovateľ, editor] ; Ťupeková Dončevová, Silvia [Zostavovateľ, editor] ; Emmerová, Ingrid [Recenzent] ; Kosová, Beata [Recenzent] ; Kominarec, Igor [Recenzent] ; Krystoň, Miroslav [Recenzent]. – 1. vyd. – Bratislava (Slovensko) : Univerzita Komenského v Bratislave, 2018. – ISBN 978-80-223-4706-8. – SIGN-UKO FI 16/18 PA, s. 97-105 [CD-ROM] </t>
  </si>
  <si>
    <t xml:space="preserve">Sprisahanie slasti : pokus o interpretáciu tematických motívov a analýzu naratívnych a štýlotvorných postupov vo filme Jana Švankmajera Spiklenci slasti / Michalovič, Michal [Autor, UKFFFAULK, 100%] ; Kovalčik, Jozef [Recenzent] ; Zervan, Marian [Recenzent] ; Iluzívne a antiiluzívne vo filme, 18 [12.10.2017-15.10.2017, Krpáčovo, Slovensko]. – text. – [slovenčina]. – [OV 060]. – [abstrakt z podujatia - KP] In: Iluzívne a antiiluzívne vo filme [textový dokument (print)] / Kaňuch, Martin [Zostavovateľ, editor]. – 1. vyd. – Bratislava (Slovensko) : Asociácia slovenských filmových klubov, 2018. – ISBN 978-80-970420-5-9, s. 164-182 [tlačená forma] </t>
  </si>
  <si>
    <t xml:space="preserve">Spuren der Schopenhauerschen Philosophie in Goethes Faust / Čakanek, Ján [Autor, UKFFFAKGE, 100%] ; Müglová, Daniela [Recenzent] ; Borsuková, Hana [Recenzent] ; Synergien: 25 Jahre Germanistik und DAAD an der Philosoph Konstantin-Universität Nitra, 25 [27.04.2017-28.04.2017, Nitra, Slovensko]. – text. – [nemčina]. – [OV 020]. – [abstrakt z podujatia - KP] In: Synergien - 25 Jahre Germanistik und DAAD an der Philosoph Konstantin-Universität Nitra [textový dokument (print)] : Sammelband. Internationale wissenschaftliche Tagung / Krause, Daniel [Zostavovateľ, editor] ; Wrede, Oľga [Zostavovateľ, editor]. – 1. vyd. – Nitra (Slovensko) : Univerzita Konštantína Filozofa v Nitre, 2018. – ISBN 978-80-558-1305-9, s. 75-88 [tlačená forma] </t>
  </si>
  <si>
    <t xml:space="preserve">Squirmy the wormy: the use of drama in teaching EFL to preschoolers = Dážďovka squirmy: využitie drámy pri výučbe angličtiny ako cudzieho jazyka u detí pred-školského veku / Hornáčková Klapicová, Edita [Autor, UKFFFAKTR, 100%] ; Cudzie jazyky v premenách času, 9 [09.11.2018, Bratislava, Slovensko]. – text. – [angličtina]. – [OV 010]. – [abstrakt z podujatia - KP] In: Cudzie jazyky v premenách času 9 [elektronický dokument] : recenzovaný zborník príspevkov z medzinárodnej vedeckej konferencie = reviewed conference proceedings from an international scientific conference / Kvapil, Roman [Zostavovateľ, editor] ; Štefančík, Radoslav [Recenzent] ; Šajgalíková, Helena [Recenzent]. – 1. vyd. – Roč. 9. – Bratislava (Slovensko) : Ekonomická univerzita v Bratislave. Celouniverzitné pracovisko EUBA. Vydavateľstvo EKONÓM, 2019. – ISBN 978-80-225-4614-0, s. 214-223 [CD-ROM] </t>
  </si>
  <si>
    <t xml:space="preserve">Starnutie obyvateľstva / Štrbová, Monika [Autor, UKFFFAKSO, 100%] ; Svetový deň sociálnej práce, 5 [19.03.2019, Sládkovičovo, Slovensko]. – text. – [slovenčina]. – [OV 060]. – [abstrakt z podujatia - KP] In: Svetový deň sociálnej práce 5 [elektronický dokument] : Podpora dôležitosti medziľudských vzťahov / Šebestová, Petronela [Zostavovateľ, editor] ; Mareková, Hermína [Zostavovateľ, editor] ; Spuchľák, Juraj [Recenzent] ; Šebesta, Matej [Recenzent]. – 1. vyd. – Sládkovičovo (Slovensko) : Vysoká škola Danubius. Fakulta sociálnych štúdií, 2019. – ISBN 978-80-8167-068-8, s. 147-155 [CD-ROM] </t>
  </si>
  <si>
    <t xml:space="preserve">Status of the Nitra Self-governing Region in Terms of Objective Poverty / Krajmerová, Nadežda [Autor, 50%] ; Veselovský, Ján [Autor, UKFFPVKGR, 50%] ; Geografické aspekty stredoeurópskeho priestoru, 26 [10.10.2018-11.10.2018, Nitra, Slovensko]. – text. – [angličtina]. – [OV 080]. – [článok z podujatia]. – [recenzované]. – DOI 10.17846/GI.2018.22.2.113-126. – WOS CC In: Geografické informácie [textový dokument (print)] [elektronický dokument] . – Nitra (Slovensko) : Univerzita Konštantína Filozofa v Nitre. – ISSN 1337-9453. – Roč. 22, č. 2 (2018), s. 113-126 [tlačená forma] [online] </t>
  </si>
  <si>
    <t xml:space="preserve">STEM experiences in primary and lower secondary schools / Voštinár, Patrik [Autor, UMBFP05, 50%] ; Klimová, Nika [Autor, UKFFPVKIN, 50%] ; ICETA 2018, 16 [15.11.2018-16.11.2018, Starý Smokovec, Slovensko]. – [angličtina]. – [OV 160]. – [abstrakt z podujatia - KP]. – [recenzované]. – WOS CC ; SCO In: ICETA 2018 [textový dokument (print)] [elektronický dokument] : 16th IEEE International Conference on Emerging eLearning Technologies and Applications : proceedings / Jakab, František [Zostavovateľ, editor]. – 1. vyd. – New Jersey (USA) : Institute of Electrical and Electronics Engineers, 2018. – ISBN 978-1-5386-7912-8. – ISBN (chybné) 978-153867914-2, s. 635-640 [tlačená forma] [online] </t>
  </si>
  <si>
    <t xml:space="preserve">Stepwise transient method and transient plane source method comparison / Malinarič, Svetozár [Autor, UKFFPVKFY, 50%] ; Dieška, Peter [Autor, 50%] ; Central European Symposium on Thermophysics [16.10.2019-18.10.2019, Banská Bystrica, Slovensko]. – text. – [angličtina]. – [OV 091]. – [abstrakt z podujatia - KP]. – WOS CC ; SCO In: CEST 2019 [elektronický dokument] : proceedings of the Central European Symposium on Thermophysics 2019 / Trník, Anton [Zostavovateľ, editor] ; Medveď, Igor [Zostavovateľ, editor]. – 1 vyd. – Melville, NY (USA) : American Institute of Physics . AIP Publishing, 2019. – (AIP Conference Proceedings, ISSN 0094-243X, ISSN 1551-7616 ; Volume 2133, SJR: 0,19 ; CiteScore: 0,6 ; SNIP: 0,373). – ISBN 978-0-7354-1876-9, s. 1-8 [online] [tlačená forma] </t>
  </si>
  <si>
    <t xml:space="preserve">Strata osobnej identity v diele Ivany Dobrakovovej - Bellevue / Popovicsová, Jana [Autor, UKFFFASJL, 100%] ; Boszorád, Martin [Recenzent] ; Půtová, Barbora [Recenzent] ; Reflexia kultúrno-spoločenských javov [03.05.2018-04.05.2018, Nitra, Slovensko]. – text. – [slovenčina]. – [OV 020]. – [abstrakt z podujatia - KP] In: Reflexia kultúrno-spoločenských javov [textový dokument (print)] : zborník z konferencie určenej pre doktorandov sociálnych, humanitných a umenovedných odborov, a to 3. - 4. mája 2018 na UKF v Nitre / Hochel, Igor [Zostavovateľ, editor] ; Popovicsová, Jana [Zostavovateľ, editor]. – 1. vyd. – Nitra (Slovensko) : Univerzita Konštantína Filozofa v Nitre, 2018. – ISBN 978-80-558-1341-7, s. 123-128 [tlačená forma] </t>
  </si>
  <si>
    <t xml:space="preserve">Strategická práca s chybou v procese vyučovania / Babulicová, Zuzana [Autor, UKFPFAKPE, 100%] ; Kmeťová, Jarmila [Recenzent] ; Bírová, Jana [Recenzent] ; Inovatívne trendy v odborových didaktikách v kontexte požiadaviek praxe [13.11.2017-14.11.2017, Nitra, Slovensko]. – text. – [slovenčina]. – [OV 010]. – [abstrakt z podujatia - KP] In: Inovatívne trendy v odborových didaktikách v kontexte požiadaviek praxe [elektronický dokument] : zborník štúdií z medzinárodnej vedeckej konferencie / Duchovičová, Jana [Zostavovateľ, editor] ; Gunišová, Denisa [Zostavovateľ, editor] ; Kozárová, Nina [Zostavovateľ, editor] ; Koleňáková, Rebeka Štefánia [Zostavovateľ, editor]. – 1. vyd. – Nitra (Slovensko) : Univerzita Konštantína Filozofa v Nitre. Pedagogická fakulta UKF, 2018. – ISBN 978-80-558-1277-9, s. 468-473 [online] </t>
  </si>
  <si>
    <t xml:space="preserve">Stratégie na rozvoj hodnotenia v kritickom myslení a ich význam u budúcich učiteľov / Grofčíková, Soňa [Autor, UKFPFAKPE, 50%] ; Koleňáková, Rebeka Štefánia [Autor, UKFPFAKPE, 50%] ; Inovatívne trendy v odborových didaktikách [21.11.2018, Nitra, Slovensko]. – text. – [slovenčina]. – [OV 010]. – [abstrakt z podujatia - KP] In: Inovatívne trendy v odborových didaktikách [textový dokument (print)] : prepojenie teórie a praxe výučbových stratégií kritického a tvorivého myslenia : zborník štúdií z medzinárodnej vedeckej konferencie, Nitra 21. november 2018 / Duchovičová, Jana [Zostavovateľ, editor] ; Hošová, Dominika [Zostavovateľ, editor] ; Koleňáková, Rebeka Štefánia [Zostavovateľ, editor] ; Bílek, Martin [Recenzent] ; Komora, Juraj [Recenzent]. – 1. vyd. – Nitra (Slovensko) : Univerzita Konštantína Filozofa v Nitre, 2019. – ISBN 978-80-558-1408-7, s. 100-105 [tlačená forma] </t>
  </si>
  <si>
    <t xml:space="preserve">Stratégie zvládania v individuálnych a kolektívnych športoch / Romanová, Martina [Autor, UKFFSVUAP, 50%] ; Sollár, Tomáš [Autor, UKFFSVUAP, 50%] ; Pupiš, Martin [Recenzent] ; Šutka, Vladimír [Recenzent] ; Atletika 2018 [29.11.2018, Nitra, Slovensko]. – text. – [slovenčina]. – [OV 210]. – [abstrakt z podujatia - KP] In: Atletika 2018 [textový dokument (print)] : zborník z medzinárodnej vedeckej konferencie v Nitre 29.11.2018 / Broďáni, Jaroslav [Zostavovateľ, editor]. – 1. vyd. – Nitra (Slovensko) : Univerzita Konštantína Filozofa v Nitre, 2018. – ISBN 978-80-558-1356-1, s. 118-126 [tlačená forma] </t>
  </si>
  <si>
    <t xml:space="preserve">Strava a jej význam v integračných procesoch cudzincov na Slovensku / Kompasová, Katarína [Autor, UKFFFAKMK, 50%] ; Zima, Roman [Autor, UKFFFAKMK, 50%] ; Súčasné migrácie a ich reflexia v spoločenskom vedomí [22.09.2021-23.09.2021, Nitra, Slovensko]. – text. – [slovenčina]. – [OV 060]. – [abstrakt z podujatia - KP] In: Súčasné migrácie a ich reflexia v spoločenskom vedomí [textový dokument (print)] : zborník príspevkov z medzinárodnej vedeckej (online) konferencie v Nitre 22. - 23. septembra 2021 / Letavajová, Silvia [Zostavovateľ, editor] ; Čukan, Jaroslav [Recenzent] ; Lenč, Jozef [Recenzent] ; Hlinčíková, Miroslava [Recenzent]. – 1. vyd. – Nitra (Slovensko) : Univerzita Konštantína Filozofa v Nitre, 2021. – ISBN 978-80-558-1800-9, s. 234-248 [tlačená forma] </t>
  </si>
  <si>
    <t xml:space="preserve">Strengths and weaknesses of Traditional and Computer Assisted Vocabulary Learning in Foreign Languages : Silné a slabé stránky tradičného a počítačového vzdelávania v cudzích jazykoch / Gadušová, Zdenka [Autor, UKFFFAKAA, 30%] ; Snitková, Mária [Autor, SZUFZBBKSD, 70%] ; Štefančík, Radoslav [Recenzent] ; Kvapil, Roman [Recenzent] ; Cudzie jazyky v premenách času, 8 [10.11.2017, Bratislava, Slovensko]. – text. – [angličtina]. – [OV 020]. – [abstrakt z podujatia - KP]. – SZU KIS 2019022514334742 In: Cudzie jazyky v premenách času 8 [elektronický dokument] : recenzovaný zborník príspevkov z medzinárodnej vedeckej konferencie, Bratislava 10. november 2017 / Kvapil, Roman [Zostavovateľ, editor]. – 1. vyd. – Roč. 8. – Bratislava (Slovensko) : Ekonomická univerzita v Bratislave. Celouniverzitné pracovisko EUBA. Vydavateľstvo EKONÓM, 2018. – ISBN 978-80-225-4492-4, s. 414-424 [CD-ROM] </t>
  </si>
  <si>
    <t xml:space="preserve">Study of agricultural sciences and employment of graduates / Pietriková, Miriam [Autor, SPUFEM03, 34%] ; Hornyák Gregáňová, Radomíra [Autor, SPUFEM07, 33%] ; Papcunová, Viera [Autor, UKFFPVUMI, 33%] ; International Scientific Days 2018 [16.05.2018-17.05.2018, Nitra, Slovensko]. – [angličtina]. – [OV 190]. – [abstrakt z podujatia - KP]. – [recenzované]. – DOI 10.15414/isd2018.s9.13 In: International Scientific Days 2018 [elektronický dokument] : “Towards Productive, Sustainable and Resilient Global Agriculture and Food Systems.” Conference Proceedings, Nitra May 16-17, 2018 / Horská, Elena [Zostavovateľ, editor] ; Kapsdorferová, Zuzana [Zostavovateľ, editor] ; Hallová, Marcela [Zostavovateľ, editor]. – 1. vyd. – Praha (Česko) : Wolters Kluwer. Wolters Kluwer ČR, 2018. – ISBN 978-80-7598-180-6, s. 2017-2029 [online] </t>
  </si>
  <si>
    <t xml:space="preserve">Subjektívna koncepcia učiteľa a jej vplyv na kritické myslenie žiakov / Feranská, Margita [Autor, UKFPFAKPE, 100%] ; Kmeťová, Jarmila [Recenzent] ; Bírová, Jana [Recenzent] ; Inovatívne trendy v odborových didaktikách v kontexte požiadaviek praxe [13.11.2017-14.11.2017, Nitra, Slovensko]. – text. – [slovenčina]. – [OV 010]. – [abstrakt z podujatia - KP] In: Inovatívne trendy v odborových didaktikách v kontexte požiadaviek praxe [elektronický dokument] : zborník štúdií z medzinárodnej vedeckej konferencie / Duchovičová, Jana [Zostavovateľ, editor] ; Gunišová, Denisa [Zostavovateľ, editor] ; Kozárová, Nina [Zostavovateľ, editor] ; Koleňáková, Rebeka Štefánia [Zostavovateľ, editor]. – 1. vyd. – Nitra (Slovensko) : Univerzita Konštantína Filozofa v Nitre. Pedagogická fakulta UKF, 2018. – ISBN 978-80-558-1277-9, s. 419-423 [online] </t>
  </si>
  <si>
    <t xml:space="preserve">Subjektívne hodnotenie sexuálnych a partnerských vzťahov vo svetle výskumov a ich etické aspekty / Šebíková, Lívia [Autor, UKFFFAKAE 06.2022, 30%] ; Marková, Dagmar [Autor, UKFFFAKAE 06.2022, 40%] ; Turčan, Ciprian [Autor, UKFFFAKAE 06.2022, 30%] ; Potrebujeme pozitívne myslieť, cítiť a konať? [25.10.2019, Bratislava, Slovensko]. – text. – [slovenčina]. – [OV 060]. – [abstrakt z podujatia - KP] In: Kvalita života a kvalita vzťahov [elektronický dokument] : recenzovaný zborník z konferencie „Potrebujeme pozitívne myslieť, cítiť a konať?", Bratislava, 25.10.2019 / Kallová, Nikola [Zostavovateľ, editor] ; Lukšík, Ivan [Zostavovateľ, editor] ; Šulavíková, Blanka [Recenzent] ; Popper, Miroslav [Recenzent]. – 1. vyd. – Bratislava (Slovensko) : Slovenská akadémia vied, 2020. – ISBN 978-80-973370-4-9, s. 163-180 [online] </t>
  </si>
  <si>
    <t xml:space="preserve">Subvencia k rozvoju kritického myslenia prostredníctvom interpretácie umeleckého textu / Hrašková, Mariana [Autor, UKFFFASJL, 100%] ; Akcenty literatúry pre deti a mládež [23.10.2020, Nitra, Slovensko]. – text. – [slovenčina]. – [OV 020]. – [abstrakt z podujatia - KP] In: Akcenty literatúry pre deti a mládež [textový dokument (print)] : trendy, problémy, interpretácie. Zborník z medzinárodnej konferencie formou videokonferencie, ktorá sa konala v Nitre 23.10.2020 / Hrašková, Mariana [Zostavovateľ, editor] ; Kaizerová, Petra [Zostavovateľ, editor] ; Nemcová, Jana [Recenzent] ; Naščák, Peter [Recenzent]. – 1. vyd. – Nitra (Slovensko) : Univerzita Konštantína Filozofa v Nitre, 2021. – ISBN 978-80-558-1699-9, s. 39-53 [tlačená forma] </t>
  </si>
  <si>
    <t xml:space="preserve">Súčasná dobrodružná literatúra pre deti a mládež ako jeden z kľúčov k povzbudeniu čitateľského potenciálu / Kaizerová, Petra [Autor, UKFFFASJL, 100%] ; Akcenty literatúry pre deti a mládež [23.10.2020, Nitra, Slovensko]. – text. – [slovenčina]. – [OV 020]. – [abstrakt z podujatia - KP] In: Akcenty literatúry pre deti a mládež [textový dokument (print)] : trendy, problémy, interpretácie. Zborník z medzinárodnej konferencie formou videokonferencie, ktorá sa konala v Nitre 23.10.2020 / Hrašková, Mariana [Zostavovateľ, editor] ; Kaizerová, Petra [Zostavovateľ, editor] ; Nemcová, Jana [Recenzent] ; Naščák, Peter [Recenzent]. – 1. vyd. – Nitra (Slovensko) : Univerzita Konštantína Filozofa v Nitre, 2021. – ISBN 978-80-558-1699-9, s. 159-168 [tlačená forma] </t>
  </si>
  <si>
    <t xml:space="preserve">Súčasný mladý človek – „homo consumericus“ / Jakubovská, Viera [Autor, UKFFFAKFI, 100%] ; Vizualizácia sociálnej práce, 5 [22.05.2019, Sládkovičovo, Slovensko]. – text. – [slovenčina]. – [OV 060]. – [abstrakt z podujatia - KP] In: Vizualizácia sociálnej práce 5 [elektronický dokument] / Mareková, Hermína [Zostavovateľ, editor] ; Šebestová, Petronela [Zostavovateľ, editor] ; Spuchľák, Juraj [Recenzent] ; Šebesta, Matej [Recenzent]. – 1. vyd. – Sládkovičovo (Slovensko) : Vysoká škola Danubius, 2019. – ISBN 978-80-8167-069-5, s. 30-35 [CD-ROM] </t>
  </si>
  <si>
    <t xml:space="preserve">Šintoistické motívy v japonských filmoch / Králiková Hashimoto, Lena [Autor, UKFFFAULK, 100%] ; Obraz - slovo - zvuk, 19 [17.10.2019-20.10.2019, Krpáčovo, Slovensko]. – text. – [slovenčina]. – [OV 020]. – [abstrakt z podujatia - KP] In: Obraz - slovo - zvuk [textový dokument (print)] : zborník príspevkov z 19. československej filmologickej konferencie / Dudková, Jana [Recenzent] ; Palúch, Martin [Recenzent]. – 1. vyd. – Bratislava (Slovensko) : Asociácia slovenských filmových klubov ; Slovenský filmový ústav, 2020. – ISBN 978-80-85187-83-0, s. 295-318 [tlačená forma] </t>
  </si>
  <si>
    <t xml:space="preserve">Školská divadelná kultúra v Topoľčanoch po vzniku Československej republiky / Kičková, Adriana [Autor, UKFFFAKHI, 100%] ; Divadelníctvo v regióne : Színház a régióban [11.09.2020, Šaľa, Slovensko]. – text. – [slovenčina]. – [OV 020, 030]. – [abstrakt z podujatia - KP] In: Divadelníctvo v regióne : Színház a régióban [textový dokument (print)] : medzinárodná konferencia konaná dňa 11. septembra 2020 v Štátnom archíve Šaľa / [bez zostavovateľa] [Zostavovateľ, editor] ; Palárik, Miroslav [Recenzent] ; Bátovská, Jarmila [Recenzent]. – 1. vyd. – Nitra (Slovensko) : Ministerstvo vnútra Slovenskej republiky, 2020. – ISBN 978-80-973263-2-6, s. 94-100 [tlačená forma] </t>
  </si>
  <si>
    <t xml:space="preserve">Školské sebapoňatie vs. sebaúcta : ako predikovať úspešnosť adolescentov v škole / Balážová, Miroslava [Autor, UKFFSVKPV, 50%] ; Popelková, Marta [Autor, UKFFSVKPV, 50%] ; Školská psychológia 2018 [17.10.2018-18.10.2018, Košice, Slovensko]. – [slovenčina]. – [OV 010]. – [abstrakt z podujatia - KP] In: Školská psychológia 2018 - história a perspektívy [elektronický dokument] : zborník príspevkov z medzinárodnej vedeckej konferencie / Kačmár, Pavol [Zostavovateľ, editor] ; Mesárošová, Margita [Zostavovateľ, editor] ; Lovaš, Ladislav [Zostavovateľ, editor] ; Babinčák, Peter [Recenzent] ; Búgelová, Tatiana [Recenzent]. – 1. vyd. – Košice (Slovensko) : Univerzita Pavla Jozefa Šafárika v Košiciach, 2019. – ISBN 978-80-8152-742-5. – sign UPJS FSEP 010341, s. 82-92 [online] </t>
  </si>
  <si>
    <t xml:space="preserve">Špecifické zameranie výučby odborného cudzieho jazyka pre účely cestovného ruchu / Molnárová, Andrea [Autor, UKFFFAKMK, 100%] ; Eidenmüller, Thorsten [Recenzent] ; Keketiová, Jana [Recenzent] ; Kvalita jazykového vzdelávania na univerzitách v Európe, 7 [14.06.2018-15.06.2018, Trnava, Slovensko]. – text. – [slovenčina]. – [OV 020]. – [abstrakt z podujatia - KP] In: Kvalita jazykového vzdelávania na univerzitách v Európe 7 [elektronický dokument] : medzinárodná vedecká konferencia pod záštitou CercleS a doc. PhDr. Petra Horvátha, PhD. dekana FSV UCM v Trnave 14. - 15. jún 2018 / Igazová, Mária [Zostavovateľ, editor] ; Poórová, Edita [Zostavovateľ, editor] ; Keketiová, Jana [Zostavovateľ, editor]. – 1. vyd. – Trnava (Slovensko) : Univerzita sv. Cyrila a Metoda v Trnave. Fakulta sociálnych  vied, 2018. – ISBN 978-80-8105-932-2, s. 59-67 [CD-ROM] </t>
  </si>
  <si>
    <t xml:space="preserve">Špecifiká strojového prekladu publicistických textov z anglického do slovenského jazyka = Peculiarities of Machine Translation of Newspaper Articles from English to  Slovak / Pánisová, Ľudmila [Autor, UKFFFAKTR, 50%] ; Munková, Daša [Autor, UKFFFAKTR, 50%] ; Forlang, 10 [23.06.2021-24.06.2021, Košice, Slovensko]. – text. – [slovenčina]. – [OV 020]. – [abstrakt z podujatia - KP] In: Forlang [elektronický dokument] : periodický zborník vedeckých príspevkov a odborných článkov z medzinárodnej vedeckej konferencie konanej 23. - 24. júna 2021 : cudzie jazyky v akademickom prostredí = foreign Languages in the Academic Environment = Fremdsprachen im akademischen Bereich = inostrannye jazyki v akademičeskoj srede / Kaščáková, Eva [Zostavovateľ, editor] ; Alieva, Lenka [Recenzent] ; Czéreová, Beáta [Recenzent] ; Hájik, Tomáš [Recenzent] ; Klink, Sandra [Recenzent] ; Kulíková, Terézia [Recenzent] ; Mazurová, Helena [Recenzent] ; Mihalčinová, Zuzana [Recenzent] ; Mihaľová, Alena [Recenzent] ; Pechová, Soňa [Recenzent] ; Sorger, Roman [Recenzent] ; Szabová, Katarína [Recenzent] ; Timárová, Daniela [Recenzent] ; Vráželová, Viktória [Recenzent]. – 1. vyd. – Roč. 8, č. 1. – Košice (Slovensko) : Technická univerzita v Košiciach, 2021. – ISBN (online) 978-80-553-3948-1. – ISSN 1338-5496. – SIGN-TUKE 233160, s. 281-290 [CD-ROM] </t>
  </si>
  <si>
    <t xml:space="preserve">Špecifiká titulkovania interview s dokumentárnymi prvkami / Zahorák, Andrej [Autor, UKFFFAKTR, 50%] ; Ukušová, Jana [Autor, UKFFFAKTR, 50%] ; Forlang, 10 [23.06.2021-24.06.2021, Košice, Slovensko]. – text. – [slovenčina]. – [OV 020]. – [abstrakt z podujatia - KP] In: Forlang [elektronický dokument] : periodický zborník vedeckých príspevkov a odborných článkov z medzinárodnej vedeckej konferencie konanej 23. - 24. júna 2021 : cudzie jazyky v akademickom prostredí = foreign Languages in the Academic Environment = Fremdsprachen im akademischen Bereich = inostrannye jazyki v akademičeskoj srede / Kaščáková, Eva [Zostavovateľ, editor] ; Alieva, Lenka [Recenzent] ; Czéreová, Beáta [Recenzent] ; Hájik, Tomáš [Recenzent] ; Klink, Sandra [Recenzent] ; Kulíková, Terézia [Recenzent] ; Mazurová, Helena [Recenzent] ; Mihalčinová, Zuzana [Recenzent] ; Mihaľová, Alena [Recenzent] ; Pechová, Soňa [Recenzent] ; Sorger, Roman [Recenzent] ; Szabová, Katarína [Recenzent] ; Timárová, Daniela [Recenzent] ; Vráželová, Viktória [Recenzent]. – 1. vyd. – Roč. 8, č. 1. – Košice (Slovensko) : Technická univerzita v Košiciach, 2021. – ISBN (online) 978-80-553-3948-1. – ISSN 1338-5496. – SIGN-TUKE 233160, s. 495-504 [CD-ROM] </t>
  </si>
  <si>
    <t xml:space="preserve">Špecifiká výchovného štýlu v etickej výchove / Lomnický, Igor [Autor, UKFFFAKAE 06.2022, 100%] ; Kmeťová, Jarmila [Recenzent] ; Bírová, Jana [Recenzent] ; Inovatívne trendy v odborových didaktikách v kontexte požiadaviek praxe [13.11.2017-14.11.2017, Nitra, Slovensko]. – text. – [slovenčina]. – [OV 010]. – [abstrakt z podujatia - KP] In: Inovatívne trendy v odborových didaktikách v kontexte požiadaviek praxe [elektronický dokument] : zborník štúdií z medzinárodnej vedeckej konferencie / Duchovičová, Jana [Zostavovateľ, editor] ; Gunišová, Denisa [Zostavovateľ, editor] ; Kozárová, Nina [Zostavovateľ, editor] ; Koleňáková, Rebeka Štefánia [Zostavovateľ, editor]. – 1. vyd. – Nitra (Slovensko) : Univerzita Konštantína Filozofa v Nitre. Pedagogická fakulta UKF, 2018. – ISBN 978-80-558-1277-9, s. 197-205 [online] </t>
  </si>
  <si>
    <t xml:space="preserve">Študovať popkultúru? : koncepčno-strategické, metodologické a kontextuálne poznámky k popkultúrnym štúdiám / Boszorád, Martin [Autor, UKFFFAULK, 50%] ; Malíček, Juraj [Autor, UKFFFAULK, 50%] ; Súradnice estetiky, umenia a kultúry, IV [08.11.2018-09.11.2018, Prešov, Slovensko]. – text. – [slovenčina]. – [OV 020]. – [abstrakt z podujatia - KP] In: Súradnice estetiky, umenia a kultúry IV [textový dokument (print)] : študovať estetiku: koncepcie, stratégie a súvislosti štúdia estetiky na Slovensku a v zahraničí = studying aesthetics: aesthetics studies`concepts, strategies and context in Slovakia and abroad / Kvokačka, Adrián [Zostavovateľ, editor] ; Migašová, Jana [Zostavovateľ, editor] ; Mistrík, Erich [Recenzent] ; Sošková, Jana [Recenzent]. – 1. vyd. – Prešov (Slovensko) : Prešovská univerzita v Prešove. Filozofická fakulta, 2019. – (Opera Philosophica ; 17/2019). – ISBN 978-80-555-2310-1. – SIGN-PU FF-19 340/19, s. 79-86 [tlačená forma] </t>
  </si>
  <si>
    <t xml:space="preserve">Štyri poznámky k diskurzívnym aspektom skupinovej polarizácie v dôsledku pôsobenia nových médií / Olejárová, Andrea [Autor, UKFFFAKKU, 100%] ; Megatrends and Media 2019, 14 [16.04.2019-17.04.2019, Smolenice, Slovensko]. – text. – [slovenčina]. – [OV 020]. – [abstrakt z podujatia - KP] In: Megatrendy a médiá 2019 [elektronický dokument] : Digital Universe / Bučková, Zuzana [Zostavovateľ, editor] ; Kačincová Predmerská, Anna [Zostavovateľ, editor] ; Rusňáková, Lenka [Zostavovateľ, editor] ; Mináriková, Juliána [Recenzent] ; Gajdka, Krzysztof [Recenzent]. – 1. vyd. – Trnava (Slovensko) : Univerzita sv. Cyrila a Metoda v Trnave. Fakulta masmediálnej komunikácie, 2019. – ISBN (online) 978-80-572-0014-7, s. 318-334 [online] </t>
  </si>
  <si>
    <t xml:space="preserve">TA BU BU - študentská výstava v Bunkri / Kratochvil, Martin [Autor, UKFPFAKVV, 100%] ; Horizonty umenia, 5 [01.11.2018-30.11.2018, Banská Bystrica, Slovensko]. – text. – [slovenčina]. – [OV 010]. – [abstrakt z podujatia - KP] In: Horizonty umenia 5 [textový dokument (print)] / Strenáčiková, Mária [Zostavovateľ, editor] ; Kolodziejski, Maciej [Recenzent] ; Dushniy, Andriy Ivanovich [Recenzent] ; Janek, Marián [Recenzent]. – 1. vyd. – Banská Bystrica (Slovensko) : Akadémia umení. Fakulta múzických umení, 2018. – ISBN 978-80-8206-007-5, s. 361-370 [tlačená forma] </t>
  </si>
  <si>
    <t xml:space="preserve">Teaching and learning analytic geometry with technology / Šovčíková, Petronela [Autor, UKFFPVKMA, 100%] ; APLIMAT 2019, 18 [05.02.2019-07.02.2019, Bratislava, Slovensko]. – text. – [angličtina]. – [OV 010]. – [abstrakt z podujatia - KP]. – SCO In: Aplimat 2019 [elektronický dokument] : 18th conference on Applied mathematics proceedings / Szarková, Dagmar [Zostavovateľ, editor] ; Richtáriková, Daniela [Zostavovateľ, editor] ; Letavaj, Peter [Zostavovateľ, editor] ; Caranti, Andrea [Recenzent] ; Chvalina, Jan [Recenzent]. – 1. vyd. – Bratislava (Slovensko) : Slovenská technická univerzita v Bratislave, 2019. – ISBN 978-80-227-4884-1, s. 1110-1116 [USB kľúč] </t>
  </si>
  <si>
    <t xml:space="preserve">Teaching grammar through authentic texts / Kálaziová, Ingrid [Autor, UKFFFAKAA, 100%] ; Kmeťová, Jarmila [Recenzent] ; Bírová, Jana [Recenzent] ; Inovatívne trendy v odborových didaktikách v kontexte požiadaviek praxe [13.11.2017-14.11.2017, Nitra, Slovensko]. – text. – [slovenčina]. – [OV 010]. – [abstrakt z podujatia - KP] In: Inovatívne trendy v odborových didaktikách v kontexte požiadaviek praxe [elektronický dokument] : zborník štúdií z medzinárodnej vedeckej konferencie / Duchovičová, Jana [Zostavovateľ, editor] ; Gunišová, Denisa [Zostavovateľ, editor] ; Kozárová, Nina [Zostavovateľ, editor] ; Koleňáková, Rebeka Štefánia [Zostavovateľ, editor]. – 1. vyd. – Nitra (Slovensko) : Univerzita Konštantína Filozofa v Nitre. Pedagogická fakulta UKF, 2018. – ISBN 978-80-558-1277-9, s. 329-332 [online] </t>
  </si>
  <si>
    <t xml:space="preserve">Teaching L1 and L2 communication skills with a robotic head / Beňuš, Štefan [Autor, UKFFFAKAA, 50%] ; Sabo, Róbert [Autor, 25%] ; Trnka, Marian [Autor, 25%] ; ICETA 2019, 17 [21.11.2019-22.11.2019, Starý Smokovec, Slovensko]. – text. – [angličtina]. – [OV 020, 010]. – [abstrakt z podujatia - KP]. – SCO In: ICETA 2019 [elektronický dokument] [textový dokument (print)] : 17th IEEE International conference on emerging elearning technologies and applications : Information and communication technologies in learning : proceedings / Jakab, František [Zostavovateľ, editor]. – 1. vyd. – Denver (USA) : Institute of Electrical and Electronics Engineers, 2019. – ISBN 978-1-7281-4967-7. – ISBN (online) 978-1-7281-4966-0, s. 69-75 [tlačená forma] [USB kľúč] </t>
  </si>
  <si>
    <t xml:space="preserve">Televizní vysílání v době "covidové" = TV broadcasting during Covid-19 pandemic / Masařová, Klára [Autor, UKFFFAKMR, 50%] ; Androsch, Nela Helena [Autor, UKFFFAKMR, 50%] ; Quo vadis 2021 : Masmédia a marketing 20. rokov 21. storočia - nová éra, nové výzvy [08.04.2021, Trnava, Slovensko]. – text. – [čeština]. – [OV 060]. – [abstrakt z podujatia - KP] In: Quo vadis massmedia [elektronický dokument] : zborník z vedeckej konferencie doktorandov a mladých vedeckých pracovníkov Quo vadis massmedia &amp; marketing organizovanej Fakultou masmediálnej komunikácie UCM v Trnave / Gáliková Tolnaiová, Sabína [Zostavovateľ, editor] ; Švecová, Magdaléna [Zostavovateľ, editor] ; Pribila, Kristián [Zostavovateľ, editor] ; Greguš, Ľuboš [Recenzent] ; Prostináková Hossová, Monika [Recenzent] ; Brník, Andrej [Recenzent]. – 1. vyd. – Trnava (Slovensko) : Univerzita sv. Cyrila a Metoda v Trnave. Fakulta masmediálnej komunikácie, 2021. – ISBN (online) 978-80-572-0195-3, s. 91-102 [online] </t>
  </si>
  <si>
    <t xml:space="preserve">Téma migrácie v komunikácii politickej strany Kotlebovci - Ľudová strana Naše Slovensko / Kučerová, Lucia [Autor, UKFFFAKMR, 100%] ; Súčasné migrácie a ich reflexia v spoločenskom vedomí [22.09.2021-23.09.2021, Nitra, Slovensko]. – text. – [slovenčina]. – [OV 010, 060]. – [abstrakt z podujatia - KP] In: Súčasné migrácie a ich reflexia v spoločenskom vedomí [textový dokument (print)] : zborník príspevkov z medzinárodnej vedeckej (online) konferencie v Nitre 22. - 23. septembra 2021 / Letavajová, Silvia [Zostavovateľ, editor] ; Čukan, Jaroslav [Recenzent] ; Lenč, Jozef [Recenzent] ; Hlinčíková, Miroslava [Recenzent]. – 1. vyd. – Nitra (Slovensko) : Univerzita Konštantína Filozofa v Nitre, 2021. – ISBN 978-80-558-1800-9, s. 71-89 [tlačená forma] </t>
  </si>
  <si>
    <t xml:space="preserve">Tendencie výberu textov na rozvoj čitateľskej gramotnosti v cudzom jazyku (taliansky jazyk) / Rusnáková, Natália [Autor, UKFFFAKRO, 100%] ; Inovatívne trendy v odborových didaktikách [21.11.2018, Nitra, Slovensko]. – text. – [slovenčina]. – [OV 010]. – [abstrakt z podujatia - KP] In: Inovatívne trendy v odborových didaktikách [textový dokument (print)] : prepojenie teórie a praxe výučbových stratégií kritického a tvorivého myslenia : zborník štúdií z medzinárodnej vedeckej konferencie, Nitra 21. november 2018 / Duchovičová, Jana [Zostavovateľ, editor] ; Hošová, Dominika [Zostavovateľ, editor] ; Koleňáková, Rebeka Štefánia [Zostavovateľ, editor] ; Bílek, Martin [Recenzent] ; Komora, Juraj [Recenzent]. – 1. vyd. – Nitra (Slovensko) : Univerzita Konštantína Filozofa v Nitre, 2019. – ISBN 978-80-558-1408-7, s. 441-445 [tlačená forma] </t>
  </si>
  <si>
    <t xml:space="preserve">Teoretické východiská programu playing-2-gether (hráme sa spolu) / Grofčíková, Soňa [Autor, UKFPFAKPE, 50%] ; Klimentová, Anna [Autor, UKFPFAKPE, 50%] ; Inovatívne trendy v odborových didaktikách [21.11.2018, Nitra, Slovensko]. – text. – [slovenčina]. – [OV 010]. – [abstrakt z podujatia - KP] In: Inovatívne trendy v odborových didaktikách [textový dokument (print)] : prepojenie teórie a praxe výučbových stratégií kritického a tvorivého myslenia : zborník štúdií z medzinárodnej vedeckej konferencie, Nitra 21. november 2018 / Duchovičová, Jana [Zostavovateľ, editor] ; Hošová, Dominika [Zostavovateľ, editor] ; Koleňáková, Rebeka Štefánia [Zostavovateľ, editor] ; Bílek, Martin [Recenzent] ; Komora, Juraj [Recenzent]. – 1. vyd. – Nitra (Slovensko) : Univerzita Konštantína Filozofa v Nitre, 2019. – ISBN 978-80-558-1408-7, s. 115-117 [tlačená forma] </t>
  </si>
  <si>
    <t xml:space="preserve">Tertiary education system in Slovakia / Országhová, Dana [Autor, SPUFEM07, 34%] ; Fľak, Pavel [Autor, 33%] ; Papcunová, Viera [Autor, UKFFPVUMI, 33%] ; International Scientific Days 2018 [16.05.2018-17.05.2018, Nitra, Slovensko]. – [angličtina]. – [OV 080]. – [abstrakt z podujatia - KP]. – [recenzované]. – DOI 10.15414/isd2018.s9.11 In: International Scientific Days 2018 [elektronický dokument] : “Towards Productive, Sustainable and Resilient Global Agriculture and Food Systems.” Conference Proceedings, Nitra May 16-17, 2018 / Horská, Elena [Zostavovateľ, editor] ; Kapsdorferová, Zuzana [Zostavovateľ, editor] ; Hallová, Marcela [Zostavovateľ, editor]. – 1. vyd. – Praha (Česko) : Wolters Kluwer. Wolters Kluwer ČR, 2018. – ISBN 978-80-7598-180-6, s. 1995-2009 [online] </t>
  </si>
  <si>
    <t xml:space="preserve">Testovanie jazykovej kompetencie v akademickom prostredí / Zelenická, Elena [Autor, UKFFFAJZC, 50%] ; Pavlová, Renáta [Autor, UKFFFAJZC, 50%] ; Odborný cudzí jazyk: teória a prax [18.12.2020, Nitra, Slovensko]. – text. – [slovenčina]. – [OV 010]. – [abstrakt z podujatia - KP] In: Odborný cudzí jazyk: teória a prax [textový dokument (print)] : zborník z medzinárodnej vedeckej konferencie / Zelenická, Elena [Zostavovateľ, editor] ; Timárová, Daniela [Recenzent] ; Kulíková, Terézia [Recenzent]. – 1. vyd. – Nitra (Slovensko) : Univerzita Konštantína Filozofa v Nitre. Filozofická fakulta, 2020. – ISBN 978-80-558-1608-1, s. 205-212 [tlačená forma] </t>
  </si>
  <si>
    <t xml:space="preserve">The effect of compression pressure on activation energy of spinel formation / Al-Shantir, Omar [Autor, UKFFPVKFY, 25%] ; Jakubec, Patrik [Autor, 25%] ; Pős, Peter [Autor, 25%] ; Trník, Anton [Autor, UKFFPVKFY, 25%] ; Central European Symposium on Thermophysics [16.10.2019-18.10.2019, Banská Bystrica, Slovensko]. – text. – [angličtina]. – [OV 091]. – [abstrakt z podujatia - KP]. – WOS CC ; SCO In: CEST 2019 [elektronický dokument] : proceedings of the Central European Symposium on Thermophysics 2019 / Trník, Anton [Zostavovateľ, editor] ; Medveď, Igor [Zostavovateľ, editor]. – 1 vyd. – Melville, NY (USA) : American Institute of Physics . AIP Publishing, 2019. – (AIP Conference Proceedings, ISSN 0094-243X, ISSN 1551-7616 ; Volume 2133, SJR: 0,19 ; CiteScore: 0,6 ; SNIP: 0,373). – ISBN 978-0-7354-1876-9, s. 1-6 [online] [tlačená forma] </t>
  </si>
  <si>
    <t xml:space="preserve">The factors affecting team performance and ability to innovate in a globalised world / Silberg, Slavka [Korešpondenčný autor, UKFPFAKPE, 30%] ; Stehlík, Luděk [Autor, 30%] ; Silberg, Michal [Autor, 30%] ; Duriš, Rastislav [Autor, 10%] ; Globalization and its socio-economic consequences, 21 [13.10.2021-14.10.2021, Žilina, Slovensko]. – text. – [angličtina]. – [OV 010]. – [abstrakt z podujatia - KP]. – DOI 10.1051/shsconf/202112905013 In: The 21st International Scientific Conference Globalization and its Socio-Economic Consequences 2021 [elektronický dokument] / Klieštik, Tomáš [Zostavovateľ, editor]. – 1. vyd. – Les Ulis (Francúzsko) : Édition Diffusion Presse Sciences, 2021. – (SHS Web of Conferences, ISSN 2261-2424 ; 129), s. 1-11 [online] </t>
  </si>
  <si>
    <t xml:space="preserve">The Change in Pedagogical Practice During Coronavirus Pandemic / Kvaššayová, Nika [Autor, UKFFPVKIN, 50%] ; Lovászová, Gabriela [Autor, UKFFPVKIN, 50%] ; ICETA 2021, 19 [11.11.2021-12.11.2021, Košice, Slovensko]. – text. – [angličtina]. – [OV 010]. – [abstrakt z podujatia - KP]. – SCO In: ICETA 2021 [elektronický dokument] : 19th IEEE International Conference on Emerging eLearning Technologies and Applications : proceedings / Jakab, František [Zostavovateľ, editor]. – 1. vyd. – Denver (USA) : Institute of Electrical and Electronics Engineers, 2021. – ISBN 978-1-6654-2101-0. – ISBN 978-1-6654-2102-7, s. 211-217 [online] [USB kľúč] </t>
  </si>
  <si>
    <t xml:space="preserve">The Impact of Agriculture Transformation and Slovakia's Accession To the EU on the Structure of Labour Force / Némethová, Jana [Autor, UKFFPVKGR, 80%] ; Jaďuďová, Petra [Autor, 20%] ; Geografické aspekty stredoeurópskeho priestoru, 26 [10.10.2018-11.10.2018, Nitra, Slovensko]. – text. – [angličtina]. – [OV 092]. – [článok z podujatia]. – [recenzované]. – WOS CC In: Geografické informácie [textový dokument (print)] [elektronický dokument] . – Nitra (Slovensko) : Univerzita Konštantína Filozofa v Nitre. – ISSN 1337-9453. – Roč. 22, č. 2 (2018), s. 163-179 [tlačená forma] [online] </t>
  </si>
  <si>
    <t xml:space="preserve">The importance of context in teaching and learning collocations / Kálaziová, Ingrid [Autor, UKFFFAKAA, 100%] ; Inovatívne trendy v odborových didaktikách [21.11.2018, Nitra, Slovensko]. – text. – [slovenčina]. – [OV 010]. – [abstrakt z podujatia - KP] In: Inovatívne trendy v odborových didaktikách [textový dokument (print)] : prepojenie teórie a praxe výučbových stratégií kritického a tvorivého myslenia : zborník štúdií z medzinárodnej vedeckej konferencie, Nitra 21. november 2018 / Duchovičová, Jana [Zostavovateľ, editor] ; Hošová, Dominika [Zostavovateľ, editor] ; Koleňáková, Rebeka Štefánia [Zostavovateľ, editor] ; Bílek, Martin [Recenzent] ; Komora, Juraj [Recenzent]. – 1. vyd. – Nitra (Slovensko) : Univerzita Konštantína Filozofa v Nitre, 2019. – ISBN 978-80-558-1408-7, s. 446-450 [tlačená forma] </t>
  </si>
  <si>
    <t xml:space="preserve">The Interactive Web Applications in Financial Literacy Teaching / Pšenák, Péter [Autor, UKOMAKFE, 40%] ; Pšenáková, Ildikó [Autor, TUTPFKMI, 40%] ; Szabó, Tibor [Autor, UKFFSSUVP, 10%] ; Kováč, Urban [Autor, UKOMAKFE, 10%] ; ICETA 2019, 17 [21.11.2019-22.11.2019, Starý Smokovec, Slovensko]. – [angličtina]. – [OV 010, 080]. – [abstrakt z podujatia - KP]. – [recenzované]. – TUTPFKMI signatúra E077761. – SCO In: ICETA 2019 [elektronický dokument] [textový dokument (print)] : 17th IEEE International conference on emerging elearning technologies and applications : Information and communication technologies in learning : proceedings / Jakab, František [Zostavovateľ, editor]. – 1. vyd. – Denver (USA) : Institute of Electrical and Electronics Engineers, 2019. – ISBN 978-1-7281-4967-7. – ISBN (online) 978-1-7281-4966-0, s. 661-666 [tlačená forma] [USB kľúč] </t>
  </si>
  <si>
    <t xml:space="preserve">The interplay of physical and digital resources to explore cube cross-sections / Vágová, Renáta [Autor, UKFFPVKMA, 70%] ; Kmeťová, Mária [Autor, UKFFPVKMA, 20%] ; Lieban, Diego [Autor, 10%] ; Aplimat 2020, 19 [04.02.2020-06.02.2020, Bratislava, Slovensko]. – text. – [angličtina]. – [OV 010, 240]. – [abstrakt z podujatia - KP]. – SCO In: Aplimat 2020 [elektronický dokument] : 19th Conference on Applied Mathematics : proceeding / Szarková, Dagmar [Zostavovateľ, editor] ; Richtáriková, Daniela [Zostavovateľ, editor] ; Prášilová, Monika [Zostavovateľ, editor]. – 1 vyd. – Bratislava (Slovensko) : Spektrum STU , 2020. – ISBN 978-80-227-4983-1, s. 1067-1081 [USB kľúč] </t>
  </si>
  <si>
    <t xml:space="preserve">The Quantitative Indicators Analysis of the Second Pillar of Pension System in V4 Countries / Urbaníková, Marta [Autor, UKFFPVUMI, 50%] ; Štubňová, Michaela [Autor, 50%] ; Geografické aspekty stredoeurópskeho priestoru, 26 [10.10.2018-11.10.2018, Nitra, Slovensko]. – text. – [angličtina]. – [OV 080]. – [článok z podujatia]. – [recenzované]. – DOI 10.17846/GI.2018.22.2.327-337. – WOS CC In: Geografické informácie [textový dokument (print)] [elektronický dokument] . – Nitra (Slovensko) : Univerzita Konštantína Filozofa v Nitre. – ISSN 1337-9453. – Roč. 22, č. 2 (2018), s. 327-337 [tlačená forma] [online] </t>
  </si>
  <si>
    <t xml:space="preserve">The Role of Visualisation in Solid Geometry Problem Solving / Vágová, Renáta [Autor, UKFFPVKMA, 50%] ; Kmeťová, Mária [Autor, UKFFPVKMA, 50%] ; Baicoianu, Alexandra [Recenzent] ; Fabio, Bruni [Recenzent] ; APLIMAT 2018, 17 [06.02.2018-08.02.2018, Bratislava, Slovensko]. – text. – [angličtina]. – [OV 010]. – [abstrakt z podujatia - KP]. – SCO In: Aplimat 2018 [elektronický dokument] : 17th conference on Aplied mathematics proceedings / Szarková, Dagmar [Zostavovateľ, editor] ; Richtáriková, Daniela [Zostavovateľ, editor] ; Letavaj, Peter [Zostavovateľ, editor] ; Gabková, Jana [Zostavovateľ, editor]. – 1. vyd. – Bratislava (Slovensko) : Slovenská technická univerzita v Bratislave, 2018. – ISBN 978-80-227-4765-3, s. 718-725 [USB kľúč] </t>
  </si>
  <si>
    <t xml:space="preserve">The Sonic Sculptures from Region's Soundscapes in Site-Specific Music = Zvukové sochy zlokálnych sónických prostredí v site-specific hudbe / Fuják, Július [Autor, UKFFFAKKU, 100%] ; 11. medzinárodné sympózium Jána Albrechta: Filozofické koncepcie v hudbe a umení, 11 [11.10.2019-13.10.2019, Banská Štiavnica, Slovensko]. – text. – [angličtina]. – [OV 020]. – [článok z podujatia]. – [recenzované] In: Ars pro toto [textový dokument (print)] : vedecký a umelecký časopis = science &amp; art journal. – Banská Štiavnica : Hudobná a umelecká akadémia Jána Albrechta v Banskej Štiavnici. – ISSN 1338-6913. – Roč. 9, č. 1 (2020), s. 6-9 [tlačená forma] </t>
  </si>
  <si>
    <t xml:space="preserve">The study of firing  process of kaolinite - illite ceramic mixtures / Húlan, Tomáš [Autor, UKFFPVKFY, 33.334%] ; Štubňa, Igor [Autor, UKFFPVKFY, 33.333%] ; Jakubec, Pavol [Autor, 33.333%] ; Central European Symposium on Thermophysics [16.10.2019-18.10.2019, Banská Bystrica, Slovensko]. – text. – [angličtina]. – [OV 091]. – [abstrakt z podujatia - KP]. – WOS CC ; SCO In: CEST 2019 [elektronický dokument] : proceedings of the Central European Symposium on Thermophysics 2019 / Trník, Anton [Zostavovateľ, editor] ; Medveď, Igor [Zostavovateľ, editor]. – 1 vyd. – Melville, NY (USA) : American Institute of Physics . AIP Publishing, 2019. – (AIP Conference Proceedings, ISSN 0094-243X, ISSN 1551-7616 ; Volume 2133, SJR: 0,19 ; CiteScore: 0,6 ; SNIP: 0,373). – ISBN 978-0-7354-1876-9, s. 1-12 [online] [tlačená forma] </t>
  </si>
  <si>
    <t xml:space="preserve">The usage of statistical methods for evaluation of ammonium nitrate content / Feszterová, Melánia [Autor, UKFFPVKCH, 25%] ; Tirpáková, Anna [Autor, UKFFPVKMA, 25%] ; Porubcová, Lýdia [Autor, UKFFPVKCH, 25%] ; Ondrišík, Peter [Autor, SPUFAP26, 25%] ; APLIMAT 2019, 18 [05.02.2019-07.02.2019, Bratislava, Slovensko]. – text. – [angličtina]. – [OV 190, 120]. – [abstrakt z podujatia - KP]. – SCO In: Aplimat 2019 [elektronický dokument] : 18th conference on Applied mathematics proceedings / Szarková, Dagmar [Zostavovateľ, editor] ; Richtáriková, Daniela [Zostavovateľ, editor] ; Letavaj, Peter [Zostavovateľ, editor] ; Caranti, Andrea [Recenzent] ; Chvalina, Jan [Recenzent]. – 1. vyd. – Bratislava (Slovensko) : Slovenská technická univerzita v Bratislave, 2019. – ISBN 978-80-227-4884-1, s. 334-344 [USB kľúč] </t>
  </si>
  <si>
    <t xml:space="preserve">The usage of statistical methods for evaluation of inorganic nitrogen content in soil / Feszterová, Melánia [Autor, UKFFPVKCH, 33.334%] ; Porubcová, Lýdia [Autor, UKFFPVKCH, 33.333%] ; Tirpáková, Anna [Autor, UKFFPVKMA, 33.333%] ; Aplimat 2020, 19 [04.02.2020-06.02.2020, Bratislava, Slovensko]. – text. – [angličtina]. – [OV 120, 240]. – [abstrakt z podujatia - KP]. – SCO In: Aplimat 2020 [elektronický dokument] : 19th Conference on Applied Mathematics : proceeding / Szarková, Dagmar [Zostavovateľ, editor] ; Richtáriková, Daniela [Zostavovateľ, editor] ; Prášilová, Monika [Zostavovateľ, editor]. – 1 vyd. – Bratislava (Slovensko) : Spektrum STU , 2020. – ISBN 978-80-227-4983-1, s. 425-436 [USB kľúč] </t>
  </si>
  <si>
    <t xml:space="preserve">Theoretical profile for heat capacity peaks of phase-change materials [Teoretický profil pre vrcholy tepelnej kapacity materiálov so zmenou fázy] / Medveď, Igor [Autor, 010240 01.2021, 50%] ; Trník, Anton [Autor, UKFFPVKFY, 50%] ; Thermophysics 2018, 23 [07.11.2018-09.11.2018, Smolenice, Slovensko]. – [angličtina]. – [OV 091]. – [abstrakt z podujatia - KP]. – [recenzované]. – DOI 10.1063/1.5047625. – WOS CC ; SCO In: Thermophysics 2018 [elektronický dokument] : proceedings : 23rd International Meeting of Thermophysics / Trník, Anton [Zostavovateľ, editor] ; Matiašovský, Peter [Zostavovateľ, editor] ; Medveď, Igor [Zostavovateľ, editor]. – 1 vyd. – Melwille (USA) : American Institute of Physics . AIP Publishing, 2018. – (AIP Conference Proceedings, ISSN 0094-243X, ISSN 1551-7616 ; Volume 1988, SJR: 0,182 ; CiteScore: 0,5 ; SNIP: 0,377). – ISBN 978-0-7354-1704-5, art. no. 020031, s. 1-5 [online] </t>
  </si>
  <si>
    <t xml:space="preserve">Thomistic Elements in Tolkien’s Philosophy of (Sub)Creation / Juričková, Martina [Autor, UKFFFAKAA, 100%] ; 1st Nitra Postgraduate Conference in English Studies [24.10.2019, Nitra, Slovensko]. – text. – [angličtina]. – [OV 020]. – [abstrakt z podujatia - KP] In: 1st Nitra Postgraduate Conference in English Studies: Trends and Perspectives [textový dokument (print)] : conference proceedings / Ondrušeková, Judita [Zostavovateľ, editor] ; Gadušová, Zdenka [Recenzent] ; Miššíková, Gabriela [Recenzent]. – 1. vyd. – Praha (Česko) : Verbum, 2020. – ISBN 978-80-87800-65-2, s. 91-98 [tlačená forma] </t>
  </si>
  <si>
    <t xml:space="preserve">Time spent on web page as an indicator of interest / Benko, Ľubomír [Autor, UKFFPVKIN, 25%] ; Blažeková, Petra [Autor, UKOMAKSP, 25%] ; Munk, Michal [Autor, UKFFPVKIN, 25%] ; Pilková, Anna [Autor, UKOMAKSP, 25%] ; DIVAI 2020, 13 [21.09.2020-23.09.2020, Štúrovo, Slovensko]. – text, graf., tab. – [angličtina]. – [OV 160, 080]. – [abstrakt z podujatia - KP]. – [recenzované]. – CPCI-SSH ; WOS CC In: DIVAI 2020 [textový dokument (print)] [elektronický dokument] : 13th International Scientific Conference on Distance Learning in Applied Informatics, Štúrovo September 21-23, 2020 / Turčáni, Milan [Zostavovateľ, editor] ; Balogh, Zoltán [Zostavovateľ, editor] ; Munk, Michal [Zostavovateľ, editor] ; Magdin, Martin [Zostavovateľ, editor] ; Benko, Ľubomír [Zostavovateľ, editor]. – 1. vyd. – Roč. 13. – Praha (Česko) : Wolters Kluwer. Wolters Kluwer ČR, 2020. – ISBN 978-80-7598-841-6. – ISSN 2464-7470. – ISSN (online) 2464-7489, s. 489-497 [tlačená forma] [online] </t>
  </si>
  <si>
    <t xml:space="preserve">Tímová supervízia / Gabura, Ján [Autor, UKFFSVKSP, 100%] ; Schavel, Milan [Recenzent] ; Mátel, Andrej [Recenzent] ; Podoby supervízie a prevencia syndrómu vyhorenia [17.10.2018-18.10.2018, Piešťany, Slovensko]. – [slovenčina]. – [OV 020]. – [abstrakt z podujatia - KP] In: Podoby supervízie a prevencia syndrómu vyhorenia [elektronický dokument] : zborník z medzinárodnej vedeckej konferencie / Schavel, Milan [Zostavovateľ, editor] ; Kuzyšin, Bohuslav [Zostavovateľ, editor] ; Hunyadiová, Stanislava [Zostavovateľ, editor]. – 1. vyd. – Bratislava (Slovensko) : Vysoká škola zdravotníctva a sociálnej práce sv. Alžbety v Bratislave, 2018. – ISBN 978-80-8132-193-1. – SIGN-PU PBF 91/18, s. 63-72 [CD-ROM] </t>
  </si>
  <si>
    <t xml:space="preserve">Topos povojnovej Bratislavy vo filmovej paródii Wilsonov a v jej literárnej predlohe / Hlavinová Tekeliová, Dominika [Autor, UKFFSSUSJ, 100%] ; Literatúra a jej filmová podoba v stredoeurópskom kontexte [15.10.2019, Nitra, Slovensko]. – text. – [slovenčina]. – [OV 020]. – [abstrakt z podujatia - KP] In: Literatúra a jej filmová podoba v stredoeurópskom kontexte [textový dokument (print)] : zborník štúdií z medzinárodnej vedeckej konferencie, konanej 15. októbra 2019 na FSŠ UKF v Nitre / Timko, Štefan [Zostavovateľ, editor] ; Pokorný, Milan [Recenzent] ; Zelenka, Miloš [Recenzent]. – 1. vyd. – Nitra (Slovensko) : Univerzita Konštantína Filozofa v Nitre, 2020. – ISBN 978-80-558-1570-1, s. 30-48 [tlačená forma] </t>
  </si>
  <si>
    <t xml:space="preserve">Tourism Marketing of the Town of Liptovský Mikuláš and Municipalities of the Local Action Group Horný Liptov - Its Reality and Potential / Vrbičanová, Gréta [Autor, UKFFPVKEE, 70%] ; Kramáreková, Hilda [Autor, UKFFPVKGR, 30%] ; Geografické aspekty stredoeurópskeho priestoru, 26 [10.10.2018-11.10.2018, Nitra, Slovensko]. – text. – [angličtina]. – [OV 092]. – [poster z podujatia - ČL]. – [recenzované]. – DOI 10.17846/GI.2018.22.1.522-538. – WOS CC In: Geografické informácie [textový dokument (print)] [elektronický dokument] . – Nitra (Slovensko) : Univerzita Konštantína Filozofa v Nitre. – ISSN 1337-9453. – Roč. 22, č. 1 (2018), s. 522-538 [tlačená forma] [online] </t>
  </si>
  <si>
    <t xml:space="preserve">Transfigurácia v prapríbehoch ako archetypálna platforma zmenenej totožnosti / Danišová, Nikola [Autor, UKFFFAULK, 100%] ; Reflexia kultúrno-spoločenských javov [03.05.2018-04.05.2018, Nitra, Slovensko]. – text. – [slovenčina]. – [OV 020]. – [abstrakt z podujatia - KP] In: Reflexia kultúrno-spoločenských javov [textový dokument (print)] : zborník z konferencie určenej pre doktorandov sociálnych, humanitných a umenovedných odborov, a to 3. - 4. mája 2018 na UKF v Nitre / Hochel, Igor [Zostavovateľ, editor] ; Popovicsová, Jana [Zostavovateľ, editor] ; Boszorád, Martin [Recenzent] ; Půtová, Barbora [Recenzent]. – 1. vyd. – Nitra (Slovensko) : Univerzita Konštantína Filozofa v Nitre, 2018. – ISBN 978-80-558-1341-7, s. 143-159 [tlačená forma] </t>
  </si>
  <si>
    <t xml:space="preserve">Transformácia kultúrnej krajiny a jej využitie pri tvorbe náučného chodníka Bošáckou dolinou / Hladká, Alexandra [Autor, UKFFPVKEE, 50%] ; Petrikovičová, Lucia [Autor, UKFFPVKGR, 50%] ; Študentská vedecká konferencia 2021 [14.04.2021, Nitra, Banská Bystrica, Slovensko]. – text. – [slovenčina]. – [OV 100]. – [abstrakt z podujatia - KP]. – [recenzované] In: Študentská vedecká konferencia 2021 Fakulty prírodných vied Univerzity Konštantína Filozofa v Nitre a Fakulty prírodných vied Univerzity Mateja Bela v Banskej Bystrici [textový dokument (print)] : zborník recenzovaných príspevkov / Francisti, Jan [Zostavovateľ, editor] ; Fodor, Kristián [Zostavovateľ, editor]. – 1. vyd. – Nitra (Slovensko) : Univerzita Konštantína Filozofa v Nitre ; Banská Bystrica (Slovensko) : Univerzita Mateja Bela v Banskej Bystrici, 2021. – (Prírodovedec ; 756). – ISBN 978-80-558-1712-5, s. 347-354 [tlačená forma] </t>
  </si>
  <si>
    <t xml:space="preserve">Translačné procedúry v strojovom preklade (na príklade vlastných mien osôb) / Glovňa, Juraj [Autor, UKFFFASJL, 100%] ; Konvergencie a divergencie v propriálnej sfére, 20 [26.06.2017-28.06.2017, Banská Bystrica, Slovensko]. – text. – [slovenčina]. – [OV 020]. – [abstrakt z podujatia - KP] In: Konvergencie a divergencie v propriálnej sfére [textový dokument (print)] : 20. slovenská onomastická konferencia, zborník referátov, Banská Bystrica, 26. - 28. júna 2017 / Chomová, Alexandra [Zostavovateľ, editor] ; Krško, Jaromír [Zostavovateľ, editor] ; Valentová, Iveta [Zostavovateľ, editor] ; Gałkowski, Artur [Recenzent] ; Majtán, Milan [Recenzent] ; Žigo, Pavol [Recenzent]. – 1 vyd. – Bratislava (Slovensko) : Slovenská akadémia vied. Veda, vydavateľstvo Slovenskej akadémie vied, 2019. – ISBN 978-80-224-1732-7, s. 386-397 [tlačená forma] </t>
  </si>
  <si>
    <t xml:space="preserve">Transzkulturalizmus és bilingvizmus. Elmélet és gyakorlat / Németh, Zoltán [Autor, UKFFSSUML, 100%] ; Szirák, Péter [Recenzent] ; Balázs, Imre József [Recenzent] ; Transzkulturalizmus és bilingvizmus az irodalomban, 1 [06.11.2017-07.11.2017, Nitra, Slovensko]. – text. – [angličtina]. – [OV 020]. – [abstrakt z podujatia - KP] In: Transzkulturalizmus és bilingvizmus az irodalomban [textový dokument (print)] / Németh, Zoltán [Zostavovateľ, editor] ; Roguska, Magdaléna [Zostavovateľ, editor]. – 1. vyd. – Nitra (Slovensko) : Univerzita Konštantína Filozofa v Nitre. Fakulta stredoeurópskych štúdií, 2018. – (Europica varietas ; 120). – ISBN 978-80-558-1295-3, s. 9-18 [tlačená forma] </t>
  </si>
  <si>
    <t xml:space="preserve">Tvorba a realizácia matematických prechádzok / Čeretková, Soňa [Autor, UKFFPVKMA, 50%] ; Bulková, Kristína [Autor, UKFFPVKMA, 50%] ; Inovatívne trendy v odborových didaktikách [21.11.2018, Nitra, Slovensko]. – text. – [slovenčina]. – [OV 010]. – [abstrakt z podujatia - KP] In: Inovatívne trendy v odborových didaktikách [textový dokument (print)] : prepojenie teórie a praxe výučbových stratégií kritického a tvorivého myslenia : zborník štúdií z medzinárodnej vedeckej konferencie, Nitra 21. november 2018 / Duchovičová, Jana [Zostavovateľ, editor] ; Hošová, Dominika [Zostavovateľ, editor] ; Koleňáková, Rebeka Štefánia [Zostavovateľ, editor] ; Bílek, Martin [Recenzent] ; Komora, Juraj [Recenzent]. – 1. vyd. – Nitra (Slovensko) : Univerzita Konštantína Filozofa v Nitre, 2019. – ISBN 978-80-558-1408-7, s. 283-286 [tlačená forma] </t>
  </si>
  <si>
    <t xml:space="preserve">Tvorba konceptuálneho modelu v Petriho sieťach na klasifikáciu emocionálnych stavov používateľov = Creation of a conceptual model in Petri nets for the classification of emotional states of users / Fodor, Kristián [Autor, UKFFPVKIN, 100%] ; Študentská vedecká konferencia 2021 [14.04.2021, Nitra, Banská Bystrica, Slovensko]. – text. – [slovenčina]. – [OV 160]. – [abstrakt z podujatia - KP] In: Študentská vedecká konferencia 2021 Fakulty prírodných vied Univerzity Konštantína Filozofa v Nitre a Fakulty prírodných vied Univerzity Mateja Bela v Banskej Bystrici [textový dokument (print)] : zborník recenzovaných príspevkov / Francisti, Jan [Zostavovateľ, editor] ; Fodor, Kristián [Zostavovateľ, editor]. – 1. vyd. – Nitra (Slovensko) : Univerzita Konštantína Filozofa v Nitre ; Banská Bystrica (Slovensko) : Univerzita Mateja Bela v Banskej Bystrici, 2021. – (Prírodovedec ; 756). – ISBN 978-80-558-1712-5, s. 230-237 [tlačená forma] </t>
  </si>
  <si>
    <t xml:space="preserve">Tvorba pre deti a mládež v profesionálnom divadle v Trnave – história a súčasnosť / Mihalová, Lucia [Autor, UKFFFAULK, 100%] ; Súčasná teatrológia a divadlo, 15 [30.11.2018-01.12.2018, Banská Bystrica, Slovensko]. – text. – [slovenčina]. – [OV 020]. – [abstrakt z podujatia - KP] In: Súčasná teatrológia a divadlo. Vzťah divadelnej vedy, vzdelávania a scénického umenia v 21. storočí [textový dokument (print)] : zborník z medzinárodnej Banskobystrickej teatrologickej konferencie 30. 11. a 1. 12. 2018 na Fakulte dramatických umení Akadémie umení v Banskej Bystrici / Knopová, Elena [Zostavovateľ, editor] ; Majera, Ľjuboslav [Recenzent] ; Vedral, Jan [Recenzent]. – 1. vyd. – Banská Bystrica (Slovensko) : Akadémia umení, 2018. – ISBN 978-80-8206-008-2, s. 158-169 [tlačená forma] </t>
  </si>
  <si>
    <t xml:space="preserve">Tvorba programov ďalšieho vzdelávania pre zamestnancov sektora priemyslu / Hodál, Peter [Autor, UKFPFAKTT, 33.334%] ; Hašková, Alena [Autor, UKFPFAKTT, 33.333%] ; Kuna, Peter [Autor, UKFPFAKTT, 33.333%] ; Inovatívne trendy v odborových didaktikách [21.11.2018, Nitra, Slovensko]. – text. – [slovenčina]. – [OV 010]. – [abstrakt z podujatia - KP] In: Inovatívne trendy v odborových didaktikách [textový dokument (print)] : prepojenie teórie a praxe výučbových stratégií kritického a tvorivého myslenia : zborník štúdií z medzinárodnej vedeckej konferencie, Nitra 21. november 2018 / Duchovičová, Jana [Zostavovateľ, editor] ; Hošová, Dominika [Zostavovateľ, editor] ; Koleňáková, Rebeka Štefánia [Zostavovateľ, editor] ; Bílek, Martin [Recenzent] ; Komora, Juraj [Recenzent]. – 1. vyd. – Nitra (Slovensko) : Univerzita Konštantína Filozofa v Nitre, 2019. – ISBN 978-80-558-1408-7, s. 316-320 [tlačená forma] </t>
  </si>
  <si>
    <t xml:space="preserve">Tvorba tanečného tréningu techniky Merce Cunninghama s využitím skladieb Johna Cagea : Design of the Merce Cunningham Technique Dance ClassUsing John Cage's Music / Hubinská, Zuzana [Autor, UKFPFAKHU, 100%] ; Horizonty umenia, 6 [20.10.2019-01.11.2019, Banská Bystrica, Slovensko]. – text. – [slovenčina]. – [OV 010]. – [abstrakt z podujatia - KP] In: Horizonty umenia 6 [elektronický dokument] : zborník príspevkov z medzinárodnej vedeckej webovej konferencie / Strenáčiková, Mária [Zostavovateľ, editor] ; Kolodziejski, Maciej [Recenzent] ; Dushniy, Andriy Ivanovich [Recenzent]. – 1. vyd. – Banská Bystrica (Slovensko) : Akadémia umení, 2019. – ISBN 978-80-8206-028-0, s. 121-128 [CD-ROM] </t>
  </si>
  <si>
    <t xml:space="preserve">Tvorba výbušnej koncentrácie drevného prachu vybraných druhov dreva v pracovnom prostredí drevárskych prevádzok / Marková, Iveta [Autor, ZUZFBIPŽI, 50%] ; Tureková, Ivana [Autor, UKFPFAKTT, 50%] ; Riešenie krízových situácií v špecifickom prostredí, 24 [22.05.2019-23.05.2019, Žilina, Slovensko]. – [slovenčina]. – [OV 230]. – [abstrakt z podujatia - KP]. – [recenzované] In: Riešenie krízových situácií v špecifickom prostredí [elektronický dokument] / Titko, Michal [Zostavovateľ, editor] ; Masár, Matej [Zostavovateľ, editor] ; Jankura, Richard [Zostavovateľ, editor] ; Kmeť, Roman [Zostavovateľ, editor]. – 1. vyd. – Žilina (Slovensko) : Žilinská univerzita v Žiline. Vydavateľstvo EDIS, 2019. – ISBN 978-80-554-1559-8, s. 354-361 [CD-ROM] </t>
  </si>
  <si>
    <t xml:space="preserve">Tvorivé a kritické myslenie v intenciách interpersonálnej komunikácie : inovatívne trendy v odborových didaktikách v kontexte požiadaviek praxe / Jonášková, Gabriela [Autor, UKFFFAKFI, 50%] ; Predanocyová, Ľubica [Autor, UKFFFAKFI, 50%] ; Kmeťová, Jarmila [Recenzent] ; Bírová, Jana [Recenzent] ; Inovatívne trendy v odborových didaktikách v kontexte požiadaviek praxe [13.11.2017-14.11.2017, Nitra, Slovensko]. – text. – [slovenčina]. – [OV 010]. – [abstrakt z podujatia - KP] In: Inovatívne trendy v odborových didaktikách v kontexte požiadaviek praxe [elektronický dokument] : zborník štúdií z medzinárodnej vedeckej konferencie / Duchovičová, Jana [Zostavovateľ, editor] ; Gunišová, Denisa [Zostavovateľ, editor] ; Kozárová, Nina [Zostavovateľ, editor] ; Koleňáková, Rebeka Štefánia [Zostavovateľ, editor]. – 1. vyd. – Nitra (Slovensko) : Univerzita Konštantína Filozofa v Nitre. Pedagogická fakulta UKF, 2018. – ISBN 978-80-558-1277-9, s. 238-243 [online] </t>
  </si>
  <si>
    <t xml:space="preserve">Tvorivé vyučovanie etickej výchovy pomocou literatúry / Kendrová, Nina [Autor, UKFFFAKAE 06.2022, 100%] ; Kmeťová, Jarmila [Recenzent] ; Bírová, Jana [Recenzent] ; Inovatívne trendy v odborových didaktikách v kontexte požiadaviek praxe [13.11.2017-14.11.2017, Nitra, Slovensko]. – text. – [slovenčina]. – [OV 010]. – [abstrakt z podujatia - KP] In: Inovatívne trendy v odborových didaktikách v kontexte požiadaviek praxe [elektronický dokument] : zborník štúdií z medzinárodnej vedeckej konferencie / Duchovičová, Jana [Zostavovateľ, editor] ; Gunišová, Denisa [Zostavovateľ, editor] ; Kozárová, Nina [Zostavovateľ, editor] ; Koleňáková, Rebeka Štefánia [Zostavovateľ, editor]. – 1. vyd. – Nitra (Slovensko) : Univerzita Konštantína Filozofa v Nitre. Pedagogická fakulta UKF, 2018. – ISBN 978-80-558-1277-9, s. 244-251 [online] </t>
  </si>
  <si>
    <t xml:space="preserve">Tvorivosť v kontexte projektového vyučovania u budúcich učiteľov informatiky / Klimová, Nika [Autor, UKFFPVKIN, 50%] ; Lovászová, Gabriela [Autor, UKFFPVKIN, 50%] ; Didinfo 2021, 27 [24.03.2021-25.03.2021, Banská Bystrica, Slovensko]. – text. – [slovenčina]. – [OV 010]. – [abstrakt z podujatia - KP] In: DidInfo 2021 [elektronický dokument] : medzinárodná konferencia o vyučovaní informatiky / Horváthová, Dana [Zostavovateľ, editor] ; Michaliková, Alžbeta [Zostavovateľ, editor] ; Škrinárová, Jarmila [Zostavovateľ, editor] ; Voštinár, Patrik [Zostavovateľ, editor] ; Andrejková, Gabriela [Recenzent] ; Berki, Jan [Recenzent] ; Černochová, Miroslava [Recenzent] ; Dudáš, Adam [Recenzent] ; Horváthová, Dana [Recenzent]. – 1. vyd. – Roč. 27. – Banská Bystrica (Slovensko) : Univerzita Mateja Bela v Banskej Bystrici, 2021. – ISBN 978-80-557-1823-1. – ISSN 2454-051X, s. 108-112 [online] </t>
  </si>
  <si>
    <t xml:space="preserve">Typológia chýb strojového prekladu z angličtiny do slovenčiny / Petráš, Patrik [Autor, UKFFFASJL, 100%] ; Kolokvium mladých jazykovedcov, 27 [21.11.2018-23.11.2018, Banská Bystrica  - Šachtičky, Slovensko]. – text. – [slovenčina]. – [OV 020]. – [abstrakt z podujatia - KP] In: Varia 27 [elektronický dokument] : zborník príspevkov z 27. kolokvia mladých jazykovedcov / Molnárová, Patrícia [Zostavovateľ, editor] ; Rožai, Gabriel [Zostavovateľ, editor] ; Krško, Jaromír [Recenzent] ; David, Jaroslav [Recenzent]. – 1. vyd. – Banská Bystrica (Slovensko) : Univerzita Mateja Bela v Banskej Bystrici. Vydavateľstvo Univerzity Mateja Bela v Banskej Bystrici - Belianum, 2019. – (Filozofická fakulta). – ISBN 978-80-557-1631-2, s. 136-145 [online] </t>
  </si>
  <si>
    <t xml:space="preserve">Typológia lexikálnych chýb strojového prekladu v publicistických textoch / Pavlová, Renáta [Autor, UKFFFAJZC, 100%] ; Cudzie jazyky v premenách času, 9 [09.11.2018, Bratislava, Slovensko]. – text. – [slovenčina]. – [OV 020]. – [abstrakt z podujatia - KP] In: Cudzie jazyky v premenách času 8 [elektronický dokument] : recenzovaný zborník príspevkov z medzinárodnej vedeckej konferencie, Bratislava 10. november 2017 / Kvapil, Roman [Zostavovateľ, editor] ; Šajgalíková, Helena [Recenzent] ; Spišiaková, Mária [Recenzent]. – 1. vyd. – Roč. 8. – Bratislava (Slovensko) : Ekonomická univerzita v Bratislave. Celouniverzitné pracovisko EUBA. Vydavateľstvo EKONÓM, 2018. – ISBN 978-80-225-4492-4, s. 166-180 [CD-ROM] </t>
  </si>
  <si>
    <t xml:space="preserve">Über die slowakische Übersetzung der bidlich-lexikalischen Einheiten in "Der kleine Faust" / Pavlová, Renáta [Autor, UKFFFAJZC, 100%] ; Synergien: 25 Jahre Germanistik und DAAD an der Philosoph Konstantin-Universität Nitra, 25 [27.04.2017-28.04.2017, Nitra, Slovensko]. – text. – [nemčina]. – [OV 020]. – [abstrakt z podujatia - KP]. – [recenzované] In: Synergien - 25 Jahre Germanistik und DAAD an der Philosoph Konstantin-Universität Nitra [textový dokument (print)] : Sammelband. Internationale wissenschaftliche Tagung / Krause, Daniel [Zostavovateľ, editor] ; Wrede, Oľga [Zostavovateľ, editor]. – 1. vyd. – Nitra (Slovensko) : Univerzita Konštantína Filozofa v Nitre, 2018. – ISBN 978-80-558-1305-9, s. 127-134 [tlačená forma] </t>
  </si>
  <si>
    <t xml:space="preserve">Überlegungen zur Phonetik in DaF-/DaZ-Lehrwerken / Chebenová, Viera [Autor, UKFFFAKGE, 100%] ; Müglová, Daniela [Recenzent] ; Borsuková, Hana [Recenzent] ; Synergien: 25 Jahre Germanistik und DAAD an der Philosoph Konstantin-Universität Nitra, 25 [27.04.2017-28.04.2017, Nitra, Slovensko]. – text. – [nemčina]. – [OV 020]. – [abstrakt z podujatia - KP] In: Synergien - 25 Jahre Germanistik und DAAD an der Philosoph Konstantin-Universität Nitra [textový dokument (print)] : Sammelband. Internationale wissenschaftliche Tagung / Krause, Daniel [Zostavovateľ, editor] ; Wrede, Oľga [Zostavovateľ, editor]. – 1. vyd. – Nitra (Slovensko) : Univerzita Konštantína Filozofa v Nitre, 2018. – ISBN 978-80-558-1305-9, s. 239-250 [tlačená forma] </t>
  </si>
  <si>
    <t xml:space="preserve">Učebný text ako prostriedok komunikácie a komunikačnej výchovy / Hlavatá, Renáta [Autor, UKFFFASJL, 100%] ; Komunikácia v odborných reflexiách, 10 [12.09.2018-13.09.2018, Banská Bystrica, Slovensko]. – text. – [slovenčina]. – [OV 020]. – [abstrakt z podujatia - KP] In: Komunikácia v odborných reflexiách [textový dokument (print)] : zborník príspevkov z 10. medzinárodnej vedeckej konferencie, Banská Bystrica, 12. - 13. 9. 2018 / Klincková, Janka [Zostavovateľ, editor] ; Michalewski, Kazimierz [Recenzent] ; Stolac, Diana [Recenzent] ; Patráš, Vladimír [Recenzent]. – 1 vyd. – Banská Bystrica (Slovensko) : Univerzita Mateja Bela v Banskej Bystrici. Vydavateľstvo Univerzity Mateja Bela v Banskej Bystrici - Belianum, 2019. – ISBN 978-80-557-1573-5, s. 588-598 [tlačená forma] </t>
  </si>
  <si>
    <t xml:space="preserve">Účinnosť tréningového zaťaženia na športovú výkonnosť chodca Mateja Tótha v RTC 2013/2014 až RTC 2015/2016 / Broďáni, Jaroslav [Autor, UKFPFAKTV, 80%] ; Tóth, Matej [Autor, 10%] ; Spišiak, Matej [Autor, UKFPFAKTV, 10%] ; Müller, Anetta [Recenzent] ; Biró, Melinda [Recenzent] ; Sport science in motion [17.05.2018-19.05.2018, Komárno, Slovensko]. – text. – [slovenčina]. – [OV 210]. – [abstrakt z podujatia - KP] In: Sport science in motion [elektronický dokument] : proceedings from the scientific conference, Komárno, May 17th – 19th, 2018 = recenzovaný zborník vedeckých a odborných prác z konferencie = válogatott tanulmánykötet – válogatott tanulmányok a tudományos konferenciáról / Šimonek, Jaromír [Zostavovateľ, editor] ; Dobay, Beáta [Zostavovateľ, editor]. – 1. vyd. – Komárno (Slovensko) : Univerzita J. Selyeho, 2018. – ISBN 978-80-8122-245-0, s. 173-184 [CD-ROM] </t>
  </si>
  <si>
    <t xml:space="preserve">Učiteľ ako aktér inovácií / Hašková, Alena [Autor, UKFPFAKTT, 100%] ; Inovatívne trendy v odborových didaktikách [21.11.2018, Nitra, Slovensko]. – text. – [slovenčina]. – [OV 010]. – [abstrakt z podujatia - KP] In: Inovatívne trendy v odborových didaktikách [textový dokument (print)] : prepojenie teórie a praxe výučbových stratégií kritického a tvorivého myslenia : zborník štúdií z medzinárodnej vedeckej konferencie, Nitra 21. november 2018 / Duchovičová, Jana [Zostavovateľ, editor] ; Hošová, Dominika [Zostavovateľ, editor] ; Koleňáková, Rebeka Štefánia [Zostavovateľ, editor] ; Bílek, Martin [Recenzent] ; Komora, Juraj [Recenzent]. – 1. vyd. – Nitra (Slovensko) : Univerzita Konštantína Filozofa v Nitre, 2019. – ISBN 978-80-558-1408-7, s. 20-24 [tlačená forma] </t>
  </si>
  <si>
    <t xml:space="preserve">Učiteľovo vnímanie svojej profesijnej zdatnosti / Feranská, Margita [Autor, UKFPFAKPE, 100%] ; Inovatívne trendy v odborových didaktikách [21.11.2018, Nitra, Slovensko]. – text. – [slovenčina]. – [OV 010]. – [abstrakt z podujatia - KP] In: Inovatívne trendy v odborových didaktikách [textový dokument (print)] : prepojenie teórie a praxe výučbových stratégií kritického a tvorivého myslenia : zborník štúdií z medzinárodnej vedeckej konferencie, Nitra 21. november 2018 / Duchovičová, Jana [Zostavovateľ, editor] ; Hošová, Dominika [Zostavovateľ, editor] ; Koleňáková, Rebeka Štefánia [Zostavovateľ, editor] ; Bílek, Martin [Recenzent] ; Komora, Juraj [Recenzent]. – 1. vyd. – Nitra (Slovensko) : Univerzita Konštantína Filozofa v Nitre, 2019. – ISBN 978-80-558-1408-7, s. 134-137 [tlačená forma] </t>
  </si>
  <si>
    <t xml:space="preserve">Ukážka medzinárodnej spolupráce zameranej na prepájanie teórie a praxe vo vyučovaní technických predmetov / Palaj, Miloš [Autor, UKFPFAKTT, 34%] ; Skačan, Miloslav [Autor, UKFPFAKTT, 33%] ; Turčan, Dušan [Autor, 33%] ; Inovatívne trendy v odborových didaktikách [21.11.2018, Nitra, Slovensko]. – text. – [slovenčina]. – [OV 010]. – [abstrakt z podujatia - KP] In: Inovatívne trendy v odborových didaktikách [textový dokument (print)] : prepojenie teórie a praxe výučbových stratégií kritického a tvorivého myslenia : zborník štúdií z medzinárodnej vedeckej konferencie, Nitra 21. november 2018 / Duchovičová, Jana [Zostavovateľ, editor] ; Hošová, Dominika [Zostavovateľ, editor] ; Koleňáková, Rebeka Štefánia [Zostavovateľ, editor] ; Bílek, Martin [Recenzent] ; Komora, Juraj [Recenzent]. – 1. vyd. – Nitra (Slovensko) : Univerzita Konštantína Filozofa v Nitre, 2019. – ISBN 978-80-558-1408-7, s. 321-325 [tlačená forma] </t>
  </si>
  <si>
    <t xml:space="preserve">Úloha sociálneho pedagóga a školského špeciálneho pedagóga pri riešení sociálno-patologických javov / Jedličková, Petra [Autor, UKFPFAKPE, 100%] ; SOCIALIA 2019, 23 [17.10.2019-18.10.2019, hotel Šachtička, Banská Bystrica, Slovensko]. – text. – [slovenčina]. – [OV 010, 060]. – [abstrakt z podujatia - KP] In: SOCIALIA 2019: "Quo vadis sociálna pedagogika v 21. storočí?" [textový dokument (print)] : zborník príspevkov z medzinárodnej vedeckej konferencie SOCIALIA 2019, ktorá sa konala v hoteli Šachtička pri Banskej Bystrici v dňoch 17. - 18. októbra 2019 Banská Bystrica 2019 / [bez zostavovateľa] [Zostavovateľ, editor] ; Határ, Ctibor [Recenzent] ; Radziewicz-Winnicki, Andrzej [Recenzent]. – 1. vyd. – Banská Bystrica (Slovensko) : Univerzita Mateja Bela v Banskej Bystrici. Vydavateľstvo Univerzity Mateja Bela v Banskej Bystrici - Belianum, 2019. – ISBN 978-80-557-1646-6, s. 197-203 [tlačená forma] </t>
  </si>
  <si>
    <t xml:space="preserve">Úloha učiteľa pri rozvíjaní kreativity a kritického myslenia v predmete Občianska náuka / Jonášková, Gabriela [Autor, UKFFFAKFI, 50%] ; Predanocyová, Ľubica [Autor, UKFFFAKFI, 50%] ; Inovatívne trendy v odborových didaktikách [21.11.2018, Nitra, Slovensko]. – text. – [slovenčina]. – [OV 010]. – [abstrakt z podujatia - KP] In: Inovatívne trendy v odborových didaktikách [textový dokument (print)] : prepojenie teórie a praxe výučbových stratégií kritického a tvorivého myslenia : zborník štúdií z medzinárodnej vedeckej konferencie, Nitra 21. november 2018 / Duchovičová, Jana [Zostavovateľ, editor] ; Hošová, Dominika [Zostavovateľ, editor] ; Koleňáková, Rebeka Štefánia [Zostavovateľ, editor] ; Bílek, Martin [Recenzent] ; Komora, Juraj [Recenzent]. – 1. vyd. – Nitra (Slovensko) : Univerzita Konštantína Filozofa v Nitre, 2019. – ISBN 978-80-558-1408-7, s. 345-349 [tlačená forma] </t>
  </si>
  <si>
    <t xml:space="preserve">Umenie pripútané k afirmácii existujúceho sveta / Brezňan, Peter [Autor, UKFFFAULK, 100%] ; Umenie, estetika, politika [24.10.2018-26.10.2018, Bratislava, Slovensko]. – text. – [slovenčina]. – [OV 020]. – [abstrakt z podujatia - KP] In: Umenie, estetika, politika [textový dokument (print)] : zborník príspevkov z medzinárodnej konferencie Umenie, estetika, politika 24. - 26. 10. 2018 konanej v Univerzitnej knižnici v Bratislave / Pašteková, Michaela [Zostavovateľ, editor] ; Brezňan, Peter [Zostavovateľ, editor] ; Ridzoňová-Ferenčuhová, Mária [Recenzent] ; Lipták, Michal [Recenzent]. – 1. vyd. – Roč. 2. – Bratislava (Slovensko) : Slovenská asociácia pre estetiku, 2019. – ISBN 978-80-972624-2-6, s. 51-60 [tlačená forma] </t>
  </si>
  <si>
    <t xml:space="preserve">Uncertainties in Flood Modeling / Vojtek, Matej [Autor, UKFFPVKGR, 100%] ; Geografické aspekty stredoeurópskeho priestoru, 26 [10.10.2018-11.10.2018, Nitra, Slovensko]. – text. – [angličtina]. – [OV 092]. – [článok z podujatia]. – [recenzované]. – WOS CC In: Geografické informácie [textový dokument (print)] [elektronický dokument] . – Nitra (Slovensko) : Univerzita Konštantína Filozofa v Nitre. – ISSN 1337-9453. – Roč. 22, č. 2 (2018), s. 352-364 [tlačená forma] [online] </t>
  </si>
  <si>
    <t xml:space="preserve">Understanding and Meeting the Educational Needs of Generation Z Students / Csalová, Oľga [Autor, UKFFFAJZC, 100%] ; Odborný cudzí jazyk: teória a prax [18.12.2020, Nitra, Slovensko]. – text. – [angličtina]. – [OV 020]. – [abstrakt z podujatia - KP] In: Odborný cudzí jazyk: teória a prax [textový dokument (print)] : zborník z medzinárodnej vedeckej konferencie / Zelenická, Elena [Zostavovateľ, editor] ; Timárová, Daniela [Recenzent] ; Kulíková, Terézia [Recenzent]. – 1. vyd. – Nitra (Slovensko) : Univerzita Konštantína Filozofa v Nitre. Filozofická fakulta, 2020. – ISBN 978-80-558-1608-1, s. 23-36 [tlačená forma] </t>
  </si>
  <si>
    <t xml:space="preserve">Univerzálnosť vs. relatívnosť jazykového obrazu sveta / Rendárová, Mária [Autor, UKFFFAKSJ, 100%] ; Kolokvium mladých jazykovedcov, 27 [21.11.2018-23.11.2018, Banská Bystrica  - Šachtičky, Slovensko]. – text. – [slovenčina]. – [OV 020]. – [abstrakt z podujatia - KP] In: Varia 27 [elektronický dokument] : zborník príspevkov z 27. kolokvia mladých jazykovedcov / Molnárová, Patrícia [Zostavovateľ, editor] ; Rožai, Gabriel [Zostavovateľ, editor] ; Krško, Jaromír [Recenzent] ; David, Jaroslav [Recenzent]. – 1. vyd. – Banská Bystrica (Slovensko) : Univerzita Mateja Bela v Banskej Bystrici. Vydavateľstvo Univerzity Mateja Bela v Banskej Bystrici - Belianum, 2019. – (Filozofická fakulta). – ISBN 978-80-557-1631-2, s. 156-161 [online] </t>
  </si>
  <si>
    <t xml:space="preserve">Uplatnenie senzorických vlastností študijných materiálov v technicky orientovaných predmetoch / Kohútek, Michal [Autor, UKFFPVKIN, 100%] ; Študentská vedecká konferencia 2019, 3 [09.04.2019, Banská Bystrica, Slovensko]. – text. – [slovenčina]. – [OV 160]. – [abstrakt z podujatia - KP] In: Študentská vedecká konferencia 2019 [elektronický dokument] : zborník recenzovaných príspevkov, Banská Bystrica 9. apríla 2019 / Francisti, Jan [Zostavovateľ, editor] ; Zverková, Katarína [Zostavovateľ, editor] ; Omelka, Radoslav [Zostavovateľ, editor]. – 1. vyd. – Nitra (Slovensko) : Univerzita Konštantína Filozofa v Nitre ; Banská Bystrica (Slovensko) : Univerzita Mateja Bela v Banskej Bystrici, 2019. – ISBN 978-80-558-1433-9, s. 445-451 [online] </t>
  </si>
  <si>
    <t xml:space="preserve">Uplatňovanie stratégií kritického a tvorivého myslenia vo vyučovaní študentmi na pedagogickej praxi / Tomšik, Robert [Autor, UKFPFAKPE, 34%] ; Duchovičová, Jana [Autor, UKFPFAKPE, 33%] ; Fenyvesiová, Lívia [Autor, UKFPFAKPE, 33%] ; Kmeťová, Jarmila [Recenzent] ; Bírová, Jana [Recenzent] ; Inovatívne trendy v odborových didaktikách v kontexte požiadaviek praxe [13.11.2017-14.11.2017, Nitra, Slovensko]. – text. – [slovenčina]. – [OV 010]. – [abstrakt z podujatia - KP] In: Inovatívne trendy v odborových didaktikách v kontexte požiadaviek praxe [elektronický dokument] : zborník štúdií z medzinárodnej vedeckej konferencie / Duchovičová, Jana [Zostavovateľ, editor] ; Gunišová, Denisa [Zostavovateľ, editor] ; Kozárová, Nina [Zostavovateľ, editor] ; Koleňáková, Rebeka Štefánia [Zostavovateľ, editor]. – 1. vyd. – Nitra (Slovensko) : Univerzita Konštantína Filozofa v Nitre. Pedagogická fakulta UKF, 2018. – ISBN 978-80-558-1277-9, s. 492-498 [online] </t>
  </si>
  <si>
    <t xml:space="preserve">Uplatňovanie stratégií kritického a tvorivého myslenia vo vyučovaní technicky orientovaných predmetov / Valentová, Monika [Autor, UKFPFAKTT, 34%] ; Brečka, Peter [Autor, UKFPFAKTT, 33%] ; Depešová, Jana [Autor, UKFPFAKTT, 33%] ; Kmeťová, Jarmila [Recenzent] ; Bírová, Jana [Recenzent] ; Inovatívne trendy v odborových didaktikách v kontexte požiadaviek praxe [13.11.2017-14.11.2017, Nitra, Slovensko]. – text. – [slovenčina]. – [OV 010]. – [abstrakt z podujatia - KP] In: Inovatívne trendy v odborových didaktikách v kontexte požiadaviek praxe [elektronický dokument] : zborník štúdií z medzinárodnej vedeckej konferencie / Duchovičová, Jana [Zostavovateľ, editor] ; Gunišová, Denisa [Zostavovateľ, editor] ; Kozárová, Nina [Zostavovateľ, editor] ; Koleňáková, Rebeka Štefánia [Zostavovateľ, editor]. – 1. vyd. – Nitra (Slovensko) : Univerzita Konštantína Filozofa v Nitre. Pedagogická fakulta UKF, 2018. – ISBN 978-80-558-1277-9, s. 395-398 [online] </t>
  </si>
  <si>
    <t xml:space="preserve">Urban Green Space Management As a Support for the Climatic Function of Vegetation in Urban Environment (Case Study – Nitra) / Veselovská, Katarína [Autor, UKFFPVKEE, 50%] ; Bugár, Gabriel [Autor, UKFFPVKEE, 50%] ; Geografické aspekty stredoeurópskeho priestoru, 26 [10.10.2018-11.10.2018, Nitra, Slovensko]. – text. – [angličtina]. – [OV 080]. – [článok z podujatia]. – [recenzované]. – DOI 10.17846/GI.2018.22.2.338-351. – WOS CC In: Geografické informácie [textový dokument (print)] [elektronický dokument] . – Nitra (Slovensko) : Univerzita Konštantína Filozofa v Nitre. – ISSN 1337-9453. – Roč. 22, č. 2 (2018), s. 327-337 [tlačená forma] [online] </t>
  </si>
  <si>
    <t xml:space="preserve">Úroveň geometrického myslenia budúcich učiteľov pre primárne vzdelávanie / Tokárová, Barbora [Autor, UKFFPVKCH, 100%] ; Študentská vedecká konferencia 2019, 3 [09.04.2019, Banská Bystrica, Slovensko]. – text. – [slovenčina]. – [OV 120]. – [abstrakt z podujatia - KP] In: Študentská vedecká konferencia 2019 [elektronický dokument] : zborník recenzovaných príspevkov, Banská Bystrica 9. apríla 2019 / Francisti, Jan [Zostavovateľ, editor] ; Zverková, Katarína [Zostavovateľ, editor] ; Omelka, Radoslav [Zostavovateľ, editor]. – 1. vyd. – Nitra (Slovensko) : Univerzita Konštantína Filozofa v Nitre ; Banská Bystrica (Slovensko) : Univerzita Mateja Bela v Banskej Bystrici, 2019. – ISBN 978-80-558-1433-9, s. 430-435 [online] </t>
  </si>
  <si>
    <t xml:space="preserve">Úroveň geometrického myslenia budúcich učiteľov pre primárne vzdelávanie / Bočková, Veronika [Autor, UKFFPVKMA, 100%] ; Študentská vedecká konferencia 2019, 3 [09.04.2019, Banská Bystrica, Slovensko]. – text. – [slovenčina]. – [OV 240]. – [abstrakt z podujatia - KP] In: Študentská vedecká konferencia 2019 [elektronický dokument] : zborník recenzovaných príspevkov, Banská Bystrica 9. apríla 2019 / Francisti, Jan [Zostavovateľ, editor] ; Zverková, Katarína [Zostavovateľ, editor] ; Omelka, Radoslav [Zostavovateľ, editor]. – 1. vyd. – Nitra (Slovensko) : Univerzita Konštantína Filozofa v Nitre ; Banská Bystrica (Slovensko) : Univerzita Mateja Bela v Banskej Bystrici, 2019. – ISBN 978-80-558-1433-9, s. 287-291 [online] </t>
  </si>
  <si>
    <t xml:space="preserve">Úroveň grafickej gramotnosti študentov na gymnáziách / Malá, Radka [Autor, UKFFPVKCH, 100%] ; Študentská vedecká konferencia 2019, 3 [09.04.2019, Banská Bystrica, Slovensko]. – text. – [slovenčina]. – [OV 010]. – [abstrakt z podujatia - KP] In: Študentská vedecká konferencia 2019 [elektronický dokument] : zborník recenzovaných príspevkov, Banská Bystrica 9. apríla 2019 / Francisti, Jan [Zostavovateľ, editor] ; Zverková, Katarína [Zostavovateľ, editor] ; Omelka, Radoslav [Zostavovateľ, editor]. – 1. vyd. – Nitra (Slovensko) : Univerzita Konštantína Filozofa v Nitre ; Banská Bystrica (Slovensko) : Univerzita Mateja Bela v Banskej Bystrici, 2019. – ISBN 978-80-558-1433-9, s. 339-344 [online] </t>
  </si>
  <si>
    <t xml:space="preserve">Úroveň porozumenia cudzojazyčných textov a kognitívny proces = The level of foreign language texts comprehension and the cognitive process / Szabó, Erzsébet [Autor, UKFFFAKGE, 50%] ; Sokol, Augustín [Autor, UKFFFAKRO, 50%] ; Cudzie jazyky v premenách času, 11 [06.11.2020, Bratislava, Slovensko]. – text. – [slovenčina]. – [OV 020]. – [abstrakt z podujatia - KP] In: Cudzie jazyky v premenách času 11 [elektronický dokument] : recenzovaný zborník príspevkov z medzinárodnej vedeckej konferencie / Kvapil, Roman [Zostavovateľ, editor]. – 1. vyd. – Roč. 11. – Bratislava (Slovensko) : Ekonomická univerzita v Bratislave. Celouniverzitné pracovisko EUBA. Vydavateľstvo EKONÓM, 2021. – ISBN 978-80-225-4823-6, s. 350-358 [CD-ROM] [online] </t>
  </si>
  <si>
    <t xml:space="preserve">Uršuľa Kanižayová šľachtičná zo 16. storočia / Molnárová, Mária [Autor, UKFFFAKHI, 100%] ; In Pluribus Unitas : Jednota v mnohosti, 9 [07.12.2020-08.12.2020, Prešov, Slovensko]. – text. – [slovenčina]. – [OV 030]. – [abstrakt z podujatia - KP] In: In Pluribus Unitas 9 [textový dokument (print)] : jednota v mnohosti = unity in diversity / Kardis, Mária [Zostavovateľ, editor] ; Tlučková, Dominika [Zostavovateľ, editor] ; Bak, Tadeusz [Recenzent] ; Borza, Peter [Recenzent]. – 1. vyd. – Prešov (Slovensko) : Prešovská univerzita v Prešove. Gréckokatolícka teologická fakulta, 2021. – ISBN 978-80-555-2702-4. – SIGN-PU GTF-21 50/21, s. 77-89 [tlačená forma] </t>
  </si>
  <si>
    <t xml:space="preserve">Usage of the Arduino and other embedded systems in secondary vocational education in Slovakia / Tuček, Daniel [Autor, UKFFPVKIN, 50%] ; Koprda, Štefan [Autor, UKFFPVKIN, 20%] ; Magdin, Martin [Autor, UKFFPVKIN, 10%] ; Balogh, Zoltán [Autor, UKFFPVKIN, 10%] ; Reichel, Jaroslav [Autor, UKFFPVKIN, 10%] ; ICETA 2020, 18 [12.11.2020-13.11.2020, Košice, Slovensko]. – text. – [angličtina]. – [OV 160]. – [abstrakt z podujatia - KP]. – DOI 10.1109/ICETA51985.2020.9379161. – SCO In: ICETA 2020 [elektronický dokument] : 18th IEEE International conference on emerging elearning technologies and applications : Information and communication technologies in learning : proceedings / Jakab, František [Zostavovateľ, editor]. – 1. vyd. – Denver (USA) : Institute of Electrical and Electronics Engineers, 2020. – ISBN 978-0-7381-2366-0, 712-717 [online] </t>
  </si>
  <si>
    <t xml:space="preserve">Using mobile technologies in foreign language learning / Poláková, Petra [Autor, UKFPFAKLI, 100%] ; Inovatívne trendy v odborových didaktikách [21.11.2018, Nitra, Slovensko]. – text. – [slovenčina]. – [OV 010]. – [abstrakt z podujatia - KP] In: Inovatívne trendy v odborových didaktikách [textový dokument (print)] : prepojenie teórie a praxe výučbových stratégií kritického a tvorivého myslenia : zborník štúdií z medzinárodnej vedeckej konferencie, Nitra 21. november 2018 / Duchovičová, Jana [Zostavovateľ, editor] ; Hošová, Dominika [Zostavovateľ, editor] ; Koleňáková, Rebeka Štefánia [Zostavovateľ, editor] ; Bílek, Martin [Recenzent] ; Komora, Juraj [Recenzent]. – 1. vyd. – Nitra (Slovensko) : Univerzita Konštantína Filozofa v Nitre, 2019. – ISBN 978-80-558-1408-7, s. 520-525 [tlačená forma] </t>
  </si>
  <si>
    <t xml:space="preserve">Using the Geographic Information System in the technological development and manufacture of insolators / Ševčík, Michal [Autor, UKFFPVKEE, 20%] ; Kozík, Tomáš [Autor, 16%] ; Minárik, Stanislav [Autor, MTF STU, 16%] ; Kuna, Peter [Autor, UKFPFAKTT, 16%] ; Arras, Peter [Autor, 16%] ; Kubliha, Marian [Autor, M1000, 16%] ; DIVAI 2020, 13 [21.09.2020-23.09.2020, Štúrovo, Slovensko]. – text. – [angličtina]. – [OV 160, 010, 110, 091]. – [abstrakt z podujatia - KP]. – [recenzované]. – STU Bratislava STU Bratislava_StuUsCat/0083807. – WOS CC In: DIVAI 2020 [textový dokument (print)] [elektronický dokument] : 13th International Scientific Conference on Distance Learning in Applied Informatics, Štúrovo September 21-23, 2020 / Turčáni, Milan [Zostavovateľ, editor] ; Balogh, Zoltán [Zostavovateľ, editor] ; Munk, Michal [Zostavovateľ, editor] ; Magdin, Martin [Zostavovateľ, editor] ; Benko, Ľubomír [Zostavovateľ, editor]. – 1. vyd. – Roč. 13. – Praha (Česko) : Wolters Kluwer. Wolters Kluwer ČR, 2020. – ISBN 978-80-7598-841-6. – ISSN 2464-7470. – ISSN (online) 2464-7489, s. 183-193 [tlačená forma] [online] </t>
  </si>
  <si>
    <t xml:space="preserve">Using the SDK Affdex for a Complex Recognition System Based on a Webcam / Magdin, Martin [Autor, UKFFPVKIN, 25%] ; Benko, Ľubomír [Autor, UKFFPVKIN, 25%] ; Kohútek, Michal [Autor, UKFFPVKIN, 25%] ; Koprda, Štefan [Autor, UKFFPVKIN, 25%] ; ICETA 2019, 17 [21.11.2019-22.11.2019, Starý Smokovec, Slovensko]. – text. – [angličtina]. – [OV 160]. – [abstrakt z podujatia - KP]. – DOI 10.1109/ICETA48886.2019.9040143. – SCO In: ICETA 2019 [elektronický dokument] [textový dokument (print)] : 17th IEEE International conference on emerging elearning technologies and applications : Information and communication technologies in learning : proceedings / Jakab, František [Zostavovateľ, editor]. – 1. vyd. – Denver (USA) : Institute of Electrical and Electronics Engineers, 2019. – ISBN 978-1-7281-4967-7. – ISBN (online) 978-1-7281-4966-0, s. 499-504 [tlačená forma] [USB kľúč] </t>
  </si>
  <si>
    <t xml:space="preserve">Úvod do problematiky kritickej sociálnej práce / Pikna, Jakub [Autor, UKFFSVKSP, 100%] ; Labor socialis - "Sociálna práca- profesia s perspektívou, profesia s poslaním" [20.09.2018, Nitra, Slovensko]. – [slovenčina]. – [OV 060]. – [abstrakt z podujatia - KP] In: Labor socialis - "Sociálna práca- profesia s perspektívou, profesia s poslaním" [elektronický dokument] : recenzovaný zborník príspevkov z vedeckej konferencie s medzinárodnou účasťou, ktorá sa uskutočnila na Univerzite Konštantína Filozofa v Nitre dňa 20. septembra 2018 / Gažiková, Elena [Zostavovateľ, editor] ; Horáková, Magdaléna [Zostavovateľ, editor] ; Gabura, Ján [Recenzent] ; Mojtová, Martina [Recenzent]. – 1. vyd. – Nitra (Slovensko) : Univerzita Konštantína Filozofa v Nitre, 2018. – ISBN 978-80-558-1367-7, s. 28-35 [CD-ROM] </t>
  </si>
  <si>
    <t xml:space="preserve">Validation of multimethod approach to diagnostic of interests / Sollár, Tomáš [Autor, UKFFSVUAP, 50%] ; Hudáková, Miriama [Autor, UKFFSVUAP, 50%] ; Psychológia práce a organizácie 2018, 17 [23.05.2018-24.05.2018, Košice, Slovensko]. – text. – [angličtina]. – [OV 060]. – [abstrakt z podujatia - KP]. – WOS CC In: Psychológia práce a organizácie 2018 - Minulosť, prítomnosť a výzvy do budúcnosti [elektronický dokument] / Kačmár, Pavol [Zostavovateľ, editor] ; Bavoľár, Jozef [Zostavovateľ, editor] ; Lovaš, Ladislav [Zostavovateľ, editor] ; Fedáková, Denisa [Recenzent] ; Gregar, Aleš [Recenzent]. – 1. vyd. – Košice (Slovensko) : Univerzita Pavla Jozefa Šafárika v Košiciach, 2019. – ISBN 978-80-8152-713-5. – sign UPJS FSEP 009970, 384-403 [online] </t>
  </si>
  <si>
    <t xml:space="preserve">Validizácia multimetódového prístupu k diagnostike záujmov / Sollár, Tomáš [Autor, UKFFSVUAP, 50%] ; Hudáková, Miriama [Autor, UKFFSVUAP, 50%] ; Psychológia práce a organizácie 2018, 17 [23.05.2018-24.05.2018, Košice, Slovensko]. – text. – [slovenčina]. – [OV 060]. – [abstrakt z podujatia - KP] In: Psychológia práce a organizácie 2018 - Minulosť, prítomnosť a výzvy do budúcnosti [elektronický dokument] / Kačmár, Pavol [Zostavovateľ, editor] ; Bavoľár, Jozef [Zostavovateľ, editor] ; Lovaš, Ladislav [Zostavovateľ, editor] ; Fedáková, Denisa [Recenzent] ; Gregar, Aleš [Recenzent]. – 1. vyd. – Košice (Slovensko) : Univerzita Pavla Jozefa Šafárika v Košiciach, 2019. – ISBN 978-80-8152-713-5. – sign UPJS FSEP 009970, s. 384-403 [online] </t>
  </si>
  <si>
    <t xml:space="preserve">Variabilita a interdisciplinárna interaktivita / Kratochvil, Martin [Autor, UKFPFAKVV, 100%] ; Kmeťová, Jarmila [Recenzent] ; Bírová, Jana [Recenzent] ; Inovatívne trendy v odborových didaktikách v kontexte požiadaviek praxe [13.11.2017-14.11.2017, Nitra, Slovensko]. – text. – [slovenčina]. – [OV 010]. – [abstrakt z podujatia - KP] In: Inovatívne trendy v odborových didaktikách v kontexte požiadaviek praxe [elektronický dokument] : zborník štúdií z medzinárodnej vedeckej konferencie / Duchovičová, Jana [Zostavovateľ, editor] ; Gunišová, Denisa [Zostavovateľ, editor] ; Kozárová, Nina [Zostavovateľ, editor] ; Koleňáková, Rebeka Štefánia [Zostavovateľ, editor]. – 1. vyd. – Nitra (Slovensko) : Univerzita Konštantína Filozofa v Nitre. Pedagogická fakulta UKF, 2018. – ISBN 978-80-558-1277-9, s. 568-574 [online] </t>
  </si>
  <si>
    <t xml:space="preserve">Vek ako faktor ovplyvňujúci pohybovú aktivitu a kvalitu života žiakov stredných škôl / Broďáni, Jaroslav [Autor, UKFPFAKTV, 25%] ; Kováčová, Natália [Autor, UKFPFAKTV, 25%] ; Mazúch, Dávid [Autor, 25%] ; Czaková, Monika [Autor, UKFPFAKTV, 25%] ; Sport science in motion [05.09.2019-07.09.2019, Komárno, Slovensko]. – text. – [slovenčina, angličtina]. – [OV 210]. – [abstrakt z podujatia - KP] In: Sport science in motion [elektronický dokument] : proceedings from the scientific conference, Komárno, September 5th – 7th, 2019 = zborník vedeckých a odborných prác z vedeckej konferencie = válogatott tanulmánykötet – válogatott tanulmányok a tudományos konferenciáról / Šimonek, Jaromír [Zostavovateľ, editor] ; Dobay, Beáta [Zostavovateľ, editor] ; Chovanová, Erika [Recenzent] ; Vojtaško, Ľuboš [Recenzent] ; Holienka, Miroslav [Recenzent]. – 1. vyd. – Komárno (Slovensko) : Univerzita J. Selyeho, 2019. – ISBN 978-80-8122-304-4, s. 130-140 [CD-ROM] </t>
  </si>
  <si>
    <t xml:space="preserve">Verifikácia výskytu inváznych druhov rastlín a živočíchov v okolí CHVÚ Sĺňava = Verification of the occurrence of Invaders plant and animal species around the PBA Sĺňava / Dubovská, Barbora [Autor, UKFFPVKEE, 100%] ; Študentská vedecká konferencia 2021 [14.04.2021, Nitra, Banská Bystrica, Slovensko]. – text. – [slovenčina]. – [OV 100]. – [abstrakt z podujatia - KP] In: Študentská vedecká konferencia 2021 Fakulty prírodných vied Univerzity Konštantína Filozofa v Nitre a Fakulty prírodných vied Univerzity Mateja Bela v Banskej Bystrici [textový dokument (print)] : zborník recenzovaných príspevkov / Francisti, Jan [Zostavovateľ, editor] ; Fodor, Kristián [Zostavovateľ, editor]. – 1. vyd. – Nitra (Slovensko) : Univerzita Konštantína Filozofa v Nitre ; Banská Bystrica (Slovensko) : Univerzita Mateja Bela v Banskej Bystrici, 2021. – (Prírodovedec ; 756). – ISBN 978-80-558-1712-5, s. 16-20 [tlačená forma] </t>
  </si>
  <si>
    <t xml:space="preserve">Veritas semper maior. K chápaniu pravdy u Richarda Schaefflera = Veritas Semper Maior. On the Richard Schaeffler's Conception of Truth / Vašek, Martin [Autor, UKFFFAKFI, 100%] ; Javorská, Andrea [Recenzent] ; Jesenková, Adriana [Recenzent] ; Pravda. Teoretické a praktické kontexty [18.10.2017-20.10.2017, Smolenice, Slovensko]. – text. – [slovenčina]. – [OV 020]. – [abstrakt z podujatia - KP] In: Pravda. Teoretické a praktické kontexty [textový dokument (print)] : zborník vedeckých príspevkov / Gáliková Tolnaiová, Sabína [Zostavovateľ, editor] ; Marchevský, Ondrej [Zostavovateľ, editor] ; Špirko, Dušan [Zostavovateľ, editor]. – 1. vyd. – Bratislava (Slovensko) : Slovenská akadémia vied. Pracoviská SAV. Slovenské filozofické združenie ; Prešov (Slovensko) : Prešovská univerzita v Prešove. Filozofická fakulta, 2018. – ISBN 978-80-973092-0-6. – SIGN-PU FF 93/18, s. 107-111 [tlačená forma] </t>
  </si>
  <si>
    <t xml:space="preserve">Veža verzus chalúpka. Sonda do estetiky socialistického bývania a tradičnej ľudovej architektúry / Baďová, Petra [Autor, UKFFFAULK, 100%] ; Umenie, estetika, politika [24.10.2018-26.10.2018, Bratislava, Slovensko]. – [slovenčina]. – [OV 020]. – [abstrakt z podujatia - KP] In: Umenie, estetika, politika [textový dokument (print)] : zborník príspevkov z medzinárodnej konferencie Umenie, estetika, politika 24. - 26. 10. 2018 konanej v Univerzitnej knižnici v Bratislave / Pašteková, Michaela [Zostavovateľ, editor] ; Brezňan, Peter [Zostavovateľ, editor] ; Ridzoňová-Ferenčuhová, Mária [Recenzent] ; Lipták, Michal [Recenzent]. – 1. vyd. – Roč. 2. – Bratislava (Slovensko) : Slovenská asociácia pre estetiku, 2019. – ISBN 978-80-972624-2-6, s. 248-257 [tlačená forma] </t>
  </si>
  <si>
    <t xml:space="preserve">Vliv covidu-19 na rituály v reklamě a marketingové strategie aneb jak koronavirus mění rituály v reklamě a marketingové strategie = The influence of covid-19 on rituals and marketing strategies - how has corona virus impacted advertising rituals and marketing strategies / Androsch, Nela Helena [Autor, UKFFFAKMR, 50%] ; Masařová, Klára [Autor, UKFFFAKMR, 50%] ; Quo vadis 2021 : Masmédia a marketing 20. rokov 21. storočia - nová éra, nové výzvy [08.04.2021, Trnava, Slovensko]. – [čeština]. – [OV 020]. – [abstrakt z podujatia - KP] In: Quo vadis marketing [elektronický dokument] : zborník z vedeckej konferencie doktorandov a mladých vedeckých pracovníkov Quo vadis massmedia &amp; marketing organizovanou Fakultou masmediálnej komunikácie UCM v Trnave / Jurišová, Vladimíra [Zostavovateľ, editor] ; Franić, Dáša [Zostavovateľ, editor] ; Urmínová, Marianna [Zostavovateľ, editor] ; Madleňák, Adam [Recenzent] ; Martovič, Matej [Recenzent]. – 1. vyd. – Trnava (Slovensko) : Univerzita sv. Cyrila a Metoda v Trnave. Fakulta masmediálnej komunikácie, 2021. – ISBN (online) 978-80-572-0196-0, s. 9-20 [online] </t>
  </si>
  <si>
    <t xml:space="preserve">Vnímanie prejavov šikanujúceho správania a vlastnej kompetencie zasiahnuť v školskom veku / Čerešníková, Miroslava [Autor, UKFFSVURS, 70%] ; Čerešník, Michal [Autor, UKFPFAKAP, 15%] ; Rosinský, Rastislav [Autor, UKFFSVURS, 15%] ; Psychológia inkluzívnej školy [22.10.2019, Bratislava, Slovensko]. – text. – [slovenčina]. – [OV 010, 060]. – [abstrakt z podujatia - KP] In: Psychológia inkluzívnej školy [textový dokument (print)] : zborník z medzinárodnej vedeckej konferencie, konanej v Bratislave 22. októbra 2019 / Gajdošová, Eva [Zostavovateľ, editor] ; Kaliská, Lada [Recenzent] ; Poliaková, Eva [Recenzent]. – 1. vyd. – Žilina (Slovensko) : IPV Inštitút priemyselnej výchovy, 2019. – ISBN 978-80-89902-13-2. – PEVŠ 2019FAI0006, s. 113-120 [tlačená forma] </t>
  </si>
  <si>
    <t xml:space="preserve">Vnímanie prekladateľských kompetencií podľa EMT študentmi translatológie / Boltižiar, Jana [Autor, UKFFFAKTR, 100%] ; Forlang, 10 [23.06.2021-24.06.2021, Košice, Slovensko]. – text. – [slovenčina]. – [OV 020]. – [abstrakt z podujatia - KP] In: Forlang [elektronický dokument] : periodický zborník vedeckých príspevkov a odborných článkov z medzinárodnej vedeckej konferencie konanej 23. - 24. júna 2021 : cudzie jazyky v akademickom prostredí = foreign Languages in the Academic Environment = Fremdsprachen im akademischen Bereich = inostrannye jazyki v akademičeskoj srede / Kaščáková, Eva [Zostavovateľ, editor] ; Alieva, Lenka [Recenzent] ; Czéreová, Beáta [Recenzent] ; Hájik, Tomáš [Recenzent] ; Klink, Sandra [Recenzent] ; Kulíková, Terézia [Recenzent] ; Mazurová, Helena [Recenzent] ; Mihalčinová, Zuzana [Recenzent] ; Mihaľová, Alena [Recenzent] ; Pechová, Soňa [Recenzent] ; Sorger, Roman [Recenzent] ; Szabová, Katarína [Recenzent] ; Timárová, Daniela [Recenzent] ; Vráželová, Viktória [Recenzent]. – 1. vyd. – Roč. 8, č. 1. – Košice (Slovensko) : Technická univerzita v Košiciach, 2021. – ISBN (online) 978-80-553-3948-1. – ISSN 1338-5496. – SIGN-TUKE 233160, s. 43-52 [CD-ROM] </t>
  </si>
  <si>
    <t xml:space="preserve">Vnimanie problematiky migrácie v sekcii komentárov na sociálnej sieti Facebook / Válek, Ján [Autor, UKFFFAKMK, 50%] ; Kurpaš, Michal [Autor, UKFFFAKMK, 50%] ; Súčasné migrácie a ich reflexia v spoločenskom vedomí [22.09.2021-23.09.2021, Nitra, Slovensko]. – text. – [slovenčina]. – [OV 060]. – [abstrakt z podujatia - KP] In: Súčasné migrácie a ich reflexia v spoločenskom vedomí [textový dokument (print)] : zborník príspevkov z medzinárodnej vedeckej (online) konferencie v Nitre 22. - 23. septembra 2021 / Letavajová, Silvia [Zostavovateľ, editor] ; Čukan, Jaroslav [Recenzent] ; Lenč, Jozef [Recenzent] ; Hlinčíková, Miroslava [Recenzent]. – 1. vyd. – Nitra (Slovensko) : Univerzita Konštantína Filozofa v Nitre, 2021. – ISBN 978-80-558-1800-9, s. 113-126 [tlačená forma] </t>
  </si>
  <si>
    <t xml:space="preserve">Vnímanie vlastnej profesijnej zdatnosti na konci profesie učiteľa / Feranská, Margita [Autor, UKFPFAKPE, 100%] ; Emmerová, Ingrid [Recenzent] ; Kosová, Beata [Recenzent] ; Perspektívy rozvoja pedagogiky a andragogiky v Slovenskej republike a v krajinách strednej Európy [29.11.2018, Bratislava, Slovensko]. – text. – [slovenčina]. – [OV 010]. – [abstrakt z podujatia - KP] In: Perspektívy rozvoja pedagogiky a andragogiky v Slovenskej republike a v krajinách strednej Európy [elektronický dokument] / Bakošová, Zlatica [Zostavovateľ, editor] ; Ťupeková Dončevová, Silvia [Zostavovateľ, editor]. – 1. vyd. – Bratislava (Slovensko) : Univerzita Komenského v Bratislave, 2018. – ISBN 978-80-223-4706-8. – SIGN-UKO FI 16/18 PA, s. 250-262 [CD-ROM] </t>
  </si>
  <si>
    <t xml:space="preserve">Vplyv adjuvantnej artritídy na mikroskopickú stavbu stehnovej kosti potkanov / Blahová, Jana [Autor, 34%] ; Kováčová, Veronika [Autor, UKFFPVKZA, 33%] ; Švík, Karol [Autor, 33%] ; Študentská vedecká konferencia 2018 [21.03.2018, Nitra, Slovensko]. – text. – [slovenčina]. – [OV 130]. – [abstrakt z podujatia - KP] In: Študentská vedecká konferencia 2018 [textový dokument (print)] : zborník recenzovaných príspevkov z konferencie v Nitre 21. 03.2018 / Siládi, Vladimir [Zostavovateľ, editor] ; Račáková, Slavka [Zostavovateľ, editor] ; Voštinár, Patrik [Recenzent] ; Trajteľ, Ľudovít [Recenzent] ; Suchý, Jozef [Recenzent] ; Vagač, Michal [Recenzent] ; Melicherčík, Miroslav [Recenzent]. – 1. vyd. – 2018 (Slovensko) : Univerzita Konštantína Filozofa v Nitre, 2018. – ISBN 978-80-557-1415-8, s. 17-21 [tlačená forma] </t>
  </si>
  <si>
    <t xml:space="preserve">Vplyv cvičení s overballmi na zmeny postúry u hádzanárok / Kanásová, Janka [Autor, UKFPFAKTV, 50%] ; Veis, Alexandra [Autor, UKFPFAKTV, 50%] ; Sport science in motion [17.05.2018-19.05.2018, Komárno, Slovensko]. – text. – [slovenčina]. – [OV 210]. – [abstrakt z podujatia - KP] In: Sport science in motion [elektronický dokument] : proceedings from the scientific conference, Komárno, May 17th – 19th, 2018 = recenzovaný zborník vedeckých a odborných prác z konferencie = válogatott tanulmánykötet – válogatott tanulmányok a tudományos konferenciáról / Šimonek, Jaromír [Zostavovateľ, editor] ; Dobay, Beáta [Zostavovateľ, editor] ; Müller, Anetta [Recenzent] ; Biró, Melinda [Recenzent] ; Pfau, Christa Sára [Recenzent] ; Medeková, Helena [Recenzent]. – 1. vyd. – Komárno (Slovensko) : Univerzita J. Selyeho, 2018. – ISBN 978-80-8122-245-0, s. 132-138 [CD-ROM] </t>
  </si>
  <si>
    <t xml:space="preserve">Vplyv distribúcie živného roztoku na vývin kukurice siatej pestovanej v aeroponických podmienkach / Rozsival, Marcel [Autor, UKFFPVKBG, 100%] ; Študentská vedecká konferencia 2019, 3 [09.04.2019, Banská Bystrica, Slovensko]. – text. – [slovenčina]. – [OV 130]. – [abstrakt z podujatia - KP] In: Študentská vedecká konferencia 2019 [elektronický dokument] : zborník recenzovaných príspevkov, Banská Bystrica 9. apríla 2019 / Francisti, Jan [Zostavovateľ, editor] ; Zverková, Katarína [Zostavovateľ, editor] ; Omelka, Radoslav [Zostavovateľ, editor]. – 1. vyd. – Nitra (Slovensko) : Univerzita Konštantína Filozofa v Nitre ; Banská Bystrica (Slovensko) : Univerzita Mateja Bela v Banskej Bystrici, 2019. – ISBN 978-80-558-1433-9, s. 28-34 [online] </t>
  </si>
  <si>
    <t xml:space="preserve">Vplyv politickej a sociálnej reality na realitu mediálnu / Račeková, Ľubica [Autor, UKFFFAKZU, 100%] ; Quo vadis massmedia &amp; marketing [02.04.2020, Trnava, Slovensko]. – text. – [slovenčina]. – [OV 060]. – [abstrakt z podujatia - KP] In: Quo vadis massmedia [elektronický dokument] : zborník z vedeckej konferencie doktorandov a mladých vedeckých pracovníkov Quo vadis massmedia, quo vadis marketing organizovanej Fakultou masmediálnej komunikácie UCM v Trnave / Hudíková, Zora [Zostavovateľ, editor] ; Škripcová, Lucia [Zostavovateľ, editor] ; Kaňuková, Nikola [Zostavovateľ, editor] ; Kvetanová, Zuzana [Recenzent] ; Mago, Zdenko [Recenzent]. – 1. vyd. – Trnava (Slovensko) : Univerzita sv. Cyrila a Metoda v Trnave. Fakulta masmediálnej komunikácie, 2020. – ISBN (online) 978-80-572-0053-6, s. 230-237 [online] </t>
  </si>
  <si>
    <t xml:space="preserve">Vplyv reformácie na zmeny v cechových združeniach remeselníkov a obchodníkov v slobodných královských mestách a zemepanských mesteckách na území dnešného Slovenska v 16. až v prvej polovici 18. storočia / Tandlich, Tomáš [Autor, UKFFFAKHI, 100%] ; Duchoňová, Diana [Recenzent] ; Kamenický, Miroslav [Recenzent] ; Reformácia a jej dôsledky na Slovensku [02.05.2017-04.05.2017, Trnava, Slovensko]. – text. – [slovenčina]. – [OV 030]. – [abstrakt z podujatia - KP] In: Reformácia a jej dôsledky na Slovensku [textový dokument (print)] / Frimmová, Eva [Zostavovateľ, editor] ; Kohútová, Mária [Zostavovateľ, editor]. – 1. vyd. – Krakov (Poľsko) : Towarzystwo Slowaków w Polsce ; Trnava (Slovensko) : Trnavská univerzita v Trnave. Filozofická fakulta, 2018. – ISBN 978-83-8111-083-9. – TUT ID E073856, s. 239-260 [tlačená forma] </t>
  </si>
  <si>
    <t xml:space="preserve">Vplyv rôznych koncentrácií kadmia na aktivitu chitináz vo vybraných odrodách sóje / Lukáčová, Michaela [Autor, 40%] ; Mészáros, Patrik [Autor, UKFFPVKBG, 60%] ; Novák, Ján [Recenzent] ; Šerá, Božena [Recenzent] ; Vliv abiotických a biotických stresorů na vlastnosti rostlin 2018 [05.09.2018-06.09.2018, Zvolen, Slovensko]. – text. – [slovenčina]. – [OV 130]. – [abstrakt z podujatia - KP] In: Vliv abiotických a biotických stresorů na vlastnosti rostlin 2018 [textový dokument (print)] : Sborník recenzovaných vědeckých prací / Hnilička, František [Zostavovateľ, editor]. – 1. vyd. – Praha (Česko) : Česká zemědelská univerzita v Praze ; Bratislava (Slovensko) : Slovenská akadémia vied. Pracoviská SAV. Ústav ekológie lesa, 2018. – ISBN 978-80-213-2863-1. – ISBN 978-80-89408-31-3, s. 96-99 [tlačená forma] </t>
  </si>
  <si>
    <t xml:space="preserve">Vplyv selénu na viabilitu osteoblastov in vitro = Effect of Selenium on the Viability of Osteoblasts in vitro / Sotoňáková, Miroslava [Autor, 33.334%] ; Mondočková, Vladimíra [Autor, UKFFPVKBG, 33.333%] ; Blahová, Jana [Autor, UKFFPVKBG, 33.333%] ; Študentská vedecká konferencia 2020, 6 [07.04.2020, Nitra, Slovensko]. – text. – [slovenčina]. – [OV 130]. – [abstrakt z podujatia - KP] In: Študentská vedecká konferencia 2020 [elektronický dokument] : zborník recenzovaných príspevkov [zo zrušenej študentskej vedeckej konferencie s plánovaným termínom konania 7.4.2020 v Nitre] / Spišiak, Ján [Zostavovateľ, editor] ; Račáková, Slavka [Zostavovateľ, editor] ; Voštinár, Patrik [Recenzent] ; Melicherčík, Miroslav [Recenzent]. – 1. vyd. – Banská Bystrica (Slovensko) : Univerzita Mateja Bela v Banskej Bystrici ; Nitra (Slovensko) : Univerzita Konštantína Filozofa v Nitre, 2020. – ISBN 978-80-557-1733-3, s. 39-45 [online] </t>
  </si>
  <si>
    <t xml:space="preserve">Vplyv vojenskej činnosti vo Vojenskom obvode Záhorie na diverzitu vážok = The impact of military activity in the Záhorie Military District on the diversity of dragonflies / Šiblová, Zuzana [Autor, UKFFPVKEE, 100%] ; Študentská vedecká konferencia 2020, 6 [07.04.2020, Nitra, Slovensko]. – text. – [slovenčina]. – [OV 130, 100]. – [abstrakt z podujatia - KP] In: Študentská vedecká konferencia 2020 [elektronický dokument] : zborník recenzovaných príspevkov [zo zrušenej študentskej vedeckej konferencie s plánovaným termínom konania 7.4.2020 v Nitre] / Spišiak, Ján [Zostavovateľ, editor] ; Račáková, Slavka [Zostavovateľ, editor] ; Voštinár, Patrik [Recenzent] ; Melicherčík, Miroslav [Recenzent]. – 1. vyd. – Banská Bystrica (Slovensko) : Univerzita Mateja Bela v Banskej Bystrici ; Nitra (Slovensko) : Univerzita Konštantína Filozofa v Nitre, 2020. – ISBN 978-80-557-1733-3, s. 71-76 [online] </t>
  </si>
  <si>
    <t xml:space="preserve">Vybrané možnosti rozvíjania sociálnych spôsobilostí dospelých a seniorov so zdravotným postihnutím / Rapsová, Lucia [Autor, UKFPFAKPE, 50%] ; Müller De Morais, Marianna [Autor, UKFPFAKPE, 50%] ; Kuril, Jozef [Recenzent] ; Krystoň, Miroslav [Recenzent] ; Vzdelávanie dospelých v regionálnom kontexte [15.11.2017, Bratislava, Slovensko]. – [slovenčina]. – [OV 010]. – [abstrakt z podujatia - KP] In: Vzdelávanie dospelých v regionálnom kontexte [textový dokument (print)] : zborník vedeckých štúdií z konferencie, konanej v Bratislave dňa 15.11.2017 / Prusáková, Viera [Zostavovateľ, editor] ; Matúšová, Silvia [Zostavovateľ, editor]. – 1. vyd. – Bratislava (Slovensko) : Vysoká škola ekonómie a manažmentu verejnej správy v Bratislave, 2018. – ISBN 978-80-89654-40-6, s. 221-225 [tlačená forma] </t>
  </si>
  <si>
    <t xml:space="preserve">Vybrané sociálne a behaviorálne špecifiká homosexuálne orientovaných dospievajúcich a dospelých mužov / Lenghart, Daniel [Autor, 50%] ; Verešová, Marcela [Autor, UKFPFAKAP, 50%] ; Študentská vedecká a odborná činnosť Katedry pedagogickej a školskej psychológie [13.05.2019, Nitra, Slovensko]. – text. – [slovenčina]. – [OV 060]. – [abstrakt z podujatia - KP] In: ŠVOČ KPŠP 2019 [Študentská vedecká a odborná činnosť Katedry pedagogickej a školskej psychológie] [elektronický dokument] : zborník príspevkov z 2. ročníka študentskej vedeckej a odbornej činnosti, konanej v Nitre 13.5.2019 / Verešová, Marcela [Zostavovateľ, editor] ; Gatial, Viktor [Zostavovateľ, editor] ; Tomšik, Robert [Zostavovateľ, editor] ; Pavelová, Ľuba [Recenzent] ; Juhásová, Andrea [Recenzent]. – 1. vyd. – Nitra (Slovensko) : Univerzita Konštantína Filozofa v Nitre, 2019. – ISBN 978-80-558-1444-5, s. 77-86 [CD-ROM] </t>
  </si>
  <si>
    <t xml:space="preserve">Vybrané stratégie kooperácie učiteľov s rodičmi žiakov 1. ročníka v období adaptácie / Teleková, Radka [Autor, UKFPFAKPE, 100%] ; EDUCA 16, 16 [29.04.2021, Nitra, Slovensko]. – text. – [slovenčina]. – [OV 010]. – [abstrakt z podujatia - KP] In: EDUCA 16 [textový dokument (print)] : edukácia - kľúč k úspechu. Zborník príspevkov z 16. vedeckej  konferencie doktorandov s medzinárodnou účasťou, Nitra 29. apríl 2021 / Teleková, Radka [Zostavovateľ, editor] ; Koricina, Michal [Zostavovateľ, editor] ; Petlák, Erich [Recenzent] ; Krystoň, Miroslav [Recenzent]. – 1. vyd. – Nitra (Slovensko) : Univerzita Konštantína Filozofa v Nitre, 2021. – ISBN 978-80-558-1811-5, s. 77-85 [tlačená forma] </t>
  </si>
  <si>
    <t xml:space="preserve">Vyhlásenie autonómie v októbri 1938 a prejavy protičeských a antisemitských nálad v regiónoch na príklade mesta Nitra a okolia / Palárik, Miroslav [Autor, UKFFFAKHI, 50%] ; Mikulášová, Alena [Autor, UKFFFAKHI, 50%] ; Slovensko : Politika - Armáda - Spoločnosť [03.10.2018-04.10.2018, Banská Bystrica, Slovensko]. – text. – [slovenčina]. – [OV 030]. – [abstrakt z podujatia - KP] In: Slovensko 1938 [textový dokument (print)] : Československo v zovretí mocností / Uhrin, Marian [Zostavovateľ, editor] ; Syrný, Marek [Recenzent] ; Hruboň, Anton [Recenzent]. – 1. vyd. – Banská Bystrica (Slovensko) : Múzeum Slovenského národného povstania, 2019. – ISBN 978-80-89514-71-7, s. 125-140 [tlačená forma] </t>
  </si>
  <si>
    <t xml:space="preserve">Vyhodnotenie konzumácie ovocia v okruhu učiteľov na Slovensku / Juríková, Tünde [Autor, UKFFSSUVP, 35%] ; Viczayová, Ildikó [Autor, UKFFSSUVP, 35%] ; Fatrcová Šramková, Katarína [Autor, SPUFAP16, 20%] ; Schwarzová, Marianna [Autor, SPUFAP16, 10%] ; Záhradníctvo 2019 [30.05.2019, Nitra, Slovensko]. – text. – [slovenčina]. – [OV 190, 180, 010]. – [abstrakt z podujatia - KP] In: Záhradníctvo 2019 [elektronický dokument] : zborník vedeckých prác z workshopu na CD nosiči / Jedlička, Jaroslav [Zostavovateľ, editor] ; Konc, Ľubomír [Zostavovateľ, editor] ; Valšíková-Frey, Magdaléna [Recenzent] ; Huszár, Jozef [Recenzent]. – 1. vyd. – Nitra (Slovensko) : Slovenská poľnohospodárska univerzita v Nitre, 2019. – ISBN 978-80-552-2010-9, s. 185-189 [CD-ROM] </t>
  </si>
  <si>
    <t xml:space="preserve">Vyhodnotenie konzumácie zeleniny v okruhu učiteľov na Slovensku / Juríková, Tünde [Autor, UKFFSSUVP, 35%] ; Viczayová, Ildikó [Autor, UKFFSSUVP, 35%] ; Fatrcová Šramková, Katarína [Autor, SPUFAP16, 20%] ; Schwarzová, Marianna [Autor, SPUFAP16, 10%] ; Záhradníctvo 2019 [30.05.2019, Nitra, Slovensko]. – [slovenčina]. – [OV 190, 180, 010]. – [abstrakt z podujatia - KP] In: Záhradníctvo 2019 [elektronický dokument] : zborník vedeckých prác z workshopu na CD nosiči / Jedlička, Jaroslav [Zostavovateľ, editor] ; Konc, Ľubomír [Zostavovateľ, editor] ; Valšíková-Frey, Magdaléna [Recenzent] ; Huszár, Jozef [Recenzent]. – 1. vyd. – Nitra (Slovensko) : Slovenská poľnohospodárska univerzita v Nitre, 2019. – ISBN 978-80-552-2010-9, s. 190-195 [CD-ROM] </t>
  </si>
  <si>
    <t xml:space="preserve">Vyhodnotenie sledovaných obsahov ťažkých kovov v rieke Nitra za obdobie 10 rokov na jej modelovom profile / Vrábelová, Iveta [Autor, 25%] ; Píš, Andrej [Autor, SPUFAP11, 25%] ; Šlágorová, Kristína [Autor, 25%] ; Straňák, Jozef [Autor, UKFFPVKEE, 25%] ; Študentská vedecká konferencia 2019, 3 [09.04.2019, Banská Bystrica, Slovensko]. – text. – [slovenčina]. – [OV 100, 190]. – [abstrakt z podujatia - KP] In: Študentská vedecká konferencia 2019 [elektronický dokument] : zborník recenzovaných príspevkov, Banská Bystrica 9. apríla 2019 / Francisti, Jan [Zostavovateľ, editor] ; Zverková, Katarína [Zostavovateľ, editor] ; Omelka, Radoslav [Zostavovateľ, editor]. – 1. vyd. – Nitra (Slovensko) : Univerzita Konštantína Filozofa v Nitre ; Banská Bystrica (Slovensko) : Univerzita Mateja Bela v Banskej Bystrici, 2019. – ISBN 978-80-558-1433-9, s. 69-75 [online] </t>
  </si>
  <si>
    <t xml:space="preserve">Výhovorky prečo neuplatňovať nezávislú zahraničnú politiku Slovenska = Excuses for not Applying Slovak Independent Foreign Policy / Brhlíková, Radoslava [Autor, UKFFFAKPO, 100%] ; Aktuálne modely výhovoriek z osobnej zodpovednosti: Slovensko a Európa [15.10.2020, Trnava, Slovensko]. – text. – [slovenčina]. – [OV 060]. – [abstrakt z podujatia - KP] In: Acta Moralia Tyrnaviensia X. [textový dokument (print)] : osobná zodpovednosť dnes - výzva či výhovorka? : zborník z medzinárodnej interdisciplinárnej konferencie s názvom Aktuálne modely výhovoriek z osobnej zodpovednosti: Slovensko a Európa, (15. október 2020 : online) / Vadíková, Katarína Mária [Zostavovateľ, editor] ; Feber, Jaromír [Recenzent] ; Dufferová, Alžbeta [Recenzent]. – 1. vyd. – Trnava (Slovensko) : Trnavská univerzita v Trnave, 2020. – ISBN 978-80-568-0287-8. – TUT ID E082972, s. 183-207 [tlačená forma] </t>
  </si>
  <si>
    <t xml:space="preserve">Výpal keramiky skúmaný cez mechanické kmity / Štubňa, Igor [Autor, UKFFPVKFY, 33.334%] ; Húlan, Tomáš [Autor, UKFFPVKFY, 33.333%] ; Trník, Anton [Autor, UKFFPVKFY, 33.333%] ; Hluk a kmitanie v praxi, 24 [03.06.2019-04.06.2019, Kočovce, Slovensko]. – text. – [slovenčina]. – [OV 091]. – [abstrakt z podujatia - KP] In: Noise and vibration in practice [textový dokument (print)] : peer-reviewed scientific proceedings / Žiaran, Stanislav [Zostavovateľ, editor] ; Chlebo, Ondrej [Zostavovateľ, editor] ; Balážiková, Michaela [Recenzent] ; Beneš, Petr [Recenzent]. – 1. vyd. – Roč. 24. – Bratislava (Slovensko) : Spektrum STU , 2019. – ISBN 978-80-227-4917-6, s. 55-66 [tlačená forma] </t>
  </si>
  <si>
    <t xml:space="preserve">Výskum a obnova Pustého hradu vo Zvolene = Research and renovation of the Pustý hrad (Deserted castle) in Zvolen / Beljak, Ján [Autor, 50%] ; Beljak Pažinová, Noémi [Autor, UKFFFAKAR, 50%] ; Ruttkay, Alexander [Recenzent] ; Repka, Dominik [Recenzent] ; Stredné Slovensko v stredoveku [14.09.2018, Zvolen, Slovensko]. – text. – [slovenčina]. – [OV 030]. – [abstrakt z podujatia - KP] In: Stredné Slovensko v stredoveku [textový dokument (print)] : vývoj osídlenia regiónu pred udelením mestských privilégií mestu Zvolen / Beljak Pažinová, Noémi [Zostavovateľ, editor] ; Borzová, Zuzana [Zostavovateľ, editor]. – 1. vyd. – Zvolen (Slovensko) : Mesto Zvolen, 2018. – ISBN 978-80-570-0554-4, s. 212-235 [tlačená forma] </t>
  </si>
  <si>
    <t xml:space="preserve">Výskum archetypu historickej krajinnej štruktúry ovplyvnenej baníctvom v okolí Nitrianskeho Pravna / Žabenský, Marián [Autor, UKFFFAKMK, 100%] ; Argenti fodina 2020 [09.09.2020-10.09.2020, Banská Štiavnica, Slovensko]. – text. – [slovenčina]. – [OV 030]. – [abstrakt z podujatia - KP] In: Argenti Fodina 2020 [elektronický dokument] / Harvan, Daniel [Zostavovateľ, editor] ; Labuda, Jozef [Zostavovateľ, editor] ; Jeleň, Stanislav [Recenzent] ; Kapustka, Katarína [Recenzent] ; Laučík, Peter [Recenzent]. – 1. vyd. – Banská Štiavnica (Slovensko) : Slovenské banské múzeum, 2021. – ISBN 978-80-85579-59-8, s. 99-110 [online] [DVD] </t>
  </si>
  <si>
    <t xml:space="preserve">Výskum schopnosti detí predškolského veku v spájaní slabík do slov / Máčajová, Monika [Autor, UKFPFAKPE, 100%] ; Inovatívne trendy v odborových didaktikách [21.11.2018, Nitra, Slovensko]. – text. – [slovenčina]. – [OV 010]. – [abstrakt z podujatia - KP] In: Inovatívne trendy v odborových didaktikách [textový dokument (print)] : prepojenie teórie a praxe výučbových stratégií kritického a tvorivého myslenia : zborník štúdií z medzinárodnej vedeckej konferencie, Nitra 21. november 2018 / Duchovičová, Jana [Zostavovateľ, editor] ; Hošová, Dominika [Zostavovateľ, editor] ; Koleňáková, Rebeka Štefánia [Zostavovateľ, editor] ; Bílek, Martin [Recenzent] ; Komora, Juraj [Recenzent]. – 1. vyd. – Nitra (Slovensko) : Univerzita Konštantína Filozofa v Nitre, 2019. – ISBN 978-80-558-1408-7, s. 496-505 [tlačená forma] </t>
  </si>
  <si>
    <t xml:space="preserve">Vytváranie základov pre kritické myslenie žiakov na primárnom stupni vzdelávania / Šutovcová, Lenka [Autor, UKFPFAKPE, 100%] ; EDUCA 16, 16 [29.04.2021, Nitra, Slovensko]. – text. – [slovenčina]. – [OV 010]. – [abstrakt z podujatia - KP] In: EDUCA 16 [textový dokument (print)] : edukácia - kľúč k úspechu. Zborník príspevkov z 16. vedeckej  konferencie doktorandov s medzinárodnou účasťou, Nitra 29. apríl 2021 / Teleková, Radka [Zostavovateľ, editor] ; Koricina, Michal [Zostavovateľ, editor] ; Petlák, Erich [Recenzent] ; Krystoň, Miroslav [Recenzent]. – 1. vyd. – Nitra (Slovensko) : Univerzita Konštantína Filozofa v Nitre, 2021. – ISBN 978-80-558-1811-5, s. 66-76 [tlačená forma] </t>
  </si>
  <si>
    <t xml:space="preserve">Výučba prekladu a tlmočenia v čase pandémie COVID-19: trhová kompetencia a kontakt s praxou / Hodáková, Soňa [Autor, UKFFFAKTR, 50%] ; Perez, Emília [Autor, UKFFFAKTR, 50%] ; Forlang, 10 [23.06.2021-24.06.2021, Košice, Slovensko]. – text. – [slovenčina]. – [OV 020]. – [abstrakt z podujatia - KP] In: Forlang [elektronický dokument] : periodický zborník vedeckých príspevkov a odborných článkov z medzinárodnej vedeckej konferencie konanej 23. - 24. júna 2021 : cudzie jazyky v akademickom prostredí = foreign Languages in the Academic Environment = Fremdsprachen im akademischen Bereich = inostrannye jazyki v akademičeskoj srede / Kaščáková, Eva [Zostavovateľ, editor] ; Alieva, Lenka [Recenzent] ; Czéreová, Beáta [Recenzent] ; Hájik, Tomáš [Recenzent] ; Klink, Sandra [Recenzent] ; Kulíková, Terézia [Recenzent] ; Mazurová, Helena [Recenzent] ; Mihalčinová, Zuzana [Recenzent] ; Mihaľová, Alena [Recenzent] ; Pechová, Soňa [Recenzent] ; Sorger, Roman [Recenzent] ; Szabová, Katarína [Recenzent] ; Timárová, Daniela [Recenzent] ; Vráželová, Viktória [Recenzent]. – 1. vyd. – Roč. 8, č. 1. – Košice (Slovensko) : Technická univerzita v Košiciach, 2021. – ISBN (online) 978-80-553-3948-1. – ISSN 1338-5496. – SIGN-TUKE 233160, s. 138-145 [CD-ROM] </t>
  </si>
  <si>
    <t xml:space="preserve">Vyučovanie slovnej zásoby prostredníctvom autentických textov : Teaching Vocabulary Through Authentic Texts / Kálaziová, Ingrid [Autor, UKFFFAKAA, 100%] ; Odborný cudzí jazyk: teória a prax [18.12.2020, Nitra, Slovensko]. – text. – [slovenčina]. – [OV 010]. – [abstrakt z podujatia - KP] In: Odborný cudzí jazyk: teória a prax [textový dokument (print)] : zborník z medzinárodnej vedeckej konferencie / Zelenická, Elena [Zostavovateľ, editor] ; Timárová, Daniela [Recenzent] ; Kulíková, Terézia [Recenzent]. – 1. vyd. – Nitra (Slovensko) : Univerzita Konštantína Filozofa v Nitre. Filozofická fakulta, 2020. – ISBN 978-80-558-1608-1, s. 91-98 [tlačená forma] </t>
  </si>
  <si>
    <t xml:space="preserve">Využitie aktivizujúcich metód pri online vzdelávaní technických predmetov / Tureková, Ivana [Autor, UKFPFAKTT, 50%] ; Harangozó, Jozef [Autor, UKFPFAKTT, 50%] ; Globálne existenciálne riziká 2020, 10 [10.09.2020, Bratislava, Slovensko]. – text. – [slovenčina]. – [OV 010]. – [abstrakt z podujatia - KP] In: Globálne existenciálne riziká 2020 [textový dokument (print)] [elektronický dokument] : recenzovaný zborník príspevkov z 10. medzinárodnej vedeckej konferencie / Klinec, Ivan [Zostavovateľ, editor] ; Nemoga, Karol [Zostavovateľ, editor] ; Rusko, Miroslav [Zostavovateľ, editor] ; Bednárová, Lucia [Recenzent] ; Klinec, Ivan [Recenzent]. – 1. vyd. – Žilina (Slovensko) : Strix, 2020. – (ESE ; No. 53). – ISBN 978-80-973460-4-1, s. 229-236 [tlačená forma] [online] </t>
  </si>
  <si>
    <t xml:space="preserve">Využitie bezdrôtovej senzorickej siete = Usage of Wireless Sensor Network / Francisti, Jan [Autor, UKFFPVKIN, 100%] ; Študentská vedecká konferencia 2018 [21.03.2018, Nitra, Slovensko]. – [slovenčina]. – [OV 160]. – [abstrakt z podujatia - KP] In: Študentská vedecká konferencia 2018 [textový dokument (print)] : zborník recenzovaných príspevkov z konferencie v Nitre 21. 03.2018 / Siládi, Vladimir [Zostavovateľ, editor] ; Račáková, Slavka [Zostavovateľ, editor] ; Voštinár, Patrik [Recenzent] ; Trajteľ, Ľudovít [Recenzent] ; Suchý, Jozef [Recenzent] ; Vagač, Michal [Recenzent] ; Melicherčík, Miroslav [Recenzent]. – 1. vyd. – 2018 (Slovensko) : Univerzita Konštantína Filozofa v Nitre, 2018. – ISBN 978-80-557-1415-8, s. 413-417 [tlačená forma] </t>
  </si>
  <si>
    <t xml:space="preserve">Využitie didaktických pomôcok v mimoškolskej činnosti = The use of tangible learning aids in the extracurricular activity / Klimová, Nika [Autor, UKFFPVKIN, 40%] ; Voštinár, Patrik [Autor, UMBFP05, 30%] ; Škrinárová, Jarmila [Autor, UMBFP05, 15%] ; Horváthová, Dana [Autor, UMBFP05, 15%] ; DidInfo 2019, 25 [03.04.2019-05.04.2019, Banská Bystrica, Slovensko]. – text, fotogr. – [slovenčina]. – [OV 160]. – [abstrakt z podujatia - KP] In: Didinfo 2019 [elektronický dokument] : medzinárodná konferencia o vyučovaní informatiky : 25. ročník konferencie / Horváthová, Dana [Zostavovateľ, editor] ; Michaliková, Alžbeta [Zostavovateľ, editor] ; Škrinárová, Jarmila [Zostavovateľ, editor] ; Voštinár, Patrik [Zostavovateľ, editor] ; Andrejková, Gabriela [Recenzent] ; Berki, Jan [Recenzent] ; Brodenec, Ivan [Recenzent] ; Cápay, Martin [Recenzent] ; Dudáš, Adam [Recenzent] ; Horváthová, Dana [Recenzent] ; Hudec, Milan [Recenzent] ; Karabáš, Ján [Recenzent] ; Melicherčík, Miroslav [Recenzent] ; Michaliková, Alžbeta [Recenzent] ; Škrinárová, Jarmila [Recenzent] ; Trajteľ, Ľudovít [Recenzent] ; Voštinár, Patrik [Recenzent]. – 1. vyd. – Banská Bystrica (Slovensko) : Univerzita Mateja Bela v Banskej Bystrici, 2019. – ISBN (online) 978-80-557-1533-9. – ISSN (online) 2454-051X, s. 212-213 [online] </t>
  </si>
  <si>
    <t xml:space="preserve">Využitie divadla Fórum vo výchovno-vzdelávacom procese / Tischler, Ladislav [Autor, UKFPFAKHU, 100%] ; Kmeťová, Jarmila [Recenzent] ; Bírová, Jana [Recenzent] ; Inovatívne trendy v odborových didaktikách v kontexte požiadaviek praxe [13.11.2017-14.11.2017, Nitra, Slovensko]. – text. – [slovenčina]. – [OV 010]. – [abstrakt z podujatia - KP] In: Inovatívne trendy v odborových didaktikách v kontexte požiadaviek praxe [elektronický dokument] : zborník štúdií z medzinárodnej vedeckej konferencie / Duchovičová, Jana [Zostavovateľ, editor] ; Gunišová, Denisa [Zostavovateľ, editor] ; Kozárová, Nina [Zostavovateľ, editor] ; Koleňáková, Rebeka Štefánia [Zostavovateľ, editor]. – 1. vyd. – Nitra (Slovensko) : Univerzita Konštantína Filozofa v Nitre. Pedagogická fakulta UKF, 2018. – ISBN 978-80-558-1277-9, s. 553-554 [online] </t>
  </si>
  <si>
    <t xml:space="preserve">Využitie elektronického testovania v podmienkach vysokoškolského vzdelávania (so zameraním na výučbu gramatických disciplín v jazykovo a pedagogicky orientovaných študijných programoch) / Petráš, Patrik [Autor, UKFFFASJL, 100%] ; Kolokvium mladých jazykovedcov, 28 [20.11.2019-22.11.2019, Nitra, Slovensko]. – text. – [slovenčina]. – [OV 020, 010]. – [abstrakt z podujatia - KP] In: Varia 28 [elektronický dokument] : zborník príspevkov z 28. kolokvia mladých jazykovedcov / Nemčeková, Jana [Zostavovateľ, editor] ; Petráš, Patrik [Zostavovateľ, editor] ; Krško, Jaromír [Recenzent] ; Diweg-Pukanec, Martin [Recenzent]. – 1. vyd. – Nitra (Slovensko) : Univerzita Konštantína Filozofa v Nitre, 2020. – ISBN 978-80-558-1632-6, s. 201-214 [online] </t>
  </si>
  <si>
    <t xml:space="preserve">Využitie Friedmanovej metódy v oblasti spekania keramiky prostredníctvom termodilatometrie / Obert, Filip [Autor, UKFFPVKFY, 100%] ; Študentská vedecká konferencia 2018 [21.03.2018, Nitra, Slovensko]. – text. – [slovenčina]. – [OV 160]. – [abstrakt z podujatia - KP] In: Študentská vedecká konferencia 2018 [textový dokument (print)] : zborník recenzovaných príspevkov z konferencie v Nitre 21. 03.2018 / Siládi, Vladimir [Zostavovateľ, editor] ; Račáková, Slavka [Zostavovateľ, editor] ; Voštinár, Patrik [Recenzent] ; Trajteľ, Ľudovít [Recenzent] ; Suchý, Jozef [Recenzent] ; Vagač, Michal [Recenzent] ; Melicherčík, Miroslav [Recenzent]. – 1. vyd. – 2018 (Slovensko) : Univerzita Konštantína Filozofa v Nitre, 2018. – ISBN 978-80-557-1415-8, s. 292-296 [tlačená forma] </t>
  </si>
  <si>
    <t xml:space="preserve">Využitie informačno-komunikačných technológií v duálnom vzdelávaní s prihliadnutím na kognitívne štýly študentov / Kozárová, Zuzana [Autor, UKFFFAJZC, 100%] ; Odborný cudzí jazyk: teória a prax [18.12.2020, Nitra, Slovensko]. – text. – [slovenčina]. – [OV 020]. – [abstrakt z podujatia - KP] In: Odborný cudzí jazyk: teória a prax [textový dokument (print)] : zborník z medzinárodnej vedeckej konferencie / Zelenická, Elena [Zostavovateľ, editor] ; Timárová, Daniela [Recenzent] ; Kulíková, Terézia [Recenzent]. – 1. vyd. – Nitra (Slovensko) : Univerzita Konštantína Filozofa v Nitre. Filozofická fakulta, 2020. – ISBN 978-80-558-1608-1, s. 99-106 [tlačená forma] </t>
  </si>
  <si>
    <t xml:space="preserve">Využitie ľanového semena v modulovaní reprodukčnej výkonnosti xylénom exponovaných samíc = The use of flaxseed in modulation of reproductive performance in xylene-exposed females / Vlčková, Radoslava [Autor, UVLFKBF, 40%] ; Sopková, Drahomíra [Autor, UVLFKBF, 20%] ; Andrejčáková, Zuzana [Autor, UVLFKBF, 15%] ; Petrilla, Vladimír [Autor, UVLFKBF, 5%] ; Polláková, Magdaléna [Autor, UVLFKAHF, 5%] ; Ondrašovičová, Silvia [Autor, UVLFKBF, 5%] ; Sirotkin, Alexander [Autor, UKFFPVKZA, 10%] ; Košický morfologický deň, 24 [04.06.2021, Košice, Slovensko]. – [slovenčina]. – [OV 200, 130]. – [abstrakt z podujatia - KP] In: 24. Košický morfologický deň [elektronický dokument] : enviromentálna záťaž a jej vplyv na zdravie ľudí a zvierat : zborník vedeckých prác / Holovská, Katarína [Zostavovateľ, editor] ; Almášiová, Viera [Recenzent] ; Petrovová, Eva [Recenzent]. – 1. vyd. – Košice (Slovensko) : Univerzita veterinárskeho lekárstva a farmácie v Košiciach, 2021. – ISBN 978-80-8077-705-0, s. 288-292 [online] [CD-ROM] </t>
  </si>
  <si>
    <t xml:space="preserve">Využitie matematicko-štatistických metód a umelej inteligencie pri riadení kreditného rizika = Use of mathematical-statistical methods and artificial intelligence in credit risk management / Štubňová, Michaela [Autor, UKFFPVUMI, 100%] ; Študentská vedecká konferencia 2020, 6 [07.04.2020, Nitra, Slovensko]. – text. – [slovenčina]. – [OV 080]. – [abstrakt z podujatia - KP] In: Študentská vedecká konferencia 2020 [elektronický dokument] : zborník recenzovaných príspevkov [zo zrušenej študentskej vedeckej konferencie s plánovaným termínom konania 7.4.2020 v Nitre] / Spišiak, Ján [Zostavovateľ, editor] ; Račáková, Slavka [Zostavovateľ, editor] ; Voštinár, Patrik [Recenzent] ; Melicherčík, Miroslav [Recenzent]. – 1. vyd. – Banská Bystrica (Slovensko) : Univerzita Mateja Bela v Banskej Bystrici ; Nitra (Slovensko) : Univerzita Konštantína Filozofa v Nitre, 2020. – ISBN 978-80-557-1733-3, s. 368-372 [online] </t>
  </si>
  <si>
    <t xml:space="preserve">Využitie odpadového skla ako prímesi k illitu a kaolínu = Use of waste glass like addition to illite and caoline / Pős, Peter [Autor, UKFFPVKFY, 100%] ; Študentská vedecká konferencia 2020, 6 [07.04.2020, Nitra, Slovensko]. – text. – [slovenčina]. – [OV 091]. – [abstrakt z podujatia - KP] In: Študentská vedecká konferencia 2020 [elektronický dokument] : zborník recenzovaných príspevkov [zo zrušenej študentskej vedeckej konferencie s plánovaným termínom konania 7.4.2020 v Nitre] / Spišiak, Ján [Zostavovateľ, editor] ; Račáková, Slavka [Zostavovateľ, editor] ; Voštinár, Patrik [Recenzent] ; Melicherčík, Miroslav [Recenzent]. – 1. vyd. – Banská Bystrica (Slovensko) : Univerzita Mateja Bela v Banskej Bystrici ; Nitra (Slovensko) : Univerzita Konštantína Filozofa v Nitre, 2020. – ISBN 978-80-557-1733-3, s. 316-320 [online] </t>
  </si>
  <si>
    <t xml:space="preserve">Využitie postprodukčných stratégií vo vyučovaní výtvarnej výchovy / Baus, Jozef [Autor, UKFPFAKVV, 100%] ; Inovatívne trendy v odborových didaktikách [21.11.2018, Nitra, Slovensko]. – text. – [slovenčina]. – [OV 010]. – [abstrakt z podujatia - KP] In: Inovatívne trendy v odborových didaktikách [textový dokument (print)] : prepojenie teórie a praxe výučbových stratégií kritického a tvorivého myslenia : zborník štúdií z medzinárodnej vedeckej konferencie, Nitra 21. november 2018 / Duchovičová, Jana [Zostavovateľ, editor] ; Hošová, Dominika [Zostavovateľ, editor] ; Koleňáková, Rebeka Štefánia [Zostavovateľ, editor] ; Bílek, Martin [Recenzent] ; Komora, Juraj [Recenzent]. – 1. vyd. – Nitra (Slovensko) : Univerzita Konštantína Filozofa v Nitre, 2019. – ISBN 978-80-558-1408-7, s. 617-624 [tlačená forma] </t>
  </si>
  <si>
    <t xml:space="preserve">Využitie pracovného tréningu pri práci s aktívnymi užívateľmi drog - dobrá prax / Tomášik, Vesna [Autor, UKFFSVKSP, 100%] ; Labor Socialis - "Sociálna práca v súčasnosti - objavovanie rozmanitosti" [26.09.2019, Nitra, Slovensko]. – text. – [slovenčina]. – [OV 060]. – [abstrakt z podujatia - KP] In: Labor Socialis "Sociálna práca v súčasnosti - objavovanie rozmanitosti" [textový dokument (print)] : zborník príspevkov z vedeckej konferencie s medzinárodnou účasťou, Nitra 26. septembra 2019 / Gažiková, Elena [Zostavovateľ, editor] ; Minarovičová, Katarína [Zostavovateľ, editor] ; Gabura, Ján [Recenzent] ; Kozubík, Michal [Recenzent]. – 1. vyd. – Nitra (Slovensko) : Univerzita Konštantína Filozofa v Nitre, 2020. – ISBN 978-80-558-1492-6, s. 79-83 [tlačená forma] </t>
  </si>
  <si>
    <t xml:space="preserve">Využitie projektívnej sily detskej kresby v práci učiteľa primárneho vzdelávania / Mališová, Dominika [Autor, 50%] ; Gatial, Viktor [Autor, UKFPFAKAP, 50%] ; Študentská vedecká a odborná činnosť Katedry pedagogickej a školskej psychológie [13.05.2019, Nitra, Slovensko]. – text. – [slovenčina]. – [OV 060]. – [abstrakt z podujatia - KP] In: ŠVOČ KPŠP 2019 [Študentská vedecká a odborná činnosť Katedry pedagogickej a školskej psychológie] [elektronický dokument] : zborník príspevkov z 2. ročníka študentskej vedeckej a odbornej činnosti, konanej v Nitre 13.5.2019 / Verešová, Marcela [Zostavovateľ, editor] ; Gatial, Viktor [Zostavovateľ, editor] ; Tomšik, Robert [Zostavovateľ, editor] ; Pavelová, Ľuba [Recenzent] ; Juhásová, Andrea [Recenzent]. – 1. vyd. – Nitra (Slovensko) : Univerzita Konštantína Filozofa v Nitre, 2019. – ISBN 978-80-558-1444-5, s. 16-23 [CD-ROM] </t>
  </si>
  <si>
    <t xml:space="preserve">Využitie RME pri vyučovaní zobrazovacích metód v úplnom strednom odbornom vzdelávaní = Use of RME when teaching displaying methods in upper secondary vocational education / Laššová, Katarína [Autor, UKFFPVKMA, 100%] ; Študentská vedecká konferencia 2021 [14.04.2021, Nitra, Banská Bystrica, Slovensko]. – text. – [slovenčina]. – [OV 010, 240]. – [abstrakt z podujatia - KP] In: Študentská vedecká konferencia 2021 Fakulty prírodných vied Univerzity Konštantína Filozofa v Nitre a Fakulty prírodných vied Univerzity Mateja Bela v Banskej Bystrici [textový dokument (print)] : zborník recenzovaných príspevkov / Francisti, Jan [Zostavovateľ, editor] ; Fodor, Kristián [Zostavovateľ, editor]. – 1. vyd. – Nitra (Slovensko) : Univerzita Konštantína Filozofa v Nitre ; Banská Bystrica (Slovensko) : Univerzita Mateja Bela v Banskej Bystrici, 2021. – (Prírodovedec ; 756). – ISBN 978-80-558-1712-5, s. 339-346 [tlačená forma] </t>
  </si>
  <si>
    <t xml:space="preserve">Využitie technológií pri výučbe cudzieho jazyka / Kozárová, Zuzana [Autor, UKFFFAJZC, 100%] ; FORLANG 2019 [06.06.2019-07.06.2019, Košice, Slovensko]. – text. – [angličtina]. – [OV 010]. – [abstrakt z podujatia - KP] In: FORLANG [elektronický dokument] : cudzie jazyky v akademickom prostredí. Periodický zborník vedeckých príspevkov a odborných článkov z medzinárodnej vedeckej konferencie konanej 6. - 7. júna 2019 / Kaščáková, Eva [Zostavovateľ, editor] ; Kožaríková, Henrieta [Zostavovateľ, editor]. – 1. vyd. – Roč. 7, č. 1. – Košice (Slovensko) : Technická univerzita v Košiciach, 2019. – ISBN 978-80-553-3398-4. – ISSN 1338-5496. – SIGN-TUKE 210848, s. 252-256 [DVD] </t>
  </si>
  <si>
    <t xml:space="preserve">Vývinový potenciál oocytov prasnice v podmienkach in vitro = Developmental competence of porcine oocytes in vitro / Martinčeková, Dominika [Autor, 30%] ; Bartková, Alexandra [Autor, UKFFPVKBG, 70%] ; Študentská vedecká konferencia 2021 [14.04.2021, Nitra, Banská Bystrica, Slovensko]. – text. – [slovenčina]. – [OV 130]. – [abstrakt z podujatia - KP] In: Študentská vedecká konferencia 2021 Fakulty prírodných vied Univerzity Konštantína Filozofa v Nitre a Fakulty prírodných vied Univerzity Mateja Bela v Banskej Bystrici [textový dokument (print)] : zborník recenzovaných príspevkov / Francisti, Jan [Zostavovateľ, editor] ; Fodor, Kristián [Zostavovateľ, editor]. – 1. vyd. – Nitra (Slovensko) : Univerzita Konštantína Filozofa v Nitre ; Banská Bystrica (Slovensko) : Univerzita Mateja Bela v Banskej Bystrici, 2021. – (Prírodovedec ; 756). – ISBN 978-80-558-1712-5, s. 50-54 [tlačená forma] </t>
  </si>
  <si>
    <t xml:space="preserve">Vývoj muzikálu na Slovensku v 2. polovici 20. storočia / Sondorová, Dominika [Autor, UKFPFAKHU, 100%] ; Nonartificiálna hudba v edukácii [20.05.2019-24.05.2019, Nitra, Slovensko]. – text. – [slovenčina]. – [OV 010]. – [abstrakt z podujatia - KP] In: Nonartificiálna hudba v edukácii [elektronický dokument] : zborník príspevkov z elektronickej vedeckej konferencieu projektu KEGA – Nonartificiálna hudba vo vokálnej edukácii. Konferencia sa koná pod záštitou dekana Pedagogickej fakulty UKF v Nitre doc. PaedDr. Gábora Pintesa, PhD.  20. – 24. mája 2019 / Štrbák Pandiová, Iveta [Zostavovateľ, editor] ; Švajková, Tatiana [Recenzent] ; Ťahún Mendelová, Antónia [Recenzent]. – 1. vyd. – Nitra (Slovensko) : Univerzita Konštantína Filozofa v Nitre, 2019. – ISBN 978-80-558-1445-2, s. 72-79 [online] </t>
  </si>
  <si>
    <t xml:space="preserve">Význam reflexie v projektovom vyučovaní – aplikácia v didaktike informatiky / Lovászová, Gabriela [Autor, UKFFPVKIN, 100%] ; Inovatívne trendy v odborových didaktikách [21.11.2018, Nitra, Slovensko]. – text. – [slovenčina]. – [OV 010]. – [abstrakt z podujatia - KP] In: Inovatívne trendy v odborových didaktikách [textový dokument (print)] : prepojenie teórie a praxe výučbových stratégií kritického a tvorivého myslenia : zborník štúdií z medzinárodnej vedeckej konferencie, Nitra 21. november 2018 / Duchovičová, Jana [Zostavovateľ, editor] ; Hošová, Dominika [Zostavovateľ, editor] ; Koleňáková, Rebeka Štefánia [Zostavovateľ, editor] ; Bílek, Martin [Recenzent] ; Komora, Juraj [Recenzent]. – 1. vyd. – Nitra (Slovensko) : Univerzita Konštantína Filozofa v Nitre, 2019. – ISBN 978-80-558-1408-7, s. 252-260 [tlačená forma] </t>
  </si>
  <si>
    <t xml:space="preserve">Význam riekanky v intenčnom školskom bilingvizme v enklávnom prostredí Dolnej zeme / Kováčová, Zuzana [Autor, UKFFFASJL, 50%] ; Bires, Marka [Autor, UKFFFASJL, 50%] ; Kmeťová, Jarmila [Recenzent] ; Bírová, Jana [Recenzent] ; Inovatívne trendy v odborových didaktikách v kontexte požiadaviek praxe [13.11.2017-14.11.2017, Nitra, Slovensko]. – text. – [slovenčina]. – [OV 020]. – [abstrakt z podujatia - KP] In: Inovatívne trendy v odborových didaktikách v kontexte požiadaviek praxe [elektronický dokument] : zborník štúdií z medzinárodnej vedeckej konferencie / Duchovičová, Jana [Zostavovateľ, editor] ; Gunišová, Denisa [Zostavovateľ, editor] ; Kozárová, Nina [Zostavovateľ, editor] ; Koleňáková, Rebeka Štefánia [Zostavovateľ, editor]. – 1. vyd. – Nitra (Slovensko) : Univerzita Konštantína Filozofa v Nitre. Pedagogická fakulta UKF, 2018. – ISBN 978-80-558-1277-9, s. 293-298 [online] </t>
  </si>
  <si>
    <t xml:space="preserve">Význam sociálnej práce v hospicovej a paliatívnej starostlivosti / Jašeková, Nina [Autor, UKFFSVKSP, 100%] ; Labor Socialis - "Sociálna práca v súčasnosti - objavovanie rozmanitosti" [26.09.2019, Nitra, Slovensko]. – text. – [slovenčina]. – [OV 060]. – [abstrakt z podujatia - KP] In: Labor Socialis "Sociálna práca v súčasnosti - objavovanie rozmanitosti" [textový dokument (print)] : zborník príspevkov z vedeckej konferencie s medzinárodnou účasťou, Nitra 26. septembra 2019 / Gažiková, Elena [Zostavovateľ, editor] ; Minarovičová, Katarína [Zostavovateľ, editor] ; Gabura, Ján [Recenzent] ; Kozubík, Michal [Recenzent]. – 1. vyd. – Nitra (Slovensko) : Univerzita Konštantína Filozofa v Nitre, 2020. – ISBN 978-80-558-1492-6, s. 68-78 [tlačená forma] </t>
  </si>
  <si>
    <t xml:space="preserve">Význam supervízie v kontexte prevencie syndrómu vyhorenia / Gažiková, Elena [Autor, UKFFSVKSP, 50%] ; Minarovičová, Katarína [Autor, UKFFSVKSP, 50%] ; Labor Socialis - "Sociálna práca v súčasnosti - objavovanie rozmanitosti" [26.09.2019, Nitra, Slovensko]. – text. – [slovenčina]. – [OV 060]. – [abstrakt z podujatia - KP] In: Labor Socialis "Sociálna práca v súčasnosti - objavovanie rozmanitosti" [textový dokument (print)] : zborník príspevkov z vedeckej konferencie s medzinárodnou účasťou, Nitra 26. septembra 2019 / Gažiková, Elena [Zostavovateľ, editor] ; Minarovičová, Katarína [Zostavovateľ, editor] ; Gabura, Ján [Recenzent] ; Kozubík, Michal [Recenzent]. – 1. vyd. – Nitra (Slovensko) : Univerzita Konštantína Filozofa v Nitre, 2020. – ISBN 978-80-558-1492-6, s. 84-90 [tlačená forma] </t>
  </si>
  <si>
    <t xml:space="preserve">Význam viacgeneračnej rodiny optikou najstaršej a najmladšej generácie / Šatara, Erik [Autor, UKFFSVURS, 50%] ; Morávková, Silvia [Autor, UKFFSVKSP, 50%] ; Labor Socialis - "Sociálna práca v súčasnosti - objavovanie rozmanitosti" [26.09.2019, Nitra, Slovensko]. – text. – [slovenčina]. – [OV 060]. – [abstrakt z podujatia - KP] In: Labor Socialis "Sociálna práca v súčasnosti - objavovanie rozmanitosti" [textový dokument (print)] : zborník príspevkov z vedeckej konferencie s medzinárodnou účasťou, Nitra 26. septembra 2019 / Gažiková, Elena [Zostavovateľ, editor] ; Minarovičová, Katarína [Zostavovateľ, editor] ; Gabura, Ján [Recenzent] ; Kozubík, Michal [Recenzent]. – 1. vyd. – Nitra (Slovensko) : Univerzita Konštantína Filozofa v Nitre, 2020. – ISBN 978-80-558-1492-6, s. 47-59 [tlačená forma] </t>
  </si>
  <si>
    <t xml:space="preserve">Výzvy pre druhošancové vzdelávanie dospelých / Temiaková, Dominika [Autor, UKFPFAKPE, 100%] ; Universitas Moderna - pedagogicko-psychologické vzdelávanie na vysokej škole v retrospektíve a jeho perspektívy [01.10.2019-02.10.2019, Nitra, Slovensko]. – text. – [slovenčina]. – [OV 010]. – [abstrakt z podujatia - KP] In: Pedagogicko-psychologické vzdelávanie na vysokej škole v retrospektíve a jeho perspektívy [textový dokument (print)] : 55 rokov pedagogicko-psychologického vzdelávania na Slovenskej poľnohospodárskej univerzite : recenzovaný zborník vedeckých prác / Šeben Zaťková, Tímea [Zostavovateľ, editor] ; Porubčan, Peter [Recenzent] ; Barát, Pavol [Recenzent]. – 1. vyd. – Nadlac (Rumunsko) : Vydavateľstvo - Editura Ivan Krasko, 2019. – ISBN 978-973-107-149-7, s. 120-126 [tlačená forma] </t>
  </si>
  <si>
    <t xml:space="preserve">Vzdelávacie a spirituálne potreby dospelých a seniorov so zdravotným postihnutím v rezidenciálnych zariadeniach / Jedličková, Petra [Autor, UKFPFAKPE, 100%] ; Krystoň, Miroslav [Recenzent] ; Kuril, Jozef [Recenzent] ; Vzdelávanie dospelých v regionálnom kontexte [15.11.2017, Bratislava, Slovensko]. – text. – [slovenčina]. – [OV 010]. – [abstrakt z podujatia - KP] In: Vzdelávanie dospelých v regionálnom kontexte [textový dokument (print)] : zborník vedeckých štúdií z konferencie, konanej v Bratislave dňa 15.11.2017 / Prusáková, Viera [Zostavovateľ, editor] ; Matúšová, Silvia [Zostavovateľ, editor]. – 1. vyd. – Bratislava (Slovensko) : Vysoká škola ekonómie a manažmentu verejnej správy v Bratislave, 2018. – ISBN 978-80-89654-40-6, s. 277-287 [tlačená forma] </t>
  </si>
  <si>
    <t xml:space="preserve">Vzdelávacie aktivity zamerané na geografiu v predprimárnom vzdelávaní = Educational activities focused on geography in pre-primary education / Žoncová, Michaela [Autor, UMBFP01, 50%] ; Vojteková, Jana [Autor, UKFFPVKGR, 50%] ; Geografické aspekty stredoeurópskeho priestoru, 26 [10.10.2018-11.10.2018, Nitra, Slovensko]. – text. – [angličtina]. – [OV 092]. – [článok z podujatia]. – [recenzované]. – WOS CC In: Geografické informácie [textový dokument (print)] [elektronický dokument] . – Nitra (Slovensko) : Univerzita Konštantína Filozofa v Nitre. – ISSN 1337-9453. – Roč. 22, č. 1 (2018), s. 552-562 [tlačená forma] [online] </t>
  </si>
  <si>
    <t xml:space="preserve">Vzdelávanie budúcich  učiteľov chémie : rozvoj nových vedomostí a zručností / Feszterová, Melánia [Autor, UKFFPVKCH, 100%] ; DIDMATTECH 2019, 32 [20.06.2019-21.06.2019, Trnava, Slovensko]. – text. – [slovenčina]. – [OV 010]. – [abstrakt z podujatia - KP] In: 32 DIDMATTECH 2019 [textový dokument (print)] [elektronický dokument] : New methods and technologies in education, Research and practice : International Scientific and Professional Conference Trnava, 20th – 21st June 2019 : proceedings / Stoffová, Veronika [Zostavovateľ, editor] ; Horváth, Roman [Zostavovateľ, editor]. – 1. vyd. – Trnava (Slovensko) : Trnavská univerzita v Trnave, 2019. – ISBN 978-80-568-0357-8. – ISBN (online) 978-80-568-0398-1. – TUTPFKMI signatúra E078334, s. 1-6 [tlačená forma] [online] </t>
  </si>
  <si>
    <t xml:space="preserve">Vzdelávanie orientované na získavanie kompetencií v reflexii filozofie výchovy k cnosti / Blaščíková, Andrea [Autor, UKFFFAKNS, 100%] ; Myslieť inak – iné v myslení, 6 [21.10.2020-23.10.2020, Bratislava, Slovensko]. – text. – [slovenčina]. – [OV 010]. – [abstrakt z podujatia - KP] In: Myslieť inak – iné v myslení [textový dokument (print)] : zborník vedeckých príspevkov / Gáliková Tolnaiová, Sabína [Zostavovateľ, editor] ; Marchevský, Ondrej [Zostavovateľ, editor] ; Kyslan, Peter [Zostavovateľ, editor] ; Andreanský, Eugen [Recenzent] ; Gálik, Slavomír [Recenzent]. – 1. vyd. – Bratislava (Slovensko) : Slovenská akadémia vied. Pracoviská SAV. Slovenské filozofické združenie, 2021. – ISBN 978-80-973092-6-8. – SIGN-PU FF-21 150/21, s. 283-292 [tlačená forma] </t>
  </si>
  <si>
    <t xml:space="preserve">Vzdelávanie v bezpečnostných vedách - súčasnosť a perspektívy / Tureková, Ivana [Autor, UKFPFAKTT, 70%] ; Bilčíková, Jana [Autor, 30%] ; METES 2019, 4 [20.05.2019, Bratislava, Slovensko]. – text. – [slovenčina]. – [OV 010]. – [abstrakt z podujatia - KP] In: METES 2019 [textový dokument (print)] [elektronický dokument] : recenzovaný zborník zo 4. medzinárodnej vedeckej konferencie / Rusko, Miroslav [Zostavovateľ, editor] ; Kollár, Vojtech [Zostavovateľ, editor] ; Andráš, Peter [Zostavovateľ, editor] ; Andráš, Peter [Recenzent] ; Bednárová, Lucia [Recenzent] ; Kollár, Vojtech [Recenzent] ; Pacana, Jacek [Recenzent] ; Procházková, Dana [Recenzent] ; Rusko, Miroslav [Recenzent]. – 1. vyd. – Žilina (Slovensko) : Strix, 2019. – ISBN 978-80-89753-32-1, s. 123-131 [CD-ROM] </t>
  </si>
  <si>
    <t xml:space="preserve">Vzdelávanie v bezpečnostných vedách - súčasnosť a perspektívy / Tureková, Ivana [Autor, UKFPFAKTT, 95%] ; Bilčíková, Jana [Autor, UKFPFAKTT, 5%] ; Súčasnosť a perspektíva doktorandského štúdia [11.10.2019, Nitra, Slovensko]. – text. – [slovenčina]. – [OV 010]. – [abstrakt z podujatia - KP] In: Reflexia absolventov doktorandského štúdia [elektronický dokument] : zborník príspevkov z medzinárodnej vedeckej konferencie doktorandov / Tomková, Viera [Zostavovateľ, editor] ; Kozík, Tomáš [Recenzent] ; Hašková, Alena [Recenzent]. – 1. vyd. – Nitra (Slovensko) : Univerzita Konštantína Filozofa v Nitre. Pedagogická fakulta UKF, 2020. – ISBN (online) 978-80-558-1554-1, s. 71-80 [CD-ROM] </t>
  </si>
  <si>
    <t xml:space="preserve">Vzdelávanie zamestnancov v praxi / Hodál, Peter [Autor, UKFPFAKTT, 100%] ; Lukáčová, Danka [Recenzent] ; Depešová, Jana [Recenzent] ; Vzájomná informovanosť - cesta k efektívnemu rozvoju vedecko-pedagogickej činnosti [13.06.2018, Nitra, Slovensko]. – text. – [slovenčina]. – [OV 010]. – [abstrakt z podujatia - KP] In: Vzájomná informovanosť - cesta k efektívnemu rozvoju vedecko-pedagogickej činnosti : zborník z medzinárodnej konferencie / Bánesz, Gabriel [Zostavovateľ, editor]. – 1. vyd. – Nitra (Slovensko) : Univerzita Konštantína Filozofa v Nitre, 2018. – ISBN 978-80-558-1369-1, s. 20-24 [tlačená forma] </t>
  </si>
  <si>
    <t xml:space="preserve">Vzdelávanie žiakov a žiačok z marginalizovaných rómskych komunít v elokovaných pracoviskách stredných odborných škôl v kontexte pracovnej mobility / Havírová, Zuzana [Autor, UKFFSVURS, 50%] ; Šatara, Erik [Autor, UKFFSVURS, 50%] ; LOQUERE 2020 [04.08.2020, Trnava, Slovensko]. – text. – [slovenčina]. – [OV 010, 060]. – [abstrakt z podujatia - KP] In: LOQUERE [elektronický dokument] : interdisciplinárna doktorandská konferencia : zborník príspevkov / Cintula, Igor [Zostavovateľ, editor] ; Mydlová, Kristína [Zostavovateľ, editor] ; Kalivodová, Veronika [Zostavovateľ, editor]. – 1. vyd. – Trnava (Slovensko) : Univerzita sv. Cyrila a Metoda v Trnave, 2020. – ISBN 978-80-572-0067-3, s. 90-104 [CD-ROM] </t>
  </si>
  <si>
    <t xml:space="preserve">Vzdialenostná dostupnosť bikesharing-u pre študentov vysokých škôl v Nitre / Vrbičanová, Gréta [Autor, UKFFPVKEE, 50%] ; Močko, Matej [Autor, UKFFPVKEE, 50%] ; Študentská vedecká konferencia 2018 [21.03.2018, Nitra, Slovensko]. – [slovenčina]. – [OV 100]. – [abstrakt z podujatia - KP] In: Študentská vedecká konferencia 2018 [textový dokument (print)] : zborník recenzovaných príspevkov z konferencie v Nitre 21. 03.2018 / Siládi, Vladimir [Zostavovateľ, editor] ; Račáková, Slavka [Zostavovateľ, editor] ; Voštinár, Patrik [Recenzent] ; Trajteľ, Ľudovít [Recenzent] ; Suchý, Jozef [Recenzent] ; Vagač, Michal [Recenzent] ; Melicherčík, Miroslav [Recenzent]. – 1. vyd. – 2018 (Slovensko) : Univerzita Konštantína Filozofa v Nitre, 2018. – ISBN 978-80-557-1415-8, s. 109-115 [tlačená forma] </t>
  </si>
  <si>
    <t xml:space="preserve">Vzťah Jána Jaborníka k osobnosti Jána Jamnického (etický rozmer režijného diela) / Ballay, Miroslav [Autor, UKFFFAKKU, 100%] ; Káša, Peter [Recenzent] ; Horák, Karol [Recenzent] ; Ján Jaborník. Historik, teoretik a kritik divadla [27.05.2017, Bratislava, Slovensko]. – [slovenčina]. – [OV 020]. – [abstrakt z podujatia - KP] In: Ján Jaborník [textový dokument (print)] : historik, teoretik a kritik divadla / Beňová, Juliana [Zostavovateľ, editor] ; Fekete, Vladislava [Zostavovateľ, editor] ; Domeová, Andrea [Zostavovateľ, editor] ; Vannayová, Martina [Zostavovateľ, editor]. – 1. vyd. – Bratislava (Slovensko) : Divadelný ústav, 2018. – (Osobnosti). – ISBN 978-80-8190-041-9, s. 115-123 [tlačená forma] </t>
  </si>
  <si>
    <t xml:space="preserve">Vzťah medzi fyzickou aktivitou, motiváciou k fyzickej aktivite a postojom k vlastnému telu u adolescentov / Romanová, Martina [Autor, UKFFSVUAP, 50%] ; Sollár, Tomáš [Autor, UKFFSVUAP, 50%] ; Müller, Anetta [Recenzent] ; Biró, Melinda [Recenzent] ; Sport science in motion [17.05.2018-19.05.2018, Komárno, Slovensko]. – text. – [slovenčina]. – [OV 060]. – [abstrakt z podujatia - KP] In: Sport science in motion [elektronický dokument] : proceedings from the scientific conference, Komárno, May 17th – 19th, 2018 = recenzovaný zborník vedeckých a odborných prác z konferencie = válogatott tanulmánykötet – válogatott tanulmányok a tudományos konferenciáról / Šimonek, Jaromír [Zostavovateľ, editor] ; Dobay, Beáta [Zostavovateľ, editor]. – 1. vyd. – Komárno (Slovensko) : Univerzita J. Selyeho, 2018. – ISBN 978-80-8122-245-0, s. 185-193 [CD-ROM] </t>
  </si>
  <si>
    <t xml:space="preserve">Vzťah osobnosti a vnímania choroby. Ovplyvňujú osobnostné charakteristiky vnímanie choroby? = Relationship Of Personality And Illness Perception. Do Personality Characteristics Affect Perception Of Illness? / Dančová, Katarína [Autor, UKFFSVUAP, 50%] ; Sollár, Tomáš [Autor, UKFFSVUAP, 50%] ; Osobnosť v kontexte kognícií, emocionality a motivácií, 7 [27.11.2019-28.11.2019, Bratislava, Slovensko]. – text. – [slovenčina]. – [OV 060]. – [abstrakt z podujatia - KP] In: Osobnosť v kontexte kognícií, emocionality a motivácií [elektronický dokument] / Sabová, Lucia [Zostavovateľ, editor] ; Schraggeová, Milica [Recenzent] ; Čechová, Daniela [Recenzent]. – 1. vyd. – Roč. 7. – Bratislava (Slovensko) : Univerzita Komenského v Bratislave. Filozofická fakulta UK. Stimul, 2020. – ISBN (online) 978-80-8127-299-8. – ISBN (online) 978-80-8127-300-1, s. 49-61 [online] </t>
  </si>
  <si>
    <t xml:space="preserve">Wearables: Educational Projects Made with the BBC micro:bit / Klimová, Nika [Autor, UKFFPVKIN, 100%] ; ICETA 2020, 18 [12.11.2020-13.11.2020, Košice, Slovensko]. – text. – [angličtina]. – [OV 010]. – [abstrakt z podujatia - KP]. – SCO In: ICETA 2020 [elektronický dokument] : 18th IEEE International conference on emerging elearning technologies and applications : Information and communication technologies in learning : proceedings / Jakab, František [Zostavovateľ, editor]. – 1. vyd. – Denver (USA) : Institute of Electrical and Electronics Engineers, 2020. – ISBN 978-0-7381-2366-0, s. 323-329 [online] </t>
  </si>
  <si>
    <t xml:space="preserve">Web Log Data Preprocessing using Raspberry Pi Cluster and hadoop cluster / Švec, Peter [Autor, UKFFPVKIN, 80%] ; Chylo, Lukáš [Autor, 10%] ; Filipik, Jakub [Autor, 10%] ; DIVAI 2018, 12 [02.05.2018-04.05.2018, Štúrovo, Slovensko]. – text. – [angličtina]. – [OV 160]. – [abstrakt z podujatia - KP]. – [recenzované]. – WOS CC In: DIVAI 2018 [textový dokument (print)] [elektronický dokument] : 12th International Scientific Conference on Distance Learning in Applied Informatics / Turčáni, Milan [Zostavovateľ, editor] ; Balogh, Zoltán [Zostavovateľ, editor] ; Munk, Michal [Zostavovateľ, editor] ; Kapusta, Jozef [Zostavovateľ, editor] ; Benko, Ľubomír [Zostavovateľ, editor]. – 1. vyd. – Praha (Česko) : Wolters Kluwer, 2018. – ISBN 978-80-7598-059-5. – ISSN 2464-7470. – ISSN (online) 2464-7489, s. 513-521 [online] [tlačená forma] </t>
  </si>
  <si>
    <t xml:space="preserve">Wireless Sensor Network as a part of Internet of Things / Francisti, Jan [Autor, UKFFPVKIN, 50%] ; Balogh, Zoltán [Autor, UKFFPVKIN, 50%] ; DIVAI 2018, 12 [02.05.2018-04.05.2018, Štúrovo, Slovensko]. – text. – [angličtina]. – [OV 160]. – [abstrakt z podujatia - KP]. – [recenzované]. – WOS CC In: DIVAI 2018 [textový dokument (print)] [elektronický dokument] : 12th International Scientific Conference on Distance Learning in Applied Informatics / Turčáni, Milan [Zostavovateľ, editor] ; Balogh, Zoltán [Zostavovateľ, editor] ; Munk, Michal [Zostavovateľ, editor] ; Kapusta, Jozef [Zostavovateľ, editor] ; Benko, Ľubomír [Zostavovateľ, editor]. – 1. vyd. – Praha (Česko) : Wolters Kluwer, 2018. – ISBN 978-80-7598-059-5. – ISSN 2464-7470. – ISSN (online) 2464-7489, s. 419-429 [online] [tlačená forma] </t>
  </si>
  <si>
    <t xml:space="preserve">Word guessing game with a social robotic head / Beňuš, Štefan [Autor, UKFFFAKAA, 40%] ; Sabo, Róbert [Autor, 30%] ; Trnka, Marian [Autor, 30%] ; Information Technologies - Applications and Theory 2019, 19 [20.09.2019-24.09.2019, Donovaly, Slovensko]. – text. – [angličtina]. – [OV 020, 160]. – [abstrakt z podujatia - KP]. – SCO In: ITAT 2019 [elektronický dokument] : proceedings of the 19th conference Information Technologies - Applications and Theory / Barančíková, Petra [Zostavovateľ, editor] ; Holeňa, Martin [Zostavovateľ, editor] ; Horváth, Tomáš [Zostavovateľ, editor] ; Pleva, Matúš [Zostavovateľ, editor] ; Rosa, Rudolf [Zostavovateľ, editor]. – 1. vyd. – [S.l] (Nemecko) : CEUR-WS, 2019. – (CEUR Workshop Proceedings, ISSN 1613-0073 ; Vol. 2473, CiteScore: 0,6 ; SJR: 0,177 ; SNIP: 0,293). – ISSN 1613-0073. – SIGN-TUKE 215782, s. 1-5 [online] </t>
  </si>
  <si>
    <t xml:space="preserve">YouTube ako alternatívny mediálny kanál a nástroj vplyvu / Moravčíková, Erika [Autor, UKFFFAKKU, 100%] ; Mináriková, Juliána [Recenzent] ; Gajdka, Krzysztof [Recenzent] ; Megatrends and Media 2018, 13 [24.04.2018-25.04.2018, Smolenice, Slovensko]. – text. – [angličtina]. – [OV 060]. – [abstrakt z podujatia - KP] In: Megatrendy a médiá 2018: Realita a mediálne bubliny [textový dokument (print)] [elektronický dokument] / Bučková, Zuzana [Zostavovateľ, editor] ; Rusňáková, Lenka [Zostavovateľ, editor] ; Rybanský, Rudolf [Zostavovateľ, editor] ; Solík, Martin [Zostavovateľ, editor]. – 1. vyd. – Trnava (Slovensko) : Univerzita sv. Cyrila a Metoda v Trnave. Fakulta masmediálnej komunikácie, 2018. – ISBN 978-80-8105-953-7, s. 294-310 [tlačená forma] [online] </t>
  </si>
  <si>
    <t xml:space="preserve">Youtube identita vs. realita / Repková, Barbara [Autor, UKFFFASJL, 100%] ; Boszorád, Martin [Recenzent] ; Půtová, Barbora [Recenzent] ; Reflexia kultúrno-spoločenských javov [03.05.2018-04.05.2018, Nitra, Slovensko]. – text. – [slovenčina]. – [OV 020]. – [abstrakt z podujatia - KP] In: Reflexia kultúrno-spoločenských javov [textový dokument (print)] : zborník z konferencie určenej pre doktorandov sociálnych, humanitných a umenovedných odborov, a to 3. - 4. mája 2018 na UKF v Nitre / Hochel, Igor [Zostavovateľ, editor] ; Popovicsová, Jana [Zostavovateľ, editor]. – 1. vyd. – Nitra (Slovensko) : Univerzita Konštantína Filozofa v Nitre, 2018. – ISBN 978-80-558-1341-7, s. 23-33 [tlačená forma] </t>
  </si>
  <si>
    <t xml:space="preserve">Za kvetinovou clonou Henny Fiebigovej / Zumríková Kekeliaková, Monika [Autor, UKFFFASJL, 100%] ; Poetika poézie a jej prekladu [07.12.2017-08.12.2017, Bratislava, Slovensko]. – text. – [slovenčina]. – [OV 020]. – [abstrakt z podujatia - KP] In: Poetika poézie a jej prekladu [textový dokument (print)] : venované životnému výročiu básnika, literárneho vedca a prekladateľa Jána Zambora / Bokníková, Andrea [Zostavovateľ, editor] ; Tollarovič, Peter [Zostavovateľ, editor] ; Hochel, Igor [Recenzent] ; Hermida de Blas, Alejandro [Recenzent]. – 1. vyd. – Bratislava (Slovensko) : Univerzita Komenského v Bratislave, 2018. – ISBN 978-80-223-4638-2. – SIGN-UKO FI 44/18 SL, s. 200-216 [tlačená forma] </t>
  </si>
  <si>
    <t xml:space="preserve">Začiatky vývoja folkovej piesne na Slovensku / Gálisová, Lenka [Autor, UKFPFAKHU, 100%] ; Nonartificiálna hudba v edukácii [20.05.2019-24.05.2019, Nitra, Slovensko]. – text. – [slovenčina]. – [OV 010]. – [abstrakt z podujatia - KP] In: Nonartificiálna hudba v edukácii [elektronický dokument] : zborník príspevkov z elektronickej vedeckej konferencieu projektu KEGA – Nonartificiálna hudba vo vokálnej edukácii. Konferencia sa koná pod záštitou dekana Pedagogickej fakulty UKF v Nitre doc. PaedDr. Gábora Pintesa, PhD.  20. – 24. mája 2019 / Štrbák Pandiová, Iveta [Zostavovateľ, editor] ; Švajková, Tatiana [Recenzent] ; Ťahún Mendelová, Antónia [Recenzent]. – 1. vyd. – Nitra (Slovensko) : Univerzita Konštantína Filozofa v Nitre, 2019. – ISBN 978-80-558-1445-2, s. 60-71 [online] </t>
  </si>
  <si>
    <t xml:space="preserve">Začiatok prípravy odborníkov pre prácu v podmienkach Industry 4.0 = Preparation Start of Staff Working under Conditions of Industry 4.0 / Krajinčák, Erik [Autor, 35%] ; Šebo, Miroslav [Autor, UKFPFAKTT, 35%] ; Hašková, Alena [Autor, UKFPFAKTT, 30%] ; Vplyv industry 4.0 na tvorbu pracovných miest 2020 [12.11.2020, Trenčín, Slovensko]. – text. – [slovenčina]. – [OV 010]. – [abstrakt z podujatia - KP] In: Vplyv industry 4.0 na tvorbu pracovných miest 2020 [elektronický dokument] : zborník vedeckých príspevkov z medzinárodnej vedeckej konferencie / Kordoš, Marcel [Zostavovateľ, editor] ; Holomek, Jaroslav [Recenzent] ; Grenčíková, Adriana [Recenzent] ; Habánik, Jozef [Recenzent] ; Karbach, Rolf [Recenzent] ; Navickas, Valentinas [Recenzent] ; Rievajová, Eva [Recenzent] ; Sika, Peter [Recenzent] ; Siniak, Nikola [Recenzent] ; Šafránková, Jana Marie [Recenzent] ; Vojtovič, Sergej [Recenzent]. – 1. vyd. – Trenčín (Slovensko) : Trenčianska univerzita Alexandra Dubčeka v Trenčíne. Fakulta sociálno-ekonomických vzťahov, 2021. – ISBN (online) 978-80-8075-940-7. – TUAD PC018221, s. 238-245 [online] </t>
  </si>
  <si>
    <t xml:space="preserve">Základné špecifiká nonartificiálneho spevu v kontexte so spevom artificiálnym / Nagyová, Viktoria [Autor, UKFPFAKHU, 50%] ; Pastorková, Jana [Autor, UKFPFAKHU, 50%] ; Nonartificiálna hudba v edukácii [20.05.2019-24.05.2019, Nitra, Slovensko]. – text. – [slovenčina]. – [OV 010]. – [abstrakt z podujatia - KP] In: Nonartificiálna hudba v edukácii [elektronický dokument] : zborník príspevkov z elektronickej vedeckej konferencieu projektu KEGA – Nonartificiálna hudba vo vokálnej edukácii. Konferencia sa koná pod záštitou dekana Pedagogickej fakulty UKF v Nitre doc. PaedDr. Gábora Pintesa, PhD.  20. – 24. mája 2019 / Štrbák Pandiová, Iveta [Zostavovateľ, editor] ; Švajková, Tatiana [Recenzent] ; Ťahún Mendelová, Antónia [Recenzent]. – 1. vyd. – Nitra (Slovensko) : Univerzita Konštantína Filozofa v Nitre, 2019. – ISBN 978-80-558-1445-2, s. 88-99 [online] </t>
  </si>
  <si>
    <t xml:space="preserve">Základy zdravého stravovania prezentované prostredníctvom potravinovej pyramídy / Juríková, Tünde [Autor, UKFFSSUVP, 20%] ; Viczayová, Ildikó [Autor, UKFFSSUVP, 16%] ; Lehoťáková, Eva [Autor, 16%] ; Balla, Štefan [Autor, UKFFSSUVP, 16%] ; Fatrcová Šramková, Katarína [Autor, SPUFAP16, 16%] ; Schwarzová, Marianna [Autor, SPUFAP16, 16%] ; EDUCO 2019, 14 [29.03.2019-30.03.2019, Tatranská Štrba, Slovensko]. – [slovenčina]. – [OV 190]. – [abstrakt z podujatia - KP] In: Environmentální vzdělávání a udržitelný rozvoj jako nedílná součást přípravy učitelů přírodovědných, humanitních, zemědělských a příbuzných oborů : sborník příspěvků XIV. ročníku mezinárodní vědeckékonference EDUCO / Švecová, Milada [Zostavovateľ, editor] ; Horychová, Ilona [Zostavovateľ, editor] ; Matějka, Dobroslav [Zostavovateľ, editor] ; Chocholoušková, Zdeňka [Recenzent] ; Trnovská, Kamila [Recenzent] ; Ziegler, Václav [Recenzent]. – 1. vyd. – Praha (Česko) : Univerzita Karlova v Praze. Přírodovědecká fakulta, 2021. – ISBN 978-80-7444-087-8, s. 91-99 </t>
  </si>
  <si>
    <t xml:space="preserve">Zaujímavosti mikroregiónu Medzihorie = Attractions of the Medzihorie microregion / Zajačková, Kristína [Autor, UKFFPVKGR, 100%] ; Študentská vedecká konferencia 2021 [14.04.2021, Nitra, Banská Bystrica, Slovensko]. – text. – [slovenčina]. – [OV 092]. – [abstrakt z podujatia - KP] In: Študentská vedecká konferencia 2021 Fakulty prírodných vied Univerzity Konštantína Filozofa v Nitre a Fakulty prírodných vied Univerzity Mateja Bela v Banskej Bystrici [textový dokument (print)] : zborník recenzovaných príspevkov / Francisti, Jan [Zostavovateľ, editor] ; Fodor, Kristián [Zostavovateľ, editor]. – 1. vyd. – Nitra (Slovensko) : Univerzita Konštantína Filozofa v Nitre ; Banská Bystrica (Slovensko) : Univerzita Mateja Bela v Banskej Bystrici, 2021. – (Prírodovedec ; 756). – ISBN 978-80-558-1712-5, s. 80-88 [tlačená forma] </t>
  </si>
  <si>
    <t xml:space="preserve">Zhodné zobrazenia v rôznych hudobných dielach / Laššová, Katarína [Autor, UKFFPVKMA, 100%] ; Študentská vedecká konferencia 2019, 3 [09.04.2019, Banská Bystrica, Slovensko]. – text. – [slovenčina]. – [OV 010]. – [abstrakt z podujatia - KP] In: Študentská vedecká konferencia 2019 [elektronický dokument] : zborník recenzovaných príspevkov, Banská Bystrica 9. apríla 2019 / Francisti, Jan [Zostavovateľ, editor] ; Zverková, Katarína [Zostavovateľ, editor] ; Omelka, Radoslav [Zostavovateľ, editor]. – 1. vyd. – Nitra (Slovensko) : Univerzita Konštantína Filozofa v Nitre ; Banská Bystrica (Slovensko) : Univerzita Mateja Bela v Banskej Bystrici, 2019. – ISBN 978-80-558-1433-9, s. 371-377 [online] </t>
  </si>
  <si>
    <t xml:space="preserve">Zhodnotenie potenciálu historických fotografií, máp a leteckých snímok pre štúdium zmien kultúrnej krajiny na príklade lokality UNESCO - Vlkolínec ( Slovensko) / Boltižiar, Martin [Autor, UKFFPVKGR, 50%] ; Petrovič, František [Autor, UKFFPVKEE, 50%] ; Pamiatky svetového dedičstva UNESCO v živote obcí, miest a regiónov [24.10.2018-25.10.2018, Ružomberok, Slovensko]. – [slovenčina]. – [OV 100]. – [abstrakt z podujatia - KP] In: Pamiatky svetového dedičstva UNESCO v živote obcí, miest a regiónov [textový dokument (print)] : zborník z konferencie, Ružomberok, 24.-25. októbra 2018 / Kozová, Mária [Zostavovateľ, editor] ; Salašová, Alena [Recenzent] ; Bublinec, Eduard [Recenzent]. – 1. vyd. – Ružomberok (Slovensko) : Katolícka univerzita v Ružomberku. VERBUM - vydavateľstvo KU, 2018. – ISBN 978-80-561-0607-5. – SIGN-KU F 6.7/287, s. 51-66 [tlačená forma] </t>
  </si>
  <si>
    <t xml:space="preserve">Zig - zag functions in mathematical open ended problems for functional thinking development / Bulková, Kristína [Autor, UKFFPVKMA, 50%] ; Čeretková, Soňa [Autor, UKFFPVKMA, 50%] ; APLIMAT 2019, 18 [05.02.2019-07.02.2019, Bratislava, Slovensko]. – text. – [angličtina]. – [OV 010]. – [abstrakt z podujatia - KP]. – SCO In: Aplimat 2019 [elektronický dokument] : 18th conference on Applied mathematics proceedings / Szarková, Dagmar [Zostavovateľ, editor] ; Richtáriková, Daniela [Zostavovateľ, editor] ; Letavaj, Peter [Zostavovateľ, editor] ; Caranti, Andrea [Recenzent] ; Chvalina, Jan [Recenzent]. – 1. vyd. – Bratislava (Slovensko) : Slovenská technická univerzita v Bratislave, 2019. – ISBN 978-80-227-4884-1, s. 134-143 [USB kľúč] </t>
  </si>
  <si>
    <t xml:space="preserve">Zmena hierarchie hodnôt v rýchlo sa meniacej spoločnosti v Taliansku počas povojnovej industrializácie v myslení Piera Paola Pasoliniho / Gritti, Fabiano [Autor, UKFFFAKRO, 100%] ; Morálka v kontexte storočí [28.03.2019-29.03.2019, Prešov, Slovensko]. – text. – [slovenčina]. – [OV 020]. – [abstrakt z podujatia - KP] In: Morálka v kontexte storočí [textový dokument (print)] : zborník vedeckých príspevkov / Brodňanská, Erika [Zostavovateľ, editor] ; Koželová, Adriána Ingrid [Zostavovateľ, editor] ; Grusková, Jana [Recenzent] ; Lichner, Miloš [Recenzent]. – 1. vyd. – Prešov (Slovensko) : Prešovská univerzita v Prešove. Filozofická fakulta, 2019. – (Opera Litteraria ; 8/2019). – ISBN 978-80-555-2299-9. – SIGN-PU FF-19 329/19, s. 172-178 [tlačená forma] </t>
  </si>
  <si>
    <t xml:space="preserve">Zmeny súčasnej rodiny / Selická, Denisa [Autor, UKFFFAKSO, 100%] ; Svetový deň sociálnej práce, 5 [19.03.2019, Sládkovičovo, Slovensko]. – text. – [slovenčina]. – [OV 060]. – [abstrakt z podujatia - KP] In: Svetový deň sociálnej práce 5 [elektronický dokument] : Podpora dôležitosti medziľudských vzťahov / Šebestová, Petronela [Zostavovateľ, editor] ; Mareková, Hermína [Zostavovateľ, editor] ; Spuchľák, Juraj [Recenzent] ; Šebesta, Matej [Recenzent]. – 1. vyd. – Sládkovičovo (Slovensko) : Vysoká škola Danubius. Fakulta sociálnych štúdií, 2019. – ISBN 978-80-8167-068-8, s. 131-139 [CD-ROM] </t>
  </si>
  <si>
    <t xml:space="preserve">Zmeny v úrovni ohybnosti vplyvom strečingu v boxe / Czaková, Natália [Autor, UKFPFAKTV, 34%] ; Paška, Ľubomír [Autor, UKFPFAKTV, 33%] ; Cifra, Jakub [Autor, 33%] ; Sport science in motion [05.09.2019-07.09.2019, Komárno, Slovensko]. – text. – [slovenčina, angličtina]. – [OV 210]. – [abstrakt z podujatia - KP] In: Sport science in motion [elektronický dokument] : proceedings from the scientific conference, Komárno, September 5th – 7th, 2019 = zborník vedeckých a odborných prác z vedeckej konferencie = válogatott tanulmánykötet – válogatott tanulmányok a tudományos konferenciáról / Šimonek, Jaromír [Zostavovateľ, editor] ; Dobay, Beáta [Zostavovateľ, editor] ; Chovanová, Erika [Recenzent] ; Vojtaško, Ľuboš [Recenzent] ; Holienka, Miroslav [Recenzent]. – 1. vyd. – Komárno (Slovensko) : Univerzita J. Selyeho, 2019. – ISBN 978-80-8122-304-4, s. 160-166 [CD-ROM] </t>
  </si>
  <si>
    <t xml:space="preserve">Zmeny v úrovni ohybnosti vplyvom strečingu vo futbale / Czaková, Natália [Autor, UKFPFAKTV, 25%] ; Kanásová, Janka [Autor, UKFPFAKTV, 25%] ; Divinec, Lenka [Autor, UKFPFAKTV, 25%] ; Cifra, Jakub [Autor, 25%] ; Sport science in motion [05.09.2019-07.09.2019, Komárno, Slovensko]. – text. – [slovenčina, angličtina]. – [OV 210]. – [abstrakt z podujatia - KP] In: Sport science in motion [elektronický dokument] : proceedings from the scientific conference, Komárno, September 5th – 7th, 2019 = zborník vedeckých a odborných prác z vedeckej konferencie = válogatott tanulmánykötet – válogatott tanulmányok a tudományos konferenciáról / Šimonek, Jaromír [Zostavovateľ, editor] ; Dobay, Beáta [Zostavovateľ, editor] ; Chovanová, Erika [Recenzent] ; Vojtaško, Ľuboš [Recenzent] ; Holienka, Miroslav [Recenzent]. – 1. vyd. – Komárno (Slovensko) : Univerzita J. Selyeho, 2019. – ISBN 978-80-8122-304-4, s. 167-172 [CD-ROM] </t>
  </si>
  <si>
    <t xml:space="preserve">Zmeny vegetácie na vybraných štítoch subniválneho stupňa Vysokých Tatier = Changes of vegetation on selected peaks of subnival level of High Tatras / Sedlák, Andrej [Autor, UKFFPVKEE, 50%] ; Piscová, Veronika [Autor, 50%] ; Študentská vedecká konferencia 2020, 6 [07.04.2020, Nitra, Slovensko]. – text. – [slovenčina]. – [OV 130, 100]. – [abstrakt z podujatia - KP] In: Študentská vedecká konferencia 2020 [elektronický dokument] : zborník recenzovaných príspevkov [zo zrušenej študentskej vedeckej konferencie s plánovaným termínom konania 7.4.2020 v Nitre] / Spišiak, Ján [Zostavovateľ, editor] ; Račáková, Slavka [Zostavovateľ, editor] ; Voštinár, Patrik [Recenzent] ; Melicherčík, Miroslav [Recenzent]. – 1. vyd. – Banská Bystrica (Slovensko) : Univerzita Mateja Bela v Banskej Bystrici ; Nitra (Slovensko) : Univerzita Konštantína Filozofa v Nitre, 2020. – ISBN 978-80-557-1733-3, s. 59-63 [online] </t>
  </si>
  <si>
    <t xml:space="preserve">Zmeny vo výskyte porušených pohybových stereotypov u mladých atlétov vplyvom balančných cvičení / Kanásová, Janka [Autor, UKFPFAKTV, 25%] ; Divinec, Lenka [Autor, UKFPFAKTV, 25%] ; Czaková, Natália [Autor, UKFPFAKTV, 25%] ; Vasiľovský, Ivan [Autor, 25%] ; Pupiš, Martin [Recenzent] ; Šutka, Vladimír [Recenzent] ; Atletika 2018 [29.11.2018, Nitra, Slovensko]. – text. – [slovenčina]. – [OV 210]. – [abstrakt z podujatia - KP] In: Atletika 2018 [textový dokument (print)] : zborník z medzinárodnej vedeckej konferencie v Nitre 29.11.2018 / Broďáni, Jaroslav [Zostavovateľ, editor]. – 1. vyd. – Nitra (Slovensko) : Univerzita Konštantína Filozofa v Nitre, 2018. – ISBN 978-80-558-1356-1, s. 68-80 [tlačená forma] </t>
  </si>
  <si>
    <t xml:space="preserve">Zochovo Slovo za slovenčinu / Klabníková, Ivana [Autor, UKFFFASJL, 100%] ; Kolokvium mladých jazykovedcov, 26 [06.09.2017-08.09.2017, Prešov, Slovensko]. – text. – [slovenčina]. – [OV 020]. – [abstrakt z podujatia - KP] In: Varia 26 [elektronický dokument] : zborník príspevkov z XXVI. kolokvia mladých jazykovedcov / Bodnárová, Martina [Zostavovateľ, editor] ; Klingová, Jana [Zostavovateľ, editor] ; Rešovská, Soňa [Zostavovateľ, editor] ; Ološtiak, Martin [Recenzent] ; Slančová, Daniela [Recenzent]. – 1. vyd. – Prešov (Slovensko) : Prešovská univerzita v Prešove, 2021. – ISBN (online) 978-80-555-2736-9. – SIGN-PU FF-21 99/21, s. 57-60 [online] </t>
  </si>
  <si>
    <t xml:space="preserve">Zosúladenie pracovného a rodinného života / Selická, Denisa [Autor, UKFFFAKSO, 50%] ; Štrbová, Monika [Autor, UKFFFAKSO, 50%] ; Vizualizácia sociálnej práce, 5 [22.05.2019, Sládkovičovo, Slovensko]. – text. – [slovenčina]. – [OV 060]. – [abstrakt z podujatia - KP] In: Vizualizácia sociálnej práce 5 [elektronický dokument] / Mareková, Hermína [Zostavovateľ, editor] ; Šebestová, Petronela [Zostavovateľ, editor] ; Spuchľák, Juraj [Recenzent] ; Šebesta, Matej [Recenzent]. – 1. vyd. – Sládkovičovo (Slovensko) : Vysoká škola Danubius, 2019. – ISBN 978-80-8167-069-5, s. 82-90 [CD-ROM] </t>
  </si>
  <si>
    <t xml:space="preserve">Zu einigen Ausspracheschwierigkeiten der deutschlernenden Studenten im Fachbereich des Tourismus / Molnárová, Andrea [Autor, UKFFFAKMK, 100%] ; Forlang, 10 [23.06.2021-24.06.2021, Košice, Slovensko]. – text. – [nemčina]. – [OV 010]. – [abstrakt z podujatia - KP] In: Forlang [elektronický dokument] : periodický zborník vedeckých príspevkov a odborných článkov z medzinárodnej vedeckej konferencie konanej 23. - 24. júna 2021 : cudzie jazyky v akademickom prostredí = foreign Languages in the Academic Environment = Fremdsprachen im akademischen Bereich = inostrannye jazyki v akademičeskoj srede / Kaščáková, Eva [Zostavovateľ, editor] ; Alieva, Lenka [Recenzent] ; Czéreová, Beáta [Recenzent] ; Hájik, Tomáš [Recenzent] ; Klink, Sandra [Recenzent] ; Kulíková, Terézia [Recenzent] ; Mazurová, Helena [Recenzent] ; Mihalčinová, Zuzana [Recenzent] ; Mihaľová, Alena [Recenzent] ; Pechová, Soňa [Recenzent] ; Sorger, Roman [Recenzent] ; Szabová, Katarína [Recenzent] ; Timárová, Daniela [Recenzent] ; Vráželová, Viktória [Recenzent]. – 1. vyd. – Roč. 8, č. 1. – Košice (Slovensko) : Technická univerzita v Košiciach, 2021. – ISBN (online) 978-80-553-3948-1. – ISSN 1338-5496. – SIGN-TUKE 233160, s. 256-264 [CD-ROM] </t>
  </si>
  <si>
    <t xml:space="preserve">Zur förderung der sprach- und edienkompetenz (pod-casts im fachsprachenunterricht) = Towards promoting language and media skills (podcasts in specialized lan-guage teaching) / Chebenová, Viera [Autor, UKFFFAKGE, 50%] ; Wrede, Oľga [Autor, UKFFFAKGE, 50%] ; Cudie jazyky v premenách času, 10 [08.11.2019, Bratislava, Slovensko]. – text. – [nemčina]. – [OV 020]. – [abstrakt z podujatia - KP] In: Cudzie jazyky v premenách času [elektronický dokument] : recenzovaný zborník príspevkov z medzinárodnej vedeckej konferencie / Kvapil, Roman [Zostavovateľ, editor] ; Adamcová, Lívia [Recenzent] ; Breveníková, Daniela [Recenzent] ; Lišková, Danuša [Recenzent]. – 1. vyd. – Roč. 10. – Bratislava (Slovensko) : Ekonomická univerzita v Bratislave. Celouniverzitné pracovisko EUBA. Vydavateľstvo EKONÓM, 2020. – ISBN 978-80-225-4710-9, s. 356-366 [CD-ROM] [online] </t>
  </si>
  <si>
    <t xml:space="preserve">Židovská identita ve sbírce Siegfrieda Kappera České listy (Několik poznámek k reflexi a sebereflexi česko-německo-židovského spisovatele) / Mikulášek, Alexej [Autor, UKFFSSUSJ, 100%] ; Židovský kultúrny fenomén vstredoeurópskom kontexte, 3 [11.04.2019, Sereď, Slovensko]. – text. – [čeština]. – [OV 020]. – [abstrakt z podujatia - KP] In: Židovský kultúrny fenomén v stredoeurópskom kontexte 3 [textový dokument (print)] : zborník z 3. ročníka medzinárodnej vedeckej konferencie, Sereď 11. apríla 2019 / Hrbáček, Magdaléna [Zostavovateľ, editor] ; Bolemant, Lilla [Recenzent] ; Mizerová, Božena [Recenzent]. – 1. vyd. – Nitra (Slovensko) : Univerzita Konštantína Filozofa v Nitre, 2019. – ISBN 978-80-973283-0-6, s. 75-111 [tlačená forma] </t>
  </si>
  <si>
    <t xml:space="preserve">Životný štýl detí 14-18 rokov vo vybranom regióne / Halmová, Nora [Autor, UKFPFAKTV, 34%] ; Veis, Alexandra [Autor, UKFPFAKTV, 33%] ; Michelčíková, Martina [Autor, 33%] ; Sport science in motion [05.09.2019-07.09.2019, Komárno, Slovensko]. – text. – [slovenčina, angličtina]. – [OV 210]. – [abstrakt z podujatia - KP] In: Sport science in motion [elektronický dokument] : proceedings from the scientific conference, Komárno, September 5th – 7th, 2019 = zborník vedeckých a odborných prác z vedeckej konferencie = válogatott tanulmánykötet – válogatott tanulmányok a tudományos konferenciáról / Šimonek, Jaromír [Zostavovateľ, editor] ; Dobay, Beáta [Zostavovateľ, editor] ; Chovanová, Erika [Recenzent] ; Vojtaško, Ľuboš [Recenzent] ; Holienka, Miroslav [Recenzent]. – 1. vyd. – Komárno (Slovensko) : Univerzita J. Selyeho, 2019. – ISBN 978-80-8122-304-4, s. 141-149 [CD-ROM] </t>
  </si>
  <si>
    <t>AFE - Abstrakty pozvaných príspevkov zo zahraničných vedeckých konferencií</t>
  </si>
  <si>
    <t xml:space="preserve">Agilita v športe - testovanie, tréning a faktory limitujúce športový výkon / Šimonek, Jaromír [Autor, UKFPFAKTV, 100%] ; Disportare 2020 [05.11.2020-06.11.2020, České Budějovice, Česko]. – text. – [slovenčina]. – [OV 210]. – [abstrakt z podujatia - KP] In: Disportare 2020 [textový dokument (print)] : sborník abstraktů z mezinárodní vědecké konference, České Budějovice 5. – 6. 11. 2020 / Kursová, Vlasta [Zostavovateľ, editor]. – 1. vyd. – České Budějovice (Česko) : Jihočeská univerzita v Českých Budějovicích, 2020. – ISBN 978-80-7394-830-6, s. 40-40 [tlačená forma] </t>
  </si>
  <si>
    <t xml:space="preserve">Alcohol administration affects compact bone structure of mice after one remodeling cycle / Martiniaková, Monika [Autor, UKFFPVKZA, 16%] ; Šarocká, Anna [Autor, UKFFPVKZA, 12%] ; Babosová, Ramona [Autor, UKFFPVKZA, 12%] ; Kapusta, Edyta [Autor, 12%] ; Goc, Zofia [Autor, 12%] ; Greń, Agnieszka [Autor, 12%] ; Formicki, Grzegorz [Autor, 12%] ; Omelka, Radoslav [Autor, UKFFPVKBG, 12%] ; Animal Physiology 2018, 14 [13.06.2018-15.06.2018, Krakov, Poľsko]. – text. – [angličtina]. – [OV 130]. – [abstrakt z podujatia - KP] In: Animal Physiology 2018 [elektronický dokument] : book of abstracts : 14th international scientific conference / Muchacka, Renata [Zostavovateľ, editor] ; Kapusta, Edyta [Zostavovateľ, editor]. – 1. vyd. – Krakov (Poľsko) : Uniwersytet Pedagogiczny im. Komisji Edukacji Narodowej w Krakowie. Wydawnictwo Naukowe Uniwersytetu Pedagogicznego, 2018. – ISBN 978-83-8084-152-9, s. 40-40 [online] </t>
  </si>
  <si>
    <t xml:space="preserve">Implementácia novej normy ISO 45001 v podnikoch / Tureková, Ivana [Autor, UKFPFAKTT, 34%] ; Harangozó, Jozef [Autor, 33%] ; Marková, Iveta [Autor, ZUZFBIPŽI, 33%] ; Bezpečnost a ochrana zdraví při práci 2020 [24.11.2020, Ostrava, Česko]. – text. – [slovenčina]. – [OV 010]. – [abstrakt z podujatia - KP] In: Bezpečnost a ochrana zdraví při práci 2020 [textový dokument (print)] : recenzovaný sborník abstraktů 20. ročníku mezinárodní online konference, Ostrava 24.11.2020 / Bernatík, Aleš [Zostavovateľ, editor]. – 1. vyd. – Ostrava (Česko) : Vysoká škola báňská – Technická univerzita Ostrava, 2020. – ISBN 978-80-7385-237-5, s. 51-53 </t>
  </si>
  <si>
    <t xml:space="preserve">Intergeneric Nucleolo - Transfer and Its Impact On Early Embryonic Development In Vitro / Laurinčík, Jozef [Autor, UKFFPVKZA, 60%] ; Murín, Matej [Autor, 10%] ; Benc, Michal [Autor, 5%] ; Pendovski, Lazo [Autor, 5%] ; Kochoski, Ljupche [Autor, 5%] ; Morovič, Martin [Autor, UKFFPVKZA, 5%] ; Bartková, Alexandra [Autor, UKFFPVKBG, 5%] ; Strejček, František [Autor, UKFFPVKBG, 5%] ; International Vet-Istambul Group Congress, 5 [23.09.2017-27.09.2017, Ohrid, Macedónsko]. – text. – [angličtina]. – [OV 130]. – [abstrakt z podujatia - KP]. – [recenzované] In: Joint meeting 5th International Vet-Istambul Group Congress and 8th International Scientific Meeting Days of veterinary medicine 2018 [textový dokument (print)] : Ohrid, 23-27 September 2017 / [bez zostavovateľa] [Zostavovateľ, editor]. – 1. vyd. – Skopje (Macedónsko) : Ss. Cyril and Methodius University in Skopje. Faculty of Veterinary Medicine - Skopje, 2018. – ISBN 978-9989-774-31-7, s. 26-28 [tlačená forma] </t>
  </si>
  <si>
    <t xml:space="preserve">Poľnohospodárstvo v stredoveku z pohľadu československej archeológie / Borzová, Zuzana [Autor, UKFFFAKAR, 50%] ; Tamaškovič, Jakub [Autor, UKFFFAKAR, 50%] ; 100 let čeké a slovenské archeologie středověku, 51 [23.09.2019-26.09.2019, Křivoklát, Česko]. – text. – [slovenčina]. – [OV 030]. – [abstrakt z podujatia - KP] In: Archaeologia historica 51 [textový dokument (print)] : 100 let čeké a slovenské archeologie středověku, zborník abstraktů z mezinárodní konference, Křivoklát, 23. - 26.09.2019 / Maříková-Kubková, Jana [Zostavovateľ, editor] ; Válová, Katarína [Zostavovateľ, editor]. – 1. vyd. – Praha (Česko) : Akademie věd České republiky. Archeologický ústav AV ČR, 2019. – ISBN 978-80-7581-015-1, s. 14-14 [tlačená forma] </t>
  </si>
  <si>
    <t xml:space="preserve">Prínos dlhodobého výskumu Pustého hradu vo Zvolene pre bádanie, jeho najnovšie výsledky a perspektíva do budúcnosti / Beljak, Ján [Autor, 20%] ; Beljak Pažinová, Noémi [Autor, UKFFFAKAR, 80%] ; 100 let čeké a slovenské archeologie středověku, 51 [23.09.2019-26.09.2019, Křivoklát, Česko]. – text. – [slovenčina]. – [OV 030]. – [abstrakt z podujatia - KP] In: Archaeologia historica 51 [textový dokument (print)] : 100 let čeké a slovenské archeologie středověku, zborník abstraktů z mezinárodní konference, Křivoklát, 23. - 26.09.2019 / Maříková-Kubková, Jana [Zostavovateľ, editor] ; Válová, Katarína [Zostavovateľ, editor]. – 1. vyd. – Praha (Česko) : Akademie věd České republiky. Archeologický ústav AV ČR, 2019. – ISBN 978-80-7581-015-1, s. 19-19 [tlačená forma] </t>
  </si>
  <si>
    <t xml:space="preserve">Religijność młodzieży słowackiej w procesie przemian / Štefaňak, Ondrej [Autor, UKFFFAKSO, 100%] ; Prace komisji naukowych [11.12.2017, Katowice, Poľsko]. – text. – [poľština]. – [OV 020]. – [abstrakt z podujatia - KP] In: Prace komisji naukowych [textový dokument (print)] : Zeszyt nr 41 - 42, Katowice, 11. grudnia 2017 / Burghard, Andrzej [Zostavovateľ, editor]. – 1. vyd. – Katowice (Poľsko) : Polska Akademia Nauk, 2019. – ISBN 978-83-88657-57-3, s. 263-266 </t>
  </si>
  <si>
    <t xml:space="preserve">Something new about the castle crew. An archaeozoological perspective to castle and economy at the Deserted castle in Zvolen and Peťuša castle / Beljak, Ján [Autor, 10%] ; Beljak Pažinová, Noémi [Autor, UKFFFAKAR, 40%] ; Šimunková, Katarína [Autor, UKFFFAKAR, 50%] ; Castrum Bene, 16 [21.05.2019-25.05.2019, Kutina, Chorvátsko]. – [angličtina]. – [OV 030]. – [abstrakt z podujatia - KP] In: Castrum Bene 16 [textový dokument (print)] : Castle and Economy : Book of Abstracts and Fieldtrip Guides from The 16th International Castellological Conference / Pisk, Silvija [Zostavovateľ, editor]. – vyd. – Roč. 16. – Kutina (Chorvátsko) : Muzej Moslavine, 2019. – ISBN 978-953-7135-62-1, s. 12-12 [tlačená forma] </t>
  </si>
  <si>
    <t xml:space="preserve">Unifikačné tendencie zámenných tvarov v štandardnej variete súčasnej slovenčiny / Kralčák, Ľubomír [Autor, UKFFFASJL, 100%] ; Budowy Gramatycznej Jezyków Slowianskich przy Miedzynarodowym Komitecie Slawistów [18.09.2019-20.09.2019, Warszawa, Poľsko]. – [slovenčina]. – [OV 020]. – [abstrakt z podujatia - KP] In: Budowy Gramatycznej Jezyków Slowianskich przy Miedzynarodowym Komitecie Slawistów [textový dokument (print)] : Warszawa, 18–20 września 2019 r. / [bez zostavovateľa] [Zostavovateľ, editor]. – 1. vyd. – Warszawa (Poľsko) : Uniwersytet Warszawski, 2019. – ISBN 978-83-950682-0-1, s. 35-36 </t>
  </si>
  <si>
    <t>AFF - Abstrakty pozvaných príspevkov z domácich vedeckých konferencií</t>
  </si>
  <si>
    <t xml:space="preserve">Expressive variability of public space from the perspective of art marketing / Inštitorisová, Dagmar [Autor, UKFFFAKMR, 100%] ; Coordinates of aesthetics, art and culture 7 [11.11.2021-12.11.2021, Prešov, Slovensko]. – [angličtina]. – [OV 020]. – [abstrakt z podujatia - KP] In: Coordinates of aesthetics, art and culture 7 [elektronický dokument] : public space in the contexts of aesthetics, art theory and art practice : book of abstracts / Bandurová, Lenka [Zostavovateľ, editor] ; Kušnírová, Eva [Zostavovateľ, editor]. – 1. vyd. – Prešov (Slovensko) : Spoločnosť pre estetiku na Slovensku, 2021. – ISBN (online) 978-80-973800-2-1. – SIGN-PU FF-21 668/21, s. 17-17 [online] </t>
  </si>
  <si>
    <t xml:space="preserve">From the issue of Slovak-German relations in the case of guild rules / Šmeringaiová, Paulína [Autor, UKFFFAKRU, 100%] ; Minority v Európe [06.11.2018-08.11.2018, Trnava, Slovensko]. – [angličtina]. – [OV 020]. – [abstrakt z podujatia - KP] In: Minorities in Europe [textový dokument (print)] : research, documentation, presentation, revitalization : book of abstracts / Priečko, Martin [Zostavovateľ, editor] ; Ižák, Štefan [Zostavovateľ, editor] ; Kurajda, Lukáš [Zostavovateľ, editor]. – 1. vyd. – Trnava (Slovensko) : Univerzita sv. Cyrila a Metoda v Trnave, 2018. – ISBN 978-80-8105-963-6, s. 20-20 [tlačená forma] </t>
  </si>
  <si>
    <t xml:space="preserve">Využitie metód 3D vizualizácii pri interpretácii historických krajinných štruktúr a objektov / Chrastina, Peter [Autor, UCMFIFKHIS, 33.334%] ; Gogová, Stanislava [Autor, UKFFFAKMU, 33.333%] ; Bešina, Daniel [Autor, UKFFFAKAR, 33.333%] ; Matej Bel a jeho súčasníci: diela, texty a kontexty, 4 [11.11.2020, Trnava, Slovensko]. – text. – [slovenčina]. – [OV 030]. – [abstrakt z podujatia - KP] In: Matej Bel a jeho súčasníci [textový dokument (print)] : diela, texty a kontexty : zborník abstraktov / Chrastina, Peter [Zostavovateľ, editor] ; Juríková, Erika [Zostavovateľ, editor]. – 1. vyd. – Trnava (Slovensko) : Univerzita sv. Cyrila a Metoda v Trnave. Filozofická fakulta. Katedra historických vied a stredoeurópskych štúdií, 2020. – ISBN 978-80-572-0080-2. – TUT ID E082203, s. 10-11 [tlačená forma] </t>
  </si>
  <si>
    <t>AFG - Abstrakty príspevkov zo zahraničných vedeckých konferencií</t>
  </si>
  <si>
    <t xml:space="preserve">A szlovákiai magyar diákok olvasási szokásainak mghatározása / Gergelyová, Viktória [Autor, UKFFSSUML, 100%] ; HuCER 2019 - Prevenció, intervenció és kompenzáció [23.05.2019-24.05.2019, Eger, Maďarsko]. – text. – [maďarčina]. – [OV 010]. – [abstrakt z podujatia - KP] In: HuCER 2019 - prevenció, intervenció és kompenzáció [textový dokument (print)] : korszerű neveléstudományi módszerekkel a korai iskolaelhagyás ellen: absztraktkötet, Eger, 23.05. - 24.5. 2019 / [bez zostavovateľa] [Zostavovateľ, editor]. – 1. vyd. – Eger (Maďarsko) : Magyar Nevelés- és Oktatáskutatók Egyesülete, 2019. – ISBN 978-615-5657-07-8, s. 155-155 </t>
  </si>
  <si>
    <t xml:space="preserve">Age-related changes in bone microstructure of mice / Šranko, Patrik [Autor, UKFFPVKBG, 16%] ; Šarocká, Anna [Autor, UKFFPVKZA, 12%] ; Kováčová, Veronika [Autor, UKFFPVKZA, 12%] ; Babosová, Ramona [Autor, UKFFPVKZA, 12%] ; Mondočková, Vladimíra [Autor, UKFFPVKBG, 12%] ; Uhrín, Pavel [Autor, 12%] ; Omelka, Radoslav [Autor, UKFFPVKBG, 12%] ; Martiniaková, Monika [Autor, UKFFPVKZA, 12%] ; Risk factors of food chain 2018, 19 [26.09.2018-28.09.2018, Mátrafüred, Maďarsko]. – text. – [angličtina]. – [OV 130]. – [abstrakt z podujatia - KP] In: Risk factors of food chain [textový dokument (print)] : book of abstracts : 19. international conference / Géczi, Gábor [Recenzent] ; Korzenszky, Péter [Recenzent] ; Sembery, Peter [Recenzent]. – 1. vyd. – Gödöllö (Maďarsko) : Szent István Egyetem, 2018. – ISBN 978-963-269-774-1, s. 33-33 [tlačená forma] </t>
  </si>
  <si>
    <t xml:space="preserve">Akceptácia zmeny vo vzťahu k osobnostným vlastnostiam u dospelých / Hudáková, Miriama [Autor, UKFFSVUAP, 99%] ; Kuviková, Barbora [Autor, 1%] ; Psychologie práce a organizace 2021, 20 [12.05.2021-14.05.2021, Olomouc, Česko]. – text. – [slovenčina]. – [OV 060]. – [abstrakt z podujatia - KP]. – [recenzované] In: Psychologie práce a organizace 2021 [elektronický dokument] : Sborník abstraktů, 13.-14.5.2021 / Seitl, Martin [Zostavovateľ, editor] ; Viktorová, Lucie [Zostavovateľ, editor]. – 1. vyd. – Olomouc (Česko) : Univerzita Palackého v Olomouci, 2021. – ISBN (online) 978-80-244-5908-0, s. 49-50 </t>
  </si>
  <si>
    <t xml:space="preserve">Amygdalin affects viability, cell size, and gene expression in cultivated human osteoblasts / Omelka, Radoslav [Autor, UKFFPVKBG, 16%] ; Kováčová, Veronika [Autor, UKFFPVKZA, 12%] ; Adamkovičová, Mária [Autor, UKFFPVKBG, 12%] ; Mondočková, Vladimíra [Autor, UKFFPVKBG, 12%] ; Šarocká, Anna [Autor, UKFFPVKZA, 12%] ; Šranko, Patrik [Autor, UKFFPVKBG, 12%] ; Kolesárová, Adriana [Autor, SPUFBP03, 12%] ; Martiniaková, Monika [Autor, UKFFPVKZA, 12%] ; WCO IOF-ESCEO 2019 [04.04.2019-07.04.2019, Paríž, Francúzsko]. – text. – [angličtina]. – [OV 130]. – [abstrakt z podujatia - ČL]. – WOS CC In: Osteoporosis International [textový dokument (print)] [elektronický dokument] : with other metabolic bone diseases : a journal established as result of cooperation between the European Foundation for Osteoporosis and the National Osteoporosis Foundation of the USA. – London (Veľká Británia) : Springer Nature. – ISSN 0937-941X. – ISSN (online) 1433-2965. – suppl. Roč. 30, č. Supplement 1 (2019), s. 525-525 [tlačená forma] [online] . – IF: 3,864 ; SNIP: 1,612 ; SJR: 1,367 ; CiteScore: 7,4 JIF - Endocrinology &amp; metabolism - Q2 Scimago - Endocrinology, diabetes and metabolism - Q1, Medicine (miscellaneous) - Q1 </t>
  </si>
  <si>
    <t xml:space="preserve">Analýza rodičovských výchovných štýlov v sociálnom vylúčení / Čerešníková, Miroslava [Autor, UKFFSVURS, 50%] ; Čerešník, Michal [Autor, UKFPFAKAP, 50%] ; PhD existence 2018, 8 [31.01.2018-01.02.2018, Olomouc, Česko]. – text. – [slovenčina]. – [OV 060]. – [abstrakt z podujatia - KP] In: PhD existence 8 [elektronický dokument] : Nekonečno v psychologii. Sborník abstraktů z konference / Maierová, Eva [Zostavovateľ, editor] ; Viktorová, Lucie [Zostavovateľ, editor] ; Suchá, Jaroslava [Zostavovateľ, editor] ; Dolejš, Martin [Zostavovateľ, editor]. – 1. vyd. – Olomouc (Česko) : Univerzita Palackého v Olomouci, 2018. – ISBN 978-80-244-5269-2, s. 25-25 [online] </t>
  </si>
  <si>
    <t xml:space="preserve">Antecedents of pe teachers’ motivational strategies / Soos, István [Autor, 20%] ; Spray, C. [Autor, 20%] ; Makszin, A. [Autor, 20%] ; Šimonek, Jaromír [Autor, UKFPFAKTV, 20%] ; Hamar, Pál [Autor, 20%] ; 25th Annual Congress of the European College of Sport Science, 25 [28.10.2020-30.10.2020, Sevilla, Španielsko]. – [angličtina]. – [OV 210]. – [abstrakt z podujatia - KP] In: European college of sport science [elektronický dokument] : book of abstracts  of the 25th annual congres / Dela, Flemming [Zostavovateľ, editor] ; Müller, Erich [Zostavovateľ, editor] ; Tsolakidis, Elias [Zostavovateľ, editor] ; Bailey, Stephen [Recenzent] ; Ball, Nick [Recenzent] ; Baltzopoulous, Bill [Recenzent]. – 1. vyd. – Roč. 25. – Cologne (Nemecko) : European college of sport science, 2020. – ISBN 978-3-9818414-3-5, s. 245-246 [online] </t>
  </si>
  <si>
    <t xml:space="preserve">Archeológia deťom. Máme radi stredovek? Prezentačné aktivity Katedry muzeológie FF UKF v Nitre / Gogová, Stanislava [Autor, UKFFFAKMU, 100%] ; Archaeologia Historica 2019, 51 [23.09.2019-26.09.2019, Křivoklát, Česko]. – text. – [slovenčina]. – [OV 010, 030]. – [abstrakt z podujatia - KP] In: Archaeologia historica 51 [textový dokument (print)] : 100 let čeké a slovenské archeologie středověku, zborník abstraktů z mezinárodní konference, Křivoklát, 23. - 26.09.2019 / Maříková-Kubková, Jana [Zostavovateľ, editor] ; Válová, Katarína [Zostavovateľ, editor]. – 1. vyd. – Praha (Česko) : Akademie věd České republiky. Archeologický ústav AV ČR, 2019. – ISBN 978-80-7581-015-1, s. 38-38 [tlačená forma] </t>
  </si>
  <si>
    <t xml:space="preserve">Artistic-educational activities as a tool for socio-emotional stability of pupils in the 1st grade of elementary schools / Hegarová, Eva [Autor, UKFPFAKPE, 50%] ; Kollárová, Dana [Autor, UKFPFAKPE, 50%] ; Integration of Education, Science and Business in Modern Environment: Winter Debates, 2 [04.02.2021-05.02.2021, Dnipro, Ukrajina]. – text. – [angličtina]. – [OV 010]. – [abstrakt z podujatia - ČL] In: International electronic scientific and practical journal “WayScience” [elektronický dokument] . – Dneper (Ukrajina) : Dnipro. – ISSN (online) 2664-4819. – Roč. 4, č. 1 (2021), s. 63-65 [online] </t>
  </si>
  <si>
    <t xml:space="preserve">Association between body height and CODs and RA tests' performance in elite team sports players / Popowczak, M. [Autor, 20%] ; Domaradzki, J. [Autor, 20%] ; Horička, Pavol [Autor, UKFPFAKTV, 20%] ; Šimonek, Jaromír [Autor, UKFPFAKTV, 20%] ; Rokita, A. [Autor, 20%] ; ECSS virtual congress 2021, 26 [08.09.2021-10.09.2021, Kolín nad Rýnom, Nemecko]. – text. – [angličtina]. – [OV 010, 210]. – [ŠO 7605, 7418]. – [abstrakt z podujatia - KP]. – SIGN-UKO TV EXTV In: European college of sport science [elektronický dokument] : book of abstracts of the 26th annual congress / Dela, Flemming [Zostavovateľ, editor] ; Helge, Jorn Wulff [Zostavovateľ, editor] ; Müller, Erich [Zostavovateľ, editor] ; Tsolakidis, Elias [Zostavovateľ, editor] ; Bailey, Stephen [Recenzent] ; Ball, Nick [Recenzent] ; Baltzopoulous, Bill [Recenzent]. – 1. vyd. – Kolín nad Rýnom (Nemecko) : European college of sport science, 2021. – ISBN 978-3-9818414-4-2, s. 297-297 [online] </t>
  </si>
  <si>
    <t xml:space="preserve">Cadmium inhibits cell growth and function through altered gene expression in human osteoblasts / Adamkovičová, Mária [Autor, UKFFPVKBG, 16%] ; Lukáčová, Martina [Autor, 12%] ; Mondočková, Vladimíra [Autor, UKFFPVKBG, 12%] ; Kováčová, Veronika [Autor, UKFFPVKZA, 12%] ; Šarocká, Anna [Autor, UKFFPVKZA, 12%] ; Babosová, Ramona [Autor, UKFFPVKZA, 12%] ; Martiniaková, Monika [Autor, UKFFPVKZA, 12%] ; Omelka, Radoslav [Autor, UKFFPVKBG, 12%] ; Animal Physiology 2018, 14 [13.06.2018-15.06.2018, Krakov, Poľsko]. – text. – [angličtina]. – [OV 130]. – [abstrakt z podujatia - KP] In: Animal Physiology 2018 [elektronický dokument] : book of abstracts : 14th international scientific conference / Muchacka, Renata [Zostavovateľ, editor] ; Kapusta, Edyta [Zostavovateľ, editor]. – 1. vyd. – Krakov (Poľsko) : Uniwersytet Pedagogiczny im. Komisji Edukacji Narodowej w Krakowie. Wydawnictwo Naukowe Uniwersytetu Pedagogicznego, 2018. – ISBN 978-83-8084-152-9, s. 11-11 [online] </t>
  </si>
  <si>
    <t xml:space="preserve">Can xylene and chia (Salvia hispanica L.) seed extract directly affect basic bovine ovarian cell functions? / Tarko, Adam [Autor, UKFFPVKZA, 15%] ; Štochmaľová, Aneta [Autor, UKFFPVKZA, 14%] ; Hrabovszká, Sandra [Autor, 14%] ; Vachanová, Adriana [Autor, 14%] ; Harrath, Abdel Halim [Autor, 14%] ; Grossmann, Roland [Autor, 14%] ; Sirotkin, Alexander [Autor, UKFFPVKZA, 15%] ; Euro-Global Summit on Food and Beverages, 21 [08.03.2018-10.03.2018, Berlín, Nemecko]. – [angličtina]. – [OV 130]. – [abstrakt z podujatia - ČL]. – DOI 10.4172/2157-7110-C1-077 In: Journal of Food Processing &amp; Technology [elektronický dokument] . – Berlin (Nemecko) : OMICS International. – ISSN (online) 2157-7110. – suppl. Roč. 9, č. 1 (2018), s. 46-46 [online] </t>
  </si>
  <si>
    <t xml:space="preserve">Conscientiousness as a predictor of intrinsic motivation of choosing teaching as a career and academic achievement [Vplyv osobnostných dimenzií na akademickú úspešnosť vysokoškolských študentov] / Tomšik, Robert [Autor, UKFPFAKPE, 100%] ; PhD existence 2018, 8 [31.01.2018-01.02.2018, Olomouc, Česko]. – text. – [slovenčina]. – [OV 060]. – [abstrakt z podujatia - KP] In: PhD existence 8 [elektronický dokument] : Nekonečno v psychologii. Sborník abstraktů z konference / Maierová, Eva [Zostavovateľ, editor] ; Viktorová, Lucie [Zostavovateľ, editor] ; Suchá, Jaroslava [Zostavovateľ, editor] ; Dolejš, Martin [Zostavovateľ, editor]. – 1. vyd. – Olomouc (Česko) : Univerzita Palackého v Olomouci, 2018. – ISBN 978-80-244-5269-2, s. 42-42 [online] </t>
  </si>
  <si>
    <t xml:space="preserve">Cooper nanoparticles alter cell viability and steroidogenic activity of gonadal cells / Scsuková, Soňa [Autor, 25%] ; Bujňáková Mlynarčíková, Alžbeta [Autor, 25%] ; Alonso, F. [Autor, 25%] ; Sirotkin, Alexander [Autor, UKFFPVKZA, 25%] ; EUROTOX 2019, 55 [08.09.2019-11.09.2019, Helsinky, Fínsko]. – text. – [angličtina]. – [OV 130]. – [abstrakt z podujatia - ČL] In: Toxicology Letters [elektronický dokument] [textový dokument (print)] : the Official Journal of EUROTOX. – Amsterdam (Holandsko) : Elsevier. – ISSN 0378-4274. – ISSN (online) 1879-3169. – č. 314 (2019), s. 268-269 [tlačená forma] [online] . – SJR: 0,928 ; CiteScore: 5,7 ; SNIP: 0,98 ; IF: 3.569 JIF - Toxicology - Q1 Scimago - Medicine (miscellaneous) - Q1, Toxicology - Q1 </t>
  </si>
  <si>
    <t xml:space="preserve">Copper nanoparticles alter cell viability and steroidogenic activity of gonadal cells / Scsuková, Soňa [Autor, 25%] ; Bujňáková Mlynarčíková, Alžbeta [Autor, 25%] ; Alonso, F. [Autor, 25%] ; Sirotkin, Alexander [Autor, UKFFPVKZA, 25%] ; EUROTOX 2019, 55 [08.09.2019-11.09.2019, Helsinky, Fínsko]. – text. – [angličtina]. – [OV 130]. – [abstrakt z podujatia - ČL]. – WOS CC In: Toxicology Letters [elektronický dokument] [textový dokument (print)] : the Official Journal of EUROTOX. – Amsterdam (Holandsko) : Elsevier. – ISSN 0378-4274. – ISSN (online) 1879-3169. – č. 314 (2019), s. 268-269 [tlačená forma] [online] . – SJR: 0,928 ; CiteScore: 5,7 ; SNIP: 0,98 ; IF: 3.569 JIF - Toxicology - Q1 Scimago - Medicine (miscellaneous) - Q1, Toxicology - Q1 </t>
  </si>
  <si>
    <t xml:space="preserve">Czech Journalism in the Context of the Political and Cultural Complexities / Tkáč-Zabáková, Lenka [Autor, UKFFSSUSJ, 100%] ; Language, Literature and Culture in Education 2019 [05.12.2019-07.12.2019, Rím, Taliansko]. – text. – [angličtina]. – [OV 020]. – [abstrakt z podujatia - KP] In: LLCE2019 [elektronický dokument] : book of abstracts : 5-7 December 2019, Rome, Italy / Pokrivčáková, Silvia [Zostavovateľ, editor]. – 1. vyd. – Nitra (Slovensko) : SlovakEdu, 2019. – ISBN 978-80-89864-16-4. – TUTPFKAJ signatúra E077686, s. 48-48 [online] </t>
  </si>
  <si>
    <t xml:space="preserve">Demand For Creative Events in Slovakia / Palenčíková, Zuzana [Autor, UKFFSSKCR, 25%] ; Mazúchová, Ľudmila [Autor, UKFFSSKCR, 25%] ; Sándorová, Zuzana [Autor, UKFFSSKCR, 25%] ; Nedelová, Gabriela [Autor, UMBEF05, 25%] ; IAI Academic Conference [17.09.2019, Rím, Taliansko]. – text. – [angličtina]. – [OV 080]. – [abstrakt z podujatia - KP] In: IAI International Academic Conferences [elektronický dokument] : Education and Social Sciences Conference Business and Economics Conference, Rome, 17 September 2019 / Rucheva Tasev, Hristina [Zostavovateľ, editor]. – 1. vyd. – Skopje (Macedónsko) : International Academic Institute, 2019. – ISSN 2671-3179, s. 230-231 [online] </t>
  </si>
  <si>
    <t xml:space="preserve">Dependence between physical activity and headache, abdominal and back pain in  11–15 year old children / Halmová, Nora [Autor, UKFPFAKTV, 35%] ; Kanásová, Janka [Autor, UKFPFAKTV, 35%] ; Veis, Alexandra [Autor, UKFPFAKTV, 20%] ; Kopčáková, Jaroslava [Autor, 10%] ; 2nd International Conference of Sport, Health and Physical Education, 2 [03.11.2021-04.11.2021, Ústí nad Labem, Česko]. – text. – [angličtina]. – [OV 210]. – [abstrakt z podujatia - KP] In: 2nd International Conference of Sport, Health and Physical Education [textový dokument (print)] [elektronický dokument] : Book of Abstract, Ústí nad Labem, November 3-4, 2021 / Heidler, Josef [Zostavovateľ, editor] ; Balkó, Štefan [Recenzent] ; Škopek, Martin [Recenzent]. – 1. vyd. – Ústí nad Labem (Česko) : Univerzita Jana Evangelisty Purkyně v Ústí nad Labem, 2021. – ISBN 978-80-7561-320-2, s. 64-64 [tlačená forma] </t>
  </si>
  <si>
    <t xml:space="preserve">Designing mathematical computer games for migrant students / Medová, Janka [Autor, UKFFPVKMA, 34%] ; Bulková, Kristína [Autor, UKFFPVKMA, 33%] ; Čeretková, Soňa [Autor, UKFFPVKMA, 33%] ; Congress of the European Society for Research inMathematics Education 2019, 11 [05.02.2019-10.02.2019, Utrecht, Holandsko]. – text. – [angličtina]. – [OV 240, 010]. – [abstrakt z podujatia - KP] In: CERME 11 [textový dokument (print)] [elektronický dokument] : Proceedings of the Eleventh Congress of the European Society for Research inMathematics Education, Utrecht, 5 - 10 February 2019 / Jankvist, Uffe Thomas [Zostavovateľ, editor] ; van den Heuvel-Panhuizen, Marja [Zostavovateľ, editor] ; Veldhuis, Michiel [Zostavovateľ, editor]. – 1. vyd. – Utrecht (Holandsko) : Utrecht University, 2020. – ISBN 978-90-73346-75-8, s. 4662-4663 [tlačená forma] [online] </t>
  </si>
  <si>
    <t xml:space="preserve">Detecting basic motor competences of primary school children / Šimonek, Jaromír [Autor, UKFPFAKTV, 50%] ; Halmová, Nora [Autor, UKFPFAKTV, 50%] ; Vloga predmetnih didaktik za kompetence prihodnosti, 2 [04.10.2019, Maribor, Slovinsko]. – [angličtina]. – [OV 210]. – [abstrakt z podujatia - KP] In: Vloga predmetnih didaktik za kompetence prihodnosti [textový dokument (print)] : zbornik povzetkov.  2. mednarodna znanstvena konferenca, Maribor, 4. oktober 2019 / Lipovec, Alenka [Zostavovateľ, editor]. – 1. vyd. – Maribor (Slovinsko) : Univerza v Mariboru, 2019. – ISBN 978-961-286-298-5, s. 295-296 [tlačená forma] </t>
  </si>
  <si>
    <t xml:space="preserve">Development of cognitive processes in education of natural sciences and social sciences realities at the elementary level of education / Kollárová, Dana [Autor, UKFPFAKPE, 60%] ; Nagyová, Alexandra [Autor, UKFPFAKPE, 40%] ; Ways of science development in modern crisis conditions, 2 [03.06.2021-04.06.2021, Dnepropetrovsk, Ukrajina]. – text. – [angličtina]. – [OV 010]. – [abstrakt z podujatia - KP]. – [recenzované] In: Ways of Science Development in Modern Crisis Conditions [elektronický dokument] : Abstracts of the 2nd International Scientific and Practical Internet Conference, Dnipro, Ukraine June 3-4, 2021 / [bez zostavovateľa] [Zostavovateľ, editor]. – 1. vyd. – Dnepropetrovsk (Ukrajina) : WayScience, 2021. – ISSN (online) 2664-4819, s. 145-148 [online] </t>
  </si>
  <si>
    <t xml:space="preserve">Different effects of ethanol on bone microstructure of mice after subacute and subchronic administration / Martiniaková, Monika [Autor, UKFFPVKZA, 16%] ; Šarocká, Anna [Autor, UKFFPVKZA, 12%] ; Babosová, Ramona [Autor, UKFFPVKZA, 12%] ; Kapusta, Edyta [Autor, 12%] ; Goc, Zofia [Autor, 12%] ; Greń, Agnieszka [Autor, 12%] ; Formicki, Grzegorz [Autor, 12%] ; Omelka, Radoslav [Autor, UKFFPVKBG, 12%] ; WCO IOF-ESCEO 2019 [04.04.2019-07.04.2019, Paríž, Francúzsko]. – text. – [angličtina]. – [OV 130]. – [abstrakt z podujatia - ČL]. – WOS CC In: Osteoporosis International [textový dokument (print)] [elektronický dokument] : with other metabolic bone diseases : a journal established as result of cooperation between the European Foundation for Osteoporosis and the National Osteoporosis Foundation of the USA. – London (Veľká Británia) : Springer Nature. – ISSN 0937-941X. – ISSN (online) 1433-2965. – suppl. Roč. 30, č. Supplement 1 (2019), s. 514-514 [tlačená forma] [online] . – IF: 3,864 ; SNIP: 1,612 ; SJR: 1,367 ; CiteScore: 7,4 JIF - Endocrinology &amp; metabolism - Q2 Scimago - Endocrinology, diabetes and metabolism - Q1, Medicine (miscellaneous) - Q1 </t>
  </si>
  <si>
    <t xml:space="preserve">Diverzita epigeických pavúčích spoločenstiev malokarpatskej vinohradníckej krajiny okolia Modry / Purgat, Pavol [Autor, UKFFPVKEE, 50%] ; Gajdoš, Peter [Autor, 50%] ; Zoologické dny [07.02.2019-08.02.2019, Brno, Česko]. – text. – [slovenčina]. – [OV 130, 100]. – [abstrakt z podujatia - KP] In: Zoologické dny Brno 2019 [textový dokument (print)] : sborník abstraktů z konference / Bryja, Josef [Zostavovateľ, editor] ; Horsák, Michal [Zostavovateľ, editor] ; Horsáková, Veronika [Zostavovateľ, editor] ; Zukal, Jan [Zostavovateľ, editor]. – 1. vyd. – Brno (Česko) : Akademie věd České republiky. Ústav biologie obratlovců AV ČR, 2019. – ISBN 978-80-87189-25-2, s. 151-152 [tlačená forma] </t>
  </si>
  <si>
    <t xml:space="preserve">Ecosystem services assessment in the Slovak Republic / Černecký, Ján [Autor, UKFFPVKEE, 20%] ; Gajdoš, Peter [Autor, 10%] ; Špulerová, Jana [Autor, 10%] ; Halada, Ľuboš [Autor, 10%] ; Mederly, Peter [Autor, UKFFPVKEE, 10%] ; Ulrych, Libor [Autor, 10%] ; Ďuricová, Viktória [Autor, 10%] ; Rybanič, Rastislav [Autor, 5%] ; Švajda, Juraj [Autor, 5%] ; Černecká, Ľudmila [Autor, 5%] ; Andráš, Peter [Autor, 5%] ; Eurasian Grassland Conference, 16 [29.05.2019-05.06.2019, Graz, Rakúsko]. – text. – [angličtina]. – [OV 100, 190]. – [abstrakt z podujatia - KP] In: Eurasian Grassland Conference (EGC) (92) [textový dokument (print)] : Species-rich grasslands in the Palaearctic -a treasure without economic value? Graz, 29 May - 5 June 2019 : program and abstracts / Magnes, Martin [Zostavovateľ, editor]. – 1. vyd. – Graz (Rakúsko) : Karl-Franzens-Universität Graz, 2019. – (Fritschiana : Species-rich grasslands in the Palaearctic – a treasure without economic value?, ISSN 1024-0306 ; 92). – ISSN 1024-0306, s. 13-13 [tlačená forma] </t>
  </si>
  <si>
    <t xml:space="preserve">Education of persons with special needs at university / Krištofová, Erika [Autor, UKFFSVKOS, 33.334%] ; Zrubcová, Dana [Autor, UKFFSVKOS, 33.333%] ; Líšková, Miroslava [Autor, UKFFSVKOS, 33.333%] ; 6th International ETNA Conference 2019, 6 [19.06.2019-21.06.2019, České Budějovice, Česko]. – text. – [angličtina]. – [OV 180]. – [abstrakt z podujatia - KP] In: Program &amp; Abstracts [textový dokument (print)] : 6th International ETNA Conference 2019 / [bez zostavovateľa] [Zostavovateľ, editor]. – 1. vyd. – České Budějovice (Česko) : Jihočeská univerzita v Českých Budějovicích. Zdravotně sociální fakulta, 2019. – ISBN 978-80-7394-749-1, s. 61-61 [tlačená forma] </t>
  </si>
  <si>
    <t xml:space="preserve">Effect of 3 months of detraining period on functional fitness tests, body mass and waist-to-hip ratio index and body fat mass in older women after performing progressive 12 weeks strength training-pilot study / Krčmárová, Bohumila [Autor, UKFPFAKTV, 50%] ; Krčmár, Matúš [Autor, UKFPFAKTV, 50%] ; Physical activity against early aging and noncommunicable diseases [03.10.2019-04.10.2019, Kaunas, Litva]. – [angličtina]. – [OV 210]. – [abstrakt z podujatia - KP] In: Physical activity against early aging and noncommunicable diseases [elektronický dokument] : International scientific-practical symposium in collaboration with the european group for research into elderly and physical activitybook of abstracts 3-4 october 2019, Lithuanian sports university,Kaunas / [bez zostavovateľa] [Zostavovateľ, editor]. – 1. vyd. – Kaunas (Litva) : Lithuanian sports university, 2019. – ISBN 978-609-8200-25-6, s. 24-25 [CD-ROM] </t>
  </si>
  <si>
    <t xml:space="preserve">Effect of betacellulin on basic ovarian cell functions / Loncová, Barbora [Autor, UKFFPVKZA, 25%] ; Fabová, Zuzana [Autor, UKFFPVKZA, 25%] ; Babosová, Ramona [Autor, UKFFPVKZA, 25%] ; Sirotkin, Alexander [Autor, UKFFPVKZA, 25%] ; Animal physiology 2021, 16 [22.09.2021-24.09.2021, Češkovice, Česko]. – text. – [angličtina]. – [OV 092]. – [abstrakt z podujatia - KP] In: CASEE Universities as laboratories for new paradigms in life sciences and related disciplines : CASEE conference : book of abstracts, 7th-8th June 2021 / [bez zostavovateľa] [Zostavovateľ, editor]. – st. vyd. – Praha (Česko) : Česká zemědelská univerzita v Praze, 2021. – ISBN (chybné) nemá, s. 31-31 </t>
  </si>
  <si>
    <t xml:space="preserve">Effect of xylene, Tribulus terrestris and their combination on bovine ovarian cell  functions / Loncová, Barbora [Autor, UKFFPVKZA, 25%] ; Fabová, Zuzana [Autor, UKFFPVKZA, 25%] ; Babosová, Ramona [Autor, UKFFPVKZA, 25%] ; Sirotkin, Alexander [Autor, UKFFPVKZA, 25%] ; Risk Factors of Food Chain, 21 [06.09.2021-08.09.2021, Rzeszów, Poľsko]. – text. – [angličtina]. – [OV 130]. – [abstrakt z podujatia - KP] In: Risk Factors of Food Chain [elektronický dokument] : book of abstracts from 21. International Scientific Conference, Iwonicz 6-8. september 2021 / Pasternakiewicz, Anna [Zostavovateľ, editor] ; Miłek, Michał [Zostavovateľ, editor] ; Massanyi, Peter [Recenzent] ; Dżugan, Małgorzata [Recenzent]. – 1. vyd. – Rzeszów (Poľsko) : Uniwersytet Rzeszowski, 2021. – ISBN 978-83-7996-932-6, s. 30-30 [CD-ROM] </t>
  </si>
  <si>
    <t xml:space="preserve">Effects of 12-week progressive strength training on strength and metabolic biomarkers in healthy older women : morning versus evening training / Krčmárová, Bohumila [Autor, UKFPFAKTV, 50%] ; Krčmár, Matúš [Autor, UKOTVDKCH, 45%] ; Walker, Simon [Autor, 5%] ; FIEP Asia conference, 3 [01.06.2018-03.06.2018, Kuala Lumpur, Malajzia]. – text. – [angličtina]. – [OV 010, 210]. – [abstrakt z podujatia - KP]. – [recenzované] In: ACPES 2018 [textový dokument (print)] [elektronický dokument] : 3rd FIEP Asia conference : physical education and sports : book of abstracts, Kuala Lumpur, 1-3 June  2018 / Wee, Eng Hoe [Zostavovateľ, editor] ; Ong, Tah Fatt [Zostavovateľ, editor] ; Gurnam, Kaur [Zostavovateľ, editor] ; Raj, Subramaniam [Zostavovateľ, editor] ; Chen, Chee Keong [Zostavovateľ, editor] ; Ler, Hui Yin [Zostavovateľ, editor] ; Cheng, Wei Fong [Zostavovateľ, editor]. – 1. vyd. – Roč. 3. – Kuala Lumpur (Malajzia) : Tunku Abdul Rahman University college, 2018. – ISBN 978-967-0115-03-0, Track 2, s. 29-29 [tlačená forma] </t>
  </si>
  <si>
    <t xml:space="preserve">Effects of Amygdalin on Gene Activity in Cultivated Human Osteoblasts / Kováčová, Veronika [Autor, UKFFPVKZA, 16%] ; Lukáčová, Martina [Autor, UKFFFAJZC, 12%] ; Adamkovičová, Mária [Autor, UKFFPVKBG, 12%] ; Šarocká, Anna [Autor, UKFFPVKZA, 12%] ; Šranko, Patrik [Autor, UKFFPVKBG, 12%] ; Omelka, Radoslav [Autor, UKFFPVKBG, 12%] ; Kolesárová, Adriana [Autor, SPUFBP03, 12%] ; Martiniaková, Monika [Autor, UKFFPVKZA, 12%] ; Animal Physiology 2018, 14 [13.06.2018-15.06.2018, Krakov, Poľsko]. – text. – [angličtina]. – [OV 130]. – [abstrakt z podujatia - KP] In: Animal Physiology 2018 [elektronický dokument] : book of abstracts : 14th international scientific conference / Muchacka, Renata [Zostavovateľ, editor] ; Kapusta, Edyta [Zostavovateľ, editor]. – 1. vyd. – Krakov (Poľsko) : Uniwersytet Pedagogiczny im. Komisji Edukacji Narodowej w Krakowie. Wydawnictwo Naukowe Uniwersytetu Pedagogicznego, 2018. – ISBN 978-83-8084-152-9, s. 36-36 [online] </t>
  </si>
  <si>
    <t xml:space="preserve">Environmental Journalism and Its Role in the Education of Journalists : Scientific Studies as a Basis for Elaboration of Articles Dealing with Climate Change / Nováčiková, Daša [Autor, UKFFFAKZU, 100%] ; International Virtual Academic Conference. Education and Social Sciences, Business and Economics [10.06.2020, Skopje, Macedónsko]. – text. – [angličtina]. – [OV 020]. – [abstrakt z podujatia - KP] In: International Virtual Academic Conference. Education and Social Sciences, Business and Economics [textový dokument (print)] : Book of Abstracts,  Skopje, 10 June 2020 / Rucheva Tasev, Hristina [Zostavovateľ, editor]. – 1. vyd. – Skopje (Macedónsko) : International Academic Institute, 2020. – ISBN 978-608-4881-11-7, s. 46-46 [tlačená forma] </t>
  </si>
  <si>
    <t xml:space="preserve">Epigeické spoločenstvá pavúkov prírodnej pamiatky Tomášikovský presyp / Gajdoš, Peter [Autor, 40%] ; Purgat, Pavol [Autor, UKFFPVKEE, 40%] ; David, Stanislav [Autor, UKFFPVKEE, 20%] ; Zoologické dny [06.02.2020-07.02.2020, Olomouc, Česko]. – text. – [slovenčina]. – [OV 100]. – [abstrakt z podujatia - KP] In: Zoologické dny Olomouc 2020 [textový dokument (print)] [elektronický dokument] : sborník abstraktů z konference / Bryja, Josef [Zostavovateľ, editor]. – 1. vyd. – Brno (Česko) : Akademie věd České republiky. Ústav biologie obratlovců AV ČR, 2020. – ISBN 978-80-87189-32-0, s. 61-62 [tlačená forma] [online] </t>
  </si>
  <si>
    <t xml:space="preserve">Estimating Tourism Students ́ Creativity Based on Character Traits / Beták, Norbert [Autor, UKFFSSKCR, 50%] ; Sándorová, Zuzana [Autor, UKFFSSKCR, 50%] ; International Virtual Academic Conference [16.06.2021, Skopje, Macedónsko]. – text. – [angličtina]. – [OV 010]. – [abstrakt z podujatia - KP] In: International Virtual Academic Conference. Education and Social Sciences Business and Economics [elektronický dokument] : book of abstracts, Skopije 16 june 2021 / Rucheva Tasev, Hristina [Zostavovateľ, editor]. – 1. vyd. – Skopje (Macedónsko) : International Academic Institute, 2021. – ISBN 978-608-4881-23-0, s. 4-4 [CD-ROM] </t>
  </si>
  <si>
    <t xml:space="preserve">Experts for nursing validation studies in Slovakia an Czech Republic : Original research study / Zrubcová, Dana [Autor, UKFFSVKOS, 34%] ; Solgajová, Andrea [Autor, UKFFSVKOS, 33%] ; Archalousová, Alexandra [Autor, UKFFSVKOS, 33%] ; International symposium More than 200 years of Florence Nightingale's legacy, 13 [16.09.2021-17.09.2021, České Budějovice, Česko]. – text. – [angličtina]. – [OV 180]. – [abstrakt z podujatia - KP]. – [recenzované] In: 13. International symposium More than 200 years of Florence Nightingale ́s legacy : international symposium, 16th-17th September 2021, České Budějovice / Dolák, František [Zostavovateľ, editor] ; Trešlová, Marie [Zostavovateľ, editor] ; Šedová, Lenka [Zostavovateľ, editor] ; Hudáčková, Andrea [Zostavovateľ, editor]. – 1. vyd. – České Budějovice (Česko) : Jihočeská univerzita v Českých Budějovicích, 2021. – ISBN 978-80-7394-873-3, s. 66-67 </t>
  </si>
  <si>
    <t xml:space="preserve">Expression of selected cytokines by rabbit endothelial progenitor cells and HUVECs: a preliminary study / Vašíček, Jaromír [Autor, SPUFBP01, 16%] ; Baláži, Andrej [Autor, 12%] ; Svoradová, Andrea [Autor, UKFFPVKZA, 12%] ; Tomková, Mária [Autor, SPUFBP01, 12%] ; Baldovská, Simona [Autor, SPUFBP03, 12%] ; Ondruška, Ľubomír [Autor, 12%] ; Parkányi, Vladimír [Autor, 12%] ; Chrenek, Peter [Autor, SPUFBP01, 12%] ; Stem cells and cell therapy, 8 [10.10.2019-11.10.2019, Lednice, Česko]. – [angličtina]. – [OV 190]. – [abstrakt z podujatia - KP] In: Stem cells and cell therapy [textový dokument (print)] : from research to modern applications / Hampl, Aleš [Zostavovateľ, editor]. – st vyd. – Brno (Česko) : MSD, 2019. – ISBN 978-80-7392-328-0, s. 34-34 [tlačená forma] </t>
  </si>
  <si>
    <t xml:space="preserve">Faktory ovplyvňujúce zvyšovanie záujmu o technické vzdelávanie = Factors influencing increasing interest in technical education / Ažaltovičová, Michaela [Autor, UKFPFAKTT, 50%] ; Tomková, Viera [Autor, UKFPFAKTT, 50%] ; Trendy ve vzdělávání 2019, 3 [15.05.2019-17.05.2019, Velké Losiny, Česko]. – [slovenčina]. – [OV 010]. – [abstrakt z podujatia - KP] In: Trendy ve vzdělávání [textový dokument (print)] [elektronický dokument] : inovace ve školství - učitel jako aktér změny. Sborník abstraktů z mezinárodní konference, Velké Losiny 15. - 17.5.2019 / Dostál, Jiří [Zostavovateľ, editor]. – 1. vyd. – Olomouc (Česko) : Univerzita Palackého v Olomouci, 2019. – (Sborníky). – ISBN 978-80-244-5511-2. – ISBN (online) 978-80-244-5512-9, s. 23-23 [tlačená forma] [online] </t>
  </si>
  <si>
    <t xml:space="preserve">Fenomén antiiluzívnej rozprávky na scéne / Ballay, Miroslav [Autor, UKFFFAKKU, 100%] ; Aľmanach (naukovo-popularnyj visnik) [14.01.2020, Kijev, Ukrajina]. – text. – [ruština]. – [OV 020]. – [abstrakt z podujatia - KP] In: Aľmanach (naukovo-popularnyj visnik) [textový dokument (print)] / [bez zostavovateľa] [Zostavovateľ, editor]. – 1. vyd. – Kijev (Ukrajina) : NGO Center for Cultural &amp; Arts Initiatives, 2020. – ISBN 978-966-938-406-5, s. 42-44 [tlačená forma] </t>
  </si>
  <si>
    <t xml:space="preserve">Formovanie postojov študentov vysokých škôl k spisovnému jazyku / Glovňa, Juraj [Autor, UKFFFASJL, 100%] ; Medzinárodný zjazd slavistov v Belehrade, 16 [20.08.2018-27.08.2018, Belehrad, Srbsko]. – [slovenčina]. – [OV 020]. – [abstrakt z podujatia - KP] In: 16. Medjunarodni kongres slavista [textový dokument (print)] : teze i rezimei, Tom 1 Jezik. Beograd 20. - 27. 8. 2018 / Suvajcič, Boško [Zostavovateľ, editor]. – 1. vyd. – Belehrad (Srbsko) : Medzinárodný komitét slavistov, 2018. – ISBN 978-86-917949-5-8, s. 348-349 </t>
  </si>
  <si>
    <t xml:space="preserve">Fyzikálna gramotnosť študentov medicíny a urgentnej zdravotnej starostlivosti (porovnávacia analýza) / Balázsiová, Zuzana [Autor, UKOLFULFB, 80%] ; Mankovecká, Monika [Autor, UKFFSVKUM, 20%] ; Dny lékařské biofyziky, 42 [25.05.2019-31.05.2019, Kolín, Česko]. – [slovenčina]. – [OV 180]. – [abstrakt z podujatia - KP]. – SIGN-UKO LF ULFB/19 In: 42. Dny lékařské biofyziky [textový dokument (print)] : Sborník abstrakt / Tomsa, Jan [Zostavovateľ, editor] ; Heřman, Petr [Zostavovateľ, editor]. – 1. vyd. – Praha (Česko) : Petr Heřman, 2019. – ISBN 978-80-88199-06-9, s. 3-3 [tlačená forma] </t>
  </si>
  <si>
    <t xml:space="preserve">Gender differences in the level of interactions between the physical activity and quality of life of 10 years old children / Czaková, Monika [Autor, UKFPFAKTV, 34%] ; Broďáni, Jaroslav [Autor, UKFPFAKTV, 33%] ; Dvořáčková, Natália [Autor, UKFPFAKTV, 33%] ; 2nd International Conference of Sport, Health and Physical Education, 2 [03.11.2021-04.11.2021, Ústí nad Labem, Česko]. – text. – [angličtina]. – [OV 210]. – [abstrakt z podujatia - KP] In: 2nd International Conference of Sport, Health and Physical Education [textový dokument (print)] [elektronický dokument] : Book of Abstract, Ústí nad Labem, November 3-4, 2021 / Heidler, Josef [Zostavovateľ, editor] ; Balkó, Štefan [Recenzent] ; Škopek, Martin [Recenzent]. – 1. vyd. – Ústí nad Labem (Česko) : Univerzita Jana Evangelisty Purkyně v Ústí nad Labem, 2021. – ISBN 978-80-7561-320-2, s. 29-29 [tlačená forma] </t>
  </si>
  <si>
    <t xml:space="preserve">Genetic variability in the estrogen receptor gene is associated with the effectiveness of anti - resorptive treatment in Slovak postmenopusal woman / Omelka, Radoslav [Autor, UKFFPVKBG, 12.5%] ; Mondočková, Vladimíra [Autor, UKFFPVKBG, 12.5%] ; Lukáčová, Martina [Autor, UKFFPVKBG, 12.5%] ; Adamkovičová, Mária [Autor, UKFFPVKBG, 12.5%] ; Babosová, Ramona [Autor, UKFFPVKZA, 12.5%] ; Galbavý, Dušan [Autor, 12.5%] ; Martiniaková, Monika [Autor, UKFFPVKZA, 12.5%] ; Bauerová, Mária [Autor, UKFFPVKBG, 12.5%] ; WCO-IOF-ESCEO 2018 [19.04.2018-22.04.2018, Krakov, Poľsko]. – text. – [angličtina]. – [OV 130]. – [abstrakt z podujatia - ČL]. – WOS CC In: Osteoporosis International [textový dokument (print)] [elektronický dokument] : with other metabolic bone diseases : a journal established as result of cooperation between the European Foundation for Osteoporosis and the National Osteoporosis Foundation of the USA. – ISSN 0937-941X. – ISSN (online) 1433-2965. – suppl. Roč. 29, č. Supplement 1 (2018), s. 365-365 [tlačená forma] [online] . – SNIP: 1,488 ; CiteScore: 6,1 ; SJR: 1,378 ; IF: 3.830 JIF - Endocrinology &amp; metabolism - Q2 Scimago - Endocrinology, diabetes and metabolism - Q1, Medicine (miscellaneous) - Q1 </t>
  </si>
  <si>
    <t xml:space="preserve">Genetická diferenciácia populácií Chionomys nivalis na Slovensku / Hulejová Sládkovičová, Veronika [Autor, UKOPRBZO, 20%] ; Žiak, Dávid [Autor, UKOPRBZO, 20%] ; Miklós, Peter [Autor, UKOPRBZO, 20%] ; Baláž, Ivan [Autor, UKFFPVKEE, 20%] ; Adamcová, Marcela [Autor, UMBFP09, 20%] ; Zoologické dny [08.02.2018-09.02.2018, Praha, Česko]. – text. – [slovenčina]. – [OV 130]. – [abstrakt z podujatia - KP] In: Zoologické dny Praha 2018 [textový dokument (print)] : sborník abstraktů z konference / Bryja, Josef [Zostavovateľ, editor] ; Solský, Milič [Zostavovateľ, editor]. – 1. vyd. – Praha (Česko) : Akademie věd České republiky, 2018. – ISBN 978-80-87189-24-5, s. 283-283 [tlačená forma] </t>
  </si>
  <si>
    <t xml:space="preserve">Geophysical and archaeological research of the baroque church of Saint Nicolas in Kovarce, Slovakia / Tirpák, Ján [Autor, UKFFPVGMU, 100%] ; New Global Perspectives on Archaeological Prospection, 13 [28.08.2019-01.09.2019, Sligo, Írsko]. – text. – [angličtina]. – [OV 030]. – [abstrakt z podujatia - KP] In: New Global Perspectives on Archaeological Prospection [textový dokument (print)] [elektronický dokument] / Bonsall, James [Zostavovateľ, editor]. – 1. vyd. – Oxford (Veľká Británia) : Archaeopress Publishing, 2019. – ISBN 978-1-78969-306-5. – ISBN (online) 978-1-78969-307-2, s. 56-59 [tlačená forma] [USB kľúč] </t>
  </si>
  <si>
    <t xml:space="preserve">Ginkgo affects the release of ovarian hormones and response to leptin, ghrelin, and obestatin / Fabová, Zuzana [Autor, UKFFPVKZA, 40%] ; Loncová, Barbora [Autor, UKFFPVKZA, 30%] ; Sirotkin, Alexander [Autor, UKFFPVKZA, 30%] ; Risk Factors of Food Chain, 21 [06.09.2021-08.09.2021, Rzeszów, Poľsko]. – text. – [angličtina]. – [OV 130]. – [abstrakt z podujatia - KP] In: Risk Factors of Food Chain [elektronický dokument] : book of abstracts from 21. International Scientific Conference, Iwonicz 6-8. september 2021 / Pasternakiewicz, Anna [Zostavovateľ, editor] ; Miłek, Michał [Zostavovateľ, editor] ; Massanyi, Peter [Recenzent] ; Dżugan, Małgorzata [Recenzent]. – 1. vyd. – Rzeszów (Poľsko) : Uniwersytet Rzeszowski, 2021. – ISBN 978-83-7996-932-6, s. 14-14 [CD-ROM] </t>
  </si>
  <si>
    <t xml:space="preserve">How to work with Playing-2-gether / Grofčíková, Soňa [Autor, UKFPFAKPE, 50%] ; Klimentová, Anna [Autor, UKFPFAKPE, 50%] ; ICRE ́19, 2 [17.07.2019-19.07.2019, Porto, Portugalsko]. – text. – [angličtina]. – [OV 010]. – [abstrakt z podujatia - KP] In: ICRE ́19 [elektronický dokument] : Book of Abstracts from 2nd Porto International Conference of Research in Education, Porto 17-19 Jule 2019 / [bez zostavovateľa] [Zostavovateľ, editor]. – 1. vyd. – Porto (Portugalsko) : Escola Superior de Educacao, 2019. – ISBN 978-972-8969-31-8, s. 286-286 [online] </t>
  </si>
  <si>
    <t xml:space="preserve">Identification of predictors in agility in basketball / Horička, Pavol [Autor, UKFPFAKTV, 50%] ; Šimonek, Jaromír [Autor, UKFPFAKTV, 50%] ; International conference of sport, health and physical education, 1 [25.10.2018-26.10.2018, Ústí nad Labem, Česko]. – [angličtina]. – [OV 210]. – [abstrakt z podujatia - KP] In: 1st international conference of sport, health and physical education [textový dokument (print)] : book of abstracts / Balkó, Štefan [Zostavovateľ, editor] ; Škopek, Martin [Zostavovateľ, editor] ; Hnízdil, Jan [Zostavovateľ, editor] ; Nosek, Martin [Zostavovateľ, editor] ; Heidler, Josef [Zostavovateľ, editor] ; Bláha, Ladislav [Recenzent] ; Šimonek, Jaromír [Recenzent] ; Zemková, Erika [Recenzent]. – 1. vyd. – Roč. 1. – Ústí nad Labem (Česko) : Univerzita Jana Evangelisty Purkyně v Ústí nad Labem, 2018. – ISBN 978-80-7561-143-7, s. 47-47 [tlačená forma] </t>
  </si>
  <si>
    <t xml:space="preserve">Impact of Balance Exercises on Functional Muscular Disorders Removal in Volleyball Players / Kanásová, Janka [Autor, UKFPFAKTV, 35%] ; Czaková, Natália [Autor, UKFPFAKTV, 20%] ; Divinec, Lenka [Autor, UKFPFAKTV, 20%] ; Veis, Alexandra [Autor, UKFPFAKTV, 20%] ; Solvesterová, Mária [Autor, 5%] ; International conference of sport, health and physical education, 1 [25.10.2018-26.10.2018, Ústí nad Labem, Česko]. – [angličtina]. – [OV 210]. – [abstrakt z podujatia - KP] In: 1st international conference of sport, health and physical education [textový dokument (print)] : book of abstracts / Balkó, Štefan [Zostavovateľ, editor] ; Škopek, Martin [Zostavovateľ, editor] ; Hnízdil, Jan [Zostavovateľ, editor] ; Nosek, Martin [Zostavovateľ, editor] ; Heidler, Josef [Zostavovateľ, editor] ; Bláha, Ladislav [Recenzent] ; Šimonek, Jaromír [Recenzent] ; Zemková, Erika [Recenzent]. – 1. vyd. – Roč. 1. – Ústí nad Labem (Česko) : Univerzita Jana Evangelisty Purkyně v Ústí nad Labem, 2018. – ISBN 978-80-7561-143-7, s. 33-33 [tlačená forma] </t>
  </si>
  <si>
    <t xml:space="preserve">Improving quality of stroke care in Slovakia / Gdovinová, Zuzana [Autor, UPS51340, 10%] ; Brozman, Miroslav [Autor, UKFFSVKUM, 10%] ; Hanáčková, Eva [Autor, 10%] ; Serdahely, Vlastimil [Autor, 10%] ; Krastev, Georgi [Autor, 10%] ; Petrík, Oto [Autor, 10%] ; Droppa, Ivan [Autor, 10%] ; Turčáni, Peter [Autor, UKOLF1NK, 10%] ; Leško, Norbert [Autor, 10%] ; Cvopová, Alena [Autor, 10%] ; World Stroke Congress, 11 [17.10.2018-20.10.2018, Montreal, Kanada]. – text. – [angličtina]. – [OV 180]. – [abstrakt z podujatia - ČL]. – [recenzované]. – SIGN-UKO LF 1NK/18. – WOS CC In: International Journal of Stroke [textový dokument (print)] [elektronický dokument] : Official Journal of the World Stroke Organization. – Thousand Oaks (USA) : SAGE Publications, Ženeva (Švajčiarsko) : World Stroke Organization. – ISSN 1747-4930. – ISSN (online) 1747-4949. – suppl. Roč. 13, č. Supplement 2 (2018), s. 71-71 [tlačená forma] [online] . – IF: 4,466 ; SJR: 2,2 ; CiteScore: 8,1 ; SNIP: 1,423 JIF - Clinical neurology - Q1, Peripheral vascular disease - Q1 Scimago - Neurology - Q1 </t>
  </si>
  <si>
    <t xml:space="preserve">Influence of compensatory exercises on the occurrence of shortened and weakened muscles in elderly females / Divinec, Lenka [Autor, UKFPFAKTV, 25%] ; Kanásová, Janka [Autor, UKFPFAKTV, 20%] ; Bránik, Matúš [Autor, 10%] ; Krčmárová, Bohumila [Autor, UKFPFAKTV, 25%] ; Czaková, Natália [Autor, UKFPFAKTV, 20%] ; 2nd International Conference of Sport, Health and Physical Education, 2 [03.11.2021-04.11.2021, Ústí nad Labem, Česko]. – text. – [angličtina]. – [OV 210]. – [abstrakt z podujatia - KP] In: 2nd International Conference of Sport, Health and Physical Education [textový dokument (print)] [elektronický dokument] : Book of Abstract, Ústí nad Labem, November 3-4, 2021 / Heidler, Josef [Zostavovateľ, editor] ; Balkó, Štefan [Recenzent] ; Škopek, Martin [Recenzent]. – 1. vyd. – Ústí nad Labem (Česko) : Univerzita Jana Evangelisty Purkyně v Ústí nad Labem, 2021. – ISBN 978-80-7561-320-2, s. 66-66 [tlačená forma] </t>
  </si>
  <si>
    <t xml:space="preserve">Influence of garden's plants on soil mites (Acari, Oribatida) and spiders (Araneae) / Krumpálová, Zuzana [Autor, UKFFPVKEE, 40%] ; Ondrejková, Natália [Autor, UKFFPVKEE, 30%] ; Štipčáková, Lucia [Autor, 30%] ; Zoologické dny [06.02.2020-07.02.2020, Olomouc, Česko]. – text. – [slovenčina]. – [OV 100]. – [abstrakt z podujatia - KP] In: Zoologické dny Olomouc 2020 [textový dokument (print)] [elektronický dokument] : sborník abstraktů z konference / Bryja, Josef [Zostavovateľ, editor]. – 1. vyd. – Brno (Česko) : Akademie věd České republiky. Ústav biologie obratlovců AV ČR, 2020. – ISBN 978-80-87189-32-0, s. 114-114 [tlačená forma] [online] </t>
  </si>
  <si>
    <t xml:space="preserve">Insight, readiness to change, and motivation were not correlated in alcohol-dependent in patients / Šlepecký, Miloš [Autor, UKFFSVKPV, 40%] ; Stanislav, Vladimír [Autor, 5%] ; Kotianová, Antónia [Autor, UKFFSVKPV, 5%] ; Kotian, Michal [Autor, 5%] ; Zaťková, Marta [Autor, UKFFSVKPV, 35%] ; Martinove, Mária [Autor, 5%] ; Praško Pavlov, Ján [Autor, 5%] ; European Congress of Psychiatry 2018, 26 [06.09.2018-09.09.2018, Štrasburg, Francúzsko]. – text. – [angličtina]. – [OV 060]. – [abstrakt z podujatia - ČL]. – WOS CC In: European Psychiatry [textový dokument (print)] [elektronický dokument] : the journal of the european psychiatric association. – Amsterdam (Holandsko) : Elsevier. – ISSN 0924-9338. – ISSN (online) 1778-3585. – suppl. Abstracts of the 26th European Congress of Psychiatry - 2018, č. 48 (2018), s. 741-741 [tlačená forma] [online] . – IF: 3,941 ; SNIP: 1,21 ; SJR: 1,595 ; CiteScore: 5,8 JIF - Psychiatry - Q1 Scimago - Psychiatric mental health - Q1, Psychiatry and mental health - Q1 </t>
  </si>
  <si>
    <t xml:space="preserve">Interactive effects of acrylamide and ethanol on bone microstructure of mice / Šarocká, Anna [Autor, UKFFPVKZA, 16%] ; Kováčová, Veronika [Autor, UKFFPVKZA, 12%] ; Omelka, Radoslav [Autor, UKFFPVKBG, 12%] ; Babosová, Ramona [Autor, UKFFPVKZA, 12%] ; Kapusta, Edyta [Autor, 12%] ; Goc, Zofia [Autor, 12%] ; Formicki, Grzegorz [Autor, 12%] ; Martiniaková, Monika [Autor, UKFFPVKZA, 12%] ; WCO-IOF-ESCEO 2018 [19.04.2018-22.04.2018, Krakov, Poľsko]. – text. – [angličtina]. – [OV 130]. – [abstrakt z podujatia - ČL]. – WOS CC In: Osteoporosis International [textový dokument (print)] [elektronický dokument] : with other metabolic bone diseases : a journal established as result of cooperation between the European Foundation for Osteoporosis and the National Osteoporosis Foundation of the USA. – ISSN 0937-941X. – ISSN (online) 1433-2965. – suppl. Roč. 29, č. Supplement 1 (2018), s. 354-355 [tlačená forma] [online] . – SNIP: 1,488 ; CiteScore: 6,1 ; SJR: 1,378 ; IF: 3.830 JIF - Endocrinology &amp; metabolism - Q2 Scimago - Endocrinology, diabetes and metabolism - Q1, Medicine (miscellaneous) - Q1 </t>
  </si>
  <si>
    <t xml:space="preserve">Interdisciplinárne vzdelávanie v rámci kategórie odpad : ciele a perspektívy = Interdisciplinary education in the waste category : aims and perspectives / Feszterová, Melánia [Autor, UKFFPVKCH, 100%] ; Trendy ve vzdělávání [18.05.2020, Olomouc, Česko]. – text. – [čeština]. – [OV 010, 100, 120]. – [abstrakt z podujatia - KP] In: Trendy ve vzdělávání 2020 : sborník abstraktů z 18. mezinárodní vědecko-odborné konference, konané v Olomouci 18. května 2020 / Klement, Milan [Zostavovateľ, editor]. – 1. vyd. – Olomouc (Česko) : Univerzita Palackého v Olomouci, 2020. – ISBN 978-80-244-5686-7. – ISBN (online) 978-80-244-5687-4, s. 21-22 [tlačená forma] </t>
  </si>
  <si>
    <t xml:space="preserve">Internal and external load of small-sided games with using of GPS and HR – monitoring technologies in women football / Domčeková, Andrea [Autor, UKFPFAKTV, 40%] ; Šimonek, Jaromír [Autor, UKFPFAKTV, 20%] ; Krčmár, Matúš [Autor, UKFPFAKTV, 20%] ; Bakaľár, Igor [Autor, UKFPFAKTV, 20%] ; 2nd International Conference of Sport, Health and Physical Education, 2 [03.11.2021-04.11.2021, Ústí nad Labem, Česko]. – text. – [angličtina]. – [OV 210]. – [abstrakt z podujatia - KP] In: 2nd International Conference of Sport, Health and Physical Education [textový dokument (print)] [elektronický dokument] : Book of Abstract, Ústí nad Labem, November 3-4, 2021 / Heidler, Josef [Zostavovateľ, editor] ; Balkó, Štefan [Recenzent] ; Škopek, Martin [Recenzent]. – 1. vyd. – Ústí nad Labem (Česko) : Univerzita Jana Evangelisty Purkyně v Ústí nad Labem, 2021. – ISBN 978-80-7561-320-2, s. 43-43 [tlačená forma] </t>
  </si>
  <si>
    <t xml:space="preserve">Internet psychoeducation in bipolar patients (e-PROBAD) / Praško Pavlov, Ján [Autor, 5%] ; Ocisková, Marie [Autor, 5%] ; Kolek, Anton [Autor, 5%] ; Grambal, Aleš [Autor, 5%] ; Vrbová, Kristýna [Autor, 5%] ; Holubová, Markéta [Autor, 5%] ; Vyskočilová, Jana [Autor, 5%] ; Látalová, Klára [Autor, 5%] ; Šlepecký, Miloš [Autor, UKFFSVKPV, 60%] ; European Congress of Psychiatry 2018, 26 [06.09.2018-09.09.2018, Štrasburg, Francúzsko]. – [angličtina]. – [OV 060]. – [abstrakt z podujatia - ČL]. – WOS CC In: European Psychiatry [textový dokument (print)] [elektronický dokument] : the journal of the european psychiatric association. – Amsterdam (Holandsko) : Elsevier. – ISSN 0924-9338. – ISSN (online) 1778-3585. – suppl. Abstracts of the 26th European Congress of Psychiatry - 2018, č. 48 (2018), s. 470-470 [tlačená forma] [online] . – IF: 3,941 ; SNIP: 1,21 ; SJR: 1,595 ; CiteScore: 5,8 JIF - Psychiatry - Q1 Scimago - Psychiatric mental health - Q1, Psychiatry and mental health - Q1 </t>
  </si>
  <si>
    <t xml:space="preserve">Kételemű számok a tudomány szolgálatában / Tóth, Attila [Autor, UKFFSSUVP, 100%] ; MAFIOK 2019, 43 [26.08.2019-28.08.2019, Dunaújvárosi, Maďarsko]. – text. – [maďarčina]. – [OV 020]. – [abstrakt z podujatia - KP] In: MAFIOK 2019 [textový dokument (print)] : matematikát, fizikát és informatikát oktatók. 43 országos konferenciájának tanulmánykötete, Dunaújvárosi, 2019. augusztus 26-28 / Kővary, Attila [Zostavovateľ, editor] ; Katona, József [Zostavovateľ, editor] ; Nagy, Balint [Recenzent] ; Joós, Antal [Recenzent]. – Dunaújvárosi (Maďarsko) : Dunaújvárosi Egyetem, 2019. – ISBN 978-963-9915-98-5, s. 32-33 </t>
  </si>
  <si>
    <t xml:space="preserve">Klasifikácia atletického sedemboja prostredníctvom metód hierarchickej zhlukovej analýzy / Broďáni, Jaroslav [Autor, UKFPFAKTV, 34%] ; Dvořáčková, Natália [Autor, 33%] ; Czaková, Monika [Autor, UKFPFAKTV, 33%] ; Disportare 2020 [05.11.2020-06.11.2020, České Budějovice, Česko]. – text. – [slovenčina]. – [OV 210]. – [abstrakt z podujatia - KP] In: Disportare 2020 [textový dokument (print)] : sborník abstraktů z mezinárodní vědecké konference, České Budějovice 5. – 6. 11. 2020 / Kursová, Vlasta [Zostavovateľ, editor]. – 1. vyd. – České Budějovice (Česko) : Jihočeská univerzita v Českých Budějovicích, 2020. – ISBN 978-80-7394-830-6, s. 9-9 [tlačená forma] </t>
  </si>
  <si>
    <t xml:space="preserve">Kto je kompetentný učiteľ? = Who is a competent teacher? / Hašková, Alena [Autor, UKFPFAKTT, 100%] ; Trendy ve vzdělávaní 2018, 2 [16.05.2018-18.05.2018, Slatinice u Olomouce, Česko]. – [slovenčina]. – [OV 010]. – [abstrakt z podujatia - KP]. – DOI 10.5507/pdf.18.24453187 In: Trendy ve vzdělávaní 2018 [textový dokument (print)] [elektronický dokument] : Technika, informatika a inovace ve vzdělávaní : Sborník abstraktů z mezinárodní konference / Dostál, Jiří [Zostavovateľ, editor]. – 1. vyd. – Olomouc (Česko) : Univerzita Palackého v Olomouci, 2018. – ISBN 978-80-244-5318-7, s. 56-56 </t>
  </si>
  <si>
    <t xml:space="preserve">Landscape and village-scape forming by urban sprawl - a comparative analysis of four Central European regional centres’ agglomeration / Hardi, Tamás [Autor, UKFFSSKCR, 60%] ; Farkas, Jenő Zsolt [Autor, 20%] ; Hoyk, Edit [Autor, 20%] ; Transformation of Traditional Cultural Landscapes [24.09.2019-26.09.2019, Ljubljana, Slovinsko]. – text. – [angličtina]. – [OV 092]. – [abstrakt z podujatia - KP] In: Transformation of Traditional Cultural Landscapes [textový dokument (print)] [elektronický dokument] : Abstract and Guide Book from IGU Thematic Conference, Koper 24-26 September 2019 / Ribeiro, Daniela [Zostavovateľ, editor]. – 1. vyd. – Ljubljana (Slovinsko) : ZRC SAZU Anton Melik Geographical Institute, 2019. – ISBN 978-961-05-0217-3, s. 41-41 [tlačená forma] [online] </t>
  </si>
  <si>
    <t xml:space="preserve">Landwirtschaftliches Gerät aus dem grossmährischen Burgwall Bojní I und das Problem der Ernährung seiner Bewohner / Borzová, Zuzana [Autor, UKFFFAKAR, 50%] ; Pieta, Karol [Autor, 50%] ; Produzieren - Verzehred - Repräsentieren: Speisen und Getränke römisch-frühmittelaltericher Eliten im Spiegel archäoligischer und archäobioligischer Quellen, 30 [14.11.2018-16.11.2018, Brno, Česko]. – [nemčina]. – [OV 030]. – [abstrakt z podujatia - KP] In: Produzieren - Verzehred - Repräsentieren: Speisen und Getränke römisch-frühmittelaltericher Eliten im Spiegel archäoligischer und archäobioligischer Quellen [textový dokument (print)] : 30. Internationales Symposium "Grundprobleme der frühgesichlichen Entwicklung im mittleren Donauraum", Brno, 14.-16.11.2018 / [bez zostavovateľa] [Zostavovateľ, editor]. – 1. vyd. – Brno (Česko) : Akademie věd České republiky, 2018. – ISBN 978-80-7524-023-1, s. 8-9 [tlačená forma] </t>
  </si>
  <si>
    <t xml:space="preserve">Magyar kórusélet és karnagyképzés a Felvidéken napjainkban / Józsa, Mónika [Autor, UKFFSSUVP, 100%] ; A művészet és a tudomány megújuló világképe a 21. század művészetpedagógiában [24.05.2018-26.05.2018, Budapest, Maďarsko]. – [maďarčina]. – [OV 010]. – [abstrakt z podujatia - KP] In: A művészet és a tudomány megújuló világképe a 21. század művészetpedagógiában [textový dokument (print)] : fókuszban: a zenepedagógia és a kreativitás kutatása : Művészetpedagógia konferencia / Bodnár, Gábor [Zostavovateľ, editor]. – Budapešť (Maďarsko) : ELTE Eötvös Kiadó, 2018. – ISBN 978-963-489-014-0, s. 107-107 [tlačená forma] </t>
  </si>
  <si>
    <t xml:space="preserve">Malé a stredné podniky v odvetví poľnohospodárstva na Slovensku / Levický, Michal [Autor, UKFFPVUMI, 100%] ; Strategický rozvoj lidských zdrojů v zemědělství v kontextu průmyslu 4.0, 1 [07.10.2021, Praha, Česko]. – [slovenčina]. – [OV 080]. – [abstrakt z podujatia - KP] In: Strategický rozvoj lidských zdrojů v zemědělství v kontextu průmyslu 4.0 [elektronický dokument] : zborník abstraktov z 1. medzinárodnej vedeckej konferencie / Hitka, Miloš [Zostavovateľ, editor]. – 1. vyd. – Zvolen (Slovensko) : Technická univerzita vo Zvolene, 2021. – ISBN (online) 978-80-228-3291-5, s. 9-9 [CD-ROM] [online] </t>
  </si>
  <si>
    <t xml:space="preserve">Mapovanie výskytu druhov vážok rodu Cordulegaster v pohorí Rača (Kysucké Beskydy) / Petrovičová, Kornélia [Autor, 35%] ; David, Stanislav [Autor, UKFFPVKEE, 35%] ; Langraf, Vladimír [Autor, UKFFPVKEE, 30%] ; Zoologické dny [06.02.2020-07.02.2020, Olomouc, Česko]. – text. – [slovenčina]. – [OV 100]. – [abstrakt z podujatia - KP] In: Zoologické dny Olomouc 2020 [textový dokument (print)] [elektronický dokument] : sborník abstraktů z konference / Bryja, Josef [Zostavovateľ, editor]. – 1. vyd. – Brno (Česko) : Akademie věd České republiky. Ústav biologie obratlovců AV ČR, 2020. – ISBN 978-80-87189-32-0, s. 157-157 [tlačená forma] [online] </t>
  </si>
  <si>
    <t xml:space="preserve">Marital satisfaction in patiens with anxiety disorders / Kasalová, Petra [Autor, 5%] ; Praško Pavlov, Ján [Autor, 15%] ; Grambal, Aleš [Autor, 5%] ; Zmeškalová, Daniela [Autor, 5%] ; Vrbová, Kristýna [Autor, 5%] ; Holubová, Markéta [Autor, 5%] ; Šlepecký, Miloš [Autor, UKFFSVKPV, 50%] ; Vyskočilová, Jana [Autor, 5%] ; Ocisková, Marie [Autor, 5%] ; European Congress of Psychiatry 2018, 26 [06.09.2018-09.09.2018, Štrasburg, Francúzsko]. – text. – [angličtina]. – [OV 060]. – [abstrakt z podujatia - ČL] In: European Psychiatry [textový dokument (print)] [elektronický dokument] : the journal of the european psychiatric association. – Amsterdam (Holandsko) : Elsevier. – ISSN 0924-9338. – ISSN (online) 1778-3585. – suppl. Abstracts of the 26th European Congress of Psychiatry - 2018, č. 48 (2018), s. 548-548 [tlačená forma] [online] . – IF: 3,941 ; SNIP: 1,21 ; SJR: 1,595 ; CiteScore: 5,8 JIF - Psychiatry - Q1 Scimago - Psychiatric mental health - Q1, Psychiatry and mental health - Q1 </t>
  </si>
  <si>
    <t xml:space="preserve">MicroRNA expression profile in porcine oocytes aspirated from follicles of different sizes / Gad, Ahmed [Autor, 16.67%] ; Němcová, Lucie [Autor, 16.666%] ; Murín, Matej [Autor, 16.666%] ; Kanka, Jiří [Autor, 16.666%] ; Laurinčík, Jozef [Autor, UKFFPVKZA, 16.666%] ; Procházka, Roman [Autor, 16.666%] ; Annual Conference of the European-Society-for-Domestic-Animal-Reproduction (ESDAR), 22 [27.09.2018-29.09.2018, Cordoba, Španielsko]. – text. – [angličtina]. – [OV 130]. – [abstrakt z podujatia - ČL]. – WOS CC In: Reproduction in Domestic Animals [textový dokument (print)] [elektronický dokument] : Zuchthygiene. – Berlin (Nemecko) : Blackwell Verlag GmbH. – ISSN 0936-6768. – ISSN (online) 1439-0531. – suppl. sp. iss. Roč. 53, č. 2 (2018), s. 104-104 [tlačená forma] [online] . – IF: 1.638 ; SJR: 0,637 ; CiteScore: 2,3 ; SNIP: 1,02 JIF - Agriculture, dairy &amp; animal science - Q2, Reproductive biology - Q4, Veterinary sciences - Q2 Scimago - Animal science and zoology - Q2, Biotechnology - Q2, Endocrinology - Q3 </t>
  </si>
  <si>
    <t xml:space="preserve">Molecular and genetic analysis of some cereals and pseudocereals proteomes / Rajnincová, Dana [Autor, SPUFBP01, 16%] ; Chňapek, Milan [Autor, SPUFBP01, 12%] ; Špaleková, Andrea [Autor, SPUFBP01, 12%] ; Balážová, Želmíra [Autor, SPUFBP01, 12%] ; Vivodík, Martin [Autor, SPUFBP01, 12%] ; Klubicová, Katarína [Autor, 12%] ; Morovič, Martin [Autor, UKFFPVKZA, 12%] ; Gálová, Zdenka [Autor, SPUFBP01, 12%] ; European Biotechnology Congress 2020 [24.09.2020-26.09.2020, Praha, Česko]. – [angličtina]. – [OV 190]. – [abstrakt z podujatia - ČL] In: Biotechnology &amp; biotechnological equipment [textový dokument (print)] : international scientific-theoretical and applied publication. – Veľká Británia : Taylor &amp; Francis Group. – ISSN 1310-2818. – ISSN (online) 1314-3530. – Roč. 35 (2021), s. 75-75 [tlačená forma] . – CiteScore: 2,9 ; IF: 1.762 ; SJR: 0,377 ; SNIP: 0,663 ; AIS: 0.319 AIS - Biotechnology &amp; applied microbiology - Q4 JIF - Biotechnology &amp; applied microbiology - Q4 Scimago - Biotechnology - Q3 </t>
  </si>
  <si>
    <t xml:space="preserve">Monitoring araneofauny chránených území v inundačnej oblasti Dunaja / Krumpálová, Zuzana [Autor, UKFFPVKEE, 50%] ; Ondrejková, Natália [Autor, UKFFPVKEE, 50%] ; Zoologické dny [06.02.2020-07.02.2020, Olomouc, Česko]. – text. – [slovenčina]. – [OV 100]. – [abstrakt z podujatia - KP] In: Zoologické dny Olomouc 2020 [textový dokument (print)] [elektronický dokument] : sborník abstraktů z konference / Bryja, Josef [Zostavovateľ, editor]. – 1. vyd. – Brno (Česko) : Akademie věd České republiky. Ústav biologie obratlovců AV ČR, 2020. – ISBN 978-80-87189-32-0, s. 113-113 [tlačená forma] [online] </t>
  </si>
  <si>
    <t xml:space="preserve">Monitoring of muscle imbalance, spine flexibility and spinal chains in elderly  female during covid 19 - pilot study / Krčmárová, Bohumila [Autor, UKFPFAKTV, 60%] ; Vyhnálik, Patrik [Autor, 30%] ; Kanásová, Janka [Autor, UKFPFAKTV, 10%] ; 2nd International Conference of Sport, Health and Physical Education, 2 [03.11.2021-04.11.2021, Ústí nad Labem, Česko]. – text. – [angličtina]. – [OV 210]. – [ŠO 7605]. – [abstrakt z podujatia - KP] In: 2nd International Conference of Sport, Health and Physical Education [textový dokument (print)] [elektronický dokument] : Book of Abstract, Ústí nad Labem, November 3-4, 2021 / Heidler, Josef [Zostavovateľ, editor] ; Balkó, Štefan [Recenzent] ; Škopek, Martin [Recenzent]. – 1. vyd. – Ústí nad Labem (Česko) : Univerzita Jana Evangelisty Purkyně v Ústí nad Labem, 2021. – ISBN 978-80-7561-320-2, s. 45-45 [tlačená forma] </t>
  </si>
  <si>
    <t xml:space="preserve">Morfokinetické hodnotenie kvality embryí s využitím softvéru KIDScore / Svitok, Pavel [Autor, 20%] ; Pustaj, Martin [Autor, 16%] ; Čurajová, Andrea [Autor, 16%] ; Jedličková, Katarína [Autor, UKFFPVKZA, 16%] ; Harbulák, Peter [Autor, 16%] ; Kaňová, Gabriela [Autor, 16%] ; 28. sympozium asistované reprodukce; 17. česko-slovenská konference reprodukční medicíny [13.11.2018-14.11.2018, Brno, Česko]. – text. – [slovenčina]. – [OV 130]. – [abstrakt z podujatia - KP] In: 28. sympozium asistované reprodukce; 17. česko-slovenská konference reprodukční medicíny [textový dokument (print)] : sborník abstrakt / Ventruba, Pavel [Zostavovateľ, editor] ; Žáková, Jana [Zostavovateľ, editor]. – 1. vyd. – Brno (Česko) : Medica Healthworld, 2018. – ISBN 978-80-905578-6-4, s. 40-40 [tlačená forma] </t>
  </si>
  <si>
    <t xml:space="preserve">Morfometrická variabilita medzi populáciami Ischnoglossa prolixa (Gravenhorst, 1802) (Coleoptera: Staphylinidae) vybraných lokalít Dunaja / Langraf, Vladimír [Autor, 24%] ; Petrovičová, Kornélia [Autor, SPUFAP26, 23%] ; David, Stanislav [Autor, UKFFPVKEE, 23%] ; Krumpálová, Zuzana [Autor, UKFFPVKEE, 23%] ; Schlarmannová, Janka [Autor, UKFFPVKZA, 7%] ; Zoologické dny [06.02.2020-07.02.2020, Olomouc, Česko]. – text. – [slovenčina]. – [OV 100]. – [abstrakt z podujatia - KP] In: Zoologické dny Olomouc 2020 [textový dokument (print)] [elektronický dokument] : sborník abstraktů z konference / Bryja, Josef [Zostavovateľ, editor]. – 1. vyd. – Brno (Česko) : Akademie věd České republiky. Ústav biologie obratlovců AV ČR, 2020. – ISBN 978-80-87189-32-0, s. 11-18 [tlačená forma] [online] </t>
  </si>
  <si>
    <t xml:space="preserve">Morphometric measurements og Cordulegaster bidentata and Cordulegaster heros dragonfly nymphs (Odonata) from Slovakia / David, Stanislav [Autor, UKFFPVKEE, 50%] ; Zahoranová, Lenka [Autor, 50%] ; ECOO 2018, 5 [09.07.2018-12.07.2018, Brno, Česko]. – [angličtina]. – [OV 100]. – [abstrakt z podujatia - KP] In: ECOO 2018 [textový dokument (print)] : 5th European Congress on Odonatology : Book of Abstracts / Holušová, Kateřina [Zostavovateľ, editor]. – 1. vyd. – Brno (Česko) : Mendelova univerzita v Brně, 2018. – ISBN 978-80-7509-560-2, s. 54-55 </t>
  </si>
  <si>
    <t xml:space="preserve">Motorické kompetencie 6-8 ročných detí v okrese Nitra / Halmová, Nora [Autor, UKFPFAKTV, 50%] ; Šimonek, Jaromír [Autor, UKFPFAKTV, 50%] ; Disportare 2020 [05.11.2020-06.11.2020, České Budějovice, Česko]. – text. – [slovenčina]. – [OV 210]. – [abstrakt z podujatia - KP] In: Disportare 2020 [textový dokument (print)] : sborník abstraktů z mezinárodní vědecké konference, České Budějovice 5. – 6. 11. 2020 / Kursová, Vlasta [Zostavovateľ, editor]. – 1. vyd. – České Budějovice (Česko) : Jihočeská univerzita v Českých Budějovicích, 2020. – ISBN 978-80-7394-830-6, s. 19-19 [tlačená forma] </t>
  </si>
  <si>
    <t xml:space="preserve">Nové lokality Cordulegaster heros Theischinger 1979 na strednom Slovensku / Šácha, Dušan [Autor, 50%] ; David, Stanislav [Autor, UKFFPVKEE, 50%] ; Zoologické dny [06.02.2020-07.02.2020, Olomouc, Česko]. – text. – [slovenčina]. – [OV 100]. – [abstrakt z podujatia - KP] In: Zoologické dny Olomouc 2020 [textový dokument (print)] [elektronický dokument] : sborník abstraktů z konference / Bryja, Josef [Zostavovateľ, editor]. – 1. vyd. – Brno (Česko) : Akademie věd České republiky. Ústav biologie obratlovců AV ČR, 2020. – ISBN 978-80-87189-32-0, s. 188-188 [tlačená forma] [online] </t>
  </si>
  <si>
    <t xml:space="preserve">Nurse's activities of education in the community woman's health care / Pavelová, Ľuboslava [Autor, UKFFSVKOS, 34%] ; Archalousová, Alexandra [Autor, UKFFSVKOS, 33%] ; Krištofová, Erika [Autor, UKFFSVKOS, 33%] ; Global Challenges in a Changing World - New Roles and Competencies in the Field of Nursing, 11 [27.09.2018-28.09.2018, Nyíregyháza, Maďarsko]. – text. – [angličtina]. – [OV 180]. – [abstrakt z podujatia - KP] In: Global Challenges in a Changing World - New Roles and Competencies in the Field of Nursing [textový dokument (print)] / Sárváry, Attila [Zostavovateľ, editor] ; Papp, Katalin [Zostavovateľ, editor]. – 1. vyd. – Nyíregyháza (Maďarsko) : Debreceni Egyetem, 2018. – ISBN 978-963-490-020-7, s. 105-106 [tlačená forma] </t>
  </si>
  <si>
    <t xml:space="preserve">Origin of fibrillar sphere and its potential impact on genome activation / Benc, Michal [Autor, UKFFPVKZA, 78%] ; Strejček, František [Autor, UKFFPVKBG, 10%] ; Bartková, Alexandra [Autor, UKFFPVKBG, 1%] ; Bonnet-Garnier, Amélie [Autor, 1%] ; Laurinčík, Jozef [Autor, UKFFPVKZA, 10%] ; European Biotechnology Congress 2020 [24.09.2020-26.09.2020, Praha, Česko]. – text. – [angličtina]. – [OV 130]. – [abstrakt z podujatia - ČL]. – DOI 10.1080/13102818.2020.1871545 In: Biotechnology &amp; biotechnological equipment [textový dokument (print)] : international scientific-theoretical and applied publication. – Veľká Británia : Taylor &amp; Francis Group. – ISSN 1310-2818. – ISSN (online) 1314-3530. – Roč. 35, č. 1 (2021), s. 94-94 [tlačená forma] . – CiteScore: 2,9 ; IF: 1.762 ; SJR: 0,377 ; SNIP: 0,663 ; AIS: 0.319 AIS - Biotechnology &amp; applied microbiology - Q4 JIF - Biotechnology &amp; applied microbiology - Q4 Scimago - Biotechnology - Q3 </t>
  </si>
  <si>
    <t xml:space="preserve">Paremii s komponentom "slovo" v slavianskich jazykach (sopostaviteľno-lingvokuľturologičeskij aspekt) / Bordjuhová, Lenka [Autor, UKFFFAKRU, 100%] ; Molodosť. Intelekt. Inicijativa, 8 [22.04.2020, Vitebsk, Bielorusko (predtým ako Bieloruská SSR)]. – text. – [ruština]. – [OV 020]. – [abstrakt z podujatia - KP] In: Molodosť. Intelekt. Inicijativa [textový dokument (print)] : materijaly 8. meždunarodnoj naučno-praktičeskoj konferencii studentov u magistrantov. Vitebsk, 22. aprelja 2020 / Priščepa, Inna Michajlova [Zostavovateľ, editor]. – 1. vyd. – Vitebsk (Bielorusko (predtým ako Bieloruská SSR)) : VGU imeni P.M. Mašerova, 2020. – ISBN 978-985-517-700-6, s. 184-185 [tlačená forma] </t>
  </si>
  <si>
    <t xml:space="preserve">Partnership and Personality disorders / Kasalová, Petra [Autor, 5%] ; Praško Pavlov, Ján [Autor, 5%] ; Kantor, Karel [Autor, 5%] ; Grambal, Aleš [Autor, 5%] ; Zaťková, Marta [Autor, UKFFSVKPV, 30%] ; Holubová, Markéta [Autor, 5%] ; Sedláčková, Zuzana [Autor, 5%] ; Šlepecký, Miloš [Autor, UKFFSVKPV, 35%] ; Vyskočilová, Jana [Autor, 5%] ; European Congress of Psychiatry 2018, 26 [06.09.2018-09.09.2018, Štrasburg, Francúzsko]. – text. – [angličtina]. – [OV 060]. – [abstrakt z podujatia - ČL]. – WOS CC In: European Psychiatry [textový dokument (print)] [elektronický dokument] : the journal of the european psychiatric association. – Amsterdam (Holandsko) : Elsevier. – ISSN 0924-9338. – ISSN (online) 1778-3585. – suppl. Abstracts of the 26th European Congress of Psychiatry - 2018, č. 48 (2018), s. 648-648 [tlačená forma] [online] . – IF: 3,941 ; SNIP: 1,21 ; SJR: 1,595 ; CiteScore: 5,8 JIF - Psychiatry - Q1 Scimago - Psychiatric mental health - Q1, Psychiatry and mental health - Q1 </t>
  </si>
  <si>
    <t xml:space="preserve">Personality traits and autonomic nervous system - Cross section study / Šlepecký, Miloš [Autor, UKFFSVKPV, 20%] ; Kotianová, Antónia [Autor, UKFFSVKPV, 10%] ; Kotian, Michal [Autor, 5%] ; Praško Pavlov, Ján [Autor, 5%] ; Majerčák, Ivan [Autor, 5%] ; Györgyová, Erika [Autor, 5%] ; Zaťková, Marta [Autor, UKFFSVKPV, 20%] ; Popelková, Marta [Autor, UKFFSVKPV, 20%] ; Chupáčová, Michaela [Autor, 5%] ; Tonhajzerová, Ingrid [Autor, UKOLJ160, 5%] ; European Congress of Psychiatry 2018, 26 [06.09.2018-09.09.2018, Štrasburg, Francúzsko]. – text. – [angličtina]. – [OV 060]. – [abstrakt z podujatia - ČL]. – SIGN-UKO LJ142/18. – WOS CC In: European Psychiatry [textový dokument (print)] [elektronický dokument] : the journal of the european psychiatric association. – Amsterdam (Holandsko) : Elsevier. – ISSN 0924-9338. – ISSN (online) 1778-3585. – suppl. Abstracts of the 26th European Congress of Psychiatry - 2018, č. 48 (2018), s. 218-218 [tlačená forma] [online] . – IF: 3,941 ; SNIP: 1,21 ; SJR: 1,595 ; CiteScore: 5,8 JIF - Psychiatry - Q1 Scimago - Psychiatric mental health - Q1, Psychiatry and mental health - Q1 </t>
  </si>
  <si>
    <t xml:space="preserve">Phenotype of three pathogenic variants of CACNA1A gene in Slovak families with episodic ataxia type-2 / Sivák, Štefan [Autor, UKOLJ243, 7.696%] ; Palloni, Andrea [Autor, 7.692%] ; Brozman, Miroslav [Autor, UKFFSVKUM, 7.692%] ; Göbö, Tibor [Autor, 7.692%] ; Krajčíová, Andrea [Autor, 7.692%] ; Hikkelová, Marcela [Autor, 7.692%] ; Kantorová, Ema [Autor, UKOLJ243, 7.692%] ; Turčanová Koprušáková, Monika [Autor, UKOLJ243, 7.692%] ; Kalmarová, Klaudia [Autor, UKOLJ243, 7.692%] ; Burjanivová, Tatiana [Autor, UKOLJ121, 7.692%] ; Čierny, Daniel [Autor, UKOLJ113, 7.692%] ; Nosáľ, Vladimír [Autor, UKOLJ243, 7.692%] ; Kurča, Egon [Autor, UKOLJ243, 7.692%] ; Congress of the European-Academy of Neurology, 4 [16.06.2018-19.06.2018, Lisabon, Portugalsko]. – text. – [angličtina]. – [OV 180]. – [abstrakt z podujatia - ČL]. – SIGN-UKO LJ385/18. – CPCI-S ; SCIE ; WOS CC In: European Journal of Neurology [textový dokument (print)] [elektronický dokument] : the official journal of the European Federation of Neurological Societies. – Hoboken (USA) : John Wiley &amp; Sons. – ISSN 1351-5101. – ISSN (online) 1468-1331. – suppl. Roč. 25, č. Supplement 2 (2018), Meeting Abstract: EPO3092, s. 264-264 [tlačená forma] [online] . – IF: 4,387 ; SJR: 1,673 ; SNIP: 1,349 ; CiteScore: 8,1 JIF - Clinical neurology - Q1, Neurosciences - Q1 Scimago - Neurology - Q1, Neurology (clinical) - Q1 </t>
  </si>
  <si>
    <t xml:space="preserve">Physical computing a jeho využitie pri bádateľsky orientovanej výučbe na ZŠ / Tkáčová, Zuzana [Autor, UKFPFAKTT, 100%] ; Tech-Edu-Inspire 2019 [01.12.2019, Olomouc, Česko]. – text. – [slovenčina]. – [OV 010]. – [abstrakt z podujatia - KP] In: Tech-Edu-Inspire 2019 [textový dokument (print)] : výuka techniky na základní škole – inovace, trendy, inspirace. Sborník abstraktů konference, Olomouc, 1. prosinec 2019 / Basler, Jaromír [Zostavovateľ, editor] ; Dostál, Jiří [Zostavovateľ, editor]. – 1. vyd. – Olomouc (Česko) : Univerzita Palackého v Olomouci, 2019. – ISBN 978-80-244-5619-5, s. 24-24 </t>
  </si>
  <si>
    <t xml:space="preserve">Physical fitness and level of body components in the 11-15 year old population in west Slovakia / Halmová, Nora [Autor, UKFPFAKTV, 40%] ; Kanásová, Janka [Autor, UKFPFAKTV, 30%] ; Šiška, Ľuboslav [Autor, UKFPFAKTV, 30%] ; International conference of sport, health and physical education, 1 [25.10.2018-26.10.2018, Ústí nad Labem, Česko]. – [angličtina]. – [OV 210]. – [abstrakt z podujatia - KP] In: 1st international conference of sport, health and physical education [textový dokument (print)] : book of abstracts / Balkó, Štefan [Zostavovateľ, editor] ; Škopek, Martin [Zostavovateľ, editor] ; Hnízdil, Jan [Zostavovateľ, editor] ; Nosek, Martin [Zostavovateľ, editor] ; Heidler, Josef [Zostavovateľ, editor] ; Bláha, Ladislav [Recenzent] ; Šimonek, Jaromír [Recenzent] ; Zemková, Erika [Recenzent]. – 1. vyd. – Roč. 1. – Ústí nad Labem (Česko) : Univerzita Jana Evangelisty Purkyně v Ústí nad Labem, 2018. – ISBN 978-80-7561-143-7, s. 28-28 [tlačená forma] </t>
  </si>
  <si>
    <t xml:space="preserve">Plán BOZP a chemická legislatíva / Tureková, Ivana [Autor, UKFPFAKTT, 90%] ; Pekár, Ivan [Autor, 10%] ; Bezpečnost a ochrana zdraví při práci, 18 [18.04.2018-19.04.2018, Ostravice, Česko]. – [slovenčina]. – [OV 010]. – [abstrakt z podujatia - KP] In: Bezpečnost a ochrana zdraví při práci [textový dokument (print)] : recenzovaný sborník abstraktů z 18. ročníka  medzinárodní konference ve dnech  18. -19.4.2018 v Ostravě / Tureková, Ivana [Zostavovateľ, editor]. – 1. vyd. – Ostrava (Česko) : Sdružení požárního a bezpečnostního inženýrství, 2018. – ISBN 978-80-7385-202-3, s. 86-88 [tlačená forma] </t>
  </si>
  <si>
    <t xml:space="preserve">Potential of students of non-medical study felds in the area of cultural competences in the care of migrants / Pavelová, Ľuboslava [Autor, UKFFSVKOS, 50%] ; Solgajová, Andrea [Autor, UKFFSVKOS, 50%] ; 6th International ETNA Conference 2019, 6 [19.06.2019-21.06.2019, České Budějovice, Česko]. – text. – [angličtina]. – [OV 180]. – [abstrakt z podujatia - KP] In: Program &amp; Abstracts [textový dokument (print)] : 6th International ETNA Conference 2019 / [bez zostavovateľa] [Zostavovateľ, editor]. – 1. vyd. – České Budějovice (Česko) : Jihočeská univerzita v Českých Budějovicích. Zdravotně sociální fakulta, 2019. – ISBN 978-80-7394-749-1, s. 72-72 [tlačená forma] </t>
  </si>
  <si>
    <t xml:space="preserve">Potvrzený výskyt šídlatky Chalcolestes parvidens (Insecta: Odonata, Lestidae) na Slovensku / David, Stanislav [Autor, UKFFPVKEE, 50%] ; Petrovičová, Kornélia [Autor, 50%] ; Zoologické dny [06.02.2020-07.02.2020, Olomouc, Česko]. – text. – [slovenčina]. – [OV 100]. – [abstrakt z podujatia - KP] In: Zoologické dny Olomouc 2020 [textový dokument (print)] [elektronický dokument] : sborník abstraktů z konference / Bryja, Josef [Zostavovateľ, editor]. – 1. vyd. – Brno (Česko) : Akademie věd České republiky. Ústav biologie obratlovců AV ČR, 2020. – ISBN 978-80-87189-32-0, s. 44-45 [tlačená forma] [online] </t>
  </si>
  <si>
    <t xml:space="preserve">Preferences of Creative Tourists n the Selection of the Tourist Accommodation - A Case Study of Slovakia / Csapó, János [Autor, UKFFSSKCR, 25%] ; Mazúchová, Ľudmila [Autor, UKFFSSKCR, 25%] ; Madudová, Emília [Autor, ZUZPEDKSP, 25%] ; Palenčíková, Zuzana [Autor, UKFFSSKCR, 25%] ; Creative Tourism Dynamics: Connecting Travellers, Communities, Cultures, and Places, 3 [23.10.2019-25.10.2019, Faro, Portugalsko]. – text. – [angličtina]. – [OV 080]. – [abstrakt z podujatia - KP] In: Creative Tourism Dynamics: Connecting Travellers, Communities, Cultures, and Places [textový dokument (print)] : Book of Abstracts from of the 3rd CREATOUR International Conference and Creative Tourism Showcase ; 23, 24, and 25 October 2019 , University of Algarve, Faro, Portugal / Moreira Cabeça, Sónia [Zostavovateľ, editor]. – 1. vyd. – Faro (Portugalsko) : CIEO –Research Centre for Spatial and Organizational Dynamics, 2019. – ISBN 978-989-8859-86-0, s. 23-23 </t>
  </si>
  <si>
    <t xml:space="preserve">Preliminary validation of monoclonal antibodies generated  against two rabbit CD34 synthetic peptides / Vašíček, Jaromír [Autor, SPUFBP01, 20%] ; Baláži, Andrej [Autor, 16%] ; Bauer, Miroslav [Autor, UKFFPVKBG, 16%] ; Svoradová, Andrea [Autor, UKFFPVKZA, 16%] ; Tirpáková, Mária [Autor, SPUPRA15, 16%] ; Chrenek, Peter [Autor, SPUFBP01, 16%] ; International Conference Analytical Cytometry, 11 [02.10.2021-05.10.2021, Ostrava, Česko]. – text. – [angličtina]. – [OV 120, 130]. – [abstrakt z podujatia - KP] In: Book of abstracts of the 11th International Conference Analytical Cytometry [textový dokument (print)] [elektronický dokument] / [bez zostavovateľa] [Zostavovateľ, editor]. – 1. vyd. – Praha (Česko) : AMCA, 2021. – ISBN 978-80-88214-26-7, s. 134-134 [tlačená forma] [online] </t>
  </si>
  <si>
    <t xml:space="preserve">Priestorové schopnosti budúcich učiteľov elementaristov / Pavlovičová, Gabriela [Autor, UKFFPVKMA, 70%] ; Vágová, Renáta [Autor, UKFFPVKMA, 30%] ; EME 2018, 23 [25.04.2018-27.04.2018, Olomouc, Česko]. – text. – [slovenčina]. – [OV 240]. – [abstrakt z podujatia - KP] In: EME2018 proceedings [elektronický dokument] : Perspectives of primary mathematics education : 23rd scientific conference with international participation Elementary Mathematics Education = Perspektivy primárního vzdělávání matematice : 23. ročník vědecké konference s mezinárodní účastí Elementary Mathematics Education / Uhlířová, Martina [Zostavovateľ, editor] ; Wossala, Jan [Zostavovateľ, editor] ; Zdráhal, Tomáš [Recenzent] ; Pastor, Karel [Recenzent]. – 1. vyd. – Olomouc (Česko) : Univerzita Palackého v Olomouci, 2018. – ISBN 978-80-905281-7-8, s. 103-104 [online] </t>
  </si>
  <si>
    <t xml:space="preserve">Príspevok k bionómii pásikavcov (Odonata: Cordulegaster Leach, 1875) v Slovenskej republike / Petrovičová, Kornélia [Autor, 25%] ; David, Stanislav [Autor, UKFFPVKEE, 25%] ; Langraf, Vladimír [Autor, UKFFPVKEE, 25%] ; Petrovič, František [Autor, UKFFPVKEE, 25%] ; Zoologické dny [08.02.2018-09.02.2018, Praha, Česko]. – text. – [slovenčina]. – [OV 130]. – [abstrakt z podujatia - KP] In: Zoologické dny Praha 2018 [textový dokument (print)] : sborník abstraktů z konference / Bryja, Josef [Zostavovateľ, editor] ; Solský, Milič [Zostavovateľ, editor]. – 1. vyd. – Praha (Česko) : Akademie věd České republiky, 2018. – ISBN 978-80-87189-24-5, s. 172-172 [tlačená forma] </t>
  </si>
  <si>
    <t xml:space="preserve">Proaktívne zvládanie u študentov rôznych odborov / Hudáková, Miriama [Autor, UKFFSVUAP, 100%] ; PhD existence 2021, 11 [01.02.2021-02.02.2021, Olomouc, Česko]. – text. – [slovenčina]. – [OV 060]. – [abstrakt z podujatia - KP] In: PhD existence 11 [elektronický dokument] : "Jedeme dál" : česko-slovenská psychologická konference (nejen) pro doktorandy a o doktorandech  : bulletin abstraktů / Aigelová, Eva [Zostavovateľ, editor] ; Viktorová, Lucie [Zostavovateľ, editor] ; Dolejš, Martin [Zostavovateľ, editor]. – 1. vyd. – č. 1. – Olomouc (Česko) : Univerzita Palackého v Olomouci, 2021. – ISBN (online) 978-80-244-5873-1, s. 59-59 [online] </t>
  </si>
  <si>
    <t xml:space="preserve">Psychological distress, quality of life, and cardiovascular risk factors / Šlepecký, Miloš [Autor, UKFFSVKPV, 25%] ; Kotianová, Antónia [Autor, UKFFSVKPV, 8%] ; Praško Pavlov, Ján [Autor, 8%] ; Majerčák, Ivan [Autor, 8%] ; Györgyová, Erika [Autor, 8%] ; Kotian, Michal [Autor, 2%] ; Popelková, Marta [Autor, UKFFSVKPV, 20%] ; Zaťková, Marta [Autor, UKFFSVKPV, 11%] ; Ocisková, Marie [Autor, 2%] ; Tonhajzerová, Ingrid [Autor, UKOLJ160, 8%] ; European Congress of Psychiatry 2018, 26 [06.09.2018-09.09.2018, Štrasburg, Francúzsko]. – text. – [angličtina]. – [OV 060]. – [abstrakt z podujatia - ČL]. – SIGN-UKO LJ143/18. – SCIE ; SSCI ; WOS CC In: European Psychiatry [textový dokument (print)] [elektronický dokument] : the journal of the european psychiatric association. – Amsterdam (Holandsko) : Elsevier. – ISSN 0924-9338. – ISSN (online) 1778-3585. – suppl. Abstracts of the 26th European Congress of Psychiatry - 2018, č. 48 (2018), s. 219-219 [tlačená forma] [online] . – IF: 3,941 ; SNIP: 1,21 ; SJR: 1,595 ; CiteScore: 5,8 JIF - Psychiatry - Q1 Scimago - Psychiatric mental health - Q1, Psychiatry and mental health - Q1 </t>
  </si>
  <si>
    <t xml:space="preserve">Pulse Transit Time Measured by Biofeedback Device as a Promising Indicator of Cardiovascular Risk: Differences Between Healthy Adults and Cardiovascular Patients / Šlepecký, Miloš [Autor, UKFFSVKPV, 11.112%] ; Kotianová, Antónia [Autor, UKFFSVKPV, 11.111%] ; Kotian, Michal [Autor, 11.111%] ; Zaťková, Marta [Autor, UKFFSVKPV, 11.111%] ; Popelková, Marta [Autor, UKFFSVKPV, 11.111%] ; Majerčiak, Ivan [Autor, 11.111%] ; Praško Pavlov, Ján [Autor, UKFFSVKPV, 11.111%] ; Chupáčová, Michaela [Autor, 11.111%] ; Györgyová, Erika [Autor, 11.111%] ; Biofeedback Federation of Europe [24.04.2017-29.04.2017, Aveiro, Portugalsko]. – [angličtina]. – [OV 060]. – [abstrakt z podujatia - ČL]. – WOS CC In: Applied Psychophysiology and Biofeedback. – Švajčiarsko : Springer Nature. Springer International Publishing AG, Basel : Basel. – ISSN 1090-0586. – ISSN (online) 1573-3270. – Roč. 43, č. 1 (2018), s. 100-100 . – SJR: 0,402 ; CiteScore: 2,5 ; SNIP: 0,879 ; IF: 1.116 JIF - Psychology, clinical - Q3 Scimago - Applied psychology - Q3, Neuropsychology and physiological psychology - Q3 </t>
  </si>
  <si>
    <t xml:space="preserve">Relationship between karate agility and kumite / Czaková, Monika [Autor, UKFPFAKTV, 95%] ; Broďáni, Jaroslav [Autor, UKFPFAKTV, 5%] ; Scientia Movens 2021 [25.05.2021, Praha, Česko]. – text. – [angličtina]. – [OV 210]. – [abstrakt z podujatia - KP] In: Scientia Movens 2021 (Sportovní trénink), (Výzkumné projekty), (Anglická sekce), (Aplikované pohybové aktivity), (Diplomové a bakalářské práce), (Společenko-vědní) [elektronický dokument] : sborník abstrakt z mezinárodní studentské vědecké konference  konané 25. května 2021 / Suchý, Jiří [Zostavovateľ, editor] ; Čechová, Anna [Zostavovateľ, editor] ; Knoblochová, Michaela [Zostavovateľ, editor] ; Kaprálková, Michaela [Zostavovateľ, editor] ; Voráčková, Dominika [Zostavovateľ, editor] ; Opelík, Daniel [Zostavovateľ, editor] ; Macho, Juraj [Zostavovateľ, editor]. – 1. vyd. – Roč. 28. – Praha (Česko) : Univerzita Karlova v Praze. Fakulta tělesné výchovy a sportu, 2021. – ISBN 978-80-87647-57-8. – SIGN-UKO TV EXTV, s. 74-75 [online] </t>
  </si>
  <si>
    <t xml:space="preserve">Relationship of coping, quality of life and cognitive status in stroke patients / Solgajová, Andrea [Autor, UKFFSVKOS, 34%] ; Zrubcová, Dana [Autor, UKFFSVKOS, 33%] ; Vörösová, Gabriela [Autor, UKFFSVKOS, 33%] ; International symposium More than 200 years of Florence Nightingale's legacy, 13 [16.09.2021-17.09.2021, České Budějovice, Česko]. – text. – [angličtina]. – [OV 180]. – [abstrakt z podujatia - KP]. – [recenzované] In: 13. International symposium More than 200 years of Florence Nightingale ́s legacy : international symposium, 16th-17th September 2021, České Budějovice / Dolák, František [Zostavovateľ, editor] ; Trešlová, Marie [Zostavovateľ, editor] ; Šedová, Lenka [Zostavovateľ, editor] ; Hudáčková, Andrea [Zostavovateľ, editor]. – 1. vyd. – České Budějovice (Česko) : Jihočeská univerzita v Českých Budějovicích, 2021. – ISBN 978-80-7394-873-3, s. 55-55 </t>
  </si>
  <si>
    <t xml:space="preserve">Reproductive toxicity of metal nanoparticles can be prevented by their chemical modification and functional food plants and plant isoflavones / Sirotkin, Alexander [Autor, UKFFPVKZA, 20%] ; Francisco, Alonso [Autor, 10%] ; Scsuková, Soňa [Autor, 10%] ; Bauer, Miroslav [Autor, UKFFPVKBG, 10%] ; Kadasi, Attila [Autor, 10%] ; Martin-Garcia, Iris [Autor, 10%] ; Radošová, Monika [Autor, 10%] ; Alexa, Richard [Autor, UKFFPVKZA, 10%] ; Fabová, Zuzana [Autor, UKFFPVKZA, 10%] ; Risk Factors of Food Chain, 21 [06.09.2021-08.09.2021, Rzeszów, Poľsko]. – text. – [angličtina]. – [OV 130]. – [abstrakt z podujatia - KP] In: Risk Factors of Food Chain [elektronický dokument] : book of abstracts from 21. International Scientific Conference, Iwonicz 6-8. september 2021 / Pasternakiewicz, Anna [Zostavovateľ, editor] ; Miłek, Michał [Zostavovateľ, editor] ; Massanyi, Peter [Recenzent] ; Dżugan, Małgorzata [Recenzent]. – 1. vyd. – Rzeszów (Poľsko) : Uniwersytet Rzeszowski, 2021. – ISBN 978-83-7996-932-6, s. 46-46 [CD-ROM] </t>
  </si>
  <si>
    <t xml:space="preserve">Research of ability to differentiate words without visual support / Máčajová, Monika [Autor, UKFPFAKPE, 40%] ; Grofčíková, Soňa [Autor, UKFPFAKPE, 40%] ; Rybanský, Ľubomír [Autor, UKFFPVKMA, 20%] ; Language, Literature and Culture in Education 2019 [05.12.2019-07.12.2019, Rím, Taliansko]. – text. – [angličtina]. – [OV 020]. – [abstrakt z podujatia - KP] In: LLCE2019 [elektronický dokument] : book of abstracts : 5-7 December 2019, Rome, Italy / Pokrivčáková, Silvia [Zostavovateľ, editor]. – 1. vyd. – Nitra (Slovensko) : SlovakEdu, 2019. – ISBN 978-80-89864-16-4. – TUTPFKAJ signatúra E077686, s. 33-33 [online] </t>
  </si>
  <si>
    <t xml:space="preserve">Research of Word to Syllable Analysis in Preschool Age Children / Máčajová, Monika [Autor, UKFPFAKPE, 100%] ; Language, Literature and Culture in Education 2018 [05.09.2018-07.09.2018, Viedeň, Rakúsko]. – text. – [angličtina]. – [OV 010]. – [abstrakt z podujatia - KP] In: Language, Literature and Culture in Education 2018 [elektronický dokument] : book of abstracts : 5-7 September 2018, Vienna, Austria / Pokrivčáková, Silvia [Zostavovateľ, editor]. – 1. vyd. – Nitra (Slovensko) : SlovakEdu, 2018. – ISBN 978-80-89864-14-0. – TUTPFKAJ signatúra E072336, s. 18-18 [online] </t>
  </si>
  <si>
    <t xml:space="preserve">Research on elisions in preschool age children / Grofčíková, Soňa [Autor, UKFPFAKPE, 50%] ; Máčajová, Monika [Autor, UKFPFAKPE, 50%] ; ICRE ́19, 2 [17.07.2019-19.07.2019, Porto, Portugalsko]. – text. – [angličtina]. – [OV 010]. – [abstrakt z podujatia - KP] In: ICRE ́19 [elektronický dokument] : Book of Abstracts from 2nd Porto International Conference of Research in Education, Porto 17-19 Jule 2019 / [bez zostavovateľa] [Zostavovateľ, editor]. – 1. vyd. – Porto (Portugalsko) : Escola Superior de Educacao, 2019. – ISBN 978-972-8969-31-8, s. 95-95 [online] </t>
  </si>
  <si>
    <t xml:space="preserve">Rozdiely vo vnímaní tímovej efektivity a ich vzťah k organizačnej agilite a pracovnej spokojnosti / Silberg, Slavka [Autor, UKFPFAKPE, 50%] ; Stehlík, Luděk [Autor, 40%] ; Ďuriš, Rastislav [Autor, 10%] ; Psychologie práce a organizace 2021, 20 [12.05.2021-14.05.2021, Olomouc, Česko]. – text. – [slovenčina]. – [OV 010]. – [abstrakt z podujatia - KP]. – [recenzované] In: Psychologie práce a organizace 2021 [elektronický dokument] : Sborník abstraktů, 13.-14.5.2021 / Seitl, Martin [Zostavovateľ, editor] ; Viktorová, Lucie [Zostavovateľ, editor]. – 1. vyd. – Olomouc (Česko) : Univerzita Palackého v Olomouci, 2021. – ISBN (online) 978-80-244-5908-0, s. 42-43 </t>
  </si>
  <si>
    <t xml:space="preserve">Sebaúčinnosť a self-mastery vo vzťahu k ťažkostiam s kariérovým rozhodovaním u študentov pred druhou smerovou voľbou / Baňasová, Katarína [Autor, UKFFSVUAP, 100%] ; PhD existence 2021, 11 [01.02.2021-02.02.2021, Olomouc, Česko]. – text. – [slovenčina]. – [OV 060]. – [abstrakt z podujatia - KP] In: PhD existence 11 [elektronický dokument] : "Jedeme dál" : česko-slovenská psychologická konference (nejen) pro doktorandy a o doktorandech  : bulletin abstraktů / Aigelová, Eva [Zostavovateľ, editor] ; Viktorová, Lucie [Zostavovateľ, editor] ; Dolejš, Martin [Zostavovateľ, editor]. – 1. vyd. – č. 1. – Olomouc (Česko) : Univerzita Palackého v Olomouci, 2021. – ISBN (online) 978-80-244-5873-1, s. 62-62 [online] </t>
  </si>
  <si>
    <t xml:space="preserve">Self reflection and personal therapy during cognitive behavioral training / Praško Pavlov, Ján [Autor, 10%] ; Vyskočilová, Jana [Autor, 10%] ; Grambal, Aleš [Autor, 5%] ; Šlepecký, Miloš [Autor, UKFFSVKPV, 75%] ; European Congress of Psychiatry 2018, 26 [06.09.2018-09.09.2018, Štrasburg, Francúzsko]. – text. – [angličtina]. – [OV 060]. – [abstrakt z podujatia - ČL]. – WOS CC In: European Psychiatry [textový dokument (print)] [elektronický dokument] : the journal of the european psychiatric association. – Amsterdam (Holandsko) : Elsevier. – ISSN 0924-9338. – ISSN (online) 1778-3585. – suppl. Abstracts of the 26th European Congress of Psychiatry - 2018, č. 48 (2018), s. 687-687 [tlačená forma] [online] . – IF: 3,941 ; SNIP: 1,21 ; SJR: 1,595 ; CiteScore: 5,8 JIF - Psychiatry - Q1 Scimago - Psychiatric mental health - Q1, Psychiatry and mental health - Q1 </t>
  </si>
  <si>
    <t xml:space="preserve">Share of athletics disciplines on the a verage sports performance in the decathlon with 8282,75 point value / Dvořáčková, Natália [Autor, UKFPFAKTV, 90%] ; Broďáni, Jaroslav [Autor, UKFPFAKTV, 10%] ; Scientia Movens 2020, 27 [05.06.2020, Praha, Česko]. – [angličtina]. – [OV 010]. – [abstrakt z podujatia - KP] In: Scientia Movens 2020 [elektronický dokument] : sborník abstrakt z mezinárodní studentské vědecké konference konané dne 5. června 2020 / Suchý, Jiří [Zostavovateľ, editor] ; Petr, Miroslav [Recenzent] ; Perič, Tomáš [Recenzent]. – 1. vyd. – Roč. 27. – Praha (Česko) : Univerzita Karlova v Praze. Fakulta tělesné výchovy a sportu, 2020. – ISBN 978-80-87647-53-0. – SIGN-UKO TV EXTV, s. 82-82 [online] </t>
  </si>
  <si>
    <t xml:space="preserve">Simulation of diabetic conditions on cultured osteoblasts / Bábiková, Martina [Autor, UKFFPVKBG, 20%] ; Blahová, Jana [Autor, UKFFPVKBG, 20%] ; Kováčová, Veronika [Autor, UKFFPVKZA, 15%] ; Mondočková, Vladimíra [Autor, UKFFPVKBG, 15%] ; Martiniaková, Monika [Autor, UKFFPVKZA, 15%] ; Omelka, Radoslav [Autor, UKFFPVKBG, 15%] ; Animal physiology 2021, 16 [22.09.2021-24.09.2021, Češkovice, Česko]. – text. – [angličtina]. – [OV 130]. – [abstrakt z podujatia - KP] In: Animal physiology 2021 [elektronický dokument] : book of abstract 16th international scientific conference, September 22th-24th 2021, Češkovice, Czech Republic / Pavlík, Aleš [Zostavovateľ, editor] ; Škarpa, Petr [Zostavovateľ, editor] ; Sláma, Petr [Zostavovateľ, editor]. – 1. vyd. – Brno (Česko) : Mendelova univerzita v Brně, 2021. – ISBN 978-80-7509-808-5, s. 10-10 [online] </t>
  </si>
  <si>
    <t xml:space="preserve">Sink or float : teaching EFL to very young learners through real life experience / Hornáčková Klapicová, Edita [Autor, UKFFFAKTR, 100%] ; Inozemna mova u profesijnij pidgotovci specialistiv: problemi ta strategii, 3 [20.02.2019, Kropivnickij, Ukrajina]. – [angličtina]. – [OV 020, 010]. – [abstrakt z podujatia - KP] In: Materiali 3 Internet-konferencii Inozemna mova u profesijnij pidgotovci specialistiv: problemi ta strategii [textový dokument (print)] : zbirnik tez dopovidej (Elektronnij resurs) = online book of abstracts / Shandruk, Svitlana [Zostavovateľ, editor]. – Kropivnickij (Ukrajina) : Centraľnoukrainskij deržavnij pedagogičnij universitet imeni Volodimira Vinničenka, 2019. – ISSN 2522-4743, s. 119-120 [tlačená forma] </t>
  </si>
  <si>
    <t xml:space="preserve">Sonolysis in risk reduction of symptomatic and silent brain infarctions during acute endovascular coronary intervention: Randomized, controlled trial+ / Viszlayová, Daša [Autor, 20%] ; Školoudík, David [Autor, 20%] ; Brozman, Miroslav [Autor, UKFFSVKUM, 20%] ; Langová, Kateřina [Autor, 20%] ; Herzig, Roman [Autor, 20%] ; ESNCH, 23 [13.04.2018-16.04.2018, Praha, Česko]. – text. – [angličtina]. – [OV 180]. – [abstrakt z podujatia - ČL]. – WOS CC In: European Journal of Neurology [textový dokument (print)] [elektronický dokument] : the official journal of the European Federation of Neurological Societies. – Hoboken (USA) : John Wiley &amp; Sons. – ISSN 1351-5101. – ISSN (online) 1468-1331. – suppl. Roč. 25, č. Supplement 1 (2018), s. 17-18 [tlačená forma] [online] . – IF: 4,387 ; SJR: 1,673 ; SNIP: 1,349 ; CiteScore: 8,1 JIF - Clinical neurology - Q1, Neurosciences - Q1 Scimago - Neurology - Q1, Neurology (clinical) - Q1 </t>
  </si>
  <si>
    <t xml:space="preserve">Stress profile in panic disorders patients in comparison with matched healthy controls / Šlepecký, Miloš [Autor, UKFFSVKPV, 35%] ; Kotianová, Antónia [Autor, UKFFSVKPV, 10%] ; Praško Pavlov, Ján [Autor, 10%] ; Kotian, Michal [Autor, 5%] ; Chupáčová, Michaela [Autor, 5%] ; Zaťková, Marta [Autor, UKFFSVKPV, 30%] ; Tonhajzerová, Ingrid [Autor, UKOLJ160, 5%] ; European Congress of Psychiatry 2018, 26 [06.09.2018-09.09.2018, Štrasburg, Francúzsko]. – text. – [angličtina]. – [OV 060]. – [abstrakt z podujatia - ČL]. – SIGN-UKO LJ144/18. – SCIE ; SSCI ; WOS CC In: European Psychiatry [textový dokument (print)] [elektronický dokument] : the journal of the european psychiatric association. – Amsterdam (Holandsko) : Elsevier. – ISSN 0924-9338. – ISSN (online) 1778-3585. – suppl. Abstracts of the 26th European Congress of Psychiatry - 2018, č. 48 (2018), s. 219-219 [tlačená forma] [online] . – IF: 3,941 ; SNIP: 1,21 ; SJR: 1,595 ; CiteScore: 5,8 JIF - Psychiatry - Q1 Scimago - Psychiatric mental health - Q1, Psychiatry and mental health - Q1 </t>
  </si>
  <si>
    <t xml:space="preserve">Strong character attributes and their relation to the classroom climate at secondary school youth / Sender, Barbora [Autor, UKFPFAKPE, 100%] ; Integration of Education, Science and Business in Modern Environment: Winter Debates, 2 [04.02.2021-05.02.2021, Dnipro, Ukrajina]. – text. – [angličtina]. – [OV 010]. – [abstrakt z podujatia - ČL] In: International electronic scientific and practical journal “WayScience” [elektronický dokument] . – Dneper (Ukrajina) : Dnipro. – ISSN (online) 2664-4819. – Roč. 4, č. 1 (2021), s. 97-98 [online] </t>
  </si>
  <si>
    <t xml:space="preserve">Structure of swimming performance to 50 meters freestyle in a short course / Kováčová, Natália [Autor, UKFPFAKTV, 42%] ; Pupišová, Zuzana [Autor, UMBFF09, 40%] ; Broďáni, Jaroslav [Autor, UKFPFAKTV, 10%] ; Šiška, Ľuboslav [Autor, UKFPFAKTV, 8%] ; Quality of Life in Interdisciplinary Approach, 2 [05.11.2019-07.11.2019, Kochcice, Poľsko]. – text. – [angličtina]. – [OV 210]. – [abstrakt z podujatia - KP] In: Quality of Life in Interdisciplinary Approach [elektronický dokument] : Book of Abstracts, 2nd World Congress, 5.-7.11.2019 Kochcice / Wasik, Jacek [Zostavovateľ, editor] ; Szopa, Janusz [Zostavovateľ, editor]. – 1. vyd. – Roč. 1. – Czestochowa (Poľsko) : PPHU Projack, 2019. – ISBN 978-83-934596-5-0, s. 48-48 [online] </t>
  </si>
  <si>
    <t xml:space="preserve">Suplementácia prírodného vápnika v kombinácii s vitamínmi D3 a K2 v manažmente osteoporózy / Jackuliak, Peter [Autor, UKOLF5IK, 11.112%] ; Payer, Juraj [Autor, UKOLF5IK, 11.111%] ; Švík, Karol [Autor, 11.111%] ; Šoltésová Prnová, Marta [Autor, 11.111%] ; Omelka, Radoslav [Autor, UKFFPVKBG, 11.111%] ; Kováčová, Veronika [Autor, UKFFPVKZA, 11.111%] ; Babasová, R. [Autor, 11.111%] ; Tomková, Soňa [Autor, 11.111%] ; Vrtoch Oppenberger, Hana Ingrid [Autor, 11.111%] ; Mezinárodní kongres českých a slovenských osteologů, 22 [12.09.2019-14.09.2019, Brno, Česko]. – text. – [slovenčina]. – [OV 180]. – [abstrakt z podujatia - ČL]. – SIGN-UKO LF 5IK/19. – sign UPJS MSEP 032016 In: Clinical Osteology [textový dokument (print)] [elektronický dokument] . – Brno (Česko) : Facta Medica. – ISSN 2571-1326. – ISSN (online) 2571-1334. – Roč. 24, č. 3 (2019), s. 154-154 [tlačená forma] [online] . – SJR: 0,124 ; CiteScore: 0,1 Scimago - Endocrinology, diabetes and metabolism - Q4, Orthopedics and sports medicine - Q4 </t>
  </si>
  <si>
    <t xml:space="preserve">Systematic plan for management measures in non-forest habitats in Slovakia / Ďuricová, Viktória [Autor, 50%] ; Černecký, Ján [Autor, UKFFPVKEE, 50%] ; Eurasian Grassland Conference, 16 [29.05.2019-05.06.2019, Graz, Rakúsko]. – text. – [angličtina]. – [OV 100]. – [abstrakt z podujatia - KP] In: Eurasian Grassland Conference (EGC) (92) [textový dokument (print)] : Species-rich grasslands in the Palaearctic -a treasure without economic value? Graz, 29 May - 5 June 2019 : program and abstracts / Magnes, Martin [Zostavovateľ, editor]. – 1. vyd. – Graz (Rakúsko) : Karl-Franzens-Universität Graz, 2019. – (Fritschiana : Species-rich grasslands in the Palaearctic – a treasure without economic value?, ISSN 1024-0306 ; 92). – ISSN 1024-0306, s. 17-17 [tlačená forma] </t>
  </si>
  <si>
    <t xml:space="preserve">Špecifiká edukácie žiaka so špeciálnymi výchovno-vzdelávacími potrebami na strednej škole = Specific Education of Pupils with Special Educational Needs at Secondary Schools / Balážová, Jana [Autor, UKFPFAKPE, 50%] ; Bilčík, Alexander [Autor, KDOP, 50%] ; Schola nova, quo vadis?, 5 [04.11.2020-20.11.2020, Praha, Česko]. – [slovenčina]. – [OV 010]. – [abstrakt z podujatia - KP] In: Schola nova, quo vadis? [elektronický dokument] : pohledy na středoškolského učitele odborných předmětů / Krpálková Krelová, Katarína [Zostavovateľ, editor] ; Pavera, Libor [Zostavovateľ, editor]. – 1. vyd. – Praha (Česko) : Extrasystem Praha, 2020. – ISBN 978-80-87570-52-4, s. 7-8 [online] </t>
  </si>
  <si>
    <t xml:space="preserve">Technické vzdelávanie v kontexte praktickej prípravy žiakov na technicky orientované študijné odbory / Depešová, Jana [Autor, UKFPFAKTT, 100%] ; Trendy ve vzdělávání 2017, 1 [24.05.2017-26.05.2017, Olomouc, Česko]. – text. – [čeština]. – [OV 010]. – [abstrakt z podujatia - KP] In: Trendy ve vzdělávaní 2018 [textový dokument (print)] [elektronický dokument] : Technika, informatika a inovace ve vzdělávaní : Sborník abstraktů z mezinárodní konference / Dostál, Jiří [Zostavovateľ, editor]. – 1. vyd. – Olomouc (Česko) : Univerzita Palackého v Olomouci, 2018. – ISBN 978-80-244-5318-7, s. 60-60 </t>
  </si>
  <si>
    <t xml:space="preserve">Teorie versus praxe v podmínkách českého vzdělávání / Bečvářová, Ivana [Autor, 50%] ; Tomková, Viera [Autor, UKFPFAKTT, 50%] ; Trendy ve vzdělávaní 2018, 2 [16.05.2018-18.05.2018, Slatinice u Olomouce, Česko]. – text. – [slovenčina]. – [OV 010]. – [abstrakt z podujatia - KP] In: Trendy ve vzdělávaní 2018 [textový dokument (print)] [elektronický dokument] : Technika, informatika a inovace ve vzdělávaní : Sborník abstraktů z mezinárodní konference / Dostál, Jiří [Zostavovateľ, editor]. – 1. vyd. – Olomouc (Česko) : Univerzita Palackého v Olomouci, 2018. – ISBN 978-80-244-5318-7, s. 60-60 </t>
  </si>
  <si>
    <t xml:space="preserve">The conflict points between green and transport infrastructure - methodology for the multicriterial assessment / Dostál, Ivo [Autor, UKFFPVKEE, 60%] ; Havlíček, Marek [Autor, 40%] ; IENE 2020 [11.01.2021-14.01.2021, Évora, Portugalsko]. – text. – [angličtina]. – [OV 100]. – [abstrakt z podujatia - KP] In: IENE  2020 [elektronický dokument] : International  Conference  “LIFE  LINES  –  Linear  Infrastructure  Net-works with Ecological Solutions” - Abstract Book, January 12 - 14, 2021, Évora / Mira, António [Zostavovateľ, editor] ; Oliveira, André Fernando [Zostavovateľ, editor] ; Craveiro, João [Zostavovateľ, editor] ; Silva, Carmo [Zostavovateľ, editor] ; Santos, Sara [Zostavovateľ, editor] ; Eufrázio, Sofia [Zostavovateľ, editor] ; Pedroso, Nuno [Zostavovateľ, editor]. – 1. vyd. – Évora (Portugalsko) : University of Évora, 2021. – ISBN 978-972-778-182-9, s. 45-46 [CD-ROM] </t>
  </si>
  <si>
    <t xml:space="preserve">The effect of apricot seeds administration on bone microstructure of rabbits / Kováčová, Veronika [Autor, UKFFPVKZA, 12.5%] ; Šarocká, Anna [Autor, UKFFPVKZA, 12.5%] ; Šranko, Patrik [Autor, UKFFPVKBG, 12.5%] ; Omelka, Radoslav [Autor, UKFFPVKBG, 12.5%] ; Halenár, Marek [Autor, SPUTFA02, 12.5%] ; Kolesárová, Adriana [Autor, SPUFBP03, 12.5%] ; Račanská, Michaela [Autor, 12.5%] ; Martiniaková, Monika [Autor, UKFFPVKZA, 12.5%] ; WCO-IOF-ESCEO 2018 [19.04.2018-22.04.2018, Krakov, Poľsko]. – text. – [angličtina]. – [OV 190, 130]. – [abstrakt z podujatia - ČL]. – WOS CC In: Osteoporosis International [textový dokument (print)] [elektronický dokument] : with other metabolic bone diseases : a journal established as result of cooperation between the European Foundation for Osteoporosis and the National Osteoporosis Foundation of the USA. – ISSN 0937-941X. – ISSN (online) 1433-2965. – suppl. Roč. 29, č. Supplement 1 (2018), s. 367-367 [tlačená forma] [online] . – SNIP: 1,488 ; CiteScore: 6,1 ; SJR: 1,378 ; IF: 3.830 JIF - Endocrinology &amp; metabolism - Q2 Scimago - Endocrinology, diabetes and metabolism - Q1, Medicine (miscellaneous) - Q1 </t>
  </si>
  <si>
    <t xml:space="preserve">The effect of bee bread and Cornelian cherry extracts on osteoformation properties and viability of osteoblasts / Blahová, Jana [Autor, UKFFPVKBG, 20%] ; Bábiková, Martina [Autor, UKFFPVKBG, 10%] ; Kováčová, Veronika [Autor, UKFFPVKZA, 10%] ; Mondočková, Vladimíra [Autor, UKFFPVKBG, 10%] ; Martiniaková, Monika [Autor, UKFFPVKZA, 20%] ; Capcarová, Marcela [Autor, SPUFBP03, 5%] ; Budzák, Šimon [Autor, UMBFP08, 5%] ; Omelka, Radoslav [Autor, UKFFPVKBG, 20%] ; Animal physiology 2021, 16 [22.09.2021-24.09.2021, Češkovice, Česko]. – text. – [angličtina]. – [OV 130]. – [abstrakt z podujatia - KP] In: Animal physiology 2021 [elektronický dokument] : book of abstract 16th international scientific conference, September 22th-24th 2021, Češkovice, Czech Republic / Pavlík, Aleš [Zostavovateľ, editor] ; Škarpa, Petr [Zostavovateľ, editor] ; Sláma, Petr [Zostavovateľ, editor]. – 1. vyd. – Brno (Česko) : Mendelova univerzita v Brně, 2021. – ISBN 978-80-7509-808-5, s. 13-13 [online] </t>
  </si>
  <si>
    <t xml:space="preserve">The effect of cadmium exposure on functions of human cultivated osteoblasts / Martiniaková, Monika [Autor, UKFFPVKZA, 16%] ; Lukáčová, Martina [Autor, UKFFFAJZC, 12%] ; Adamkovičová, Mária [Autor, UKFFPVKBG, 12%] ; Mondočková, Vladimíra [Autor, UKFFPVKBG, 12%] ; Kováčová, Veronika [Autor, UKFFPVKZA, 12%] ; Šarocká, Anna [Autor, UKFFPVKZA, 12%] ; Bauerová, Mária [Autor, UKFFPVKBG, 12%] ; Omelka, Radoslav [Autor, UKFFPVKBG, 12%] ; WCO-IOF-ESCEO 2018 [19.04.2018-22.04.2018, Krakov, Poľsko]. – text. – [angličtina]. – [OV 130]. – [abstrakt z podujatia - ČL]. – WOS CC In: Osteoporosis International [textový dokument (print)] [elektronický dokument] : with other metabolic bone diseases : a journal established as result of cooperation between the European Foundation for Osteoporosis and the National Osteoporosis Foundation of the USA. – ISSN 0937-941X. – ISSN (online) 1433-2965. – suppl. Roč. 29, č. Supplement 1 (2018), s. 354-354 [tlačená forma] [online] . – SNIP: 1,488 ; CiteScore: 6,1 ; SJR: 1,378 ; IF: 3.830 JIF - Endocrinology &amp; metabolism - Q2 Scimago - Endocrinology, diabetes and metabolism - Q1, Medicine (miscellaneous) - Q1 </t>
  </si>
  <si>
    <t xml:space="preserve">The effect of school, family and friends on students' perceived autonomy support and autonomous motivation: a cross-national survey / Soos, István [Autor, 10%] ; Hamar, Pál [Autor, 10%] ; Dizmatsek, I. [Autor, 10%] ; Szabo, A. [Autor, 10%] ; Ling, J. [Autor, 10%] ; Ojelabi, A. [Autor, 10%] ; Whyte, I. [Autor, 10%] ; Boros-Bálint, A. [Autor, 10%] ; Szabo, P. [Autor, 10%] ; Šimonek, Jaromír [Autor, UKFPFAKTV, 10%] ; Annual congress of the European college sport science, 23 [04.07.2018-07.07.2018, Dublin, Írsko]. – [angličtina]. – [OV 210]. – [abstrakt z podujatia - KP] In: European college sport science [textový dokument (print)] : sport science at the cutting edge : book of abstracts of the 23rd annual congress / Murphy, Marie [Zostavovateľ, editor] ; Boreham, Colin [Zostavovateľ, editor] ; De Vito, Giuseppe [Zostavovateľ, editor] ; Tsolakidis, Elias [Zostavovateľ, editor] ; Bailey, Stephen [Recenzent] ; Ball, Nick [Recenzent] ; Baltzopoulous, Bill [Recenzent]. – 1. vyd. – Roč. 23. – Dublin (Írsko) : European college of sport science, 2018. – ISBN 978-3-9818414-1-1, s. 627-628 [tlačená forma] </t>
  </si>
  <si>
    <t xml:space="preserve">The effect of taurine on femoral bone microstructure in mice / Adamkovičová, Mária [Autor, UKFFPVKBG, 16%] ; Šarocká, Anna [Autor, UKFFPVKZA, 12%] ; Šranko, Patrik [Autor, UKFFPVKBG, 12%] ; Kapusta, Edyta [Autor, 12%] ; Goc, Zofia [Autor, 12%] ; Formicki, Grzegorz [Autor, 12%] ; Martiniaková, Monika [Autor, UKFFPVKZA, 12%] ; Omelka, Radoslav [Autor, UKFFPVKBG, 12%] ; Risk factors of food chain 2018, 19 [26.09.2018-28.09.2018, Mátrafüred, Maďarsko]. – text. – [angličtina]. – [OV 130]. – [abstrakt z podujatia - KP] In: Risk factors of food chain [textový dokument (print)] : book of abstracts : 19. international conference / Géczi, Gábor [Recenzent] ; Korzenszky, Péter [Recenzent] ; Sembery, Peter [Recenzent]. – 1. vyd. – Gödöllö (Maďarsko) : Szent István Egyetem, 2018. – ISBN 978-963-269-774-1, s. 14-14 [tlačená forma] </t>
  </si>
  <si>
    <t xml:space="preserve">The evolution of soil proporties in the forests formed on the sites of former vineyards in the Little Carpathians (SW Slovakia) / Kollár, Jozef [Autor, 33.334%] ; Zima, Lukáš [Autor, 33.333%] ; Palaj, Andrej [Autor, UKFFPVKEE, 33.333%] ; Forests at risk [12.02.2019-13.02.2019, Warszaw, Poľsko]. – [angličtina]. – [OV 100]. – [abstrakt z podujatia - KP] In: Book of abstracts [elektronický dokument] : the international conference Forests at risk: Białowieża and beyond, Warsaw, 12-13 February 2019 / Jaroszewicz, Bogdan [Zostavovateľ, editor]. – 1. vyd. – Basel (Švajčiarsko) : Multidisciplinary Digital Publishing Institute, 2019. – ISSN (online) 1999-4907, s. 94-94 [online] </t>
  </si>
  <si>
    <t xml:space="preserve">The Flexibility of Pupils at second Level of Primary Schools / Czaková, Natália [Autor, UKFPFAKTV, 20%] ; Paška, Ľubomír [Autor, UKFPFAKTV, 20%] ; Šimonek, Jaromír [Autor, UKFPFAKTV, 20%] ; Kanásová, Janka [Autor, UKFPFAKTV, 20%] ; Divinec, Lenka [Autor, UKFPFAKTV, 20%] ; International conference of sport, health and physical education, 1 [25.10.2018-26.10.2018, Ústí nad Labem, Česko]. – [angličtina]. – [OV 210]. – [abstrakt z podujatia - KP] In: 1st international conference of sport, health and physical education [textový dokument (print)] : book of abstracts / Balkó, Štefan [Zostavovateľ, editor] ; Škopek, Martin [Zostavovateľ, editor] ; Hnízdil, Jan [Zostavovateľ, editor] ; Nosek, Martin [Zostavovateľ, editor] ; Heidler, Josef [Zostavovateľ, editor] ; Bláha, Ladislav [Recenzent] ; Šimonek, Jaromír [Recenzent] ; Zemková, Erika [Recenzent]. – 1. vyd. – Roč. 1. – Ústí nad Labem (Česko) : Univerzita Jana Evangelisty Purkyně v Ústí nad Labem, 2018. – ISBN 978-80-7561-143-7, s. 75-75 [tlačená forma] </t>
  </si>
  <si>
    <t xml:space="preserve">The impact of epicatechin and patulin on compact bone microstructure of rabbits / Šranko, Patrik [Autor, UKFFPVKBG, 13%] ; Babosová, Ramona [Autor, UKFFPVKZA, 15%] ; Reptová, Natália [Autor, 12%] ; Adamkovičová, Mária [Autor, UKFFPVKBG, 12%] ; Kováčová, Veronika [Autor, UKFFPVKZA, 12%] ; Tkáčová, Martina [Autor, 12%] ; Mondočková, Vladimíra [Autor, UKFFPVKBG, 12%] ; Martiniaková, Monika [Autor, UKFFPVKZA, 12%] ; Risk factors of food chain 2018, 19 [26.09.2018-28.09.2018, Mátrafüred, Maďarsko]. – text. – [angličtina]. – [OV 130]. – [abstrakt z podujatia - KP] In: Risk factors of food chain [textový dokument (print)] : book of abstracts : 19. international conference / Géczi, Gábor [Recenzent] ; Korzenszky, Péter [Recenzent] ; Sembery, Peter [Recenzent]. – 1. vyd. – Gödöllö (Maďarsko) : Szent István Egyetem, 2018. – ISBN 978-963-269-774-1, s. 62-62 [tlačená forma] </t>
  </si>
  <si>
    <t xml:space="preserve">The influence of dance on the quality of life of older females / Krčmárová, Bohumila [Autor, UKFPFAKTV, 60%] ; Ivaničová, Dominika [Autor, 10%] ; Krčmár, Matúš [Autor, UKFPFAKTV, 30%] ; Active aging -new challenges and new opportunities [19.05.2021-21.05.2021, Münster, Nemecko]. – text. – [angličtina]. – [OV 210]. – [abstrakt z podujatia - KP] In: Active aging - new challenges and new opportunities [elektronický dokument] : Virtual EGREPA Conference 2021, Proceedings of Abstracts from the Conference, Münster 19-21 May, 2021 / Bentlage, Ellen [Zostavovateľ, editor] ; Brach, Michael [Zostavovateľ, editor] ; Netz, Yael [Zostavovateľ, editor] ; Hinrichs, Hinrichs [Zostavovateľ, editor] ; Mechling, Heinz [Zostavovateľ, editor] ; Tałach-Kubas, Sylwia [Zostavovateľ, editor]. – 1. vyd. – Münster (Nemecko) : Universität Münster, 2021. – ISBN 978-3-00-068824-9, s. 56-56 [online] </t>
  </si>
  <si>
    <t xml:space="preserve">The influence of sports preparation on the level of agility in the top hockey players / Krajčovič, Jaroslav [Autor, UKFPFAKTV, 34%] ; Horička, Pavol [Autor, 33%] ; Paška, Ľubomír [Autor, UKFPFAKTV, 33%] ; International conference of sport, health and physical education, 1 [25.10.2018-26.10.2018, Ústí nad Labem, Česko]. – [angličtina]. – [OV 210]. – [abstrakt z podujatia - KP] In: 1st international conference of sport, health and physical education [textový dokument (print)] : book of abstracts / Balkó, Štefan [Zostavovateľ, editor] ; Škopek, Martin [Zostavovateľ, editor] ; Hnízdil, Jan [Zostavovateľ, editor] ; Nosek, Martin [Zostavovateľ, editor] ; Heidler, Josef [Zostavovateľ, editor] ; Bláha, Ladislav [Recenzent] ; Šimonek, Jaromír [Recenzent] ; Zemková, Erika [Recenzent]. – 1. vyd. – Roč. 1. – Ústí nad Labem (Česko) : Univerzita Jana Evangelisty Purkyně v Ústí nad Labem, 2018. – ISBN 978-80-7561-143-7, s. 79-79 [tlačená forma] </t>
  </si>
  <si>
    <t xml:space="preserve">The interaction between personality traits and sympathetic arousal in response to stress / Tonhajzerová, Ingrid [Autor, UKOLJ160, 30%] ; Mešťaníková, Andrea [Autor, UKOLJ110E, 10%] ; Višňovcová, Zuzana [Autor, UKOLJ110B, 10%] ; Jurko, Alexander [Autor, 10%] ; Ferencová, Nikola [Autor, UKOLJ160, 10%] ; Mešťaník, Michal [Autor, UKOLJ110B, 25%] ; Šlepecký, Miloš [Autor, UKFFSVKPV, 5%] ; World Congress of Psychophysiology, 19 [04.09.2018-08.09.2018, Lucca, Taliansko]. – text. – [angličtina]. – [OV 180]. – [abstrakt z podujatia - ČL]. – DOI 10.1016/j.jippsycho.2018.07.263. – SIGN-UKO LJ489/18 In: International Journal of Psychophysiology [textový dokument (print)] [elektronický dokument] . – Amsterdam  (Holandsko) : Elsevier. – ISSN 0167-8760. – ISSN (online) 1872-7697. – suppl., č. 131 (2018), s. S94-S94 [tlačená forma] [online] . – IF: 2,407 ; SJR: 1,149 ; CiteScore: 4,9 ; SNIP: 1,192 JIF - Neurosciences - Q3, Physiology - Q3, Psychology - Q2, Psychology, biological - Q2, Psychology, experimental - Q2 Scimago - Neuropsychology and physiological psychology - Q2, Neuroscience (miscellaneous) - Q2, Physiology (medical) - Q2 </t>
  </si>
  <si>
    <t xml:space="preserve">The interaction of physical activity, joy of movement and quality of life of high school students at different ages / Broďáni, Jaroslav [Autor, UKFPFAKTV, 50%] ; Kováčová, Natália [Autor, UKFPFAKTV, 50%] ; International conference of sport, health and physical education, 1 [25.10.2018-26.10.2018, Ústí nad Labem, Česko]. – text. – [angličtina]. – [OV 210]. – [abstrakt z podujatia - KP] In: 1st international conference of sport, health and physical education [textový dokument (print)] : book of abstracts / Balkó, Štefan [Zostavovateľ, editor] ; Škopek, Martin [Zostavovateľ, editor] ; Hnízdil, Jan [Zostavovateľ, editor] ; Nosek, Martin [Zostavovateľ, editor] ; Heidler, Josef [Zostavovateľ, editor] ; Bláha, Ladislav [Recenzent] ; Šimonek, Jaromír [Recenzent] ; Zemková, Erika [Recenzent]. – 1. vyd. – Roč. 1. – Ústí nad Labem (Česko) : Univerzita Jana Evangelisty Purkyně v Ústí nad Labem, 2018. – ISBN 978-80-7561-143-7, s. 51-51 [tlačená forma] </t>
  </si>
  <si>
    <t xml:space="preserve">The Online Tourism Marketing in Hungary and Slovakia / Beták, Norbert [Autor, UKFFSSKCR, 85%] ; Aubert, Antal [Autor, UKFFSSKCR, 5%] ; Mókusné Pálfi, Andrea [Autor, 5%] ; Nodd, Gabriella [Autor, 5%] ; Országos Turizmus Konferencia Elérési utak a turizmusban, 10 [02.10.2020, Pécs, Maďarsko]. – text. – [maďarčina]. – [OV 080]. – [abstrakt z podujatia - KP] In: 10. Országos Turizmus Konferencia Elérési utak a turizmusban [textový dokument (print)] : Pécs, 2020. október 2.-ra / Aubert, Antal [Zostavovateľ, editor]. – 1. vyd. – Pécs (Maďarsko) : Pécsi Tudományegyetem, 2020. – ISBN 978-963-429-562-4, s. 73-73 [tlačená forma] </t>
  </si>
  <si>
    <t xml:space="preserve">The place of artefiletics in inclusive education at primary schools in Slovakia / Sender, Barbora [Autor, UKFPFAKPE, 100%] ; Ways of science development in modern crisis conditions, 2 [03.06.2021-04.06.2021, Dnepropetrovsk, Ukrajina]. – text. – [angličtina]. – [OV 010]. – [abstrakt z podujatia - KP]. – [recenzované] In: Ways of Science Development in Modern Crisis Conditions [elektronický dokument] : Abstracts of the 2nd International Scientific and Practical Internet Conference, Dnipro, Ukraine June 3-4, 2021 / [bez zostavovateľa] [Zostavovateľ, editor]. – 1. vyd. – Dnepropetrovsk (Ukrajina) : WayScience, 2021. – ISSN (online) 2664-4819, s. 95-96 [online] </t>
  </si>
  <si>
    <t xml:space="preserve">The role of kisspeptin in control of porcine ovarian cell functions / Fabová, Zuzana [Autor, UKFFPVKZA, 25%] ; Loncová, Barbora [Autor, UKFFPVKZA, 25%] ; Babosová, Ramona [Autor, UKFFPVKZA, 25%] ; Sirotkin, Alexander [Autor, UKFFPVKZA, 25%] ; Animal physiology 2021, 16 [22.09.2021-24.09.2021, Češkovice, Česko]. – text. – [angličtina]. – [OV 130]. – [abstrakt z podujatia - KP] In: CASEE Universities as laboratories for new paradigms in life sciences and related disciplines : CASEE conference : book of abstracts, 7th-8th June 2021 / [bez zostavovateľa] [Zostavovateľ, editor]. – st. vyd. – Praha (Česko) : Česká zemědelská univerzita v Praze, 2021. – ISBN (chybné) nemá, s. 16-16 </t>
  </si>
  <si>
    <t xml:space="preserve">Transcranial Doppler-detected microembolic signals do not predict new brain ischemic lesions after elective coronary intervention / Viszlayová, Daša [Autor, 12.5%] ; Školoudík, David [Autor, 12.5%] ; Brozman, Miroslav [Autor, UKFFSVKUM, 12.5%] ; Herzig, Roman [Autor, 12.5%] ; Langová, Kateřina [Autor, 12.5%] ; Pátrovič, Lukáš [Autor, 12.5%] ; Kurray, Peter [Autor, 12.5%] ; Királová, Silvia [Autor, 12.5%] ; ESNCH, 23 [13.04.2018-16.04.2018, Praha, Česko]. – text. – [angličtina]. – [OV 180]. – [abstrakt z podujatia - ČL]. – WOS CC In: European Journal of Neurology [textový dokument (print)] [elektronický dokument] : the official journal of the European Federation of Neurological Societies. – Hoboken (USA) : John Wiley &amp; Sons. – ISSN 1351-5101. – ISSN (online) 1468-1331. – suppl. Roč. 25, č. Supplement 1 (2018), s. 51-52 [tlačená forma] [online] . – IF: 4,387 ; SJR: 1,673 ; SNIP: 1,349 ; CiteScore: 8,1 JIF - Clinical neurology - Q1, Neurosciences - Q1 Scimago - Neurology - Q1, Neurology (clinical) - Q1 </t>
  </si>
  <si>
    <t xml:space="preserve">Učiteľ techniky - ohrozený druh živočícha / Hašková, Alena [Autor, UKFPFAKTT, 100%] ; Trendy ve vzdělávání 2017, 1 [24.05.2017-26.05.2017, Olomouc, Česko]. – text. – [čeština]. – [OV 010]. – [abstrakt z podujatia - KP] In: Trendy ve vzdělávaní 2018 [textový dokument (print)] [elektronický dokument] : Technika, informatika a inovace ve vzdělávaní : Sborník abstraktů z mezinárodní konference / Dostál, Jiří [Zostavovateľ, editor]. – 1. vyd. – Olomouc (Česko) : Univerzita Palackého v Olomouci, 2018. – ISBN 978-80-244-5318-7, s. 57-57 </t>
  </si>
  <si>
    <t xml:space="preserve">Using stress profile measurement in psychiatry / Šlepecký, Miloš [Autor, UKFFSVKPV, 30%] ; Kotianová, Antónia [Autor, UKFFSVKPV, 5%] ; Praško Pavlov, Ján [Autor, 5%] ; Zaťková, Marta [Autor, UKFFSVKPV, 30%] ; Popelková, Marta [Autor, UKFFSVKPV, 30%] ; European Congress of Psychiatry 2018, 26 [06.09.2018-09.09.2018, Štrasburg, Francúzsko]. – text. – [angličtina]. – [OV 060]. – [abstrakt z podujatia - ČL]. – WOS CC In: European Psychiatry [textový dokument (print)] [elektronický dokument] : the journal of the european psychiatric association. – Amsterdam (Holandsko) : Elsevier. – ISSN 0924-9338. – ISSN (online) 1778-3585. – suppl. Abstracts of the 26th European Congress of Psychiatry - 2018, č. 48 (2018), s. 648-648 [tlačená forma] [online] . – IF: 3,941 ; SNIP: 1,21 ; SJR: 1,595 ; CiteScore: 5,8 JIF - Psychiatry - Q1 Scimago - Psychiatric mental health - Q1, Psychiatry and mental health - Q1 </t>
  </si>
  <si>
    <t xml:space="preserve">Validace vybraných ošetřovatelských intervencí v rámci kurrikula sester / oblast výživy a hydratace / Archalousová, Alexandra [Autor, UKFFSVKOS, 34%] ; Frei, Jiří [Autor, 33%] ; Mesárošová, Jozefína [Autor, UKFFSVKOS, 33%] ; Cesta poznávání a vzdělávání v ošetřovatelství, 9 [14.05.2018, Plzeň, Česko]. – text. – [čeština]. – [OV 180]. – [abstrakt z podujatia - KP] In: Cesta poznávání a vzdělávání v ošetřovatelství IX. a jarní konference ČAS Region plzeňský "Nemocnice podporující zdraví" [textový dokument (print)] : sborník z celostátní konference s mezinárodní spoluprací, konaná v Plzni dne 14.5.2018 / Frei, Jiří [Zostavovateľ, editor]. – 1. vyd. – Plzeň (Česko) : Západočeská univerzita v Plzni, 2018. – ISBN 978-80-261-0799-6, s. 47-48 [tlačená forma] </t>
  </si>
  <si>
    <t xml:space="preserve">Validation of nursing diagnosis Ineffective coping by clinical diagnostic validity model / Solgajová, Andrea [Autor, UKFFSVKOS, 25%] ; Zrubcová, Dana [Autor, UKFFSVKOS, 25%] ; Vörösová, Gabriela [Autor, UKFFSVKOS, 25%] ; Semanišinová, Mária [Autor, UKFFSVKOS, 25%] ; Global Challenges in a Changing World - New Roles and Competencies in the Field of Nursing, 11 [27.09.2018-28.09.2018, Nyíregyháza, Maďarsko]. – text. – [angličtina]. – [OV 180]. – [abstrakt z podujatia - KP] In: Global Challenges in a Changing World - New Roles and Competencies in the Field of Nursing [textový dokument (print)] / Sárváry, Attila [Zostavovateľ, editor] ; Papp, Katalin [Zostavovateľ, editor]. – 1. vyd. – Nyíregyháza (Maďarsko) : Debreceni Egyetem, 2018. – ISBN 978-963-490-020-7, s. 96-96 [tlačená forma] </t>
  </si>
  <si>
    <t xml:space="preserve">Validation of selected interventions in nursing within the curriculum of nurses area of assessment and recording pain / Krištofová, Erika [Autor, UKFFSVKOS, 34%] ; Archalousová, Alexandra [Autor, UKFFSVKOS, 33%] ; Vörösová, Gabriela [Autor, UKFFSVKOS, 33%] ; Global Challenges in a Changing World - New Roles and Competencies in the Field of Nursing, 11 [27.09.2018-28.09.2018, Nyíregyháza, Maďarsko]. – text. – [angličtina]. – [OV 180]. – [abstrakt z podujatia - KP] In: Global Challenges in a Changing World - New Roles and Competencies in the Field of Nursing [textový dokument (print)] / Sárváry, Attila [Zostavovateľ, editor] ; Papp, Katalin [Zostavovateľ, editor]. – 1. vyd. – Nyíregyháza (Maďarsko) : Debreceni Egyetem, 2018. – ISBN 978-963-490-020-7, s. 24-25 [tlačená forma] </t>
  </si>
  <si>
    <t xml:space="preserve">Validation of selected interventions in nursing within the curriculum of nurses area of educational process / Archalousová, Alexandra [Autor, UKFFSVKOS, 50%] ; Pavelová, Ľuboslava [Autor, UKFFSVKOS, 50%] ; Global Challenges in a Changing World - New Roles and Competencies in the Field of Nursing, 11 [27.09.2018-28.09.2018, Nyíregyháza, Maďarsko]. – text. – [angličtina]. – [OV 180]. – [abstrakt z podujatia - KP] In: Global Challenges in a Changing World - New Roles and Competencies in the Field of Nursing [textový dokument (print)] / Sárváry, Attila [Zostavovateľ, editor] ; Papp, Katalin [Zostavovateľ, editor]. – 1. vyd. – Nyíregyháza (Maďarsko) : Debreceni Egyetem, 2018. – ISBN 978-963-490-020-7, s. 21-22 [tlačená forma] </t>
  </si>
  <si>
    <t xml:space="preserve">Veľkosť urbanizovaného prostredia vs. výskyt pavúka Brigittea civica / Krumpálová, Zuzana [Autor, UKFFPVKEE, 50%] ; Purgat, Pavol [Autor, 30%] ; Lelovicsová, Silvia [Autor, 20%] ; Zoologické dny [08.02.2018-09.02.2018, Praha, Česko]. – text. – [slovenčina]. – [OV 100]. – [abstrakt z podujatia - KP] In: Zoologické dny Praha 2018 [textový dokument (print)] : sborník abstraktů z konference / Bryja, Josef [Zostavovateľ, editor] ; Solský, Milič [Zostavovateľ, editor]. – 1. vyd. – Praha (Česko) : Akademie věd České republiky, 2018. – ISBN 978-80-87189-24-5, s. 121-122 [tlačená forma] </t>
  </si>
  <si>
    <t xml:space="preserve">Viability assessment of chicken PGCs by trypan blue exclusion and fluorescence labelling technique / Svoradová, Andrea [Autor, UKFFPVKZA, 25%] ; Makarevich, Alexander V. [Autor, 25%] ; Čurlej, Jozef [Autor, SPUFBP05, 25%] ; Chrenek, Peter [Autor, SPUFBP01, 25%] ; Animal Physiology 2018, 14 [13.06.2018-15.06.2018, Krakov, Poľsko]. – [angličtina]. – [OV 120, 190, 130]. – [abstrakt z podujatia - KP] In: Animal Physiology 2018 [elektronický dokument] : book of abstracts : 14th international scientific conference / Muchacka, Renata [Zostavovateľ, editor] ; Kapusta, Edyta [Zostavovateľ, editor]. – 1. vyd. – Krakov (Poľsko) : Uniwersytet Pedagogiczny im. Komisji Edukacji Narodowej w Krakowie. Wydawnictwo Naukowe Uniwersytetu Pedagogicznego, 2018. – ISBN 978-83-8084-152-9, s. 57-57 [online] </t>
  </si>
  <si>
    <t xml:space="preserve">Vplyv faktorov prostredia na kvalitu vzdelávania / Tureková, Ivana [Autor, UKFPFAKTT, 100%] ; Bezpečnost a ochrana zdraví při práci, 18 [18.04.2018-19.04.2018, Ostravice, Česko]. – [slovenčina]. – [OV 010]. – [abstrakt z podujatia - KP] In: Bezpečnost a ochrana zdraví při práci [textový dokument (print)] : recenzovaný sborník abstraktů z 18. ročníka  medzinárodní konference ve dnech  18. -19.4.2018 v Ostravě / Tureková, Ivana [Zostavovateľ, editor]. – 1. vyd. – Ostrava (Česko) : Sdružení požárního a bezpečnostního inženýrství, 2018. – ISBN 978-80-7385-202-3, s. 58-60 [tlačená forma] </t>
  </si>
  <si>
    <t xml:space="preserve">Vplyv rôzneho spôsobu obhospodarovania poľného úhoru na priestorovú štruktúru epigeických spoločenstiev / Ivanič Porhajašová, Jana [Autor, SPUFAP26, 15%] ; Petrovičová, Kornélia [Autor, SPUFAP26, 15%] ; Langraf, Vladimír [Autor, UKFFPVKEE, 14%] ; Babošová, Mária [Autor, SPUFAP26, 14%] ; Noskovič, Jaroslav [Autor, SPUFAP26, 14%] ; Krumpálová, Zuzana [Autor, UKFFPVKEE, 14%] ; Schlarmannová, Janka [Autor, UKFFPVKZA, 14%] ; Zoologické dny [07.02.2019-08.02.2019, Brno, Česko]. – text. – [slovenčina]. – [OV 130]. – [abstrakt z podujatia - KP] In: Zoologické dny Brno 2019 [textový dokument (print)] : sborník abstraktů z konference / Bryja, Josef [Zostavovateľ, editor] ; Horsák, Michal [Zostavovateľ, editor] ; Horsáková, Veronika [Zostavovateľ, editor] ; Zukal, Jan [Zostavovateľ, editor]. – 1. vyd. – Brno (Česko) : Akademie věd České republiky. Ústav biologie obratlovců AV ČR, 2019. – ISBN 978-80-87189-25-2, s. 82-83 [tlačená forma] </t>
  </si>
  <si>
    <t xml:space="preserve">Vplyv uvoľňovacích cvičení na skrátené svaly u futbalistov / Kanásová, Janka [Autor, UKFPFAKTV, 25%] ; Bakaľár, Igor [Autor, UKFPFAKTV, 25%] ; Divinec, Lenka [Autor, UKFPFAKTV, 25%] ; Runčáková, Jana [Autor, 25%] ; Disportare 2020 [05.11.2020-06.11.2020, České Budějovice, Česko]. – text. – [slovenčina]. – [OV 210]. – [abstrakt z podujatia - KP] In: Disportare 2020 [textový dokument (print)] : sborník abstraktů z mezinárodní vědecké konference, České Budějovice 5. – 6. 11. 2020 / Kursová, Vlasta [Zostavovateľ, editor]. – 1. vyd. – České Budějovice (Česko) : Jihočeská univerzita v Českých Budějovicích, 2020. – ISBN 978-80-7394-830-6, s. 25-25 [tlačená forma] </t>
  </si>
  <si>
    <t xml:space="preserve">Vyučovacie stratégie pre rozvoj kritického a tvorivého myslenia žiakov v technickom vzdelávaní = Teaching strategies for developing critical and creative thinking of students in technical education / Depešová, Jana [Autor, UKFPFAKTT, 50%] ; Valentová, Monika [Autor, UKFPFAKTT, 25%] ; Brečka, Peter [Autor, UKFPFAKTT, 25%] ; Trendy ve vzdělávání 2019, 3 [15.05.2019-17.05.2019, Velké Losiny, Česko]. – text. – [slovenčina]. – [OV 010]. – [abstrakt z podujatia - KP] In: Trendy ve vzdělávání [textový dokument (print)] [elektronický dokument] : inovace ve školství - učitel jako aktér změny. Sborník abstraktů z mezinárodní konference, Velké Losiny 15. - 17.5.2019 / Dostál, Jiří [Zostavovateľ, editor]. – 1. vyd. – Olomouc (Česko) : Univerzita Palackého v Olomouci, 2019. – (Sborníky). – ISBN 978-80-244-5511-2. – ISBN (online) 978-80-244-5512-9, s. 21-21 [tlačená forma] [online] </t>
  </si>
  <si>
    <t xml:space="preserve">Vzťah k vlastnému telu a prejavy rizikového správania dospievajúcich v systéme nižšieho sekundárneho vzdelávania / Čerešníková, Miroslava [Autor, UKFFSVURS, 50%] ; Čerešník, Michal [Autor, UKFPFAKAP, 50%] ; PhD existence 2019, 9 [21.01.2019-22.01.2019, Olomouc, Česko]. – [slovenčina]. – [OV 060]. – [abstrakt z podujatia - KP] In: PhD existence 9 [elektronický dokument] [textový dokument (print)] : "Tělo a mysl" : Česko-slovenská psychologická konference (nejen) pro doktorandy a o doktorandech : Bulletin abstraktů / Maierová, Eva [Zostavovateľ, editor] ; Šragová, Eva [Zostavovateľ, editor] ; Viktorová, Lucie [Zostavovateľ, editor] ; Dolejš, Martin [Zostavovateľ, editor]. – 1. vyd. – Olomouc (Česko) : Univerzita Palackého v Olomouci, 2019. – ISBN 978-80-244-5449-8, s. 68-68 [tlačená forma] [online] </t>
  </si>
  <si>
    <t xml:space="preserve">Vzťah medzi syndrómom vyhorenia a výskytom kognitívnych omylov a chýb u pracovníkov pomáhajúcich profesií: medzipohlavné porovnanie / Jurišová, Erika [Autor, UKFFSVKPV, 100%] ; PhD existence 2019, 9 [21.01.2019-22.01.2019, Olomouc, Česko]. – text. – [slovenčina]. – [OV 060]. – [abstrakt z podujatia - KP] In: PhD existence 9 [elektronický dokument] [textový dokument (print)] : "Tělo a mysl" : Česko-slovenská psychologická konference (nejen) pro doktorandy a o doktorandech : Bulletin abstraktů / Maierová, Eva [Zostavovateľ, editor] ; Šragová, Eva [Zostavovateľ, editor] ; Viktorová, Lucie [Zostavovateľ, editor] ; Dolejš, Martin [Zostavovateľ, editor]. – 1. vyd. – Olomouc (Česko) : Univerzita Palackého v Olomouci, 2019. – ISBN 978-80-244-5449-8, s. 57-59 [tlačená forma] [online] </t>
  </si>
  <si>
    <t xml:space="preserve">Zastúpenie bystruškovitých (Carabidae) v epigeickom materiáli na biotopoch Slovenského stredohoria / Langraf, Vladimír [Autor, UKFFPVKEE, 23%] ; Petrovičová, Kornélia [Autor, 23%] ; David, Stanislav [Autor, UKFFPVKEE, 23%] ; Holienková, Barbora [Autor, UKFFPVKEE, 23%] ; Schlarmannová, Janka [Autor, UKFFPVKZA, 8%] ; Zoologické dny [08.02.2018-09.02.2018, Praha, Česko]. – text. – [slovenčina]. – [OV 100]. – [abstrakt z podujatia - KP] In: Zoologické dny Praha 2018 [textový dokument (print)] : sborník abstraktů z konference / Bryja, Josef [Zostavovateľ, editor] ; Solský, Milič [Zostavovateľ, editor]. – 1. vyd. – Praha (Česko) : Akademie věd České republiky, 2018. – ISBN 978-80-87189-24-5, s. 131-132 [tlačená forma] </t>
  </si>
  <si>
    <t xml:space="preserve">Záujmové preferencie adolescentov o jednotlivé oblasti športových aktivít / Broďáni, Jaroslav [Autor, UKFPFAKTV, 25%] ; Šutka, Vladimír [Autor, UKFPFAKTV, 25%] ; Šiška, Ľuboslav [Autor, UKFPFAKTV, 50%] ; Disportare 2018 [11.10.2018-12.10.2018, České Budějovice, Česko]. – [slovenčina]. – [OV 210]. – [abstrakt z podujatia - KP] In: Disportare 2018 [textový dokument (print)] : soubor abstraktů z mezinárodní vědecké konference / [bez zostavovateľa] [Zostavovateľ, editor]. – 1. vyd. – České Budějovice (Česko) : Jihočeská univerzita v Českých Budějovicích, 2018. – ISBN 9788073947378, s. 38-38 </t>
  </si>
  <si>
    <t xml:space="preserve">Zmeny v spoločenstve drobných cicavcov v dôsledku expanzie ryšavky tmavopásej (Apodemus agrarius) v južnej časti Podunajskej roviny / Ambros, Michal [Autor, 9.1%] ; Baláž, Ivan [Autor, UKFFPVKEE, 9.09%] ; Tulis, Filip [Autor, UKFFPVKEE, 9.09%] ; Jakab, Imrich [Autor, UKFFPVKEE, 9.09%] ; Zigová, Martina [Autor, UKFFPVKEE, 9.09%] ; Kamenišťák, Jakub [Autor, 9.09%] ; Ševčík, Michal [Autor, UKFFPVKEE, 9.09%] ; Dudich, Alexander [Autor, 9.09%] ; Stollmann, Andrej [Autor, 9.09%] ; Somogyi, Balázs [Autor, 9.09%] ; Horváth, Gyozo [Autor, 9.09%] ; Zoologické dny [08.02.2018-09.02.2018, Praha, Česko]. – text. – [slovenčina]. – [OV 130]. – [abstrakt z podujatia - KP] In: Zoologické dny Praha 2018 [textový dokument (print)] : sborník abstraktů z konference / Bryja, Josef [Zostavovateľ, editor] ; Solský, Milič [Zostavovateľ, editor]. – 1. vyd. – Praha (Česko) : Akademie věd České republiky, 2018. – ISBN 978-80-87189-24-5, s. 283-283 [tlačená forma] </t>
  </si>
  <si>
    <t xml:space="preserve">Živočíchy v meste - tma pod lampou / Krumpálová, Zuzana [Autor, UKFFPVKEE, 20%] ; Klimant, Peter [Autor, 10%] ; Kumová, Silvia [Autor, 10%] ; Mesárošová, Jana [Autor, 10%] ; Ondrejková, Natália [Autor, 15%] ; Štipčáková, Lucia [Autor, 10%] ; Petrovič, František [Autor, UKFFPVKEE, 10%] ; Purgat, Pavol [Autor, UKFFPVKEE, 15%] ; Zoologické dny [07.02.2019-08.02.2019, Brno, Česko]. – text. – [slovenčina]. – [OV 130]. – [abstrakt z podujatia - KP] In: Zoologické dny Brno 2019 [textový dokument (print)] : sborník abstraktů z konference / Bryja, Josef [Zostavovateľ, editor] ; Horsák, Michal [Zostavovateľ, editor] ; Horsáková, Veronika [Zostavovateľ, editor] ; Zukal, Jan [Zostavovateľ, editor]. – 1. vyd. – Brno (Česko) : Akademie věd České republiky. Ústav biologie obratlovců AV ČR, 2019. – ISBN 978-80-87189-25-2, s. 102-103 [tlačená forma] </t>
  </si>
  <si>
    <t>AFH - Abstrakty príspevkov z domácich vedeckých konferencií</t>
  </si>
  <si>
    <t xml:space="preserve">"Hijábo beszíll így vagy úgy a embër, akkor is csak a megájjét mongya." The language usage in Száz Pál ́s novel: Fűje sarjad mezőknek / Petres Csizmadia, Gabriela [Autor, UKFFSSUML, 100%] ; World Conference on Pluricentric Languages and their Non-dominant Varieties, 6 [21.06.2018-23.06.2018, Nitra, Slovensko]. – text. – [angličtina]. – [OV 020]. – [abstrakt z podujatia - KP] In: Abstracts of the 6th World Conference on Pluricentric Languages and their Non-dominant Varietes [textový dokument (print)] : Proceedings Abstracts / Kozmács, István [Zostavovateľ, editor] ; Vančo, Ildikó [Zostavovateľ, editor]. – 1. vyd. – Nitra (Slovensko) : Univerzita Konštantína Filozofa v Nitre, 2018. – ISBN 978-80-558-1285-4, s. 69-69 [tlačená forma] </t>
  </si>
  <si>
    <t xml:space="preserve">(Ne)sloboda vlastnej identity? = Freedom/unfreedom of our identity? / Valková, Lucia [Autor, UKFFFAKKU, 100%] ; Podoby slobody, 9 [21.11.2019-22.11.2019, Smolenice, Slovensko]. – text. – [slovenčina]. – [OV 020]. – [abstrakt z podujatia - KP] In: Podoby slobody [textový dokument (print)] : 9. slovenské a české sociologické dni / Kusá, Zuzana [Zostavovateľ, editor] ; Strapcová, Katarína [Zostavovateľ, editor] ; Štrbavá, Jarmila [Zostavovateľ, editor]. – 1. vyd. – Bratislava (Slovensko) : Slovenská akadémia vied. Pracoviská SAV. Sociologický ústav, 2019. – ISBN 978-80-89897-15-5, s. 27-27 [tlačená forma] </t>
  </si>
  <si>
    <t xml:space="preserve">„Chodí mi to po rozume“ alebo intuitívne a imaginatívne vhľady do (spolu)bytia / Fuják, Július [Autor, UKFFFAKKU, 100%] ; Intuícia a imaginácia vo filozofii a vede [10.10.2018-12.10.2018, Stará Lesná, Slovensko]. – text. – [slovenčina]. – [OV 020]. – [abstrakt z podujatia - KP] In: Intuícia a imaginácia vo filozofii a vede : zborník abstraktov z medzinárodnej vedeckej konferencie, Stará Lesná 10. - 12. 10. 2018 / Javorská, Andrea [Zostavovateľ, editor]. – 1. vyd. – Bratislava (Slovensko) : Slovenská akadémia vied, 2018. – ISBN 978-80-973092-1-3, s. 9-10 [tlačená forma] </t>
  </si>
  <si>
    <t xml:space="preserve">3D rekonštrukcia ako forma interpretácie / Styk, Matej [Autor, UKFFFAKAR, 100%] ; Počítačová podpora v archeológii, 18 [29.05.2019-31.05.2019, Kočovce, Slovensko]. – text. – [slovenčina]. – [OV 030]. – [abstrakt z podujatia - KP] In: Počítačová podpora v archeológii [textový dokument (print)] : zborník abstraktov / Hladíková, Katarína [Zostavovateľ, editor] ; Lieskovský, Tibor [Zostavovateľ, editor] ; Bucha Rášová, Alexandra [Zostavovateľ, editor] ; Pavúk, Peter [Zostavovateľ, editor] ; Demján, Peter [Zostavovateľ, editor]. – 1. vyd. – Roč. 18/2019. – Praha (Česko) : Univerzita Karlova v Praze. Filozofická fakulta, 2019. – ISBN 978-80-7308-915-3. – SIGN-UKO FI 3/19 PV, s. 53-53 [tlačená forma] </t>
  </si>
  <si>
    <t xml:space="preserve">A dunaszerdahelyi magyar gimnazisták szövegértési képességei / Kázmér, Klára [Autor, UKFFSSUML, 100%] ; Neveléstudományi és Szakmódszertani Konferencia, 6 [14.01.2018-15.01.2018, Štúrovo, Slovensko]. – [maďarčina]. – [OV 010]. – [abstrakt z podujatia - KP] In: 6. Neveléstudományi és szakmódszertani konferencia [textový dokument (print)] : Tartalmi összefoglalók, Štúrovo, 2018. január 14-15 / Karlovitz, János Tibor [Zostavovateľ, editor]. – 1. vyd. – Komárno (Slovensko) : International Research Institute, 2018. – ISBN 978-80-89691-51-7, s. 48-48 [tlačená forma] </t>
  </si>
  <si>
    <t xml:space="preserve">A magyar és cigány népmesék által közvetített cigánykép / Tóthová, Gizela [Autor, UKFFSSUML, 100%] ; Kulturális, társadalmi és etnikai választóvonalak a 19. századtól napjainkig [03.05.2017, Komárno, Slovensko]. – [maďarčina]. – [OV 010]. – [abstrakt z podujatia - KP] In: Kulturális, társadalmi és etnikai választóvonalak a 19. századtól napjainkig [textový dokument (print)] / Novák, Anikó [Zostavovateľ, editor]. – 1. vyd. – Komárno (Slovensko) : Univerzita J. Selyeho, 2018. – ISBN 978-80-972742-0-7, s. 57-57 </t>
  </si>
  <si>
    <t xml:space="preserve">Acceptance of Slovakia Hungarian language variety among Hungarian minority university students in Slovakia / Vančo, Ildikó [Autor, UKFFSSUML, 100%] ; World Conference on Pluricentric Languages and their Non-dominant Varieties, 6 [21.06.2018-23.06.2018, Nitra, Slovensko]. – text. – [angličtina]. – [OV 020]. – [abstrakt z podujatia - KP] In: Abstracts of the 6th World Conference on Pluricentric Languages and their Non-dominant Varietes [textový dokument (print)] : Proceedings Abstracts / Kozmács, István [Zostavovateľ, editor] ; Vančo, Ildikó [Zostavovateľ, editor]. – 1. vyd. – Nitra (Slovensko) : Univerzita Konštantína Filozofa v Nitre, 2018. – ISBN 978-80-558-1285-4, s. 101-101 [tlačená forma] </t>
  </si>
  <si>
    <t xml:space="preserve">Acrylamide-induced cytotoxicity on cultivated murine osteoblasts / Šranko, Patrik [Autor, UKFFPVKBG, 20%] ; Šarocká, Anna [Autor, UKFFPVKZA, 10%] ; Kováčová, Veronika [Autor, UKFFPVKZA, 20%] ; Adamkovičová, Mária [Autor, UKFFPVKBG, 10%] ; Goc, Zofia [Autor, 5%] ; Formicki, Grzegorz [Autor, 5%] ; Martiniaková, Monika [Autor, UKFFPVKZA, 15%] ; Omelka, Radoslav [Autor, UKFFPVKBG, 15%] ; Animal Physiology 2019, 15 [27.05.2019-29.05.2019, Vyhne, Slovensko]. – text. – [angličtina]. – [OV 130]. – [abstrakt z podujatia - KP] In: Animal Physiology 2019 [elektronický dokument] : book of abstracts / Tvrdá, Eva [Zostavovateľ, editor] ; Kováčik, Anton [Zostavovateľ, editor]. – 1. vyd. – Nitra (Slovensko) : Slovenská poľnohospodárska univerzita v Nitre, 2019. – ISBN 978-80-552-1998-1, s. 61-61 [online] </t>
  </si>
  <si>
    <t xml:space="preserve">Ako skúmať intimitu? / Lukšík, Ivan [Autor, 10%] ; Bianchi, Gabriel [Autor, 10%] ; Fúsková, Jana [Autor, TUTPFSPD, 10%] ; Guillaume, Michaela [Autor, TUTPFPVU, 10%] ; Hargašová, Lucia [Autor, 10%] ; Hnatkovičová, D. [Autor, 10%] ; Kallová, Nikola [Autor, TUTPFSPD, 10%] ; Marková, Dagmar [Autor, UKFFFAKAE 06.2022, 10%] ; Popper, Miroslav [Autor, 10%] ; Turčan, Ciprian [Autor, UKFFFAKAE 06.2022, 10%] ; Kvalitatívny prístup a metódy vo vedách o človeku, 19 [26.01.2020-28.01.2020, Bratislava, Slovensko]. – [slovenčina]. – [OV 010]. – [abstrakt z podujatia - KP]. – TUTPFSPD signatúra E078772. – TUTPFPVU signatúra E078772 In: 19. konferencia Kvalitatívny prístup a metódy vo vedách o človeku "Poznaj sám seba" [textový dokument (print)] : zborník abstraktov / Lášticová, Barbara [Zostavovateľ, editor] ; Masaryk, Radomír [Zostavovateľ, editor]. – 1. vyd. – Bratislava (Slovensko) : Univerzita Komenského v Bratislave. Centrálne súčasti UK. Vydavateľstvo Univerzity Komenského, 2020. – ISBN 978-80-223-4883-6. – SIGN-UKO FS20-0154, s. 26-26 [tlačená forma] </t>
  </si>
  <si>
    <t xml:space="preserve">Aktuálne determinácie koscov (Opiliones) z biotopov viatych pieskov na juhozápadnom Slovensku / Mihál, Ivan [Autor, 40%] ; Gajdoš, Peter [Autor, 30%] ; Purgat, Pavol [Autor, UKFFPVKEE, 30%] ; 18. arachnologická konferencia, 18 [10.09.2020-12.09.2020, Východná, Slovensko]. – text. – [slovenčina]. – [OV 100]. – [abstrakt z podujatia - KP] In: 18. arachnologická konferencia [elektronický dokument] [textový dokument (print)] : Zborník abstraktov / Fenďa, Peter [Zostavovateľ, editor] ; Holecová, Milada [Recenzent]. – 1. vyd. – Bratislava (Slovensko) : Slovenská arachnologická spoločnosť, 2020. – ISBN 978-80-972437-4-6, s. 19-19 [online] </t>
  </si>
  <si>
    <t xml:space="preserve">Alochemická zmena diasporu na korund pomocou tepelnej úpravy / Štubňa, Ján [Autor, UKFFPVGMU, 40%] ; Horváthová, Daniela [Autor, 30%] ; Illášová, Ľudmila [Autor, UKFFPVGMU, 30%] ; Mineralogicko-petrologická konferencia Pettros 2019, 9 [29.05.2019-30.05.2019, Bratislava, Slovensko]. – [slovenčina]. – [OV 092]. – [abstrakt z podujatia - KP] In: Mineralogicko-petrologická konferencia Petros 2019 [textový dokument (print)] : zborník recenzovaných abstraktov a príspevkov / Ondrejka, Martin [Zostavovateľ, editor] ; Fridrichová, Jana [Zostavovateľ, editor] ; Bačík, Peter [Recenzent] ; Broska, Igor [Recenzent] ; Dyda, Marian [Recenzent] ; Fridrichová, Jana [Recenzent] ; Huraiová, Monika [Recenzent] ; Koděra, Peter [Recenzent] ; Ondrejka, Martin [Recenzent] ; Putiš, Marián [Recenzent] ; Spišiak, Ján [Recenzent] ; Uher, Pavel [Recenzent] ; Vozárová, Anna [Recenzent]. – 1. vyd. – Bratislava (Slovensko) : Univerzita Komenského v Bratislave, 2019. – ISBN 978-80-223-4713-6, s. 57-57 [tlačená forma] </t>
  </si>
  <si>
    <t xml:space="preserve">An examination of Slovakia Hungarian language use in secondary schools / Gál, Angelika [Autor, UKFFSSUML, 100%] ; World Conference on Pluricentric Languages and their Non-dominant Varieties, 6 [21.06.2018-23.06.2018, Nitra, Slovensko]. – text. – [angličtina]. – [OV 020]. – [abstrakt z podujatia - KP] In: Abstracts of the 6th World Conference on Pluricentric Languages and their Non-dominant Varietes [textový dokument (print)] : Proceedings Abstracts / Kozmács, István [Zostavovateľ, editor] ; Vančo, Ildikó [Zostavovateľ, editor]. – 1. vyd. – Nitra (Slovensko) : Univerzita Konštantína Filozofa v Nitre, 2018. – ISBN 978-80-558-1285-4, s. 24-25 [tlačená forma] </t>
  </si>
  <si>
    <t xml:space="preserve">Analysis of the estrogen receptor (ESR) genotypes in wild boar / Babosová, Ramona [Autor, UKFFPVKZA, 25%] ; Mondočková, Vladimíra [Autor, UKFFPVKBG, 25%] ; Martiniaková, Monika [Autor, UKFFPVKZA, 25%] ; Omelka, Radoslav [Autor, UKFFPVKBG, 25%] ; Animal Biotechnology 2018, 6 [06.12.2018, Nitra, Slovensko]. – text. – [angličtina]. – [OV 130]. – [abstrakt z podujatia - ČL] In: Slovak Journal of Animal Science [textový dokument (print)] [elektronický dokument] . – Nitra (Slovensko) : Národné poľnohospodárske a potravinárske centrum. Výskumný ústav živočíšnej výroby Nitra. – ISSN 1337-9984. – ISSN (online) 1338-0095. – Roč. 51, č. 4 (2018), s. 173-173 [tlačená forma] [online] </t>
  </si>
  <si>
    <t xml:space="preserve">Analýza riešení vybraných geometrických úloh / Pavlovičová, Gabriela [Autor, UKFFPVKMA, 50%] ; Bočková, Veronika [Autor, UKFFPVKMA, 50%] ; EME 2019 [10.04.2019-12.04.2019, Bratislava, Slovensko]. – [slovenčina]. – [OV 010]. – [abstrakt z podujatia - KP] In: EME 2019 [textový dokument (print)] : reflexia súčasných schopností a potrieb žiakov mladšieho školského veku : 24. ročník vedeckej konferencie s medzinárodnou učasťou Elementary Mathematics Education : zborník abstraktov = 24th scientific conference with international participaton Elementary Mathematics Education / Žilková, Katarína [Zostavovateľ, editor] ; Žilková, Alexandra [Zostavovateľ, editor] ; Gunčaga, Ján [Recenzent] ; Koreňová, Lilla [Recenzent] ; Partová, Edita [Recenzent] ; Žilková, Katarína [Recenzent]. – 1. vyd. – Bratislava (Slovensko) : Univerzita Komenského v Bratislave, 2019. – ISBN 978-80-223-4707-5, s. 87-89 [tlačená forma] </t>
  </si>
  <si>
    <t xml:space="preserve">Antagonistic Impact of Acrylamide and Ethanol on Compact Bone Structure of Adult Mice / Martiniaková, Monika [Autor, UKFFPVKZA, 20%] ; Šarocká, Anna [Autor, UKFFPVKZA, 20%] ; Kováčová, Veronika [Autor, UKFFPVKZA, 12%] ; Kapusta, Edyta [Autor, 12%] ; Goc, Zofia [Autor, 12%] ; Formicki, Grzegorz [Autor, 12%] ; Omelka, Radoslav [Autor, UKFFPVKBG, 12%] ; Uhrínov deň [20.09.2018, Nitra, Slovensko]. – text. – [angličtina]. – [OV 130]. – [abstrakt z podujatia - KP] In: Uhrínov deň [textový dokument (print)] : spomienka na 15. výročie od úmrtia prof. MVDr. Vladimíra Uhrína, DrSc / Uhrín, Pavol [Zostavovateľ, editor] ; Bulla, Jozef [Zostavovateľ, editor] ; Massanyi, Peter [Zostavovateľ, editor] ; Capcarová, Marcela [Zostavovateľ, editor]. – 1. vyd. – Nitra (Slovensko) : Slovenská poľnohospodárska univerzita v Nitre, 2018. – ISBN 978-80-552-1881-6, s. 38-38 [tlačená forma] </t>
  </si>
  <si>
    <t xml:space="preserve">Antibakteriálny účinok dezinfekčných mydiel s esenciálnymi olejmi / Šuranová, Monika [Autor, 10%] ; Lengyelová, Libuša [Autor, UKFFPVKBG, 90%] ; Interaktívna konferencia mladých vedcov 2020, 12 [01.05.2020-31.05.2020, Banská Bystrica, Slovensko]. – text. – [slovenčina]. – [OV 130]. – [abstrakt z podujatia - KP] In: Interaktívna konferencia mladých vedcov 2020 [elektronický dokument] : book of abstracts / Ferko, Miroslav [Zostavovateľ, editor] ; Farkaš, Pavol [Zostavovateľ, editor]. – 1. vyd. – Banská Bystrica (Slovensko) : Občianské združenie Preveda, 2020. – ISBN 978-80-972360-6-9, s. 2013-2013 [online] </t>
  </si>
  <si>
    <t xml:space="preserve">Aspekty vertikálnej vzťahovosti vo výchove k cnosti podľa Tomáša Akvinského = Aspects of Vertical Relationality in the Virtue Education According to Thomas Aquinas / Blaščíková, Andrea [Autor, UKFFFAKNS, 100%] ; Relacionalita vo výchove (k) mravnosti [23.11.2018, Trnava, Slovensko]. – [slovenčina]. – [OV 020]. – [abstrakt z podujatia - KP] In: Relacionalita vo výchove (k) mravnosti [textový dokument (print)] : medzinárodná konferencia/an international conference : program konferencie a abstraky/conference programme and abstracts : Trnava 23. november 2018 / Wiesenganger, Marek [Zostavovateľ, editor]. – 1. vyd. – Trnava (Slovensko) : Trnavská univerzita v Trnave, 2018. – ISBN 978-80-568-0155-0, s. 18-19 [tlačená forma] </t>
  </si>
  <si>
    <t xml:space="preserve">Assessment of changes in soil nematode community structures after invasion by exotic plant species / Renčo, Marek [Autor, 50%] ; Jurová, Jana [Autor, UKOPRBZO, 40%] ; Krumpálová, Zuzana [Autor, UKFFPVKEE, 10%] ; Zoológia 2018 [22.11.2018-24.11.2018, Zvolen, Slovensko]. – text. – [angličtina]. – [OV 130]. – [abstrakt z podujatia - KP]. – [recenzované]. – SIGN-UKO PR 1124/18 In: Zborník abstraktov z vedeckého kongresu "Zoológia 2018" [textový dokument (print)] : 22. - 24. november 2018, Zvolen / Kubovčík, Vladimír [Zostavovateľ, editor] ; Stašiov, Slavomír [Zostavovateľ, editor]. – 1. vyd. – Zvolen (Slovensko) : Technická univerzita vo Zvolene, 2018. – ISBN 978-80-228-3112-3, s. 92-92 [tlačená forma] </t>
  </si>
  <si>
    <t xml:space="preserve">Baktericídne pôsobenie kombinácií esenciálnych olejov na Staphylococcus aureus / Porubčanová, Silvia [Autor, 30%] ; Lengyelová, Libuša [Autor, UKFFPVKBG, 70%] ; Interaktívna konferencia mladých vedcov 2020, 12 [01.05.2020-31.05.2020, Banská Bystrica, Slovensko]. – text. – [slovenčina]. – [OV 130]. – [abstrakt z podujatia - KP] In: Interaktívna konferencia mladých vedcov 2020 [elektronický dokument] : book of abstracts / Ferko, Miroslav [Zostavovateľ, editor] ; Farkaš, Pavol [Zostavovateľ, editor]. – 1. vyd. – Banská Bystrica (Slovensko) : Občianské združenie Preveda, 2020. – ISBN 978-80-972360-6-9, s. 1943-1943 [online] </t>
  </si>
  <si>
    <t xml:space="preserve">Biochemický profil vybraných markerov ischemickej choroby srdca / Kováčová, Veronika [Autor, UKFFPVKZA, 10%] ; Konečná, Mária [Autor, PUPHUBI, 25%] ; Gogaľová, Zuzana [Autor, PUPHUBI, 25%] ; Sedlák, Vincent [Autor, PUPHUBI, 19%] ; Majherová, Mária [Autor, PUPHUFMT, 20%] ; Valková, Monika [Autor, 1%] ; Interaktívna konferencia mladých vedcov 2019, 11 [06.05.2019-13.06.2019, Bratislava, Slovensko]. – [slovenčina]. – [OV 130]. – [abstrakt z podujatia - KP]. – SIGN-PU FHPV-19 54/19 In: Interaktívna konferencia mladých vedcov 2019 [elektronický dokument] : zborník abstraktov / Ferko, Miroslav [Zostavovateľ, editor] ; Farkaš, Pavol [Zostavovateľ, editor] ; Waczulíková, Iveta [Recenzent] ; Mastihuba, Vladimír [Recenzent] ; Tkáč, Ján [Recenzent]. – 1. vyd. – Roč. 11. – Bratislava (Slovensko) : Občianské združenie Preveda, 2019. – ISBN 978-80-972360-4-5, s. [1-1] [online] </t>
  </si>
  <si>
    <t xml:space="preserve">Citlivosť Pseudomonas aeruginosa ako pôvodcu nozokomiálnych nákaz na vybrané esenciálne oleje / Jobbágyová, Táňa [Autor, 30%] ; Lengyelová, Libuša [Autor, UKFFPVKBG, 70%] ; Interaktívna konferencia mladých vedcov 2020, 12 [01.05.2020-31.05.2020, Banská Bystrica, Slovensko]. – text. – [slovenčina]. – [OV 130]. – [abstrakt z podujatia - KP] In: Interaktívna konferencia mladých vedcov 2020 [elektronický dokument] : book of abstracts / Ferko, Miroslav [Zostavovateľ, editor] ; Farkaš, Pavol [Zostavovateľ, editor]. – 1. vyd. – Banská Bystrica (Slovensko) : Občianské združenie Preveda, 2020. – ISBN 978-80-972360-6-9, s. 1975-1975 [online] </t>
  </si>
  <si>
    <t xml:space="preserve">Comic in the chemistry teaching process / Jenisová, Zita [Autor, UKFFPVKCH, 60%] ; Braniša, Jana [Autor, UKFFPVKCH, 30%] ; Lednický, Lukáš [Autor, 10%] ; DidSci Plus 2019 :  Conference on Research in Didactics of the Sciences [25.06.2019-27.06.2019, Trnava, Slovensko]. – text. – [angličtina]. – [OV 010]. – [abstrakt z podujatia - KP] In: Innovations, Trends and Research in Science Education in Central Europe [textový dokument (print)] : Didsci+ 2019 and IOSTE 2019 : Book of Abstracts / Held, Ľubomír [Zostavovateľ, editor] ; Fančovičová, Jana [Zostavovateľ, editor]. – 1. vyd. – Trnava (Slovensko) : Trnavská univerzita v Trnave, 2019. – ISBN 978-80-568-0198-7, s. 29-29 [tlačená forma] </t>
  </si>
  <si>
    <t xml:space="preserve">Construction of plant transformation vector containing expression cassette of arabidopsis gene At1g54410 / Boszorádová, Eva [Autor, 45%] ; Zimová, Mária [Autor, UKFFPVKBG, 35%] ; Gregorová, Zuzana [Autor, 5%] ; Bardáčová, Monika [Autor, 5%] ; Matušíková, Ildikó [Autor, 5%] ; Moravčíková, Jana [Autor, 5%] ; Biotechnology and Quality of Raw Materials and Foodstuffs, 13 [17.09.2018-19.09.2018, Smolenice, Slovensko]. – [angličtina]. – [OV 130]. – [abstrakt z podujatia - KP] In: Biotechnology and Quality of Raw Materials and Foodstuffs [elektronický dokument] [textový dokument (print)] : Book of Abstracts the 13th International Scientific Conference, Smolenice, September 17-19, 2018 / Kňazovická, Vladimíra [Zostavovateľ, editor] ; Zbyňovská, Katarína [Zostavovateľ, editor] ; Hollý, Dominik [Zostavovateľ, editor] ; Kolesárová, Adriana [Zostavovateľ, editor]. – 1. vyd. – Nitra (Slovensko) : Slovenská poľnohospodárska univerzita v Nitre, 2018. – ISBN 978-80-552-1874-8, s. 25-25 [online] [tlačená forma] </t>
  </si>
  <si>
    <t xml:space="preserve">Contact phenomena in the use of personal names by Slovakia Hungarians / Bauko, Ján [Autor, UKFFSSUML, 100%] ; World Conference on Pluricentric Languages and their Non-dominant Varieties, 6 [21.06.2018-23.06.2018, Nitra, Slovensko]. – [angličtina]. – [OV 020]. – [abstrakt z podujatia - KP] In: Abstracts of the 6th World Conference on Pluricentric Languages and their Non-dominant Varietes [textový dokument (print)] : Proceedings Abstracts / Kozmács, István [Zostavovateľ, editor] ; Vančo, Ildikó [Zostavovateľ, editor]. – 1. vyd. – Nitra (Slovensko) : Univerzita Konštantína Filozofa v Nitre, 2018. – ISBN 978-80-558-1285-4, s. 12-13 [tlačená forma] </t>
  </si>
  <si>
    <t xml:space="preserve">Červený zoznam cicavcov Slovenska = Red list of mammals of Slovakia / Urban, Peter [Autor, UMBFP09, 25%] ; Ambros, Michal [Autor, 25%] ; Černecký, Ján [Autor, UKFFPVKEE, 25%] ; Uhrin, Marcel [Autor, UPS14100, 25%] ; Výskum a ochrana cicavcov na Slovensku, 14 [14.11.2019-15.11.2019, Banská Bystrica, Slovensko]. – text. – [slovenčina]. – [OV 130]. – [abstrakt z podujatia - KP]. – sign UPJS SSEP 020750 In: Výskum a ochrana cicavcov na Slovensku [textový dokument (print)] [elektronický dokument] : zborník abstraktov zo 14. celoštátnej vedeckej konferencie s medzinárodnou účasťou / Urban, Peter [Zostavovateľ, editor] ; Lukáčová, Alexandra [Zostavovateľ, editor]. – 1. vyd. – Banská Bystrica (Slovensko) : Univerzita Mateja Bela v Banskej Bystrici. Fakulta prírodných vied, 2019. – ISBN 978-80-557-1657-2, s. 42-42 [tlačená forma] [online] </t>
  </si>
  <si>
    <t xml:space="preserve">Dá sa "prechádzať s matematikou"? / Šovčíková, Petronela [Autor, UKFFPVKMA, 33%] ; Čeretková, Soňa [Autor, UKFFPVKMA, 34%] ; Vargová, Lucia [Autor, UKFFPVKMA, 33%] ; Konferencia slovenských matematikov 2018, 50 [22.11.2018-25.11.2018, Jasná pod Chopkom, Slovensko]. – [slovenčina]. – [OV 240]. – [abstrakt z podujatia - KP] In: 50. konferencia slovenských matematikov [textový dokument (print)] / Marčoková, Mariana [Zostavovateľ, editor] ; Kúdelčíková, Mária [Zostavovateľ, editor]. – 1. vyd. – Roč. 50. – Žilina (Slovensko) : Žilinská univerzita v Žiline. Vydavateľstvo EDIS, 2018. – ISBN 978-80-554-1500-0, s. 64-64 [tlačená forma] </t>
  </si>
  <si>
    <t xml:space="preserve">Determinanty rodinného prostredia dieťaťa s postihnutím / Beliková, Vladimíra [Autor, UKFPFAKPE, 50%] ; Zelená, Hana [Autor, UKFPFAKPE, 50%] ; Sebaregulácia ako podmienka zdravého správania [09.11.2018, Košice, Slovensko]. – text. – [slovenčina]. – [OV 010]. – [abstrakt z podujatia - KP] In: Sebaregulácia ako podmienka zdravého správania [textový dokument (print)] [elektronický dokument] : zborník abstraktov z medzinárodného vedeckého kolokvia / Račková, Mariana [Zostavovateľ, editor] ; Tkáčová, Renáta [Zostavovateľ, editor]. – 1. vyd. – Košice (Slovensko) : Technická univerzita v Košiciach, 2018. – ISBN 978-80-553-3204-8. – SIGN-TUKE 199397, s. 22-22 [tlačená forma] [CD-ROM] </t>
  </si>
  <si>
    <t xml:space="preserve">Diverzita epigeických spoločenstiev pavúkov piesočných dún Záhoria / Gajdoš, Peter [Autor, 50%] ; Purgat, Pavol [Autor, UKFFPVKEE, 25%] ; Purkart, Adrián [Autor, 25%] ; Arachnologická konferencia, 17 [11.10.2019-13.10.2019, Východná, Slovensko]. – text. – [slovenčina]. – [OV 100, 130]. – [abstrakt z podujatia - KP]. – SIGN-UKO PR 1011/19 In: 17. arachnologická konferencia [textový dokument (print)] / Fenďa, Peter [Zostavovateľ, editor]. – 1. vyd. – Bratislava (Slovensko) : Slovenská arachnologická spoločnosť, 2019. – ISBN 978-80-972437-3-9, s. 10-10 [tlačená forma] </t>
  </si>
  <si>
    <t xml:space="preserve">Diverzita epigeických spoločenstiev pavúkov vo vinohradoch v okolí Modry / Purgat, Pavol [Autor, UKFFPVKEE, 50%] ; Gajdoš, Peter [Autor, 50%] ; Arachnologická konferencia, 17 [11.10.2019-13.10.2019, Východná, Slovensko]. – text. – [slovenčina]. – [OV 100]. – [abstrakt z podujatia - KP] In: 17. arachnologická konferencia [textový dokument (print)] / Fenďa, Peter [Zostavovateľ, editor]. – 1. vyd. – Bratislava (Slovensko) : Slovenská arachnologická spoločnosť, 2019. – ISBN 978-80-972437-3-9, s. 11-11 [tlačená forma] </t>
  </si>
  <si>
    <t xml:space="preserve">Effect of heavy metal stress on antioxidative enzymes in leaves of transgenic tobacco plants with constitutive expression of dehydrin gene AT2G21490 / Boszorádová, Eva [Autor, 25%] ; Zimová, Mária [Autor, UKFFPVKBG, 25%] ; Gerši, Zuzana [Autor, UCMFPVKBTE, 5%] ; Bardáčová, Monika [Autor, UCMFPVKCHR, 5%] ; Ranušová, Petra [Autor, UCMFPVKCHR, 5%] ; Matušíková, Ildikó [Autor, UCMFPVKCHR, 5%] ; Moravčíková, Jana [Autor, UCMFPVKBTE, 30%] ; Applied Natural Sciences 2019, 7 [25.09.2019-27.09.2019, Tále, Slovensko]. – [angličtina]. – [OV 120]. – [abstrakt z podujatia - KP] In: Applied Natural Sciences 2019 [textový dokument (print)] [elektronický dokument] : 7th International Scientific Conference, 25. - 27. 9. 2019, Tále, SR : book of abstracts / Dirgová Luptáková, Iveta [Zostavovateľ, editor] ; Beňo, Miroslav [Zostavovateľ, editor]. – 1 vyd. – Trnava (Slovensko) : Univerzita sv. Cyrila a Metoda v Trnave, 2019. – ISBN 978-80-572-0011-6, s. 67-67 [tlačená forma] [online] </t>
  </si>
  <si>
    <t xml:space="preserve">Effect of maturation medium on development porcine oocytes produces by in in vitro / Bartková, Alexandra [Autor, UKFFPVKBG, 70%] ; Strejček, František [Autor, UKFFPVKBG, 10%] ; Murín, Matej [Autor, 5%] ; Morovič, Martin [Autor, UKFFPVKZA, 5%] ; Benc, Michal [Autor, UKFFPVKZA, 5%] ; Laurinčík, Jozef [Autor, UKFFPVKZA, 5%] ; Animal Physiology 2019, 15 [27.05.2019-29.05.2019, Vyhne, Slovensko]. – text. – [angličtina]. – [OV 130]. – [abstrakt z podujatia - KP] In: Animal Physiology 2019 [elektronický dokument] : book of abstracts / Tvrdá, Eva [Zostavovateľ, editor] ; Kováčik, Anton [Zostavovateľ, editor]. – 1. vyd. – Nitra (Slovensko) : Slovenská poľnohospodárska univerzita v Nitre, 2019. – ISBN 978-80-552-1998-1, s. 71-71 [online] </t>
  </si>
  <si>
    <t xml:space="preserve">Effect of toluene, flaxseed and their combination on human ovarian granulosa cell functions / Fabová, Zuzana [Autor, UKFFPVKZA, 40%] ; Tarko, Adam [Autor, UKFFPVKZA, 30%] ; Sirotkin, Alexander [Autor, UKFFPVKZA, 30%] ; Risk Factors of Food Chain 2019, 20 [09.11.2019-11.11.2019, Osrblie, Slovensko]. – text. – [angličtina]. – [OV 130]. – [abstrakt z podujatia - KP] In: Risk Factors of Food Chain 2019 [textový dokument (print)] : book of Abstracts from 20th International Scientific Conference, Osrblie 09. - 11. 09. 2019 / Jambor, Tomáš [Zostavovateľ, editor] ; Slanina, Tomáš [Zostavovateľ, editor] ; Tokárová, Katarína [Zostavovateľ, editor]. – 1. vyd. – Nitra (Slovensko) : Slovenská poľnohospodárska univerzita v Nitre, 2019. – ISBN 978-80-552-2033-8, s. 15-15 [tlačená forma] </t>
  </si>
  <si>
    <t xml:space="preserve">Emocionálne a osobnostné ťažkosti s kariérovým rozhodovaním  stredoškolských a vysokoškolských študentov / Baňasová, Katarína [Autor, UKFFSVUAP, 50%] ; Sollár, Tomáš [Autor, UKFFSVUAP, 50%] ; Psychológia práce a organizácie 2020, 19 [20.05.2020-21.05.2020, Košice, Slovensko]. – text. – [slovenčina]. – [OV 060]. – [abstrakt z podujatia - KP] In: Psychológia práce a organizácie 2020 [elektronický dokument] : zborník abstraktov z konferencie / Piterová, Ivana [Zostavovateľ, editor]. – 1. vyd. – Košice (Slovensko) : Slovenská akadémia vied. Centrum spoločenských a psychologických vied. Spoločenskovedný ústav, 2020. – ISBN 978-80-89524-50-1, s. 22-22 [online] </t>
  </si>
  <si>
    <t xml:space="preserve">Ethanol-induced cytotoxicity on cultivated osteoblasts of mice / Kováčová, Veronika [Autor, UKFFPVKZA, 20%] ; Šarocká, Anna [Autor, UKFFPVKZA, 10%] ; Šranko, Patrik [Autor, UKFFPVKBG, 15%] ; Blahová, Jana [Autor, UKFFPVKBG, 15%] ; Adamkovičová, Mária [Autor, UKFFPVKBG, 15%] ; Bauerová, Mária [Autor, UKFFPVKBG, 5%] ; Martiniaková, Monika [Autor, UKFFPVKZA, 15%] ; Omelka, Radoslav [Autor, UKFFPVKBG, 5%] ; Risk Factors of Food Chain 2019, 20 [09.11.2019-11.11.2019, Osrblie, Slovensko]. – text. – [angličtina]. – [OV 130]. – [abstrakt z podujatia - KP] In: Risk Factors of Food Chain 2019 [textový dokument (print)] : book of Abstracts from 20th International Scientific Conference, Osrblie 09. - 11. 09. 2019 / Jambor, Tomáš [Zostavovateľ, editor] ; Slanina, Tomáš [Zostavovateľ, editor] ; Tokárová, Katarína [Zostavovateľ, editor]. – 1. vyd. – Nitra (Slovensko) : Slovenská poľnohospodárska univerzita v Nitre, 2019. – ISBN 978-80-552-2033-8, s. 29-29 [tlačená forma] </t>
  </si>
  <si>
    <t xml:space="preserve">Etika v rozvíjaní humánnej a udržateľnej ekonomiky = Ethics in the development of the human and sustainable economy / Pechočiaková Svitačová, Eva [Autor, SPUFEM10, 50%] ; Lomnický, Igor [Autor, UKFFFAKAE 06.2022, 50%] ; Formovanie profilu vysokoškolského absolventa technického zamerania pre potreby trhu práce [11.05.2020, Košice, Slovensko]. – text. – [slovenčina, angličtina]. – [OV 020]. – [abstrakt z podujatia - KP]. – [recenzované] In: Formovanie profilu vysokoškolského absolventa technického zamerania pre potreby trhu práce (inovatívne aspekty vysokoškolského vzdelávania študentov) (2. časť) [elektronický dokument] : zborník abstraktov / Hrehová, Daniela [Zostavovateľ, editor] ; Brutovská, Gizela [Zostavovateľ, editor]. – 1. vyd. – Košice (Slovensko) : Technická univerzita v Košiciach, 2020. – ISBN 978-80-553-3632-9. – SIGN-TUKE 222534, s. 23-23 [CD-ROM] </t>
  </si>
  <si>
    <t xml:space="preserve">Expression of aldehyde dehydrogenase in rabbit adipose-derived mesenchymal stem cells / Vašíček, Jaromír [Autor, 20%] ; Tomková, Mária [Autor, SPUFBP01, 20%] ; Svoradová, Andrea [Autor, UKFFPVKZA, 20%] ; Baláži, Andrej [Autor, 20%] ; Chrenek, Peter [Autor, SPUFBP01, 20%] ; Animal Physiology 2019, 15 [27.05.2019-29.05.2019, Vyhne, Slovensko]. – text. – [angličtina]. – [OV 130]. – [abstrakt z podujatia - KP] In: Animal Physiology 2019 [elektronický dokument] : book of abstracts / Tvrdá, Eva [Zostavovateľ, editor] ; Kováčik, Anton [Zostavovateľ, editor]. – 1. vyd. – Nitra (Slovensko) : Slovenská poľnohospodárska univerzita v Nitre, 2019. – ISBN 978-80-552-1998-1, s. 65-65 [online] </t>
  </si>
  <si>
    <t xml:space="preserve">Faktory ovplyvňujúce obsah fotosyntetických pigmnetov v listoch pšenice letnej / Kubová, Veronika [Autor, 50%] ; Piršelová, Beáta [Autor, UKFFPVKBG, 50%] ; Interaktívna konferencia mladých vedcov 2019, 11 [06.05.2019-13.06.2019, Bratislava, Slovensko]. – [slovenčina]. – [OV 130]. – [abstrakt z podujatia - KP] In: Interaktívna konferencia mladých vedcov 2019 [elektronický dokument] : zborník abstraktov / Ferko, Miroslav [Zostavovateľ, editor] ; Farkaš, Pavol [Zostavovateľ, editor] ; Waczulíková, Iveta [Recenzent] ; Mastihuba, Vladimír [Recenzent] ; Tkáč, Ján [Recenzent]. – 1. vyd. – Roč. 11. – Bratislava (Slovensko) : Občianské združenie Preveda, 2019. – ISBN 978-80-972360-4-5, s. 1-1 [online] </t>
  </si>
  <si>
    <t xml:space="preserve">Filozofia a veda v Heideggerovom myslení / Jančiar, Peter [Autor, UKFFFAKFI, 100%] ; Filozofia, vzdelanie, kultúra vo výzvach súčasnosti [09.10.2019-11.10.2019, Košice, Slovensko]. – text. – [slovenčina]. – [OV 020]. – [abstrakt z podujatia - KP] In: Filozofia, vzdelanie, kultúra vo výzvach súčasnosti [textový dokument (print)] : zborník abstraktov / Javorská, Andrea [Zostavovateľ, editor]. – 1. vyd. – Bratislava (Slovensko) : Slovenská akadémia vied. Pracoviská SAV. Slovenské filozofické združenie, 2019. – ISBN 978-80-973092-2-0, s. 36-36 [tlačená forma] </t>
  </si>
  <si>
    <t xml:space="preserve">Genetická štruktúra a diverzita hybridných rojov borovice lesnej a borovice horskej - kosodreviny na severnom Slovensku / Klobučník, Miroslav [Autor, UKOPRBGE, 70%] ; Galgóci, Martin [Autor, UKFFPVKBG, 15%] ; Kormuťák, Andrej [Autor, 15%] ; Interaktívna konferencia mladých vedcov 2019, 11 [06.05.2019-13.06.2019, Bratislava, Slovensko]. – text. – [slovenčina]. – [OV 130]. – [abstrakt z podujatia - KP]. – SIGN-UKO PR 472/19 In: Interaktívna konferencia mladých vedcov 2019 [elektronický dokument] : zborník abstraktov / Ferko, Miroslav [Zostavovateľ, editor] ; Farkaš, Pavol [Zostavovateľ, editor] ; Waczulíková, Iveta [Recenzent] ; Mastihuba, Vladimír [Recenzent] ; Tkáč, Ján [Recenzent]. – 1. vyd. – Roč. 11. – Bratislava (Slovensko) : Občianské združenie Preveda, 2019. – ISBN 978-80-972360-4-5, abstrakt č. 1813, s. [1-1] [online] </t>
  </si>
  <si>
    <t xml:space="preserve">Habitual subjective well-being and movement activity of female adolescents / Broďáni, Jaroslav [Autor, UKFPFAKTV, 50%] ; Šiška, Ľuboslav [Autor, UKFPFAKTV, 50%] ; Rekreačný šport, zdravie, kvalita života, 4 [12.04.2018-13.04.2018, Košice, Slovensko]. – text. – [slovenčina]. – [OV 210]. – [abstrakt z podujatia - KP] In: Rekreačný šport, zdravie, kvalita života 4 [elektronický dokument] : zborník abstraktov z medzinárodnej vedeckej konferencie / Potočníková, Jana [Zostavovateľ, editor] ; Bakalár, Peter [Zostavovateľ, editor]. – 1. vyd. – Košice (Slovensko) : Univerzita Pavla Jozefa Šafárika v Košiciach, 2018. – ISBN 978-80-8152-603-9. – signatúra UPJŠ FSEP 009558, s. 30-30 [online] </t>
  </si>
  <si>
    <t xml:space="preserve">História folkovej piesne v Čechách / Gálisová, Lenka [Autor, UKFPFAKHU, 100%] ; Horizonty umenia, 6 [20.10.2019-01.11.2019, Banská Bystrica, Slovensko]. – text. – [slovenčina]. – [OV 010]. – [abstrakt z podujatia - KP] In: Horizonty umenia 6 [textový dokument (print)] : zborník abstraktov príspevkov z medzinárodnej vedeckej webovej konferencie / Strenáčiková, Mária [Zostavovateľ, editor] ; Kolodziejski, Maciej [Recenzent] ; Dushniy, Andriy Ivanovich [Recenzent] ; Janek, Marián [Recenzent]. – 1. vyd. – Roč. 6. – Banská Bystrica (Slovensko) : Akadémia umení. Fakulta múzických umení, 2019. – ISBN 978-80-8206-027-3, s. 14-15 [tlačená forma] </t>
  </si>
  <si>
    <t xml:space="preserve">Historickogeografický výskum baníctva vo Chvojnici / Žabenský, Marián [Autor, UKFFFAKMK, 100%] ; Matej Bel a jeho súčasníci: diela, texty a kontexty, 4 [11.11.2020, Trnava, Slovensko]. – text. – [slovenčina]. – [OV 030]. – [abstrakt z podujatia - KP] In: Matej Bel a jeho súčasníci [textový dokument (print)] : diela, texty a kontexty : zborník abstraktov / Chrastina, Peter [Zostavovateľ, editor] ; Juríková, Erika [Zostavovateľ, editor]. – 1. vyd. – Trnava (Slovensko) : Univerzita sv. Cyrila a Metoda v Trnave. Filozofická fakulta. Katedra historických vied a stredoeurópskych štúdií, 2020. – ISBN 978-80-572-0080-2. – TUT ID E082203, s. 24-25 [tlačená forma] </t>
  </si>
  <si>
    <t xml:space="preserve">How food affects female reproduction / Sirotkin, Alexander [Autor, UKFFPVKZA, 100%] ; Food/Bio/Tech, 14 [16.09.2019-18.09.2019, Nitra, Slovensko]. – text. – [angličtina]. – [OV 130]. – [abstrakt z podujatia - KP] In: Food/bio/tech [textový dokument (print)] : book of abstracts of the 14th international scientific conference / Kňazovická, Vladimíra [Zostavovateľ, editor] ; Belej, Ľubomír [Zostavovateľ, editor] ; Čapla, Jozef [Zostavovateľ, editor] ; Hollý, Dominik [Zostavovateľ, editor] ; Maruniaková, Nora [Zostavovateľ, editor] ; Kolesárová, Adriana [Zostavovateľ, editor] ; Bulla, Jozef [Recenzent] ; Roychoudhury, Shubhadeep [Recenzent]. – 1. vyd. – Nitra (Slovensko) : Slovenská poľnohospodárska univerzita v Nitre, 2019. – ISBN 978-80-552-2038-3, s. 67-67 [tlačená forma] </t>
  </si>
  <si>
    <t xml:space="preserve">Hudobno-psychologická charakterizácia postavy Carmen z rovnomennej opery Goerga Bizeta / Lacková, Ivana [Autor, UKFPFAKHU, 100%] ; Horizonty umenia, 7 [01.10.2020-15.10.2020, Banská Bystrica, Slovensko]. – text. – [slovenčina]. – [OV 010]. – [abstrakt z podujatia - KP] In: Horizonty umenia 7 [textový dokument (print)] : Zborník abstraktov z medzinárodnej vedeckej webovej konferencie / Strenáčiková, Mária [Zostavovateľ, editor] ; Kolodziejski, Maciej [Recenzent] ; Dushniy, Andriy Ivanovich [Recenzent] ; Janek, Marián [Recenzent]. – 1. vyd. – Roč. 7. – Banská Bystrica (Slovensko) : Akadémia umení. Fakulta múzických umení, 2020. – ISBN 978-80-8206-037-2, s. 39-39 </t>
  </si>
  <si>
    <t xml:space="preserve">Hungarian toponyms in Slovakia - a source of conflict / Szabómihály, Gizella [Autor, UKFFSSUML, 100%] ; World Conference on Pluricentric Languages and their Non-dominant Varieties, 6 [21.06.2018-23.06.2018, Nitra, Slovensko]. – text. – [angličtina]. – [OV 020]. – [abstrakt z podujatia - KP] In: Abstracts of the 6th World Conference on Pluricentric Languages and their Non-dominant Varietes [textový dokument (print)] : Proceedings Abstracts / Kozmács, István [Zostavovateľ, editor] ; Vančo, Ildikó [Zostavovateľ, editor]. – 1. vyd. – Nitra (Slovensko) : Univerzita Konštantína Filozofa v Nitre, 2018. – ISBN 978-80-558-1285-4, s. 93-94 [tlačená forma] </t>
  </si>
  <si>
    <t xml:space="preserve">Changes in health-related quality of life in elderly women after 12 weeks of progressive strength training and 12 weeks of detraining / Krčmárová, Bohumila [Autor, UKFPFAKTV, 34%] ; Poláčková, Andrea [Autor, 33%] ; Krčmár, Matúš [Autor, UKOTVDKCH, 33%] ; Rekreačný šport, zdravie, kvalita života, 4 [12.04.2018-13.04.2018, Košice, Slovensko]. – text. – [angličtina]. – [OV 210]. – [abstrakt z podujatia - KP] In: Rekreačný šport, zdravie, kvalita života 4 [elektronický dokument] : zborník abstraktov z medzinárodnej vedeckej konferencie / Potočníková, Jana [Zostavovateľ, editor] ; Bakalár, Peter [Zostavovateľ, editor]. – 1. vyd. – Košice (Slovensko) : Univerzita Pavla Jozefa Šafárika v Košiciach, 2018. – ISBN 978-80-8152-603-9. – signatúra UPJŠ FSEP 009558, s. 81-81 [online] </t>
  </si>
  <si>
    <t xml:space="preserve">Chicken stem cells as a potential source for animal gene bank / Svoradová, Andrea [Autor, UKFFPVKZA, 20%] ; Vašíček, Jaromír [Autor, 20%] ; Olexíková, Lucia [Autor, 20%] ; Makarevich, Alexander V. [Autor, 20%] ; Chrenek, Peter [Autor, SPUFBP01, 20%] ; Animal Biotechnology 2018, 6 [06.12.2018, Nitra, Slovensko]. – text. – [angličtina]. – [OV 120, 130]. – [abstrakt z podujatia - ČL]. – [recenzované] In: Slovak Journal of Animal Science [textový dokument (print)] [elektronický dokument] . – Nitra (Slovensko) : Národné poľnohospodárske a potravinárske centrum. Výskumný ústav živočíšnej výroby Nitra. – ISSN 1337-9984. – ISSN (online) 1338-0095. – Roč. 51, č. 4 (2018), s. 176-176 [tlačená forma] [online] </t>
  </si>
  <si>
    <t xml:space="preserve">Chronometrické datovanie prvej série vzoriek makrozvyškov krátkožijúcich rastlín z dvoch priekop na La Chaume, oppidum Bibracte, Mont Beuvray (Burgundsko) / Barta, Peter [Autor, UKOFIPV, 40%] ; Goláňová, Petra [Autor, 30%] ; Hajnalová, Mária [Autor, UKFFFAKAR, 30%] ; Najvýznamnejšie výskumy Katedry archeológie Filozofickej fakulty Univerzity Komenského v Bratislave v rokoch 2018 - 2019 [18.02.2020, Bratislava, Slovensko]. – text. – [slovenčina]. – [OV 030]. – [abstrakt z podujatia - KP] In: Najvýznamnejšie výskumy Katedry archeológie Filozofickej fakulty Univerzity Komenského v Bratislave v rokoch 2018 - 2019 [elektronický dokument] : výber výskumných projektov a tém členiek a členov Katedry archeológie / Barta, Peter [Zostavovateľ, editor] ; Mellnerová, Jana [Zostavovateľ, editor] ; Čambal, Radoslav [Recenzent] ; Beljak Pažinová, Noémi [Recenzent]. – 1. vyd. – Bratislava (Slovensko) : Univerzita Komenského v Bratislave, 2020. – ISBN 978-80-223-4913-0, s. 6-6 [online] </t>
  </si>
  <si>
    <t xml:space="preserve">Identifikácia historických premostení dolného toku rieky Slaná na základe Notícií Mateja Bela / Bešina, Daniel [Autor, UKFFFAKAR, 100%] ; Človek a jeho životný priestor, 52 [20.09.2021-22.09.2021, Nitra, Slovensko]. – text. – [slovenčina]. – [OV 030]. – [abstrakt z podujatia - KP] In: Kniha abstraktov 52. medzinárodnej konferencie archeológie stredoveku,20. – 22. 9. 2021 [elektronický dokument] : "človek a jeho životný priestor" / Beljak Pažinová, Noémi [Zostavovateľ, editor] ; Borzová, Zuzana [Zostavovateľ, editor]. – 1. vyd. – Nitra (Slovensko) : Univerzita Konštantína Filozofa v Nitre, 2021. – ISBN (online) 978-80-558-1744-6, s. 17-17 [online] </t>
  </si>
  <si>
    <t xml:space="preserve">Imaginácia a konanie u Hannah Arendtovej / Javorská, Andrea [Autor, UKFFFAKFI, 100%] ; Intuícia a imaginácia vo filozofii a vede [10.10.2018-12.10.2018, Stará Lesná, Slovensko]. – text. – [slovenčina]. – [OV 020]. – [abstrakt z podujatia - KP] In: Intuícia a imaginácia vo filozofii a vede : zborník abstraktov z medzinárodnej vedeckej konferencie, Stará Lesná 10. - 12. 10. 2018 / Javorská, Andrea [Zostavovateľ, editor]. – 1. vyd. – Bratislava (Slovensko) : Slovenská akadémia vied, 2018. – ISBN 978-80-973092-1-3, s. 7-8 [tlačená forma] </t>
  </si>
  <si>
    <t xml:space="preserve">In vitro expansion of rabbit hematopoietic stem/progenitor cells / Vašíček, Jaromír [Autor, SPUFBP01, 17%] ; Baláži, Andrej [Autor, 17%] ; Bauer, Miroslav [Autor, 17%] ; Svoradová, Andrea [Autor, UKFFPVKZA, 17%] ; Tomková, Mária [Autor, SPUFBP01, 17%] ; Chrenek, Peter [Autor, SPUFBP01, 15%] ; Winter School Animal Biotechnology 2020 [06.02.2020, Nitra, Slovensko]. – [angličtina]. – [OV 190]. – [abstrakt z podujatia - KP] In: Animal biotechnology 2020 [textový dokument (print)] : proceeding of the winter school, programme and abstracts, February 6th, 2020, Nitra,SUA in Nitra, Slovakia / Chrenek, Peter [Zostavovateľ, editor]. – st vyd. – Nitra (Slovensko) : Slovenská poľnohospodárska univerzita v Nitre, 2020. – ISBN 978-80-552-2145-8, s. 57-57 [tlačená forma] </t>
  </si>
  <si>
    <t xml:space="preserve">Indirect and Collaborative Translation: A Slovak Case of Mediating Poetry / Gromová, Edita [Autor, UKFFFAKTR, 50%] ; Tyšš, Igor [Autor, UKFFFAKTR, 50%] ; Translation, Interpreting and Culture: Old Dogmas, New Approaches [26.09.2018-28.09.2018, Nitra, Slovensko]. – text. – [angličtina]. – [OV 020]. – [abstrakt z podujatia - KP] In: Translation, Interpreting and Culture: Old Dogmas, New Approaches (?) [textový dokument (print)] : Book of Abstracts from Conference, Nitra, Slovakia, September 26-28, 2018 / Tyšš, Igor [Zostavovateľ, editor] ; Huťková, Anita [Zostavovateľ, editor] ; Höhn, Eva [Zostavovateľ, editor]. – 1. vyd. – Banská Bystrica (Slovensko) : Univerzita Mateja Bela v Banskej Bystrici. Vydavateľstvo Univerzity Mateja Bela v Banskej Bystrici - Belianum, 2018. – ISBN 978-80-557-1435-6, s. 45-46 [tlačená forma] </t>
  </si>
  <si>
    <t xml:space="preserve">Intuicionizmus a filozofia / Kocinová, Lenka [Autor, UKFFFAKFI, 100%] ; Intuícia a imaginácia vo filozofii a vede [10.10.2018-12.10.2018, Stará Lesná, Slovensko]. – text. – [slovenčina]. – [OV 020]. – [abstrakt z podujatia - KP] In: Intuícia a imaginácia vo filozofii a vede : zborník abstraktov z medzinárodnej vedeckej konferencie, Stará Lesná 10. - 12. 10. 2018 / Javorská, Andrea [Zostavovateľ, editor]. – 1. vyd. – Bratislava (Slovensko) : Slovenská akadémia vied, 2018. – ISBN 978-80-973092-1-3, s. 17-18 [tlačená forma] </t>
  </si>
  <si>
    <t xml:space="preserve">Is pillar 3 a good tool for stakeholders in CEE commercial banks? / Blažeková, Petra [Autor, 25%] ; Benko, Ľubomír [Autor, UKFFPVKIN, 25%] ; Pilková, Anna [Autor, UKOMAKSP, 25%] ; Munk, Michal [Autor, UKFFPVKIN, 25%] ; Days of management and economics students 2020 [16.04.2020-17.04.2020, Bratislava, Slovensko]. – text. – [angličtina]. – [OV 080]. – [abstrakt z podujatia - KP]. – [recenzované] In: Days of management and economics students 2020 [elektronický dokument] : Faculty of management, Comenius university in Bratislava, 16th - 17th April 2020 / Pilková, Anna [Zostavovateľ, editor] ; Rentková, Katarína [Zostavovateľ, editor]. – 1. vyd. – Praha (Česko) : TopSmart Business, 2021. – ISBN (online) 978-80-908106-3-1, s. 55-57 [CD-ROM] </t>
  </si>
  <si>
    <t xml:space="preserve">Jazyk v kontexte kultúry / Rendárová, Mária [Autor, UKFFFAKSJ, 100%] ; Kolokvium mladých jazykovedcov, 29 [25.11.2020-27.11.2020, Trnava, Slovensko]. – text. – [slovenčina]. – [OV 020]. – [abstrakt z podujatia - KP] In: Varia 29 [textový dokument (print)] [elektronický dokument] : Zborník abstraktov / Hladký, Juraj [Zostavovateľ, editor] ; Závodný, Andrej [Zostavovateľ, editor] ; Vitézová, Eva [Recenzent] ; Diweg-Pukanec, Martin [Recenzent]. – 1. vyd. – Trnava (Slovensko) : Trnavská univerzita v Trnave. Typi Universitatis Tyrnaviensis, spoločné pracovisko Trnavskej univerzity v Trnave a Vedy, vydavateľstva Slovenskej akadémie vied, 2020. – ISBN 978-80-568-0291-5, s. 38-39 [tlačená forma] [online] </t>
  </si>
  <si>
    <t xml:space="preserve">Je najstaršie priamo datované proso siate (Panicum miliaceum) v strednej Európe aj zo Slovenskej a Českej republiky? / Barta, Peter [Autor, UKOFIPV, 50%] ; Hajnalová, Mária [Autor, UKFFFAKAR, 50%] ; Najvýznamnejšie výskumy Katedry archeológie Filozofickej fakulty Univerzity Komenského v Bratislave v rokoch 2018 - 2019 [18.02.2020, Bratislava, Slovensko]. – text. – [slovenčina]. – [OV 030]. – [abstrakt z podujatia - KP] In: Najvýznamnejšie výskumy Katedry archeológie Filozofickej fakulty Univerzity Komenského v Bratislave v rokoch 2018 - 2019 [elektronický dokument] : výber výskumných projektov a tém členiek a členov Katedry archeológie / Barta, Peter [Zostavovateľ, editor] ; Mellnerová, Jana [Zostavovateľ, editor] ; Čambal, Radoslav [Recenzent] ; Beljak Pažinová, Noémi [Recenzent]. – 1. vyd. – Bratislava (Slovensko) : Univerzita Komenského v Bratislave, 2020. – ISBN 978-80-223-4913-0, s. 5-5 [online] </t>
  </si>
  <si>
    <t xml:space="preserve">Kontrola kvality operačnej liečby ca ovárií / Mlynček, Miloš [Autor, UKFFSVKOS, 100%] ; Bratislavské onkologické dni, 58 [07.10.2021-08.10.2021, Bratislava, Slovensko]. – [slovenčina]. – [OV 180]. – [abstrakt z podujatia - ČL]. – SIGN-UKO LF KN/21 In: Onkológia [textový dokument (print)] : Suplement. – Bratislava (Slovensko) : Solen (SK). – ISSN 1337-4435. – Roč. 16, č. S2 (2021), s. 20-21 [tlačená forma] </t>
  </si>
  <si>
    <t xml:space="preserve">Kosce (Opiliones) Burdy / Stašiov, Slavomír [Autor, KBVE, 15%] ; Astaloš, Boris [Autor, 10%] ; Fenďa, Peter [Autor, 5%] ; Ľuptáčik, Peter [Autor, 5%] ; Machač, Ondřej [Autor, 5%] ; Maršalek, Peter [Autor, 10%] ; Mašán, Peter [Autor, 10%] ; Mihál, Ivan [Autor, 10%] ; Mock, Andrej [Autor, 5%] ; Šestáková, Anna [Autor, 5%] ; Tajovský, Karel [Autor, 5%] ; Tuf, Ivan H. [Autor, 5%] ; Ondrejková, Natália [Autor, UKFFPVKEE, 5%] ; Purgat, Pavol [Autor, UKFFPVKEE, 5%] ; 18. arachnologická konferencia, 18 [10.09.2020-12.09.2020, Východná, Slovensko]. – [slovenčina]. – [OV 100]. – [abstrakt z podujatia - KP] In: 18. arachnologická konferencia [elektronický dokument] [textový dokument (print)] : Zborník abstraktov / Fenďa, Peter [Zostavovateľ, editor] ; Holecová, Milada [Recenzent]. – 1. vyd. – Bratislava (Slovensko) : Slovenská arachnologická spoločnosť, 2020. – ISBN 978-80-972437-4-6, s. 27-27 [online] </t>
  </si>
  <si>
    <t xml:space="preserve">Language of evil in Stephen King's textual universe / Lombošová, Kornélia [Autor, UKFFSSUML, 100%] ; World Conference on Pluricentric Languages and their Non-dominant Varieties, 6 [21.06.2018-23.06.2018, Nitra, Slovensko]. – text. – [angličtina]. – [OV 010]. – [abstrakt z podujatia - KP] In: Abstracts of the 6th World Conference on Pluricentric Languages and their Non-dominant Varietes [textový dokument (print)] : Proceedings Abstracts / Kozmács, István [Zostavovateľ, editor] ; Vančo, Ildikó [Zostavovateľ, editor]. – 1. vyd. – Nitra (Slovensko) : Univerzita Konštantína Filozofa v Nitre, 2018. – ISBN 978-80-558-1285-4, s. 50-50 [tlačená forma] </t>
  </si>
  <si>
    <t xml:space="preserve">Linguistic discrimination in evaluation of the Hungarian, Slovakian, Ukraine and Romanian Hungarian teachers / Jánk, István [Autor, UKFFSSUML, 100%] ; World Conference on Pluricentric Languages and their Non-dominant Varieties, 6 [21.06.2018-23.06.2018, Nitra, Slovensko]. – text. – [angličtina]. – [OV 020]. – [abstrakt z podujatia - KP] In: Abstracts of the 6th World Conference on Pluricentric Languages and their Non-dominant Varietes [textový dokument (print)] : Proceedings Abstracts / Kozmács, István [Zostavovateľ, editor] ; Vančo, Ildikó [Zostavovateľ, editor]. – 1. vyd. – Nitra (Slovensko) : Univerzita Konštantína Filozofa v Nitre, 2018. – ISBN 978-80-558-1285-4, s. 32-33 [tlačená forma] </t>
  </si>
  <si>
    <t xml:space="preserve">Ľudská dôstojnosť pohľadom študentov ošetrovateľstva / Slamková, Alica [Autor, UKFFSVKOS, 34%] ; Poledníková, Ľubica [Autor, UKFFSVKOS, 33%] ; Spáčilová, Zuzana [Autor, UKFFSVKOS, 33%] ; Nové trendy v ošetrovateľstve, 7 [11.11.2021-12.11.2021, Trnava, Slovensko]. – text. – [slovenčina]. – [OV 180]. – [abstrakt z podujatia - KP] In: Nové trendy v ošetrovateľstve 7 [textový dokument (print)] [elektronický dokument] : Zborník abstraktov z vedeckej konferencie s medzinárodnou účasťou / Cibulová, Mária [Zostavovateľ, editor] ; Čapská, Jana [Zostavovateľ, editor] ; Bartoníčková, Daniela [Recenzent] ; Kohanová, Dominika [Recenzent] ; Krocová, Jitka [Recenzent] ; Magurová, Dagmar [Recenzent] ; Otrubová, Jana [Recenzent]. – 1. vyd. – Trnava (Slovensko) : Trnavská univerzita v Trnave. Fakulta zdravotníctva a sociálnej práce, 2021. – ISBN 978-80-568-0443-8. – TUT ID E089157, s. 83-84 [online] [tlačená forma] </t>
  </si>
  <si>
    <t xml:space="preserve">Ľudský biomonitoring ftalátov v podmienkach Slovenskej republiky / Petrovičová, Ida [Autor, UKFFPVKZA, 40%] ; Kolena, Branislav [Autor, UKFFPVKZA, 20%] ; Šidlovská, Miroslava [Autor, UKFFPVKZA, 20%] ; Hlisníková, Henrieta [Autor, UKFFPVKZA, 20%] ; Endokrinné disruptory [29.05.2019, Bratislava, Slovensko]. – [slovenčina]. – [OV 130]. – [abstrakt z podujatia - ČL] In: Endocrine Regulations [textový dokument (print)] [elektronický dokument] . – Bratislava (Slovensko) : AEPress. – ISSN 1210-0668. – ISSN (online) 1336-0329. – suppl. Roč. 53, č. S1 (2019), s. 43-43 [tlačená forma] [online] . – SJR: 0,386 ; SNIP: 0,483 ; CiteScore: 2,1 Scimago - Endocrinology - Q4, Endocrinology, diabetes and metabolism - Q3 </t>
  </si>
  <si>
    <t xml:space="preserve">Machine translation error analysis / Bánik, Tomáš [Autor, UKFFFASJL, 100%] ; Translation, Interpreting and Culture: Old Dogmas, New Approaches [26.09.2018-28.09.2018, Nitra, Slovensko]. – text. – [angličtina]. – [OV 020]. – [abstrakt z podujatia - KP] In: Translation, Interpreting and Culture: Old Dogmas, New Approaches (?) [textový dokument (print)] : Book of Abstracts from Conference, Nitra, Slovakia, September 26-28, 2018 / Tyšš, Igor [Zostavovateľ, editor] ; Huťková, Anita [Zostavovateľ, editor] ; Höhn, Eva [Zostavovateľ, editor]. – 1. vyd. – Banská Bystrica (Slovensko) : Univerzita Mateja Bela v Banskej Bystrici. Vydavateľstvo Univerzity Mateja Bela v Banskej Bystrici - Belianum, 2018. – ISBN 978-80-557-1435-6, s. 24-25 [tlačená forma] </t>
  </si>
  <si>
    <t xml:space="preserve">Matematická úzkosť a jej vplyv na matematické vedomosti / Švecová, Valéria [Autor, UKFFPVKMA, 100%] ; Konferencia slovenských matematikov 2018, 50 [22.11.2018-25.11.2018, Jasná pod Chopkom, Slovensko]. – text. – [slovenčina]. – [OV 010]. – [abstrakt z podujatia - KP] In: 50. konferencia slovenských matematikov [textový dokument (print)] / Marčoková, Mariana [Zostavovateľ, editor] ; Kúdelčíková, Mária [Zostavovateľ, editor]. – 1. vyd. – Roč. 50. – Žilina (Slovensko) : Žilinská univerzita v Žiline. Vydavateľstvo EDIS, 2018. – ISBN 978-80-554-1500-0, s. 49-49 [tlačená forma] </t>
  </si>
  <si>
    <t xml:space="preserve">Matematický B-deň 2018 / Bulková, Kristína [Autor, UKFFPVKMA, 50%] ; Čeretková, Soňa [Autor, UKFFPVKMA, 50%] ; Konferencia slovenských matematikov 2019, 51 [28.11.2019-01.12.2019, Jasná pod Chopkom, Slovensko]. – text. – [slovenčina]. – [OV 010, 240]. – [abstrakt z podujatia - KP] In: 51. konferencia slovenských matematikov [textový dokument (print)] : zborník abstraktov / Kúdelčíková, Mária [Zostavovateľ, editor] ; Marčoková, Mariana [Zostavovateľ, editor]. – 1 vyd. – Žilina (Slovensko) : Žilinská univerzita v Žiline. Vydavateľstvo EDIS, 2019. – ISBN 978-80-554-1609-0, s. 23-23 [tlačená forma] </t>
  </si>
  <si>
    <t xml:space="preserve">Materiálne zabezpečenie uniatskych presbyterov na príklade obce Starina (okr. Stará Ľubovňa) = Material Provision of the Uniate Presbyters: An Example of Starina (Stará Ľubovňa District) / Žeňuch, Vavrinec [Autor, UKFFFAKRU, 100%] ; Cyrilská a latinská písomná kultúra byzantsko-slovanskej tradície na Slovensku do konca 18. storočia [23.10.2018-23.10.2018, Košice, Slovensko]. – [slovenčina]. – [OV 020]. – [abstrakt z podujatia - KP] In: Cyrilská a latinská písomná kultúra byzantsko-slovanskej tradície na Slovensku do konca 18. storočia [textový dokument (print)] : zborník anotácií z konferencie / Vašíčková, Svetlana [Zostavovateľ, editor] ; Wilšinská, Ľubomíra [Zostavovateľ, editor]. – 1. vyd. – Bratislava (Slovensko) : Slovenská akadémia vied, 2018. – ISBN 978-80-89489-36-7, s. 70-71 [tlačená forma] </t>
  </si>
  <si>
    <t xml:space="preserve">Medical plants and their molecules prevent oil-related contaminants action on ovarian cells / Sirotkin, Alexander [Autor, UKFFPVKZA, 100%] ; Risk Factors of Food Chain 2019, 20 [09.11.2019-11.11.2019, Osrblie, Slovensko]. – text. – [angličtina]. – [OV 130]. – [abstrakt z podujatia - KP] In: Risk Factors of Food Chain 2019 [textový dokument (print)] : book of Abstracts from 20th International Scientific Conference, Osrblie 09. - 11. 09. 2019 / Jambor, Tomáš [Zostavovateľ, editor] ; Slanina, Tomáš [Zostavovateľ, editor] ; Tokárová, Katarína [Zostavovateľ, editor]. – 1. vyd. – Nitra (Slovensko) : Slovenská poľnohospodárska univerzita v Nitre, 2019. – ISBN 978-80-552-2033-8, s. 44-44 [tlačená forma] </t>
  </si>
  <si>
    <t xml:space="preserve">Mikrobiologická kontaminácia pracovného prostredia / Huťaňová, Miriama [Autor, 30%] ; Lengyelová, Libuša [Autor, UKFFPVKBG, 70%] ; Interaktívna konferencia mladých vedcov 2020, 12 [01.05.2020-31.05.2020, Banská Bystrica, Slovensko]. – text. – [slovenčina]. – [OV 130]. – [abstrakt z podujatia - KP] In: Interaktívna konferencia mladých vedcov 2020 [elektronický dokument] : book of abstracts / Ferko, Miroslav [Zostavovateľ, editor] ; Farkaš, Pavol [Zostavovateľ, editor]. – 1. vyd. – Banská Bystrica (Slovensko) : Občianské združenie Preveda, 2020. – ISBN 978-80-972360-6-9, s. 1906-1906 [online] </t>
  </si>
  <si>
    <t xml:space="preserve">Modulárna aritmetika v "Šípových hodinách" / Bulková, Kristína [Autor, UKFFPVKMA, 50%] ; Čeretková, Soňa [Autor, UKFFPVKMA, 50%] ; Konferencia slovenských matematikov 2018, 50 [22.11.2018-25.11.2018, Jasná pod Chopkom, Slovensko]. – [slovenčina]. – [OV 240]. – [abstrakt z podujatia - KP] In: 50. konferencia slovenských matematikov [textový dokument (print)] / Marčoková, Mariana [Zostavovateľ, editor] ; Kúdelčíková, Mária [Zostavovateľ, editor]. – 1. vyd. – Roč. 50. – Žilina (Slovensko) : Žilinská univerzita v Žiline. Vydavateľstvo EDIS, 2018. – ISBN 978-80-554-1500-0, s. 24-24 [tlačená forma] </t>
  </si>
  <si>
    <t xml:space="preserve">Monitoring držania tela a plochých nôh u detí v súťažnom fitness (pilotná štúdia) / Veis, Alexandra [Autor, UKFPFAKTV, 34%] ; Kanásová, Janka [Autor, UKFPFAKTV, 33%] ; Halmová, Nora [Autor, UKFPFAKTV, 33%] ; Rekreačný šport, zdravie, kvalita života, 4 [12.04.2018-13.04.2018, Košice, Slovensko]. – text. – [slovenčina]. – [OV 210]. – [abstrakt z podujatia - KP] In: Rekreačný šport, zdravie, kvalita života 4 [elektronický dokument] : zborník abstraktov z medzinárodnej vedeckej konferencie / Potočníková, Jana [Zostavovateľ, editor] ; Bakalár, Peter [Zostavovateľ, editor]. – 1. vyd. – Košice (Slovensko) : Univerzita Pavla Jozefa Šafárika v Košiciach, 2018. – ISBN 978-80-8152-603-9. – signatúra UPJŠ FSEP 009558, s. 84-84 [online] </t>
  </si>
  <si>
    <t xml:space="preserve">Motivational Intensity and Orientation as a Predictor of  Quality of Student Interpreting Performance / Hodáková, Soňa [Autor, UKFFFAKTR, 100%] ; Translation, Interpreting and Culture 2 [22.09.2021-24.09.2021, Banská Bystrica, Slovensko]. – text. – [angličtina]. – [OV 020]. – [abstrakt z podujatia - KP] In: Translation, Interpreting and Culture 2: Rehumanising Translation and Interpreting Studies [elektronický dokument] : book of abstracts : peer-reviewed publication of abstracts / Huťková, Anita [Zostavovateľ, editor] ; Reichwalderová, Eva [Zostavovateľ, editor]. – 1. vyd. – Banská Bystrica (Slovensko) : Univerzita Mateja Bela v Banskej Bystrici. Vydavateľstvo Univerzity Mateja Bela v Banskej Bystrici - Belianum, 2021. – ISBN 978-80-557-1891-0, s. 34-34 [online] </t>
  </si>
  <si>
    <t xml:space="preserve">Nálezy poľnohospodárskeho náradia z Bojnej vo svetle problematiky zázemia včasnostredovekých centier / Tamaškovič, Jakub [Autor, UKFFFAKAR, 25%] ; Jakubčinová, Miriam [Autor, 25%] ; Pieta, Karol [Autor, 25%] ; Borzová, Zuzana [Autor, UKFFFAKAR, 25%] ; Človek a jeho životný priestor, 52 [20.09.2021-22.09.2021, Nitra, Slovensko]. – text. – [slovenčina]. – [OV 030]. – [abstrakt z podujatia - KP] In: Kniha abstraktov 52. medzinárodnej konferencie archeológie stredoveku,20. – 22. 9. 2021 [elektronický dokument] : "človek a jeho životný priestor" / Beljak Pažinová, Noémi [Zostavovateľ, editor] ; Borzová, Zuzana [Zostavovateľ, editor]. – 1. vyd. – Nitra (Slovensko) : Univerzita Konštantína Filozofa v Nitre, 2021. – ISBN (online) 978-80-558-1744-6, s. 35-35 [online] </t>
  </si>
  <si>
    <t xml:space="preserve">Neštandardné úlohy z geometrie / Bočková, Veronika [Autor, UKFFPVKMA, 50%] ; Pavlovičová, Gabriela [Autor, UKFFPVKMA, 50%] ; Konferencia slovenských matematikov 2019, 51 [28.11.2019-01.12.2019, Jasná pod Chopkom, Slovensko]. – text. – [slovenčina]. – [OV 010, 240]. – [abstrakt z podujatia - KP] In: 51. konferencia slovenských matematikov [textový dokument (print)] : zborník abstraktov / Kúdelčíková, Mária [Zostavovateľ, editor] ; Marčoková, Mariana [Zostavovateľ, editor]. – 1 vyd. – Žilina (Slovensko) : Žilinská univerzita v Žiline. Vydavateľstvo EDIS, 2019. – ISBN 978-80-554-1609-0, s. 63-63 [tlačená forma] </t>
  </si>
  <si>
    <t xml:space="preserve">Niektoré miskoncepcie žiakov pri riešení úloh zameraných na zlomok ako časť celku / Pavlovičová, Gabriela [Autor, UKFFPVKMA, 50%] ; Vargová, Lucia [Autor, UKFFPVKMA, 50%] ; Konferencia slovenských matematikov 2019, 51 [28.11.2019-01.12.2019, Jasná pod Chopkom, Slovensko]. – text. – [slovenčina]. – [OV 010]. – [abstrakt z podujatia - KP] In: 51. konferencia slovenských matematikov [textový dokument (print)] : zborník abstraktov / Kúdelčíková, Mária [Zostavovateľ, editor] ; Marčoková, Mariana [Zostavovateľ, editor]. – 1 vyd. – Žilina (Slovensko) : Žilinská univerzita v Žiline. Vydavateľstvo EDIS, 2019. – ISBN 978-80-554-1609-0, s. 44-44 [tlačená forma] </t>
  </si>
  <si>
    <t xml:space="preserve">Nové územia európskeho významu a monitoring európsky významných cicavcov na Slovensku / Černecký, Ján [Autor, UKFFPVKEE, 50%] ; Saxa, Andrej [Autor, 50%] ; Výskum a ochrana cicavcov na Slovensku, 14 [14.11.2019-15.11.2019, Banská Bystrica, Slovensko]. – text. – [slovenčina]. – [OV 100]. – [abstrakt z podujatia - KP] In: Výskum a ochrana cicavcov na Slovensku [textový dokument (print)] [elektronický dokument] : zborník abstraktov zo 14. celoštátnej vedeckej konferencie s medzinárodnou účasťou / Urban, Peter [Zostavovateľ, editor] ; Lukáčová, Alexandra [Zostavovateľ, editor]. – 1. vyd. – Banská Bystrica (Slovensko) : Univerzita Mateja Bela v Banskej Bystrici. Fakulta prírodných vied, 2019. – ISBN 978-80-557-1657-2, s. 18-18 [tlačená forma] [online] </t>
  </si>
  <si>
    <t xml:space="preserve">Nutri-score ako efektívna pomôcka pre zdravotne prospešné stravovanie / Mináriková, Daniela [Autor, UKOFAPR, 50%] ; Minárik, Peter [Autor, UKFFSVKUM, 50%] ; Výročná konferencia SSVPL 2021, 42 [14.10.2021-16.10.2021, Horný Smokovec, Slovensko]. – [slovenčina]. – [OV 180]. – [abstrakt z podujatia - KP] In: 42. výročná konferencia SSVPL 2021 [textový dokument (print)] [elektronický dokument] : zborník abstraktov : všeobecný lekár pre dospelých – hlavný pilier zdravotníctva / Belovičová, Mária [Recenzent] ; Gavalierová, Zuzana [Recenzent] ; Makara, Peter [Recenzent]. – 1. vyd. – Roč. 42. – Bratislava (Slovensko) : I.D.L. Company, 2021. – ISBN 978-80-973666-8-1, s. 32-33 [tlačená forma] [online] </t>
  </si>
  <si>
    <t xml:space="preserve">O racionálnych bodoch na eliptických krivkách / Šumný, Timotej [Autor, UKFFPVKMA, 100%] ; Konferencia slovenských matematikov 2018, 50 [22.11.2018-25.11.2018, Jasná pod Chopkom, Slovensko]. – text. – [slovenčina]. – [OV 240]. – [abstrakt z podujatia - KP] In: 50. konferencia slovenských matematikov [textový dokument (print)] / Marčoková, Mariana [Zostavovateľ, editor] ; Kúdelčíková, Mária [Zostavovateľ, editor]. – 1. vyd. – Roč. 50. – Žilina (Slovensko) : Žilinská univerzita v Žiline. Vydavateľstvo EDIS, 2018. – ISBN 978-80-554-1500-0, s. 48-48 [tlačená forma] </t>
  </si>
  <si>
    <t xml:space="preserve">Optical absorption spectrum of Cr3+ in spinel / Malíčková, Iveta [Autor, UKOPRGMP, 20%] ; Bačík, Peter [Autor, UKOPRGMP, 20%] ; Fridrichová, Jana [Autor, UKOPRGMP, 20%] ; Milovská, Stanislava [Autor, 10%] ; Škoda, Radek [Autor, 10%] ; Illášová, Ľudmila [Autor, UKFFPVGMU, 10%] ; Štubňa, Ján [Autor, UKFFPVGMU, 10%] ; Cempírek, Jan [Recenzent] ; Ertl, Andreas [Recenzent] ; Central European Mineralogical Conference, 5 [26.06.2018-30.06.2018, Banská Štiavnica, Slovensko]. – text, tab., obr. – [angličtina]. – [OV 092]. – [abstrakt z podujatia - KP]. – SIGN-UKO PR 202/18 In: Joint 5th Central-European Mineralogical Conference and 7th Mineral Sciences in the Carpathians Conference [textový dokument (print)] : Book of Contributions and Abstracts / Ondrejka, Martin [Zostavovateľ, editor] ; Cempírek, Jan [Zostavovateľ, editor] ; Bačík, Peter [Zostavovateľ, editor]. – 1. vyd. – Bratislava (Slovensko) : Univerzita Komenského v Bratislave, 2018. – ISBN 978-80-223-4548-4. – SIGN-UKO PR 202/18, s. 71-73 [tlačená forma] </t>
  </si>
  <si>
    <t xml:space="preserve">Otázka výroby kachlíc na Oponickom hrade, okr. Topoľčany / Jančiová, Barbora [Autor, UKFFFAKAR, 50%] ; Repka, Dominik [Autor, UKFFFAKAR, 50%] ; Človek a jeho životný priestor, 52 [20.09.2021-22.09.2021, Nitra, Slovensko]. – text. – [slovenčina]. – [OV 030]. – [abstrakt z podujatia - KP] In: Kniha abstraktov 52. medzinárodnej konferencie archeológie stredoveku,20. – 22. 9. 2021 [elektronický dokument] : "človek a jeho životný priestor" / Beljak Pažinová, Noémi [Zostavovateľ, editor] ; Borzová, Zuzana [Zostavovateľ, editor]. – 1. vyd. – Nitra (Slovensko) : Univerzita Konštantína Filozofa v Nitre, 2021. – ISBN (online) 978-80-558-1744-6, s. 48-48 [online] </t>
  </si>
  <si>
    <t xml:space="preserve">Overenie validity multimetódovej objektívnej testovej batérie záujmov (MOI): zhodnotenie materiálu pre interpretáciu testových výsledkov / Hudáková, Miriama [Autor, UKFFSVUAP, 50%] ; Sollár, Tomáš [Autor, UKFFSVUAP, 50%] ; Psychológia práce a organizácie 2020, 19 [20.05.2020-21.05.2020, Košice, Slovensko]. – text. – [slovenčina]. – [OV 060]. – [abstrakt z podujatia - KP] In: Psychológia práce a organizácie 2020 [elektronický dokument] : zborník abstraktov z konferencie / Piterová, Ivana [Zostavovateľ, editor]. – 1. vyd. – Košice (Slovensko) : Slovenská akadémia vied. Centrum spoločenských a psychologických vied. Spoločenskovedný ústav, 2020. – ISBN 978-80-89524-50-1, s. 33-34 [online] </t>
  </si>
  <si>
    <t xml:space="preserve">Overexpression of dehydrin gene from Arabidopsis thaliana in Nicotiana tabacum L. enhances tolerance to heavy metals / Moravčíková, Jana [Autor, UCMFPVKBTE, 25%] ; Zimová, Mária [Autor, UKFFPVKBG, 20%] ; Boszorádová, Eva [Autor, 20%] ; Bardáčová, Monika [Autor, UCMFPVKCHR, 10%] ; Gerši, Zuzana [Autor, UCMFPVKBTE, 5%] ; Ranušová, Petra [Autor, UCMFPVKCHR, 5%] ; Nemeček, Peter [Autor, UCMFPVKCHE, 5%] ; Matušíková, Ildikó [Autor, UCMFPVKCHR, 10%] ; Applied Natural Sciences 2019, 7 [25.09.2019-27.09.2019, Tále, Slovensko]. – [angličtina]. – [OV 120]. – [abstrakt z podujatia - KP] In: Applied Natural Sciences 2019 [textový dokument (print)] [elektronický dokument] : 7th International Scientific Conference, 25. - 27. 9. 2019, Tále, SR : book of abstracts / Dirgová Luptáková, Iveta [Zostavovateľ, editor] ; Beňo, Miroslav [Zostavovateľ, editor]. – 1 vyd. – Trnava (Slovensko) : Univerzita sv. Cyrila a Metoda v Trnave, 2019. – ISBN 978-80-572-0011-6, s. 74-74 [tlačená forma] [online] </t>
  </si>
  <si>
    <t xml:space="preserve">Pathenogenetic activation of porcine oocytes in in vitro conditions / Bartková, Alexandra [Autor, UKFFPVKBG, 75%] ; Strejček, František [Autor, UKFFPVKBG, 10%] ; Murín, Matej [Autor, 5%] ; Morovič, Martin [Autor, UKFFPVKZA, 5%] ; Benc, Michal [Autor, UKFFPVKZA, 2%] ; Laurinčík, Jozef [Autor, KURPETSZP, 3%] ; Animal Biotechnology 2018, 6 [06.12.2018, Nitra, Slovensko]. – text. – [angličtina]. – [OV 130]. – [abstrakt z podujatia - ČL] In: Slovak Journal of Animal Science [textový dokument (print)] [elektronický dokument] . – Nitra (Slovensko) : Národné poľnohospodárske a potravinárske centrum. Výskumný ústav živočíšnej výroby Nitra. – ISSN 1337-9984. – ISSN (online) 1338-0095. – Roč. 51, č. 4 (2018), s. 171-171 [tlačená forma] [online] </t>
  </si>
  <si>
    <t xml:space="preserve">Pavúky (Araneae) ako modelové živočíchy na hodnotenie stavu prostredia / Purgat, Pavol [Autor, UKFFPVKEE, 50%] ; Krumpálová, Zuzana [Autor, UKFFPVKEE, 50%] ; Arachnologická konferencia, 16 [05.09.2018-09.09.2018, Východná, Slovensko]. – text. – [slovenčina]. – [OV 100]. – [abstrakt z podujatia - KP] In: 16. arachnologická konferencia [elektronický dokument] : zborník abstraktov / Fenďa, Peter [Zostavovateľ, editor] ; Holecová, Milada [Recenzent]. – 1. vyd. – Bratislava (Slovensko) : Slovenská arachnologická spoločnosť, 2018. – ISBN 978-80-972437-2-2, s. 30-30 [online] </t>
  </si>
  <si>
    <t xml:space="preserve">Pavúky (Araneae) na území bývalého rímskeho vojenského tábora Kelemantia pri Iži (južné Slovensko) / Purgat, Pavol [Autor, UKFFPVKEE, 50%] ; Gajdoš, Peter [Autor, 50%] ; 18. arachnologická konferencia, 18 [10.09.2020-12.09.2020, Východná, Slovensko]. – text. – [slovenčina]. – [OV 100]. – [abstrakt z podujatia - KP] In: 18. arachnologická konferencia [elektronický dokument] [textový dokument (print)] : Zborník abstraktov / Fenďa, Peter [Zostavovateľ, editor] ; Holecová, Milada [Recenzent]. – 1. vyd. – Bratislava (Slovensko) : Slovenská arachnologická spoločnosť, 2020. – ISBN 978-80-972437-4-6, s. 22-22 [online] </t>
  </si>
  <si>
    <t xml:space="preserve">Pluricentric language and the transcultural elements in the novel Klára by Norbert György / Tóth, Anikó [Autor, UKFFSSUML, 100%] ; World Conference on Pluricentric Languages and their Non-dominant Varieties, 6 [21.06.2018-23.06.2018, Nitra, Slovensko]. – text. – [angličtina]. – [OV 020]. – [abstrakt z podujatia - KP] In: Abstracts of the 6th World Conference on Pluricentric Languages and their Non-dominant Varietes [textový dokument (print)] : Proceedings Abstracts / Kozmács, István [Zostavovateľ, editor] ; Vančo, Ildikó [Zostavovateľ, editor]. – 1. vyd. – Nitra (Slovensko) : Univerzita Konštantína Filozofa v Nitre, 2018. – ISBN 978-80-558-1285-4, s. 64-64 [tlačená forma] </t>
  </si>
  <si>
    <t xml:space="preserve">Pluricentric language and transculturalism in Hungarian minority literatures / Németh, Zoltán [Autor, UKFFSSUML, 100%] ; World Conference on Pluricentric Languages and their Non-dominant Varieties, 6 [21.06.2018-23.06.2018, Nitra, Slovensko]. – text. – [angličtina]. – [OV 020]. – [abstrakt z podujatia - KP] In: Abstracts of the 6th World Conference on Pluricentric Languages and their Non-dominant Varietes [textový dokument (print)] : Proceedings Abstracts / Kozmács, István [Zostavovateľ, editor] ; Vančo, Ildikó [Zostavovateľ, editor]. – 1. vyd. – Nitra (Slovensko) : Univerzita Konštantína Filozofa v Nitre, 2018. – ISBN 978-80-558-1285-4, s. 63-63 [tlačená forma] </t>
  </si>
  <si>
    <t xml:space="preserve">Pluricentric phenomena in Hungarian basic school textbooks in Slovakia and in Hungary / Kozmács, István [Autor, UKFFSSUML, 100%] ; World Conference on Pluricentric Languages and their Non-dominant Varieties, 6 [21.06.2018-23.06.2018, Nitra, Slovensko]. – text. – [angličtina]. – [OV 020]. – [abstrakt z podujatia - KP] In: Abstracts of the 6th World Conference on Pluricentric Languages and their Non-dominant Varietes [textový dokument (print)] : Proceedings Abstracts / Kozmács, István [Zostavovateľ, editor] ; Vančo, Ildikó [Zostavovateľ, editor]. – 1. vyd. – Nitra (Slovensko) : Univerzita Konštantína Filozofa v Nitre, 2018. – ISBN 978-80-558-1285-4, s. 43-44 [tlačená forma] </t>
  </si>
  <si>
    <t xml:space="preserve">Pojmové mapovanie ako prostriedok na štrukturalizáciu matematických vedomostí / Švecová, Valéria [Autor, UKFFPVKMA, 100%] ; Konferencia slovenských matematikov 2019, 51 [28.11.2019-01.12.2019, Jasná pod Chopkom, Slovensko]. – text. – [slovenčina]. – [OV 010, 240]. – [abstrakt z podujatia - KP] In: 51. konferencia slovenských matematikov [textový dokument (print)] : zborník abstraktov / Kúdelčíková, Mária [Zostavovateľ, editor] ; Marčoková, Mariana [Zostavovateľ, editor]. – 1 vyd. – Žilina (Slovensko) : Žilinská univerzita v Žiline. Vydavateľstvo EDIS, 2019. – ISBN 978-80-554-1609-0, s. 44-44 [tlačená forma] </t>
  </si>
  <si>
    <t xml:space="preserve">Porovnanie frazám v slovenčine a v angličtine z aspektu jazykového obrazu sveta / Rendárová, Mária [Autor, UKFFFAKSJ, 100%] ; Kolokvium mladých jazykovedcov, 28 [20.11.2019-22.11.2019, Nitra, Slovensko]. – text. – [slovenčina]. – [OV 010]. – [abstrakt z podujatia - KP] In: Varia 28 [textový dokument (print)] [elektronický dokument] : zborník abstraktov z 28. kolokvia mladých jazykovedcov / Nemčeková, Jana [Zostavovateľ, editor] ; Petráš, Patrik [Zostavovateľ, editor]. – 1. vyd. – Nitra (Slovensko) : Univerzita Konštantína Filozofa v Nitre, 2019. – ISBN 978-80-558-1475-9, s. 61-62 [tlačená forma] [online] </t>
  </si>
  <si>
    <t xml:space="preserve">Postavenie hraboša severského Microtus oeconomus spp. mehelyi v spoločenstve drobných cicavcov na juhozápadnom Slovensku / Kamenišťák, Jakub [Autor, UKFFPVKEE, 20%] ; Baláž, Ivan [Autor, UKFFPVKEE, 16%] ; Tulis, Filip [Autor, UKFFPVKEE, 16%] ; Ambros, Michal [Autor, 16%] ; Ševčík, Michal [Autor, UKFFPVKEE, 16%] ; Zigová, Martina [Autor, UKFFPVKEE, 16%] ; Zoológia 2018 [22.11.2018-24.11.2018, Zvolen, Slovensko]. – text. – [slovenčina]. – [OV 130]. – [abstrakt z podujatia - KP] In: Zborník abstraktov z vedeckého kongresu "Zoológia 2018" [textový dokument (print)] : 22. - 24. november 2018, Zvolen / Kubovčík, Vladimír [Zostavovateľ, editor] ; Stašiov, Slavomír [Zostavovateľ, editor]. – 1. vyd. – Zvolen (Slovensko) : Technická univerzita vo Zvolene, 2018. – ISBN 978-80-228-3112-3, s. 110-110 [tlačená forma] </t>
  </si>
  <si>
    <t xml:space="preserve">Potrava myšiarky ušatej (Asio otus) z mimohniezdneho obdobia / Poljak, Nadja [Autor, 30%] ; Tulis, Filip [Autor, UKFFPVKEE, 25%] ; Veselovský, Tomáš [Autor, 25%] ; Ruzic, Milan [Autor, 10%] ; Obuch, Ján [Autor, UKOCSBZ, 10%] ; Zoológia 2018 [22.11.2018-24.11.2018, Zvolen, Slovensko]. – [slovenčina]. – [OV 130]. – [abstrakt z podujatia - KP]. – [recenzované] In: Zborník abstraktov z vedeckého kongresu "Zoológia 2018" [textový dokument (print)] : 22. - 24. november 2018, Zvolen / Kubovčík, Vladimír [Zostavovateľ, editor] ; Stašiov, Slavomír [Zostavovateľ, editor]. – 1. vyd. – Zvolen (Slovensko) : Technická univerzita vo Zvolene, 2018. – ISBN 978-80-228-3112-3, s. 110-110 [tlačená forma] </t>
  </si>
  <si>
    <t xml:space="preserve">Pozícia sestry v klinickom výučbovom prostredí / Krištofová, Erika [Autor, UKFFSVKOS, 50%] ; Pavelová, Ľuboslava [Autor, UKFFSVKOS, 50%] ; Nové trendy v ošetrovateľstve, 7 [11.11.2021-12.11.2021, Trnava, Slovensko]. – text. – [slovenčina]. – [OV 180]. – [abstrakt z podujatia - KP] In: Nové trendy v ošetrovateľstve 7 [textový dokument (print)] [elektronický dokument] : Zborník abstraktov z vedeckej konferencie s medzinárodnou účasťou / Cibulová, Mária [Zostavovateľ, editor] ; Čapská, Jana [Zostavovateľ, editor] ; Bartoníčková, Daniela [Recenzent] ; Kohanová, Dominika [Recenzent] ; Krocová, Jitka [Recenzent] ; Magurová, Dagmar [Recenzent] ; Otrubová, Jana [Recenzent]. – 1. vyd. – Trnava (Slovensko) : Trnavská univerzita v Trnave. Fakulta zdravotníctva a sociálnej práce, 2021. – ISBN 978-80-568-0443-8. – TUT ID E089157, s. 52-53 [online] [tlačená forma] </t>
  </si>
  <si>
    <t xml:space="preserve">Prediktory a následky nepodložených presvedčení o COVID-19 na Slovensku / Šrol, Jakub [Autor, 34%] ; Čavojová, Vladimíra [Autor, 33%] ; Ballová Mikušková, Eva [Autor, UKFPFAKAP, 33%] ; Ľudia a spoločnosť v čase pandémie [20.04.2021, [S. l.], Slovensko]. – text. – [slovenčina]. – [OV 060]. – [abstrakt z podujatia - KP] In: Ľudia a spoločnosť v čase pandémie. Multidisciplinárna on-line konferencia venovaná všetkým aspektom dopadov pandémie Covid-19 na spoločnosť a jednotlivca [elektronický dokument] : kniha abstraktov / Bahna, Miloslav [Zostavovateľ, editor] ; Klobucký, Robert [Zostavovateľ, editor] ; Lášticová, Barbara [Zostavovateľ, editor] ; Mrva, Marianna [Zostavovateľ, editor] ; Poslon, Xenia-Daniela [Zostavovateľ, editor]. – 1. vyd. – Bratislava (Slovensko) : Slovenská akadémia vied. Pracoviská SAV. Sociologický ústav, 2021. – ISBN 978-80-89897-31-5, s. 24-24 [online] </t>
  </si>
  <si>
    <t xml:space="preserve">Premena Ja v dobe tekutej lásky / Lukšík, Ivan [Autor, 10%] ; Bianchi, Gabriel [Autor, 10%] ; Fúsková, Jana [Autor, TUTPFSPD, 10%] ; Guillaume, Michaela [Autor, TUTPFPVU, 10%] ; Hargašová, Lucia [Autor, 10%] ; Hnatkovičová, D. [Autor, 10%] ; Kallová, Nikola [Autor, TUTPFSPD, 10%] ; Marková, Dagmar [Autor, UKFFFAKAE 06.2022, 10%] ; Popper, Miroslav [Autor, 10%] ; Turčan, Ciprian [Autor, UKFFFAKAE 06.2022, 10%] ; Kvalitatívny prístup a metódy vo vedách o človeku, 19 [26.01.2020-28.01.2020, Bratislava, Slovensko]. – [slovenčina]. – [OV 010]. – [abstrakt z podujatia - KP]. – TUTPFSPD signatúra E078772. – TUTPFPVU signatúra E078772 In: 19. konferencia Kvalitatívny prístup a metódy vo vedách o človeku "Poznaj sám seba" [textový dokument (print)] : zborník abstraktov / Lášticová, Barbara [Zostavovateľ, editor] ; Masaryk, Radomír [Zostavovateľ, editor]. – 1. vyd. – Bratislava (Slovensko) : Univerzita Komenského v Bratislave. Centrálne súčasti UK. Vydavateľstvo Univerzity Komenského, 2020. – ISBN 978-80-223-4883-6. – SIGN-UKO FS20-0154, s. 27-27 [tlačená forma] </t>
  </si>
  <si>
    <t xml:space="preserve">Príčiny, prejavy a možnosti predchádzania adaptačných ťažkostí žiakov na začiatku primárneho vzdelávania / Teleková, Radka [Autor, UKFPFAKPE, 100%] ; DOKOPY 2019 [08.11.2019, Prešov, Slovensko]. – text. – [slovenčina]. – [OV 010]. – [abstrakt z podujatia - KP] In: DOKOPY 2019 [elektronický dokument] : doktorandská konferencia Pedagogickej fakulty PU : zborník abstraktov / Klimovič, Martin [Zostavovateľ, editor] ; Liptáková, Ľudmila [Recenzent] ; Liba, Jozef [Recenzent]. – 1. vyd. – Prešov (Slovensko) : Prešovská univerzita v Prešove, 2019. – ISBN (online) 978-80-555-2355-2. – SIGN-PU PF-20 287/19, s. 15-16 [online] </t>
  </si>
  <si>
    <t xml:space="preserve">Prínos siete chránených území z hľadiska migračných koridorov a obmedzení na Slovensku / Černecký, Ján [Autor, UKFFPVKEE, 34%] ; Ďuricová, Viktória [Autor, SPUFES20, 33%] ; Kanka, Róbert [Autor, 33%] ; Výskum a ochrana cicavcov na Slovensku, 14 [14.11.2019-15.11.2019, Banská Bystrica, Slovensko]. – [slovenčina]. – [OV 130]. – [abstrakt z podujatia - KP] In: Výskum a ochrana cicavcov na Slovensku [textový dokument (print)] [elektronický dokument] : zborník abstraktov zo 14. celoštátnej vedeckej konferencie s medzinárodnou účasťou / Urban, Peter [Zostavovateľ, editor] ; Lukáčová, Alexandra [Zostavovateľ, editor]. – 1. vyd. – Banská Bystrica (Slovensko) : Univerzita Mateja Bela v Banskej Bystrici. Fakulta prírodných vied, 2019. – ISBN 978-80-557-1657-2, s. 14-15 [tlačená forma] [online] </t>
  </si>
  <si>
    <t xml:space="preserve">Príprava rekreačného bežca na maratón / Horička, Pavol [Autor, UKFPFAKTV, 100%] ; Rekreačný šport, zdravie, kvalita života, 4 [12.04.2018-13.04.2018, Košice, Slovensko]. – text. – [slovenčina]. – [OV 210]. – [abstrakt z podujatia - KP] In: Rekreačný šport, zdravie, kvalita života 4 [elektronický dokument] : zborník abstraktov z medzinárodnej vedeckej konferencie / Potočníková, Jana [Zostavovateľ, editor] ; Bakalár, Peter [Zostavovateľ, editor]. – 1. vyd. – Košice (Slovensko) : Univerzita Pavla Jozefa Šafárika v Košiciach, 2018. – ISBN 978-80-8152-603-9. – signatúra UPJŠ FSEP 009558, s. 69-69 [online] </t>
  </si>
  <si>
    <t xml:space="preserve">Problematika funkcie keramických prídavkov v hrobovom inventári / Styk, Matej [Autor, UKFFFAKAR, 100%] ; Kelti / The Celts / Die Kelten 2019, 20 [14.05.2019-17.05.2019, Vysoké Tatry - Stará Lesná, Slovensko]. – text. – [slovenčina]. – [OV 030]. – [abstrakt z podujatia - KP] In: Kelti / The Celts / Die Kelten 2019 [textový dokument (print)] : zborník abstraktov z 20. medzinárodnej konferencie Doba laténska v strednej Európe, Vysoké Tatry - Stará Lesná  14. - 17. 5. 2019 / Benediková, Lucia [Zostavovateľ, editor] ; Březinová, Gertrúda [Zostavovateľ, editor] ; Pieta, Karol [Zostavovateľ, editor]. – 1. vyd. – Nitra (Slovensko) : Slovenská akadémia vied. Pracoviská SAV. Archeologický ústav, 2019. – ISBN 978-80-8196-032-1, s. 74-74 [tlačená forma] </t>
  </si>
  <si>
    <t xml:space="preserve">Quantitative evaluation of selected genes expresion in vital staineding porcine oocytes / Bartková, Alexandra [Autor, UKFFPVKBG, 11.112%] ; Němcová, Lucie [Autor, 11.111%] ; Strejček, František [Autor, UKFFPVKBG, 11.111%] ; Gad, Ahmed [Autor, 11.111%] ; Morovič, Martin [Autor, UKFFPVKZA, 11.111%] ; Murín, Matej [Autor, 11.111%] ; Benc, Michal [Autor, UKFFPVKZA, 11.111%] ; Procházka, Radek [Autor, 11.111%] ; Laurinčík, Jozef [Autor, UKFFPVKZA, 11.111%] ; Winter School Animal Biotechnology 2020 [06.02.2020, Nitra, Slovensko]. – [angličtina]. – [OV 130]. – [abstrakt z podujatia - KP] In: Animal biotechnology 2020 [textový dokument (print)] : proceeding of the winter school, programme and abstracts, February 6th, 2020, Nitra,SUA in Nitra, Slovakia / Chrenek, Peter [Zostavovateľ, editor]. – st vyd. – Nitra (Slovensko) : Slovenská poľnohospodárska univerzita v Nitre, 2020. – ISBN 978-80-552-2145-8, s. 28-28 [tlačená forma] </t>
  </si>
  <si>
    <t xml:space="preserve">Sestry ako experti validačných štúdií v Slovenskej republike / Zrubcová, Dana [Autor, UKFFSVKOS, 25%] ; Solgajová, Andrea [Autor, UKFFSVKOS, 25%] ; Archalousová, Alexandra [Autor, UKFFSVKOS, 25%] ; Vörösová, Gabriela [Autor, UKFFSVKOS, 25%] ; Nové trendy v ošetrovateľstve, 7 [11.11.2021-12.11.2021, Trnava, Slovensko]. – text. – [slovenčina]. – [OV 180]. – [abstrakt z podujatia - KP] In: Nové trendy v ošetrovateľstve 7 [textový dokument (print)] [elektronický dokument] : Zborník abstraktov z vedeckej konferencie s medzinárodnou účasťou / Cibulová, Mária [Zostavovateľ, editor] ; Čapská, Jana [Zostavovateľ, editor] ; Bartoníčková, Daniela [Recenzent] ; Kohanová, Dominika [Recenzent] ; Krocová, Jitka [Recenzent] ; Magurová, Dagmar [Recenzent] ; Otrubová, Jana [Recenzent]. – 1. vyd. – Trnava (Slovensko) : Trnavská univerzita v Trnave. Fakulta zdravotníctva a sociálnej práce, 2021. – ISBN 978-80-568-0443-8. – TUT ID E089157, s. 103-104 [online] [tlačená forma] </t>
  </si>
  <si>
    <t xml:space="preserve">Skúsenosti s liečbou alemtuzumabom na Slovensku / Kantorová, Ema [Autor, UKOLJ243, 4.366%] ; Tarčák, Marek [Autor, 4.347%] ; Jankovičová, Natália [Autor, 4.347%] ; Michalík, Jozef [Autor, 4.347%] ; Kurča, Egon [Autor, UKOLJ243, 4.347%] ; Kováčová, Slavomíra [Autor, UKOLJ243, 4.347%] ; Brozman, Miroslav [Autor, UKFFSVKUM, 4.347%] ; Cimprichová, Adriana [Autor, 4.347%] ; Mako, Miroslav [Autor, UKOLJ243, 4.347%] ; Cisár, Juraj [Autor, 4.347%] ; Krastev, Georgi [Autor, 4.347%] ; Šefčíková, Veronika [Autor, 4.347%] ; Karlík, Martin [Autor, 4.347%] ; Slezáková, Darina [Autor, UKOLF2NK, 4.347%] ; Vitková, Marianna [Autor, UPS51340, 4.347%] ; Fedičová, Miriam [Autor, 4.347%] ; Szilasiová, Jarmila [Autor, UPS51340, 4.347%] ; Koleda, Peter [Autor, 4.347%] ; Cvengrošová, Anna [Autor, 4.347%] ; Klímová, Eleonóra [Autor, PUPFZFY, 4.347%] ; Donáth, Vladimír [Autor, 4.347%] ; Hančinová, Viera [Autor, 4.347%] ; Lisý, Ľubomír [Autor, 4.347%] ; Dni demyelinizačných ochorení s medzinárodnou účasťou, 8 [31.01.2019-01.02.2019, Bratislava, Slovensko]. – text. – [slovenčina]. – [OV 180]. – [abstrakt z podujatia - ČL]. – SIGN-UKO LF 2NK/19. – SIGN-UKO LJ0/19 In: Neurológia [textový dokument (print)] : recenzovaný, postgraduálne zameraný odborný lekársky časopis = reviewed, postgraduate scientific medical journal. – Bratislava (Slovensko) : A-medi management. – ISSN 1336-8621. – suppl. Roč. 14, č. S1 (2019), s. 13-14 [tlačená forma] </t>
  </si>
  <si>
    <t xml:space="preserve">Specific Errors of Machine Translation from English into Slovak / Welnitzová, Katarína [Autor, UKFFFAKTR, 50%] ; Munková, Daša [Autor, UKFFFAKTR, 50%] ; Translation, Interpreting and Culture: Old Dogmas, New Approaches [26.09.2018-28.09.2018, Nitra, Slovensko]. – text. – [angličtina]. – [OV 020]. – [abstrakt z podujatia - KP] In: Translation, Interpreting and Culture: Old Dogmas, New Approaches (?) [textový dokument (print)] : Book of Abstracts from Conference, Nitra, Slovakia, September 26-28, 2018 / Tyšš, Igor [Zostavovateľ, editor] ; Huťková, Anita [Zostavovateľ, editor] ; Höhn, Eva [Zostavovateľ, editor]. – 1. vyd. – Banská Bystrica (Slovensko) : Univerzita Mateja Bela v Banskej Bystrici. Vydavateľstvo Univerzity Mateja Bela v Banskej Bystrici - Belianum, 2018. – ISBN 978-80-557-1435-6, s. 113-113 [tlačená forma] </t>
  </si>
  <si>
    <t xml:space="preserve">Strehúň škvrnitý (Lycosa singoriensis) na Slovensku / Purgat, Pavol [Autor, UKFFPVKEE, 50%] ; Gajdoš, Peter [Autor, 25%] ; Krumpálová, Zuzana [Autor, UKFFPVKEE, 25%] ; Zoológia 2018 [22.11.2018-24.11.2018, Zvolen, Slovensko]. – text. – [slovenčina]. – [OV 130, 100]. – [abstrakt z podujatia - KP] In: Zborník abstraktov z vedeckého kongresu "Zoológia 2018" [textový dokument (print)] : 22. - 24. november 2018, Zvolen / Kubovčík, Vladimír [Zostavovateľ, editor] ; Stašiov, Slavomír [Zostavovateľ, editor]. – 1. vyd. – Zvolen (Slovensko) : Technická univerzita vo Zvolene, 2018. – ISBN 978-80-228-3112-3, s. 89-89 [tlačená forma] </t>
  </si>
  <si>
    <t xml:space="preserve">Subacute exposure to amygdalin in relation to bone microstructure of rabbits / Kováčová, Veronika [Autor, UKFFPVKZA, 20%] ; Šarocká, Anna [Autor, UKFFPVKZA, 15%] ; Omelka, Radoslav [Autor, UKFFPVKBG, 15%] ; Blahová, Jana [Autor, UKFFPVKBG, 15%] ; Šranko, Patrik [Autor, UKFFPVKBG, 15%] ; Galbavý, Drahomír [Autor, 2%] ; Martiniaková, Monika [Autor, UKFFPVKZA, 16%] ; Kolesárová, Adriana [Autor, SPUFBP03, 2%] ; Animal Physiology 2019, 15 [27.05.2019-29.05.2019, Vyhne, Slovensko]. – text. – [angličtina]. – [OV 130]. – [abstrakt z podujatia - KP] In: Animal Physiology 2019 [elektronický dokument] : book of abstracts / Tvrdá, Eva [Zostavovateľ, editor] ; Kováčik, Anton [Zostavovateľ, editor]. – 1. vyd. – Nitra (Slovensko) : Slovenská poľnohospodárska univerzita v Nitre, 2019. – ISBN 978-80-552-1998-1, s. 38-38 [online] </t>
  </si>
  <si>
    <t xml:space="preserve">Súčasný stav onkogynekológie na Slovensku a vo svete / Mlynček, Miloš [Autor, UKFFSVKOS, 100%] ; Bratislavské onkologické dni, 58 [07.10.2021-08.10.2021, Bratislava, Slovensko]. – [slovenčina]. – [OV 180]. – [abstrakt z podujatia - ČL]. – SIGN-UKO LF KN/21 In: Onkológia [textový dokument (print)] : Suplement. – Bratislava (Slovensko) : Solen (SK). – ISSN 1337-4435. – Roč. 16, č. S2 (2021), s. 17-18 [tlačená forma] </t>
  </si>
  <si>
    <t xml:space="preserve">Súčasný stav poznania fauny pavúkov (Araneae) Burdy / Gajdoš, Peter [Autor, 20%] ; Černecká, Ľudmila [Autor, 20%] ; Ľuptáčik, Peter [Autor, 20%] ; Fenďa, Peter [Autor, 15%] ; Šestáková, Anna [Autor, 15%] ; Purgat, Pavol [Autor, UKFFPVKEE, 10%] ; 18. arachnologická konferencia, 18 [10.09.2020-12.09.2020, Východná, Slovensko]. – text. – [slovenčina]. – [OV 100, 130]. – [abstrakt z podujatia - KP]. – SIGN-UKO PR 817/20 In: 18. arachnologická konferencia [elektronický dokument] [textový dokument (print)] : Zborník abstraktov / Fenďa, Peter [Zostavovateľ, editor] ; Holecová, Milada [Recenzent]. – 1. vyd. – Bratislava (Slovensko) : Slovenská arachnologická spoločnosť, 2020. – ISBN 978-80-972437-4-6, s. 13-13 [online] </t>
  </si>
  <si>
    <t xml:space="preserve">Suplementácia prírodného vápnika v kombinácii s vitamínmi D3 a K2 v manažmente osteoporózy - vlastné výsledky / Payer, Juraj [Autor, UKOLF5IK, 14.29%] ; Kužma, Martin [Autor, UKOLF5IK, 14.285%] ; Killinger, Zdenko [Autor, UKOLF5IK, 14.285%] ; Šoltésová-Prnová, Marta [Autor, 14.285%] ; Omelka, Radoslav [Autor, UKFFPVKBG, 14.285%] ; Oppenbergerova, Ingrid [Autor, 14.285%] ; Feruszová, J. [Autor, 14.285%] ; Kongres slovenských a českých osteológov s medzinárodnou účasťou, 23 [17.09.2020-19.09.2020, Bratislava, Slovensko]. – text. – [slovenčina]. – [OV 180]. – [abstrakt z podujatia - ČL]. – SIGN-UKO LF 5IK/20 In: Clinical Osteology [textový dokument (print)] [elektronický dokument] . – Brno (Česko) : Facta Medica. – ISSN 2571-1326. – ISSN (online) 2571-1334. – Roč. 25, č. 3 (2020), s. 165-165 [tlačená forma] [online] . – SJR: 0,101 ; CiteScore: 0,1 Scimago - Endocrinology, diabetes and metabolism - Q4, Orthopedics and sports medicine - Q4 </t>
  </si>
  <si>
    <t xml:space="preserve">Taurine supplementation affects bone microstructure of mice / Martiniaková, Monika [Autor, UKFFPVKZA, 16%] ; Šarocká, Anna [Autor, UKFFPVKZA, 12%] ; Babosová, Ramona [Autor, UKFFPVKZA, 12%] ; Kapusta, Edyta [Autor, 12%] ; Goc, Zofia [Autor, 12%] ; Greń, Agnieszka [Autor, 12%] ; Formicki, Grzegorz [Autor, 12%] ; Omelka, Radoslav [Autor, UKFFPVKBG, 12%] ; Risk Factors of Food Chain 2019, 20 [09.11.2019-11.11.2019, Osrblie, Slovensko]. – text. – [angličtina]. – [OV 130]. – [abstrakt z podujatia - KP] In: Risk Factors of Food Chain 2019 [textový dokument (print)] : book of Abstracts from 20th International Scientific Conference, Osrblie 09. - 11. 09. 2019 / Jambor, Tomáš [Zostavovateľ, editor] ; Slanina, Tomáš [Zostavovateľ, editor] ; Tokárová, Katarína [Zostavovateľ, editor]. – 1. vyd. – Nitra (Slovensko) : Slovenská poľnohospodárska univerzita v Nitre, 2019. – ISBN 978-80-552-2033-8, s. 34-34 [tlačená forma] </t>
  </si>
  <si>
    <t xml:space="preserve">Technológia Proxima a jej využitie v archeológii (na priklade Kostolianskej kotliny) / Borza, Martin [Autor, 33%] ; Ihnring, Pavol [Autor, 33%] ; Borzová, Zuzana [Autor, UKFFFAKAR, 34%] ; Počítačová podpora v archeológii, 18 [29.05.2019-31.05.2019, Kočovce, Slovensko]. – [slovenčina]. – [OV 030]. – [abstrakt z podujatia - KP] In: Počítačová podpora v archeológii [textový dokument (print)] : zborník abstraktov / Hladíková, Katarína [Zostavovateľ, editor] ; Lieskovský, Tibor [Zostavovateľ, editor] ; Bucha Rášová, Alexandra [Zostavovateľ, editor] ; Pavúk, Peter [Zostavovateľ, editor] ; Demján, Peter [Zostavovateľ, editor]. – 1. vyd. – Roč. 18/2019. – Praha (Česko) : Univerzita Karlova v Praze. Filozofická fakulta, 2019. – ISBN 978-80-7308-915-3. – SIGN-UKO FI 3/19 PV, s. 23-23 [tlačená forma] </t>
  </si>
  <si>
    <t xml:space="preserve">Tekutá zodpovednosť v slovenskej zahraničnej politike v kontexte obrazu iného / Brhlíková, Radoslava [Autor, UKFFFAKPO, 100%] ; Tekutá zodpovednosť na Slovensku [30.09.2019, Trnava, Slovensko]. – [slovenčina]. – [OV 020]. – [abstrakt z podujatia - KP] In: Tekutá zodpovednosť na Slovensku [textový dokument (print)] : zborník abstraktov a materiálov pre potreby pilotnej národnej interdisciplinárnej diskusie, kolokvium Trnava 30. september 2019 / Vadíková, Katarína Mária [Zostavovateľ, editor] ; Krištof, Pavol [Zostavovateľ, editor] ; Gánovský, Michal [Zostavovateľ, editor] ; Katuninec, Milan [Recenzent] ; Rusnák, Peter [Recenzent]. – 1. vyd. – Trnava (Slovensko) : Trnavská univerzita v Trnave, 2019. – ISBN 978-80-568-0375-2. – TUT ID E076811, s. 27-30 [tlačená forma] </t>
  </si>
  <si>
    <t xml:space="preserve">The effect of Cornus mas in bone microstructure in ZDF rats / Blahová, Jana [Autor, UKFFPVKBG, 20%] ; Kováčová, Veronika [Autor, UKFFPVKZA, 15%] ; Babosová, Ramona [Autor, UKFFPVKZA, 15%] ; Šranko, Patrik [Autor, UKFFPVKBG, 10%] ; Kalafová, Anna [Autor, SPUFBP03, 5%] ; Capcarová, Marcela [Autor, SPUFBP03, 5%] ; Omelka, Radoslav [Autor, UKFFPVKBG, 15%] ; Martiniaková, Monika [Autor, UKFFPVKZA, 15%] ; Risk Factors of Food Chain 2019, 20 [09.11.2019-11.11.2019, Osrblie, Slovensko]. – text. – [angličtina]. – [OV 130, 190]. – [abstrakt z podujatia - KP] In: Risk Factors of Food Chain 2019 [textový dokument (print)] : book of Abstracts from 20th International Scientific Conference, Osrblie 09. - 11. 09. 2019 / Jambor, Tomáš [Zostavovateľ, editor] ; Slanina, Tomáš [Zostavovateľ, editor] ; Tokárová, Katarína [Zostavovateľ, editor]. – 1. vyd. – Nitra (Slovensko) : Slovenská poľnohospodárska univerzita v Nitre, 2019. – ISBN 978-80-552-2033-8, s. 29-29 [tlačená forma] </t>
  </si>
  <si>
    <t xml:space="preserve">The effect of diet on bone microstructure  in Zucker diabetic fatty rats / Babosová, Ramona [Autor, UKFFPVKZA, 16%] ; Bábiková, Martina [Autor, 12%] ; Mondočková, Vladimíra [Autor, UKFFPVKBG, 12%] ; Blahová, Jana [Autor, UKFFPVKBG, 12%] ; Kalafová, Anna [Autor, SPUFBP03, 12%] ; Capcarová, Marcela [Autor, SPUFBP03, 12%] ; Omelka, Radoslav [Autor, UKFFPVKBG, 12%] ; Martiniaková, Monika [Autor, UKFFPVKZA, 12%] ; Animal Physiology 2019, 15 [27.05.2019-29.05.2019, Vyhne, Slovensko]. – text. – [angličtina]. – [OV 190, 130]. – [abstrakt z podujatia - KP] In: Animal Physiology 2019 [elektronický dokument] : book of abstracts / Tvrdá, Eva [Zostavovateľ, editor] ; Kováčik, Anton [Zostavovateľ, editor]. – 1. vyd. – Nitra (Slovensko) : Slovenská poľnohospodárska univerzita v Nitre, 2019. – ISBN 978-80-552-1998-1, s. 71-71 [online] </t>
  </si>
  <si>
    <t xml:space="preserve">The impact of bee bread on bone microstructure in zucker diabetes fatty rats receiving high energy diet / Babosová, Ramona [Autor, UKFFPVKZA, 20%] ; Straková, N. [Autor, 16%] ; Omelka, Radoslav [Autor, UKFFPVKBG, 16%] ; Kalafová, Anna [Autor, SPUFBP03, 16%] ; Capcarová, Marcela [Autor, SPUFBP03, 16%] ; Martiniaková, Monika [Autor, UKFFPVKZA, 16%] ; Winter School Animal Biotechnology 2020 [06.02.2020, Nitra, Slovensko]. – [angličtina]. – [OV 190]. – [abstrakt z podujatia - KP] In: Animal biotechnology 2020 [textový dokument (print)] : proceeding of the winter school, programme and abstracts, February 6th, 2020, Nitra,SUA in Nitra, Slovakia / Chrenek, Peter [Zostavovateľ, editor]. – st vyd. – Nitra (Slovensko) : Slovenská poľnohospodárska univerzita v Nitre, 2020. – ISBN 978-80-552-2145-8, s. 27-27 [tlačená forma] </t>
  </si>
  <si>
    <t xml:space="preserve">The motivational structure of the interpreter's personality / Hodáková, Soňa [Autor, UKFFFAKTR, 100%] ; Translation, Interpreting and Culture: Old Dogmas, New Approaches [26.09.2018-28.09.2018, Nitra, Slovensko]. – text. – [angličtina]. – [OV 020]. – [abstrakt z podujatia - KP] In: Translation, Interpreting and Culture: Old Dogmas, New Approaches (?) [textový dokument (print)] : Book of Abstracts from Conference, Nitra, Slovakia, September 26-28, 2018 / Tyšš, Igor [Zostavovateľ, editor] ; Huťková, Anita [Zostavovateľ, editor] ; Höhn, Eva [Zostavovateľ, editor]. – 1. vyd. – Banská Bystrica (Slovensko) : Univerzita Mateja Bela v Banskej Bystrici. Vydavateľstvo Univerzity Mateja Bela v Banskej Bystrici - Belianum, 2018. – ISBN 978-80-557-1435-6, s. 48-49 [tlačená forma] </t>
  </si>
  <si>
    <t xml:space="preserve">The situation of the Hungarian language in case of the language island in The Nitra region / Sándorová, Anna [Autor, UKFFSSUML, 100%] ; World Conference on Pluricentric Languages and their Non-dominant Varieties, 6 [21.06.2018-23.06.2018, Nitra, Slovensko]. – text. – [angličtina]. – [OV 020]. – [abstrakt z podujatia - KP] In: Abstracts of the 6th World Conference on Pluricentric Languages and their Non-dominant Varietes [textový dokument (print)] : Proceedings Abstracts / Kozmács, István [Zostavovateľ, editor] ; Vančo, Ildikó [Zostavovateľ, editor]. – 1. vyd. – Nitra (Slovensko) : Univerzita Konštantína Filozofa v Nitre, 2018. – ISBN 978-80-558-1285-4, s. 83-83 [tlačená forma] </t>
  </si>
  <si>
    <t xml:space="preserve">The typical features of Hungarian language used in the documents of local concils in Slovakia / Presinszky, Károly [Autor, UKFFSSUML, 100%] ; World Conference on Pluricentric Languages and their Non-dominant Varieties, 6 [21.06.2018-23.06.2018, Nitra, Slovensko]. – text. – [angličtina]. – [OV 020]. – [abstrakt z podujatia - KP] In: Abstracts of the 6th World Conference on Pluricentric Languages and their Non-dominant Varietes [textový dokument (print)] : Proceedings Abstracts / Kozmács, István [Zostavovateľ, editor] ; Vančo, Ildikó [Zostavovateľ, editor]. – 1. vyd. – Nitra (Slovensko) : Univerzita Konštantína Filozofa v Nitre, 2018. – ISBN 978-80-558-1285-4, s. 72-72 [tlačená forma] </t>
  </si>
  <si>
    <t xml:space="preserve">The use of TV game shows in grammar teaching / Gergelyová, Viktória [Autor, UKFFSSUML, 100%] ; 6th IRI International Educational Conference, 6 [22.10.2018-23.10.2018, Štúrovo, Slovensko]. – text. – [angličtina]. – [OV 010]. – [abstrakt z podujatia - KP] In: 6th IRI International Educational Conference [textový dokument (print)] : Abstracts. Štúrovo, 22-23 October 2018 / [bez zostavovateľa] [Zostavovateľ, editor]. – 1. vyd. – Štúrovo (Slovensko) : International Research Institute, 2019. – ISBN 978-80-89691-57-9, s. 14-14 </t>
  </si>
  <si>
    <t xml:space="preserve">Translation and editing of dialogue lists of fairy tales, or The translator’s walk through a fairy-tale garden? / Zahorák, Andrej [Autor, UKFFFAKTR, 100%] ; Translation, Interpreting and Culture: Old Dogmas, New Approaches [26.09.2018-28.09.2018, Nitra, Slovensko]. – text. – [angličtina]. – [OV 020]. – [abstrakt z podujatia - KP] In: Translation, Interpreting and Culture: Old Dogmas, New Approaches (?) [textový dokument (print)] : Book of Abstracts from Conference, Nitra, Slovakia, September 26-28, 2018 / Tyšš, Igor [Zostavovateľ, editor] ; Huťková, Anita [Zostavovateľ, editor] ; Höhn, Eva [Zostavovateľ, editor]. – 1. vyd. – Banská Bystrica (Slovensko) : Univerzita Mateja Bela v Banskej Bystrici. Vydavateľstvo Univerzity Mateja Bela v Banskej Bystrici - Belianum, 2018. – ISBN 978-80-557-1435-6, s. 116-117 [tlačená forma] </t>
  </si>
  <si>
    <t xml:space="preserve">Tréningové ukazovatele ako prediktory športovej výkonnosti chodca Mateja Tótha v RTC 2013/2014 až RTC 2015/2016 / Broďáni, Jaroslav [Autor, UKFPFAKTV, 25%] ; Tóth, Matej [Autor, 25%] ; Spišiak, Matej [Autor, UKFPFAKTV, 25%] ; Šiška, Ľuboslav [Autor, UKFPFAKTV, 25%] ; Rekreačný šport, zdravie, kvalita života, 4 [12.04.2018-13.04.2018, Košice, Slovensko]. – text. – [slovenčina]. – [OV 210]. – [abstrakt z podujatia - KP] In: Rekreačný šport, zdravie, kvalita života 4 [elektronický dokument] : zborník abstraktov z medzinárodnej vedeckej konferencie / Potočníková, Jana [Zostavovateľ, editor] ; Bakalár, Peter [Zostavovateľ, editor]. – 1. vyd. – Košice (Slovensko) : Univerzita Pavla Jozefa Šafárika v Košiciach, 2018. – ISBN 978-80-8152-603-9. – signatúra UPJŠ FSEP 009558, s. 75-76 [online] </t>
  </si>
  <si>
    <t xml:space="preserve">Turning Images Into Words: Do You “See” What I See? / Jánošíková, Zuzana [Autor, UKFFFAKTR, 100%] ; Translation, Interpreting and Culture: Old Dogmas, New Approaches [26.09.2018-28.09.2018, Nitra, Slovensko]. – text. – [angličtina]. – [OV 020]. – [abstrakt z podujatia - KP] In: Translation, Interpreting and Culture: Old Dogmas, New Approaches (?) [textový dokument (print)] : Book of Abstracts from Conference, Nitra, Slovakia, September 26-28, 2018 / Tyšš, Igor [Zostavovateľ, editor] ; Huťková, Anita [Zostavovateľ, editor] ; Höhn, Eva [Zostavovateľ, editor]. – 1. vyd. – Banská Bystrica (Slovensko) : Univerzita Mateja Bela v Banskej Bystrici. Vydavateľstvo Univerzity Mateja Bela v Banskej Bystrici - Belianum, 2018. – ISBN 978-80-557-1435-6, s. 54-55 [tlačená forma] </t>
  </si>
  <si>
    <t xml:space="preserve">Ukážka robotov z informatického krúžku pre žiakov 2. stupňa ZŠ / Voštinár, Patrik [Autor, 40%] ; Klimová, Nika [Autor, UKFFPVKIN, 30%] ; Škrinárová, Jarmila [Autor, 15%] ; Horváthová, Dana [Autor, 15%] ; DidInfo 2019, 25 [03.04.2019-05.04.2019, Banská Bystrica, Slovensko]. – text. – [slovenčina]. – [OV 091]. – [abstrakt z podujatia - KP] In: Didinfo 2019 [elektronický dokument] : medzinárodná konferencia o vyučovaní informatiky : 25. ročník konferencie / Horváthová, Dana [Zostavovateľ, editor] ; Michaliková, Alžbeta [Zostavovateľ, editor] ; Škrinárová, Jarmila [Zostavovateľ, editor] ; Voštinár, Patrik [Zostavovateľ, editor] ; Andrejková, Gabriela [Recenzent] ; Berki, Jan [Recenzent] ; Brodenec, Ivan [Recenzent] ; Cápay, Martin [Recenzent] ; Dudáš, Adam [Recenzent] ; Horváthová, Dana [Recenzent] ; Hudec, Milan [Recenzent] ; Karabáš, Ján [Recenzent] ; Melicherčík, Miroslav [Recenzent] ; Michaliková, Alžbeta [Recenzent] ; Škrinárová, Jarmila [Recenzent] ; Trajteľ, Ľudovít [Recenzent] ; Voštinár, Patrik [Recenzent]. – 1. vyd. – Banská Bystrica (Slovensko) : Univerzita Mateja Bela v Banskej Bystrici, 2019. – ISBN (online) 978-80-557-1533-9. – ISSN (online) 2454-051X, s. 198-199 [online] </t>
  </si>
  <si>
    <t xml:space="preserve">Ukrainian and Slovak literature in English translations in the 21st century / Ruda, Olga [Autor, UKFFFAKAA, 100%] ; Translation, Interpreting and Culture: Old Dogmas, New Approaches [26.09.2018-28.09.2018, Nitra, Slovensko]. – text. – [angličtina]. – [OV 020]. – [abstrakt z podujatia - KP] In: Translation, Interpreting and Culture: Old Dogmas, New Approaches (?) [textový dokument (print)] : Book of Abstracts from Conference, Nitra, Slovakia, September 26-28, 2018 / Tyšš, Igor [Zostavovateľ, editor] ; Huťková, Anita [Zostavovateľ, editor] ; Höhn, Eva [Zostavovateľ, editor]. – 1. vyd. – Banská Bystrica (Slovensko) : Univerzita Mateja Bela v Banskej Bystrici. Vydavateľstvo Univerzity Mateja Bela v Banskej Bystrici - Belianum, 2018. – ISBN 978-80-557-1435-6, s. 95-96 [tlačená forma] </t>
  </si>
  <si>
    <t xml:space="preserve">Únava u pacientov s nešpecifickým črevným zápalom / Poledníková, Ľubica [Autor, UKFFSVKOS, 45%] ; Slamková, Alica [Autor, UKFFSVKOS, 45%] ; Nogová, Simona [Autor, 10%] ; Nové trendy v ošetrovateľstve, 7 [11.11.2021-12.11.2021, Trnava, Slovensko]. – text. – [slovenčina]. – [OV 180]. – [abstrakt z podujatia - KP] In: Nové trendy v ošetrovateľstve 7 [textový dokument (print)] [elektronický dokument] : Zborník abstraktov z vedeckej konferencie s medzinárodnou účasťou / Cibulová, Mária [Zostavovateľ, editor] ; Čapská, Jana [Zostavovateľ, editor] ; Bartoníčková, Daniela [Recenzent] ; Kohanová, Dominika [Recenzent] ; Krocová, Jitka [Recenzent] ; Magurová, Dagmar [Recenzent] ; Otrubová, Jana [Recenzent]. – 1. vyd. – Trnava (Slovensko) : Trnavská univerzita v Trnave. Fakulta zdravotníctva a sociálnej práce, 2021. – ISBN 978-80-568-0443-8. – TUT ID E089157, s. 73-74 [online] [tlačená forma] </t>
  </si>
  <si>
    <t xml:space="preserve">Univerzálna a kultúrne determinovaná báza jazykového obrazu oka v slovenčine / Matiová, Mária [Autor, UKFFFASJL, 100%] ; Kolokvium mladých jazykovedcov, 27 [21.11.2018-23.11.2018, Banská Bystrica  - Šachtičky, Slovensko]. – [slovenčina]. – [OV 020]. – [abstrakt z podujatia - KP] In: Varia 27 [textový dokument (print)] : zborník abstraktov z 27. kolokvia mladých jazykovedcov (Banská Bystrica  - Šachtičky 21. 11. - 23.11. 2018) / Gondeková, Veronika [Zostavovateľ, editor] ; Rožai, Gabriel [Zostavovateľ, editor]. – 1. vyd. – Roč. 27. – Banská Bystrica (Slovensko) : Univerzita Mateja Bela v Banskej Bystrici. Vydavateľstvo Univerzity Mateja Bela v Banskej Bystrici - Belianum, 2018. – ISBN 978-80-557-1437-0, s. 29-31 [tlačená forma] </t>
  </si>
  <si>
    <t xml:space="preserve">Úroveň pohybovej výkonnosti žiakov 1. ročníka ZŠ v Nitre / Šimonek, Jaromír [Autor, UKFPFAKTV, 25%] ; Horička, Pavol [Autor, UKFPFAKTV, 25%] ; Czaková, Natália [Autor, UKFPFAKTV, 25%] ; Paška, Ľubomír [Autor, UKFPFAKTV, 25%] ; Rekreačný šport, zdravie, kvalita života, 4 [12.04.2018-13.04.2018, Košice, Slovensko]. – text. – [slovenčina]. – [OV 210]. – [abstrakt z podujatia - KP] In: Rekreačný šport, zdravie, kvalita života 4 [elektronický dokument] : zborník abstraktov z medzinárodnej vedeckej konferencie / Potočníková, Jana [Zostavovateľ, editor] ; Bakalár, Peter [Zostavovateľ, editor]. – 1. vyd. – Košice (Slovensko) : Univerzita Pavla Jozefa Šafárika v Košiciach, 2018. – ISBN 978-80-8152-603-9. – signatúra UPJŠ FSEP 009558, s. 73-73 [online] </t>
  </si>
  <si>
    <t xml:space="preserve">Use high resolution accurate mass spectrometry for determination of colchicine extract suicidal lethal poisoning confirmation / Schreiber, Ľudovít [Autor, UKOPRCAL, 50%] ; Morovič, Martin [Autor, UKFFPVKZA, 10%] ; Špacajová, Katarína [Autor, 10%] ; Halko, Radoslav [Autor, UKOPRCAL, 30%] ; International Symposium on Separation Sciences, 24 [17.06.2018-20.06.2018, Jasná, Slovensko]. – text. – [angličtina]. – [OV 120]. – [abstrakt z podujatia - KP]. – SIGN-UKO PR 522/18 In: 24th International Symposium on Separation Sciences (ISSS 2018) and 21st International Conference Analytical Methods and Human Health (AMHH 2018) [elektronický dokument] : book of abstracts / Hutta, Milan [Zostavovateľ, editor] ; Bodor, Róbert [Zostavovateľ, editor] ; Halko, Radoslav [Zostavovateľ, editor]. – 1. vyd. – Bratislava (Slovensko) : Univerzita Komenského v Bratislave. Prírodovedecká fakulta UK. Katedra analytickej chémie, 2018. – ISBN 978-80-971179-8-6, s. 105-105 [USB kľúč] </t>
  </si>
  <si>
    <t xml:space="preserve">Validácia ošetrovateľskej diagnózy Neefektívne zvládanie záťaže u pacientov s depresiou = Validation of nursing diagnosis Ineffective coping in patients with depression / Zrubcová, Dana [Autor, UKFFSVKOS, 34%] ; Solgajová, Andrea [Autor, UKFFSVKOS, 33%] ; Vörösová, Gabriela [Autor, UKFFSVKOS, 33%] ; Teória, výskum a vzdelávanie v ošetrovateľstve, 12 [23.05.2019, Martin, Slovensko]. – text. – [slovenčina]. – [OV 180]. – [abstrakt z podujatia - KP] In: Teória, výskum a vzdelávanie v ošetrovateľstve [elektronický dokument] : zborník z 12. medzinárodnej vedeckej konferencie, 23.5.2019 Martin / Lepiešová, Martina [Zostavovateľ, editor] ; Kohanová, Dominika [Zostavovateľ, editor] ; Miertová, Michaela [Recenzent] ; Šáteková, Lenka [Recenzent]. – 1. vyd. – Martin (Slovensko) : Univerzita Komenského v Bratislave. Jesseniova lekárska fakulta UK, 2019. – ISBN 978-80-8187-060-6, s. 248-250 [CD-ROM] </t>
  </si>
  <si>
    <t xml:space="preserve">Validácia ošetrovateľskej diagnózy Nevyvážená výživa: menej než je potreba organizmu u pacientov vyššieho veku = Validation of nursing diagnosis Imbalanced nutrition: less than body requirements in older patients / Poledníková, Ľubica [Autor, UKFFSVKOS, 25%] ; Slamková, Alica [Autor, UKFFSVKOS, 25%] ; Solgajová, Andrea [Autor, UKFFSVKOS, 25%] ; Zrubcová, Dana [Autor, UKFFSVKOS, 25%] ; Teória, výskum a vzdelávanie v ošetrovateľstve, 12 [23.05.2019, Martin, Slovensko]. – [slovenčina]. – [OV 180]. – [abstrakt z podujatia - KP] In: Teória, výskum a vzdelávanie v ošetrovateľstve [elektronický dokument] : zborník z 12. medzinárodnej vedeckej konferencie, 23.5.2019 Martin / Lepiešová, Martina [Zostavovateľ, editor] ; Kohanová, Dominika [Zostavovateľ, editor] ; Miertová, Michaela [Recenzent] ; Šáteková, Lenka [Recenzent]. – 1. vyd. – Martin (Slovensko) : Univerzita Komenského v Bratislave. Jesseniova lekárska fakulta UK, 2019. – ISBN 978-80-8187-060-6, s. 176-178 [CD-ROM] </t>
  </si>
  <si>
    <t xml:space="preserve">Vážky (Odonata) Tribeča, Vtáčnika, Pohronského Inovca a kontaktného územia s Podunajskou pahorkatinou / Petrovičová, Kornélia [Autor, 30%] ; David, Stanislav [Autor, UKFFPVKEE, 30%] ; Langraf, Vladimír [Autor, UKFFPVKEE, 30%] ; Schlarmannová, Janka [Autor, UKFFPVKZA, 10%] ; Zoológia 2018 [22.11.2018-24.11.2018, Zvolen, Slovensko]. – text. – [slovenčina]. – [OV 130]. – [abstrakt z podujatia - KP] In: Zborník abstraktov z vedeckého kongresu "Zoológia 2018" [textový dokument (print)] : 22. - 24. november 2018, Zvolen / Kubovčík, Vladimír [Zostavovateľ, editor] ; Stašiov, Slavomír [Zostavovateľ, editor]. – 1. vyd. – Zvolen (Slovensko) : Technická univerzita vo Zvolene, 2018. – ISBN 978-80-228-3112-3, s. 86-86 [tlačená forma] </t>
  </si>
  <si>
    <t xml:space="preserve">Vybrané esenciálne oleje a ich inhibičný účinok na E. coli / Alcnauerová, Simona [Autor, 45%] ; Lengyelová, Libuša [Autor, UKFFPVKBG, 45%] ; Piršelová, Beáta [Autor, UKFFPVKBG, 10%] ; Preveda 2021, 13 [10.05.2021-31.05.2021, Bratislava, Slovensko]. – text. – [slovenčina]. – [OV 180]. – [abstrakt z podujatia - KP] In: Interaktívna konferencia mladých vedcov 2021 [elektronický dokument] : Preveda / Ferko, Miroslav [Zostavovateľ, editor] ; Farkaš, Pavol [Zostavovateľ, editor]. – 1. vyd. – Banská Bystrica (Slovensko) : Občianské združenie Preveda, 2021. – ISBN 978-80-972360-7-6, s. 2094-2094 [online] </t>
  </si>
  <si>
    <t xml:space="preserve">Využitie elektronického testovania v podmienkach vysokoškolského vzdelávania (so zameraním na výučbu gramatických disciplín v jazykovo a pedagogicky orientovaných študijných programoch) / Petráš, Patrik [Autor, UKFFFASJL, 100%] ; Kolokvium mladých jazykovedcov, 28 [20.11.2019-22.11.2019, Nitra, Slovensko]. – text. – [slovenčina]. – [OV 020]. – [abstrakt z podujatia - KP] In: Varia 28 [textový dokument (print)] [elektronický dokument] : zborník abstraktov z 28. kolokvia mladých jazykovedcov / Nemčeková, Jana [Zostavovateľ, editor] ; Petráš, Patrik [Zostavovateľ, editor]. – 1. vyd. – Nitra (Slovensko) : Univerzita Konštantína Filozofa v Nitre, 2019. – ISBN 978-80-558-1475-9, s. 56-58 [tlačená forma] [online] </t>
  </si>
  <si>
    <t xml:space="preserve">Vzbuďme v študentoch chuť programovať! Aktivity s BBC micro:bit / Bellayová, Magdaléna [Autor, 50%] ; Cápay, Martin [Autor, UKFFPVKIN, 50%] ; DidInfo 2019, 25 [03.04.2019-05.04.2019, Banská Bystrica, Slovensko]. – text. – [slovenčina]. – [OV 160]. – [abstrakt z podujatia - KP] In: Didinfo 2019 [elektronický dokument] : medzinárodná konferencia o vyučovaní informatiky : 25. ročník konferencie / Horváthová, Dana [Zostavovateľ, editor] ; Michaliková, Alžbeta [Zostavovateľ, editor] ; Škrinárová, Jarmila [Zostavovateľ, editor] ; Voštinár, Patrik [Zostavovateľ, editor] ; Andrejková, Gabriela [Recenzent] ; Berki, Jan [Recenzent] ; Brodenec, Ivan [Recenzent] ; Cápay, Martin [Recenzent] ; Dudáš, Adam [Recenzent] ; Horváthová, Dana [Recenzent] ; Hudec, Milan [Recenzent] ; Karabáš, Ján [Recenzent] ; Melicherčík, Miroslav [Recenzent] ; Michaliková, Alžbeta [Recenzent] ; Škrinárová, Jarmila [Recenzent] ; Trajteľ, Ľudovít [Recenzent] ; Voštinár, Patrik [Recenzent]. – 1. vyd. – Banská Bystrica (Slovensko) : Univerzita Mateja Bela v Banskej Bystrici, 2019. – ISBN (online) 978-80-557-1533-9. – ISSN (online) 2454-051X, s. 219-219 [online] </t>
  </si>
  <si>
    <t xml:space="preserve">Zberové nálezy z doby laténskej z Hozelca, okr. Poprad / Repka, Dominik [Autor, UKFFFAKAR, 40%] ; Hudák, Matúš [Autor, 30%] ; Hudáková, Mária [Autor, 15%] ; Timura, Juraj [Autor, 15%] ; Kelti / The Celts / Die Kelten 2019, 20 [14.05.2019-17.05.2019, Vysoké Tatry - Stará Lesná, Slovensko]. – [slovenčina]. – [OV 030]. – [abstrakt z podujatia - KP] In: Kelti / The Celts / Die Kelten 2019 [textový dokument (print)] : zborník abstraktov z 20. medzinárodnej konferencie Doba laténska v strednej Európe, Vysoké Tatry - Stará Lesná  14. - 17. 5. 2019 / Benediková, Lucia [Zostavovateľ, editor] ; Březinová, Gertrúda [Zostavovateľ, editor] ; Pieta, Karol [Zostavovateľ, editor]. – 1. vyd. – Nitra (Slovensko) : Slovenská akadémia vied. Pracoviská SAV. Archeologický ústav, 2019. – ISBN 978-80-8196-032-1, s. 27-27 [tlačená forma] </t>
  </si>
  <si>
    <t xml:space="preserve">Zimuje v lese, loví v otvorenej krajine: potrava myšiarky ušatej (Asio otus) zo zimovísk situovaných v lesných porastoch / Tulis, Filip [Autor, UKFFPVKEE, 35%] ; Ševčík, Michal [Autor, 33%] ; Obuch, Ján [Autor, UKOCSBZ, 32%] ; Zoológia 2018 [22.11.2018-24.11.2018, Zvolen, Slovensko]. – text. – [slovenčina]. – [OV 130]. – [abstrakt z podujatia - KP]. – [recenzované] In: Zborník abstraktov z vedeckého kongresu "Zoológia 2018" [textový dokument (print)] : 22. - 24. november 2018, Zvolen / Kubovčík, Vladimír [Zostavovateľ, editor] ; Stašiov, Slavomír [Zostavovateľ, editor]. – 1. vyd. – Zvolen (Slovensko) : Technická univerzita vo Zvolene, 2018. – ISBN 978-80-228-3112-3, s. 96-96 [tlačená forma] </t>
  </si>
  <si>
    <t xml:space="preserve">Zmeny spoločenstva drobných zemných cicavcov (Rodentia, Eulipotyphla) vo výškovom gradiente Východných Tatier / Baláž, Ivan [Autor, UKFFPVKEE, 16%] ; Kamenišťák, Jakub [Autor, 12%] ; Ševčík, Michal [Autor, UKFFPVKEE, 12%] ; Tulis, Filip [Autor, UKFFPVKEE, 12%] ; Jakab, Imrich [Autor, UKFFPVKEE, 12%] ; Klimant, Peter [Autor, 12%] ; Poláčiková, Zuzana [Autor, UKFFPVKZA, 12%] ; Ambros, Michal [Autor, 12%] ; Zoológia 2018 [22.11.2018-24.11.2018, Zvolen, Slovensko]. – text. – [slovenčina]. – [OV 130]. – [abstrakt z podujatia - KP] In: Zborník abstraktov z vedeckého kongresu "Zoológia 2018" [textový dokument (print)] : 22. - 24. november 2018, Zvolen / Kubovčík, Vladimír [Zostavovateľ, editor] ; Stašiov, Slavomír [Zostavovateľ, editor]. – 1. vyd. – Zvolen (Slovensko) : Technická univerzita vo Zvolene, 2018. – ISBN 978-80-228-3112-3, s. 110-110 [tlačená forma] </t>
  </si>
  <si>
    <t>AFK - Postery zo zahraničných konferencií</t>
  </si>
  <si>
    <t xml:space="preserve">Knowledge about the use of electric current among urgent health care and nursing students / Líšková, Miroslava [Autor, UKFFSVKOS, 50%] ; Mankovecká, Monika [Autor, UKFFSVKUM, 50%] ; International Scientific Conference Family - Health - Disease [26.09.2019, Krakow, Poľsko]. – text. – [angličtina]. – [OV 180]. – [poster z podujatia - KP] In: International Scientific Conference Family - Health - Disease [elektronický dokument] : Abstracts of Lectures and Posters / Kalemba-Drożdż, Małgorzata [Zostavovateľ, editor]. – 1. vyd. – Krakow (Poľsko) : Krakowska Akademia im Andrzeja Frycza Modrzewskiego, 2019. – ISBN 978-83-66007-32-1, s. 37-37 [CD-ROM] </t>
  </si>
  <si>
    <t xml:space="preserve">Popularisation of STEM subjects by the means of study programmes for upper-secondary students / Medová, Janka [Autor, UKFFPVKMA, 75%] ; Valovičová, Ľubomíra [Autor, UKFFPVKFY, 25%] ; Research on Outdoor STEM Education in the digiTal Age [16.06.2020-19.06.2020, Porto, Portugalsko]. – text. – [angličtina]. – [OV 010, 240, 091]. – [poster z podujatia - KP] In: Research on Outdoor STEM Education in the digiTal Age : Proceedings of the ROSETA Online Conference / Ludwig, Matthias [Zostavovateľ, editor] ; Jablonski, Simone [Zostavovateľ, editor]. – 1. vyd. – Münster (Nemecko) : WTM - Verlag für wissenschaftliche Texte und Medien, 2020. – ISBN 978-3-95987-144-0, s. 209-212 [online] </t>
  </si>
  <si>
    <t xml:space="preserve">Telesné poškodenia jedincov raka riečneho (Astacus astacus L.) v povodí Štiavnického potoka v Javorníkoch (Slovensko) / Hujo, Ľubomír [Autor, 50%] ; Krumpálová, Zuzana [Autor, UKFFPVKEE, 50%] ; Zoologické dny [08.02.2018-09.02.2018, Praha, Česko]. – text. – [slovenčina]. – [OV 100]. – [poster z podujatia - KP] In: Zoologické dny Praha 2018 [textový dokument (print)] : sborník abstraktů z konference / Bryja, Josef [Zostavovateľ, editor] ; Solský, Milič [Zostavovateľ, editor]. – 1. vyd. – Praha (Česko) : Akademie věd České republiky, 2018. – ISBN 978-80-87189-24-5, s. 90-90 [tlačená forma] </t>
  </si>
  <si>
    <t>AFL - Postery z domácich konferencií</t>
  </si>
  <si>
    <t xml:space="preserve">BBC micro:bit ako súčasť projektu ENTER / Mansell, Marek [Autor, 25%] ; Klimová, Nika [Autor, UKFFPVKIN, 25%] ; Cápay, Martin [Autor, UKFFPVKIN, 25%] ; Bellayová, Magdaléna [Autor, 25%] ; Didinfo 2021, 27 [24.03.2021-25.03.2021, Banská Bystrica, Slovensko]. – text. – [slovenčina]. – [OV 010]. – [poster z podujatia - KP] In: DidInfo 2021 [elektronický dokument] : medzinárodná konferencia o vyučovaní informatiky / Horváthová, Dana [Zostavovateľ, editor] ; Michaliková, Alžbeta [Zostavovateľ, editor] ; Škrinárová, Jarmila [Zostavovateľ, editor] ; Voštinár, Patrik [Zostavovateľ, editor] ; Andrejková, Gabriela [Recenzent] ; Berki, Jan [Recenzent] ; Černochová, Miroslava [Recenzent] ; Dudáš, Adam [Recenzent] ; Horváthová, Dana [Recenzent]. – 1. vyd. – Roč. 27. – Banská Bystrica (Slovensko) : Univerzita Mateja Bela v Banskej Bystrici, 2021. – ISBN 978-80-557-1823-1. – ISSN 2454-051X, s. 184-185 [online] </t>
  </si>
  <si>
    <t xml:space="preserve">Ukážky úloh z informatických prechádzok / Haringová, Silvia [Autor, UKFFPVKIN, 50%] ; Klimová, Nika [Autor, UKFFPVKIN, 50%] ; Didinfo 2021, 27 [24.03.2021-25.03.2021, Banská Bystrica, Slovensko]. – text. – [slovenčina]. – [OV 010]. – [poster z podujatia - KP] In: DidInfo 2021 [elektronický dokument] : medzinárodná konferencia o vyučovaní informatiky / Horváthová, Dana [Zostavovateľ, editor] ; Michaliková, Alžbeta [Zostavovateľ, editor] ; Škrinárová, Jarmila [Zostavovateľ, editor] ; Voštinár, Patrik [Zostavovateľ, editor] ; Andrejková, Gabriela [Recenzent] ; Berki, Jan [Recenzent] ; Černochová, Miroslava [Recenzent] ; Dudáš, Adam [Recenzent] ; Horváthová, Dana [Recenzent]. – 1. vyd. – Roč. 27. – Banská Bystrica (Slovensko) : Univerzita Mateja Bela v Banskej Bystrici, 2021. – ISBN 978-80-557-1823-1. – ISSN 2454-051X, s. 180-181 [online] </t>
  </si>
  <si>
    <t>AGI - Správy o vyriešených vedeckovýskumných úlohách</t>
  </si>
  <si>
    <t xml:space="preserve">Analýza vstupného monitoringu a hodnotenia cieľov, obsahu a aktivít realizovaných verejných politík vzhľadom k prístupnosti predprimárneho vzdelávania detí zo sociálne znevýhodneného prostredia [elektronický dokument]  [iný] / Kahanec, Martin [Autor, 5%] ; Petrasová, Alica [Autor, PUPPESP, 30%] ; Rosinská, Mária [Autor, 3%] ; Rusnák, Július [Autor, 2%] ; Rusnáková, Jurina [Autor, UKFFSVURS, 30%] ; Sabo, Róbert [Autor, 30%] ; Doušková, Alena [Recenzent] ; Čerešníková, Miroslava [Recenzent]. – 1. vyd. – Prešov (Slovensko) : Občianske združenie Tobiáš, 2019. – 143 s. [online]. – [slovenčina]. – [OV 010]. – ISBN 978-80-570-1391-4. – SIGN-PU PF-19 234/19 </t>
  </si>
  <si>
    <t xml:space="preserve">COMPASS - Comparative Analysis of Territorial Governance and Spatial Planning Systems in Europe: Applied Research 2016-2018 [textový dokument (print)]  [iný] : Final Report - Additional Volume 6 Case Studies Report / Komornicki, Tomasz [Autor, 10%] ; Bednarek-Szczepańska, Maria [Autor, 10%] ; Degórska, Bożena [Autor, 10%] ; Goch, Katarzyna [Autor, 10%] ; Szejgiec-Kolenda, Barbara [Autor, 10%] ; Śleszyńsk, Przemysław [Autor, 10%] ; Haarich, Silke [Autor, 10%] ; Hajdú, Zoltán [Autor, 10%] ; Hardi, Tamás [Autor, UKFFSSKCR, 10%] ; Pámer, Zoltán [Autor, 10%]. – 1. vyd. – Luxembourg (Luxembursko) : European Spatial Planning Observation Network, 2018. – 329 s. [tlačená forma] : text. – [angličtina]. – [OV 092]. – [recenzované]. – ISBN 978-9995-955-55-7 </t>
  </si>
  <si>
    <t xml:space="preserve">Conservation status of hatitats and species of Community interest in the period of 2013 – 2018 in the Slovak Republic [textový dokument (print)]  [iný] = Správa o stave biotopov a druhov európskeho významu za obdobie rokov 2013 – 2018 v Slovenskej republike / Černecký, Ján [Autor, UKFFPVKEE, 10%] ; Čuláková, Jana [Autor, 10%] ; Ďuricová, Viktória [Autor, UMBFP09, 10%] ; Saxa, Andrej [Autor, 10%] ; Andráš, Peter [Autor, 10%] ; Ulrych, Libor [Autor, 10%] ; Šuvada, Róbert [Autor, 10%] ; Galvánková, Jana [Autor, 10%] ; Lešová, Andrea [Autor, 10%] ; Havranová, Ivana [Autor, 10%] ; Urban, Peter [Recenzent] ; Mútňanová, Marta [Recenzent]. – 1. vyd. – Banská Bystrica (Slovensko) : Štátna ochrana prírody SR, 2020. – 109 s. [5,45 AH] [tlačená forma] : text. – [slovenčina]. – [OV 100]. – ISBN 978-80-8184-076-0 </t>
  </si>
  <si>
    <t xml:space="preserve">Iža, okr. Komárno "Rímske a národopisné múzeum Kelemantia - zmena projektu - Úprava okolia", parc. č. 528/1, 528/4, 6139, 1636/6, kat.úz. Iža reg "C" [textový dokument (print)]  [iný] : výskumná dokumentácia V-KARCH 18/2020/Sim / Šimunková, Katarína [Autor, UKFFFAKAR, 90%] ; Tamaškovič, Jakub [Autor, UKFFFAKAR, 10%] ; Bednár, Peter [Recenzent] ; Bisták, Peter [Recenzent]. – 1. vyd. – Nitra (Slovensko) : Univerzita Konštantína Filozofa v Nitre, 2021. – 52 s. [3,1 AH] [tlačená forma] : text. – [slovenčina]. – [OV 030] </t>
  </si>
  <si>
    <t xml:space="preserve">Lužianky, okres Nitra „Rodinný dom – Bungalov 1678“ Závodníková ulica, parc. č. 1251/194, k. ú. Lužianky [textový dokument (print)]  [iný] : výskumná dokumentácia z archeologického výskumu č. V-KARCH 10/2019/Rep / Repka, Dominik [Autor, UKFFFAKAR, 80%] ; Jančiová, Barbora [Autor, UKFFFAKAR, 20%] ; Baxa, Peter [Recenzent] ; Bisták, Peter [Recenzent]. – 1. vyd. – Nitra (Slovensko) : Univerzita Konštantína Filozofa v Nitre, 2018. – 64 s. [tlačená forma] : text, ilustr., fotogr., mapy. – [slovenčina]. – [OV 030] </t>
  </si>
  <si>
    <t xml:space="preserve">Lužianky, okres Nitra „Rodinný dom“ Závodníková ulica, parcela č. 1251/119, k.ú. Lužianky [textový dokument (print)]  [iný] : výskumná dokumentácia z archeologického výskumu č. V-KARCH 02/2019/Paz / Beljak Pažinová, Noémi [Autor, UKFFFAKAR, 50%] ; Bordáč, Miloš [Autor, UKFFFAKAR, 20%] ; Tamaškovič, Jakub [Autor, UKFFFAKAR, 30%] ; Bisták, Peter [Recenzent] ; Tomašovičová, Terézia [Recenzent]. – 1. vyd. – Nitra (Slovensko) : Univerzita Konštantína Filozofa v Nitre, 2019. – 65 s. [tlačená forma] : text. – [slovenčina]. – [OV 030] </t>
  </si>
  <si>
    <t xml:space="preserve">Lužianky, okres Nitra „Rodinný dom“ Závodníková ulica, parcela č. 1251/94, k.ú. Lužianky [textový dokument (print)]  [iný] : výskumná dokumentácia z archeologického výskumu č. V‐KARCH 08/2017/Paz / Beljak Pažinová, Noémi [Autor, UKFFFAKAR, 50%] ; Godiš, Jakub [Autor, UKFFFAKAR, 25%] ; Styk, Matej [Autor, UKFFFAKAR, 25%] ; Baxa, Peter [Recenzent] ; Bisták, Peter [Recenzent]. – 1. vyd. – Nitra (Slovensko) : Univerzita Konštantína Filozofa v Nitre, 2018. – 72 s. [tlačená forma] : text. – [slovenčina]. – [OV 030] </t>
  </si>
  <si>
    <t xml:space="preserve">Manuál predikovania kvality prostredia v školských budovách [textový dokument (print)]  [iný] : záverečná správa 014UKF-4/2016 / Tureková, Ivana [Autor, UKFPFAKTT, 100%] ; Marková, Iveta [Recenzent] ; Hrmo, Roman [Recenzent]. – 1. vyd. – Nitra (Slovensko) : Univerzita Konštantína Filozofa v Nitre, 2018. – 54 s. [3,12 AH] [tlačená forma] : text. – [slovenčina]. – [OV 010] </t>
  </si>
  <si>
    <t xml:space="preserve">Martin nad Žitavou, okr. Zlaté Moravce "Novostavba dvojdomov", parc. č. 641/35, 641/64, kat. úz. Martin nad Žitavou [textový dokument (print)]  [iný] : výskumná dokumentácia V-KARCH 03/2021/Sim / Šimunková, Katarína [Autor, UKFFFAKAR, 100%] ; Bisták, Peter [Recenzent] ; Baxa, Peter [Recenzent]. – 1. vyd. – Nitra (Slovensko) : Univerzita Konštantína Filozofa v Nitre, 2021. – 49 s. [3,02 AH] [tlačená forma] : text, fotogr., mapy. – [slovenčina]. – [OV 030] </t>
  </si>
  <si>
    <t xml:space="preserve">Močenok, okres Šaľa „Novostavba rodinného domu“ parc. č. 1747/44, k. ú. Močenok [textový dokument (print)]  [iný] : výskumná dokumentácia z archeologického výskumu č. V-KARCH 07/2019/Rep / Repka, Dominik [Autor, UKFFFAKAR, 80%] ; Bordáč, Miloš [Autor, UKFFFAKAR, 20%] ; Baxa, Peter [Recenzent] ; Bisták, Peter [Recenzent]. – 1. vyd. – Nitra (Slovensko) : Univerzita Konštantína Filozofa v Nitre, 2019. – 80 s. [tlačená forma] : text. – [slovenčina]. – [OV 030] </t>
  </si>
  <si>
    <t xml:space="preserve">Mojmírovce, okres Nitra "Dvojgaráž", parc. č. 850/3, k.ú. Mojmírovce [textový dokument (print)]  [iný] : výskumná dokumentácia z archeologického výskumu č. V‐KARCH 07/2018/Paz / Beljak Pažinová, Noémi [Autor, UKFFFAKAR, 20%] ; Šimunková, Katarína [Autor, UKFFFAKAR, 80%] ; Bisták, Peter [Recenzent] ; Feníková, Andrea [Recenzent]. – 1. vyd. – Nitra (Slovensko) : Univerzita Konštantína Filozofa v Nitre, 2018. – 53 s. [3,02 AH]. – [slovenčina]. – [OV 030] </t>
  </si>
  <si>
    <t xml:space="preserve">Nová Baňa, okres Žarnovica Nová Baňa, parc. č. KN C 553, kat. úz. Nová Baňa Projekt: „Banské múzeum“ [textový dokument (print)]  [iný] : výskumná dokumentácia z archeologického výskumu č. V-KARCH 03/2019/Paz / Beljak Pažinová, Noémi [Autor, UKFFFAKAR, 30%] ; Styk, Matej [Autor, UKFFFAKAR, 70%] ; Bisták, Peter [Recenzent] ; Tomašovičová, Terézia [Recenzent]. – 1. vyd. – Nitra (Slovensko) : Univerzita Konštantína Filozofa v Nitre, 2019. – 154 s. [tlačená forma] : text. – [slovenčina]. – [OV 030] </t>
  </si>
  <si>
    <t xml:space="preserve">Nové Sady. okr. Nitra „Nové Sady - časť Kotrbál, Ceroviny - rozšírenie vodovodu“, parc.č. líniová stavba, kat. úz. Nové Sady, okr. Nitra [textový dokument (print)]  [iný] / Šimunková, Katarína [Autor, UKFFFAKAR, 100%] ; Bednár, Peter [Recenzent] ; Kosová, Katarína [Recenzent]. – 1. vyd. – Nitra (Slovensko) : Univerzita Konštantína Filozofa v Nitre, 2020. – 53 s. [3,26 AH] [tlačená forma]. – [slovenčina]. – [OV 030] </t>
  </si>
  <si>
    <t xml:space="preserve">Nové Zámky, okr. Nové Zámky „IBV Riverside“, parc. č. 10232/2,5 reg. „C“, kat. úz. Nové Zámky [textový dokument (print)]  [iný] / Šimunková, Katarína [Autor, UKFFFAKAR, 50%] ; Bordáč, Miloš [Autor, UKFFFAKAR, 50%] ; Bednár, Peter [Recenzent] ; Bisták, Peter [Recenzent]. – 1. vyd. – Nitra (Slovensko) : Univerzita Konštantína Filozofa v Nitre, 2020. – 53 s. [3,09 AH] [tlačená forma] : text, fotogr. – [slovenčina]. – [OV 030] </t>
  </si>
  <si>
    <t xml:space="preserve">Obnova a manažment dunajských lužných biotopov. Aktivita D.4 - Monitoring vplyvu projektu na ekosystémové funkcie [textový dokument (print)]  [iný] : Aktivita D.4 - Monitoring vplyvu projektu na ekosystémové funkcie / Mederly, Peter [Autor, UKFFPVKEE, 70%] ; Krumpálová, Zuzana [Autor, UKFFPVKEE, 15%] ; David, Stanislav [Autor, UKFFPVKEE, 15%]. – 1. vyd. – Nitra (Slovensko) : Univerzita Konštantína Filozofa v Nitre, 2020. – 52 s. [1,25 AH] [tlačená forma] : text. – [slovenčina]. – [OV 100]. – [recenzované] </t>
  </si>
  <si>
    <t xml:space="preserve">Oponice, okres Topoľčany „Oponický hrad“ parcela č. 639, k. ú. Oponice [textový dokument (print)]  [iný] / Repka, Dominik [Autor, UKFFFAKAR, 80%] ; Jančiová, Barbora [Autor, UKFFFAKAR, 20%] ; Bednár, Peter [Recenzent] ; Baxa, Peter [Recenzent]. – 1. vyd. – Nitra (Slovensko) : Univerzita Konštantína Filozofa v Nitre, 2020. – 220 s. [tlačená forma] : text. – [slovenčina]. – [OV 030] </t>
  </si>
  <si>
    <t xml:space="preserve">Oponický hrad, parcela č. 639, k. ú. Oponice [textový dokument (print)]  [iný] : výskumná dokumentácia z archeologického výskumu č. V-KARCH 06/2018/Rep / Repka, Dominik [Autor, UKFFFAKAR, 100%] ; Baxa, Peter [Recenzent] ; Bisták, Peter [Recenzent]. – 1. vyd. – Nitra (Slovensko) : Univerzita Konštantína Filozofa v Nitre, 2018. – 230 s. [tlačená forma] : text, ilustr., fotogr., mapy. – [slovenčina]. – [OV 030] </t>
  </si>
  <si>
    <t xml:space="preserve">P049 – Volkswagen Slovakia, a. s. – Logistická hala LOZ III. Bratislava [textový dokument (print)]  [iný] : m. č. Devínska nová Ves, poloha Múrnice / Žák Matyasowszky, František [Autor, 12%] ; Chmelo, Ladislav [Autor, UKFFFAKAR, 11%] ; Šebesta, Bohuslav [Autor, 11%] ; Šútor, Marek [Autor, 11%] ; Ontko, Michal [Autor, 11%] ; Diačiková, Denisa [Autor, 11%] ; Tamaškovič, Jakub [Autor, 11%] ; Krajčiová, Daniela [Autor, 11%] ; Frančíková, Eva [Autor, 11%] ; Baxa, Peter [Recenzent] ; Bazovský, Igor [Recenzent]. – 1. vyd. – Nitra (Slovensko) : Archeologická agentúra, 2018. – 125 s. [tlačená forma] : text. – [slovenčina]. – [OV 020] </t>
  </si>
  <si>
    <t xml:space="preserve">P050 – „Výstavba IS a výstavba miestnej komunikácie pre 11 RD-vodovod, Jablonové 4“ [textový dokument (print)]  [iný] : k. ú. Jablonové, poloha Za studienkou / Žák Matyasowszky, František [Autor, 20%] ; Ontko, Michal [Autor, 16%] ; Diačiková, Denisa [Autor, 16%] ; Chmelo, Ladislav [Autor, UKFFFAKAR, 16%] ; Šebesta, Bohuslav [Autor, 16%] ; Tamaškovič, Jakub [Autor, 16%] ; Baxa, Peter [Recenzent] ; Bazovský, Igor [Recenzent]. – 1. vyd. – Nitra (Slovensko) : Archeologická agentúra, 2018. – 46 s. [3,05 AH]. – [slovenčina]. – [OV 030] </t>
  </si>
  <si>
    <t xml:space="preserve">P054 - „Prepojenie AŠ TBU 500.16 z ES TBU 12 Veľké Zálužie I“ [textový dokument (print)]  [iný] : Veľké Zálužie, poloha Veľký Čikoš / Žák Matyasowszky, František [Autor, 20%] ; Chmelo, Ladislav [Autor, UKFFFAKAR, 20%] ; Šebesta, Bohuslav [Autor, 20%] ; Diačiková, Denisa [Autor, 20%] ; Vrablec, Miroslav [Autor, 20%] ; Baxa, Peter [Recenzent] ; Bazovský, Igor [Recenzent]. – 1. vyd. – Nitra (Slovensko) : Archeologická agentúra, 2018. – 52 s. [3,16 AH]. – [slovenčina]. – [OV 030] </t>
  </si>
  <si>
    <t xml:space="preserve">P061 - „KO_Kolárovo, Brnenské nám., TS, VNK, NNK“ [textový dokument (print)]  [iný] : Kolárovo, poloha Brnenské námestie / Žák Matyasowszky, František [Autor, 20%] ; Diačiková, Denisa [Autor, 20%] ; Chmelo, Ladislav [Autor, UKFFFAKAR, 20%] ; Ontko, Michal [Autor, 20%] ; Šebesta, Bohuslav [Autor, 20%] ; Baxa, Peter [Recenzent] ; Bazovský, Igor [Recenzent]. – 1. vyd. – Nitra (Slovensko) : Archeologická agentúra, 2018. – 54 s. [3,22 AH]. – [slovenčina]. – [OV 030] </t>
  </si>
  <si>
    <t xml:space="preserve">P082 - „DS Dunajská Streda, Ružová ul. NNK“ [textový dokument (print)]  [iný] : Dunajská Streda, poloha Ružová ulica / Žák Matyasowszky, František [Autor, 25%] ; Chmelo, Ladislav [Autor, UKFFFAKAR, 25%] ; Šútor, Marek [Autor, 25%] ; Tamaškovič, Jakub [Autor, 25%] ; Baxa, Peter [Recenzent] ; Bazovský, Igor [Recenzent]. – 1. vyd. – Nitra (Slovensko) : Archeologická agentúra, 2018. – 48 s. [3,09 AH]. – [slovenčina]. – [OV 030] </t>
  </si>
  <si>
    <t xml:space="preserve">Pohybová aktivita a kvalita života žiakov stredných škôl [textový dokument (print)]  [iný] : záverečná správa KEGA 003UKF-4/2016 / Broďáni, Jaroslav [Autor, UKFPFAKTV, 100%] ; Tureková, Ivana [Recenzent] ; Rozim, Robert [Recenzent]. – 1. vyd. – Nitra (Slovensko) : Univerzita Konštantína Filozofa v Nitre, 2019. – 52 s. [3,09 AH] [tlačená forma] : text. – [slovenčina]. – [OV 210] </t>
  </si>
  <si>
    <t xml:space="preserve">Research and innovation needs expressed by stakeholder [textový dokument (print)]  [iný] : Deliverable D4.1. BISON - Biodiversity and Infrastructure Synergies and Opportunities for European Transport Network / Francois, Denis [Autor, 30%] ; Dostál, Ivo [Autor, UKFFPVKEE, 30%] ; Mederly, Peter [Autor, UKFFPVKEE, 30%] ; Autret, Yannick [Autor, 10%]. – 1. vyd. – Brusel (Belgicko) : Ctr Res &amp; Technol Hellas CERTH, 2021. – 144 s. [tlačená forma] : text. – [angličtina]. – [OV 100]. – [recenzované] </t>
  </si>
  <si>
    <t xml:space="preserve">Sládkovičovo, okres Galanta „Novostavba rodinného domu“ parc. č. 3613/110, 3613/111, k. ú. Sládkovičovo [textový dokument (print)]  [iný] / Repka, Dominik [Autor, UKFFFAKAR, 80%] ; Bordáč, Miloš [Autor, UKFFFAKAR, 20%] ; Kmeťová, Petra [Recenzent] ; Baxa, Peter [Recenzent]. – 1. vyd. – Nitra (Slovensko) : Univerzita Konštantína Filozofa v Nitre, 2021. – 52 s. [1,15 AH] [tlačená forma] : text. – [slovenčina]. – [OV 030] </t>
  </si>
  <si>
    <t xml:space="preserve">Sládkovičovo, okres Galanta „Rodinný dom DOBRO“, parc. č. 3613/90, k. ú. Sládkovičovo [textový dokument (print)]  [iný] : výskumná dokumentácia z archeologického výskumu č. V-KARCH 05/2018/Rep / Repka, Dominik [Autor, UKFFFAKAR, 80%] ; Bordáč, Miloš [Autor, UKFFFAKAR, 20%] ; Baxa, Peter [Recenzent] ; Bisták, Peter [Recenzent]. – 1. vyd. – Nitra (Slovensko) : Univerzita Konštantína Filozofa v Nitre, 2018. – 73 s. [tlačená forma] : text, ilustr., fotogr., mapy. – [slovenčina]. – [OV 030] </t>
  </si>
  <si>
    <t xml:space="preserve">Solčany, okr. Topoľčany "Odvodnenie dažďovej vody zo striech kaštieľa Solčany", kat. úz. Solčany [textový dokument (print)]  [iný] : výskumná dokumentácia V-KARCH 09/2020/Sim / Šimunková, Katarína [Autor, UKFFFAKAR, 100%] ; Bisták, Peter [Recenzent] ; Bednár, Peter [Recenzent]. – 1. vyd. – Nitra (Slovensko) : Univerzita Konštantína Filozofa v Nitre, 2020. – 100 s. [tlačená forma] : text. – [slovenčina]. – [OV 030] </t>
  </si>
  <si>
    <t xml:space="preserve">Stav ochrany vtáctva na Slovensku v rokoch 2013 - 2018 [elektronický dokument]  [iný] = Conservation status of birds in 2013 - 2018 in Slovakia / Černecký, Ján [Autor, UKFFPVKEE, 20%] ; Lešo, Peter [Autor, KAZMZ, 10%] ; Ridzoň, Jozef [Autor, 10%] ; Krištín, Anton [Autor, 5%] ; Karaska, Dušan [Autor, 5%] ; Darolová, Alžbeta [Autor, 5%] ; Fulín, Miroslav [Autor, 5%] ; Chavko, Jozef [Autor, 5%] ; Bohuš, Mirko [Autor, 5%] ; Krajniak, Dušan [Autor, 5%] ; Ďuricová, Viktória [Autor, UMBFP09, 5%] ; Lešová, Andrea [Autor, KAZMZ, 5%] ; Čuláková, Jana [Autor, 5%] ; Saxa, Andrej [Autor, 5%] ; Durkošová, Jana [Autor, 2.5%] ; Andráš, Peter [Autor, 2.5%] ; Urban, Peter [Recenzent] ; Puchala, Peter [Recenzent]. – 1. vyd. – Banská Bystrica (Slovensko) : Štátna ochrana prírody SR, 2020. – 105 s. [online] + 1111 s. príl. – [slovenčina]. – [OV 190, 100]. – ISBN 978-80-8184-084-5 </t>
  </si>
  <si>
    <t xml:space="preserve">Strekov, okr. Nové Zámky "Jednota COOP-PJ Strekov", Hlavná ul., parc. č. 103/  reg. "C", kat. úz. Strekov [textový dokument (print)]  [iný] : výskumná dokumentácia V-KARCH 04/202/Sim / Šimunková, Katarína [Autor, UKFFFAKAR, 80%] ; Hajnalová, Mária [Autor, UKFFFAKAR, 10%] ; Beljak Pažinová, Noémi [Autor, UKFFFAKAR, 10%] ; Bednár, Peter [Recenzent] ; Kosová, Katarína [Recenzent]. – 1. vyd. – Nitra (Slovensko) : Univerzita Konštantína Filozofa v Nitre, 2021. – 67 s. [tlačená forma] : text. – [slovenčina]. – [OV 030] </t>
  </si>
  <si>
    <t xml:space="preserve">Svätoplukovo [textový dokument (print)]  [iný] : V-KARCH 06/2019/Sty / Styk, Matej [Autor, UKFFFAKAR, 100%]. – 1. vyd. – Nitra (Slovensko) : Univerzita Konštantína Filozofa v Nitre, 2019. – 74 s. [tlačená forma] : text. – [slovenčina]. – [OV 030]. – [recenzované] </t>
  </si>
  <si>
    <t xml:space="preserve">Svätoplukovo, okres Nitra „Novostavba rodinného domu“, parc. č. 2360/28, kat. úz. Svätoplukovo [textový dokument (print)]  [iný] : výskumná dokumentácia z archeologického výskumu č. V-KARCH 01/2019/Paz / Beljak Pažinová, Noémi [Autor, UKFFFAKAR, 70%] ; Tamaškovič, Jakub [Autor, UKFFFAKAR, 30%] ; Bisták, Peter [Recenzent] ; Tomašovičová, Terézia [Recenzent]. – 1. vyd. – Nitra (Slovensko) : Univerzita Konštantína Filozofa v Nitre, 2019. – 55 s. [3,04 AH] [tlačená forma] : text. – [slovenčina]. – [OV 030] </t>
  </si>
  <si>
    <t xml:space="preserve">Svätoplukovo, okres Nitra „Rodinný dom - STILO“, parc. č. 2360/9, kat. úz. Svätoplukovo [textový dokument (print)]  [iný] : výskumná dokumentácia z archeologického výskumu č. V‐KARCH 04/2018/Paz / Beljak Pažinová, Noémi [Autor, UKFFFAKAR, 100%] ; Bisták, Peter [Recenzent] ; Feníková, Andrea [Recenzent]. – 1. vyd. – Nitra (Slovensko) : Univerzita Konštantína Filozofa v Nitre, 2018. – 66 s. [tlačená forma] : text. – [slovenčina]. – [OV 030] </t>
  </si>
  <si>
    <t xml:space="preserve">Svätoplukovo, okres Nitra „Rodinný dom“, parc. č. 2360/10, k. ú. Svätoplukovo [textový dokument (print)]  [iný] : výskumná dokumentácia z archeologického výskumu č. V-KARCH 09/2018/Rep / Repka, Dominik [Autor, UKFFFAKAR, 100%] ; Baxa, Peter [Recenzent] ; Bisták, Peter [Recenzent]. – 1. vyd. – Nitra (Slovensko) : Univerzita Konštantína Filozofa v Nitre, 2018. – 76 s. [tlačená forma] : text, ilustr., fotogr., mapy. – [slovenčina]. – [OV 030] </t>
  </si>
  <si>
    <t xml:space="preserve">Svätoplukovo, okres Nitra „Rodinný dom“, parc. č. 2360/12, kat. úz. Svätoplukovo [textový dokument (print)]  [iný] : výskumná dokumentácia z archeologického výskumu č. V‐KARCH 02/2018/Paz / Beljak Pažinová, Noémi [Autor, UKFFFAKAR, 40%] ; Godiš, Jakub [Autor, UKFFFAKAR, 20%] ; Bordáč, Miloš [Autor, UKFFFAKAR, 20%] ; Šimunková, Katarína [Autor, UKFFFAKAR, 20%] ; Bisták, Peter [Recenzent] ; Feníková, Andrea [Recenzent]. – 1. vyd. – Nitra (Slovensko) : Univerzita Konštantína Filozofa v Nitre, 2018. – 58 s. [3,05 AH] [tlačená forma] : text. – [slovenčina]. – [OV 030] </t>
  </si>
  <si>
    <t xml:space="preserve">Svätoplukovo, okres Nitra „Rodinný dom“, parc. č. 2360/13, kat. úz. Svätoplukovo [textový dokument (print)]  [iný] : výskumná dokumentácia z archeologického výskumu č. V‐KARCH 01/2018/Paz / Beljak Pažinová, Noémi [Autor, UKFFFAKAR, 40%] ; Godiš, Jakub [Autor, UKFFFAKAR, 20%] ; Bordáč, Miloš [Autor, UKFFFAKAR, 20%] ; Šimunková, Katarína [Autor, UKFFFAKAR, 20%] ; Baxa, Peter [Recenzent] ; Bisták, Peter [Recenzent]. – 1. vyd. – Nitra (Slovensko) : Univerzita Konštantína Filozofa v Nitre, 2018. – 79 s. [tlačená forma] : text. – [slovenčina]. – [OV 030] </t>
  </si>
  <si>
    <t xml:space="preserve">Svätoplukovo, okres Nitra „Rodinný dom“, parc. č. 2360/15, kat. úz. Svätoplukovo [textový dokument (print)]  [iný] : výskumná dokumentácia z archeologického výskumu č. V‐KARCH 10/2018/Paz / Beljak Pažinová, Noémi [Autor, UKFFFAKAR, 40%] ; Tamaškovič, Jakub [Autor, 40%] ; Bordáč, Miloš [Autor, UKFFFAKAR, 20%] ; Bisták, Peter [Recenzent] ; Feníková, Andrea [Recenzent]. – 1. vyd. – Nitra (Slovensko) : Univerzita Konštantína Filozofa v Nitre, 2018. – 69 s. [tlačená forma] : text. – [slovenčina]. – [OV 030] </t>
  </si>
  <si>
    <t xml:space="preserve">Svätoplukovo, okres Nitra „Rodinný dom“, parc. č. 2360/18, kat. úz. Svätoplukovo [textový dokument (print)]  [iný] : výskumná dokumentácia z archeologického výskumu č. V‐KARCH 03/2018/Paz / Beljak Pažinová, Noémi [Autor, UKFFFAKAR, 60%] ; Godiš, Jakub [Autor, UKFFFAKAR, 20%] ; Bordáč, Miloš [Autor, UKFFFAKAR, 20%] ; Bisták, Peter [Recenzent] ; Feníková, Andrea [Recenzent]. – 1. vyd. – Nitra (Slovensko) : Univerzita Konštantína Filozofa v Nitre, 2018. – 77 s. [tlačená forma] : text. – [slovenčina]. – [OV 030] </t>
  </si>
  <si>
    <t xml:space="preserve">Svätoplukovo, okres Nitra „Rodinný dom“, parc. č.2360/20, kat. úz. Svätoplukovo [textový dokument (print)]  [iný] : výskumná dokumentácia V-KARCH 05/2020/Sim / Šimunková, Katarína [Autor, UKFFFAKAR, 100%] ; Bednár, Peter [Recenzent] ; Kosová, Katarína [Recenzent]. – 1. vyd. – Nitra (Slovensko) : Univerzita Konštantína Filozofa v Nitre, 2021. – 71 s. [tlačená forma] : text, fotogr. – [slovenčina]. – [OV 030] </t>
  </si>
  <si>
    <t xml:space="preserve">Svätoplukovo, okres Nitra „Rodinný dom“, parc. č.2360/53, kat. úz. Svätoplukovo [textový dokument (print)]  [iný] : výskumná dokumentácia V-KARCH 13/2020/Sim / Šimunková, Katarína [Autor, UKFFFAKAR, 90%] ; Bordáč, Miloš [Autor, UKFFFAKAR, 10%] ; Bednár, Peter [Recenzent] ; Bisták, Peter [Recenzent]. – 1. vyd. – Nitra (Slovensko) : Univerzita Konštantína Filozofa v Nitre, 2021. – 63 s. [tlačená forma] : text. – [slovenčina]. – [OV 030] </t>
  </si>
  <si>
    <t xml:space="preserve">Svätoplukovo, okres Nitra „Rodinný dom“, parc. č.2360/54, kat. úz. Svätoplukovo [textový dokument (print)]  [iný] : výskumná dokumentácia V-KARCH 23/2020/Sim / Šimunková, Katarína [Autor, UKFFFAKAR, 90%] ; Tamaškovič, Jakub [Autor, UKFFFAKAR, 10%] ; Bisták, Peter [Recenzent] ; Bednár, Peter [Recenzent]. – 1. vyd. – Nitra (Slovensko) : Univerzita Konštantína Filozofa v Nitre, 2020. – 60 s. [tlačená forma] : text. – [slovenčina]. – [OV 030] </t>
  </si>
  <si>
    <t xml:space="preserve">Svätoplukovo, okres Nitra „Rodinný dom“, parc. č.2360/55, kat. úz. Svätoplukovo [iný] / Šimunková, Katarína [Autor, UKFFFAKAR, 90%] ; Tamaškovič, Jakub [Autor, UKFFFAKAR, 5%] ; Jančiová, Barbora [Autor, UKFFFAKAR, 5%] ; Bednár, Peter [Recenzent] ; Bisták, Peter [Recenzent]. – 1. vyd. – Nitra (Slovensko) : Univerzita Konštantína Filozofa v Nitre, 2020. – 58 s. [3,09 AH] [tlačená forma] : text. – [slovenčina]. – [OV 030] </t>
  </si>
  <si>
    <t xml:space="preserve">Svätoplukovo, okres Nitra „Rodinný dom“, parc. č.2360/56, kat. úz. Svätoplukovo [textový dokument (print)]  [iný] : výskumná dokumentácia V-KARCH 20/2020/Sim / Šimunková, Katarína [Autor, UKFFFAKAR, 90%] ; Jančiová, Barbora [Autor, UKFFFAKAR, 10%] ; Bednár, Peter [Recenzent] ; Kosová, Katarína [Recenzent]. – 1. vyd. – Nitra (Slovensko) : Univerzita Konštantína Filozofa v Nitre, 2020. – 57 s. [3,02 AH] [tlačená forma] : text. – [slovenčina]. – [OV 030] </t>
  </si>
  <si>
    <t xml:space="preserve">Svätoplukovo, okres Nitra „Rodinný dom“, parc. č.2360/57, kat. úz. Svätoplukovo [textový dokument (print)]  [iný] : výskumná dokumentácia V-KARCH 04B/2020/Sim / Šimunková, Katarína [Autor, UKFFFAKAR, 90%] ; Bordáč, Miloš [Autor, UKFFFAKAR, 5%] ; Tamaškovič, Jakub [Autor, UKFFFAKAR, 5%] ; Bednár, Peter [Recenzent] ; Bisták, Peter [Recenzent]. – 1. vyd. – Nitra (Slovensko) : Univerzita Konštantína Filozofa v Nitre, 2020. – 61 s. [tlačená forma] : text. – [slovenčina]. – [OV 030] </t>
  </si>
  <si>
    <t xml:space="preserve">Svätoplukovo, okres Nitra „Rodinný dom“, parc. č.2360/59, kat. úz. Svätoplukovo [iný] : výskumná dokumentácia V-KARCH 04C/2020/Sim / Šimunková, Katarína [Autor, UKFFFAKAR, 90%] ; Bordáč, Miloš [Autor, UKFFFAKAR, 5%] ; Tamaškovič, Jakub [Autor, UKFFFAKAR, 5%] ; Bednár, Peter [Recenzent] ; Bisták, Peter [Recenzent]. – 1. vyd. – Nitra (Slovensko) : Univerzita Konštantína Filozofa v Nitre, 2020. – 62 s. [tlačená forma] : text. – [slovenčina]. – [OV 030] </t>
  </si>
  <si>
    <t xml:space="preserve">Šintava "pozemok rodinného domu" parc. č. 395/4, 395/2, 395/5 [textový dokument (print)]  [iný] : správa o náhodnom archeologickom náleze č. V-KARCH N01/2020/Sty,Jan. / Jančiová, Barbora [Autor, UKFFFAKAR, 40%] ; Styk, Matej [Autor, UKFFFAKAR, 40%] ; Šimunková, Katarína [Autor, UKFFFAKAR, 20%] ; Feník, Mikuláš [Recenzent] ; Baxa, Peter [Recenzent]. – 1. vyd. – Nitra (Slovensko) : Univerzita Konštantína Filozofa v Nitre, 2020. – 94 s. [tlačená forma] : text. – [slovenčina]. – [OV 030] </t>
  </si>
  <si>
    <t xml:space="preserve">Šintava „pozemok rodinného domu“ [textový dokument (print)]  [iný] : V-KARCH N01/2020/Sty,Jan / Jančiová, Barbora [Autor, UKFFFAKAR, 40%] ; Styk, Matej [Autor, UKFFFAKAR, 40%] ; Šimunková, Katarína [Autor, UKFFFAKAR, 20%]. – 1. vyd. – Nitra (Slovensko) : Univerzita Konštantína Filozofa v Nitre, 2020. – 77 s. [tlačená forma] : text. – [slovenčina]. – [OV 030]. – [recenzované] </t>
  </si>
  <si>
    <t xml:space="preserve">Štúrovo, okres Nové Zámky „Novostavba rodinného domu a garáže“ [textový dokument (print)]  [iný] : V-KARCH 12/2019/Rep / Repka, Dominik [Autor, UKFFFAKAR, 30%] ; Šimunková, Katarína [Autor, UKFFFAKAR, 30%] ; Styk, Matej [Autor, UKFFFAKAR, 30%] ; Jančiová, Barbora [Autor, UKFFFAKAR, 5%] ; Bordáč, Miloš [Autor, UKFFFAKAR, 5%]. – 1. vyd. – Nitra (Slovensko) : Univerzita Konštantína Filozofa v Nitre, 2020. – 160 s. [tlačená forma] : text. – [slovenčina]. – [OV 030]. – [recenzované] </t>
  </si>
  <si>
    <t xml:space="preserve">Topoľčianky, okr. Zlaté Moravce, "F2BTS ZM_TOP Topoľčianky", líniová stavba, kat. úz. Topoľčianky [textový dokument (print)]  [iný] : výskumná dokumentácia V-KARCH 17/2020/Sim / Šimunková, Katarína [Autor, UKFFFAKAR, 100%] ; Bednár, Peter [Recenzent] ; Bisták, Peter [Recenzent]. – 1. vyd. – Nitra (Slovensko) : Univerzita Konštantína Filozofa v Nitre, 2020. – 56 s. [3,12 AH] [tlačená forma] : text. – [slovenčina]. – [OV 030] </t>
  </si>
  <si>
    <t xml:space="preserve">Tŕnie, okres Zvolen “NKP Rímskokatolícky kostol sv. Martina, Tŕnie, parc. č. CKN č. 21, k.ú. Tŕnie“ v rozsahu vybudovania vodovodnej prípojky do kostola a osadenie umývadla do sakristie [textový dokument (print)]  [iný] : výskumná dokumentácia z archeologického výskumu č. V-KARCH 09/2019/Paz / Beljak Pažinová, Noémi [Autor, UKFFFAKAR, 80%] ; Putško, Mária [Autor, UKOLJ252, 20%] ; Bisták, Peter [Recenzent] ; Baxa, Peter [Recenzent]. – 1. vyd. – Nitra (Slovensko) : Univerzita Konštantína Filozofa v Nitre, 2019. – 116 s. [tlačená forma] : text. – [slovenčina]. – [OV 030]. – SIGN-UKO LJ1104/19 </t>
  </si>
  <si>
    <t xml:space="preserve">Veľký Cetín, okr. Nitra, "Rodinný dom", parc.č. 876/92, kat. úz. Veľký Cetín [textový dokument (print)]  [iný] : výskumná dokumentácia V-KARCH 22/2020/Sim / Šimunková, Katarína [Autor, UKFFFAKAR, 100%] ; Bednár, Peter [Recenzent] ; Bisták, Peter [Recenzent]. – 1. vyd. – Nitra (Slovensko) : Univerzita Konštantína Filozofa v Nitre, 2021. – 51 s. [3,14 AH] [tlačená forma] : text, fotogr. – [slovenčina]. – [OV 030] </t>
  </si>
  <si>
    <t xml:space="preserve">Veľký Lapáš, okres Nitra “Rodinný dom“, parc. č. 345/2 a 389/88, k.ú. Veľký Lapáš, okr. Nitra [textový dokument (print)]  [iný] : výskumná dokumentácia z archeologického výskumu č. V‐KARCH 12/2017/Paz / Šimunková, Katarína [Autor, UKFFFAKAR, 50%] ; Beljak Pažinová, Noémi [Autor, UKFFFAKAR, 25%] ; Bordáč, Miloš [Autor, UKFFFAKAR, 25%] ; Baxa, Peter [Recenzent] ; Bisták, Peter [Recenzent]. – 1. vyd. – Nitra (Slovensko) : Univerzita Konštantína Filozofa v Nitre, 2018. – 55 s. [3,23 AH] [tlačená forma] : text. – [slovenčina]. – [OV 030] </t>
  </si>
  <si>
    <t xml:space="preserve">Záverečná správa projektu VEGA  2018-2020 za celé obdobie riešenia projektu [textový dokument (print)]  [iný] : VEGA 1/0407/18: Hodnotenie výkonov miestnych samospráv / Papcunová, Viera [Autor, UKFFPVUMI, 50%] ; Hornyák Gregáňová, Radomíra [Autor, 10%] ; Urbaníková, Marta [Autor, UKFFPVUMI, 5%] ; Hudáková, Jarmila [Autor, UKFFPVUMI, 5%] ; Korenková, Marcela [Autor, UKFFPVUMI, 5%] ; Maroš, Milan [Autor, 5%] ; Fiľa, Milan [Autor, 5%] ; Štubňová, Michaela [Autor, UKFFPVUMI, 5%] ; Beresecká, Janka [Autor, 5%] ; Hudáková, Monika [Autor, 5%]. – 1. vyd. – Nitra (Slovensko) : Univerzita Konštantína Filozofa v Nitre, 2021. – 14 s. [tlačená forma] : text. – [slovenčina]. – [OV 060]. – [recenzované] </t>
  </si>
  <si>
    <t xml:space="preserve">Záverečná správa vedeckého projektu VEGA 1/0282/18 „Charakter a vývoj nezávislej kultúry a umenia na Slovensku po  roku 1989“ [textový dokument (print)]  [iný] / Fuják, Július [Autor, UKFFFAKKU, 100%]. – 1. vyd. – Nitra (Slovensko) : Univerzita Konštantína Filozofa v Nitre, 2021. – 14 s. [1,05 AH] [tlačená forma] : text. – [slovenčina]. – [OV 020]. – [recenzované] </t>
  </si>
  <si>
    <t xml:space="preserve">Záverečná správa z prieskumu prínosu pomáhajúcich profesií v inkluzívnom vzdelávaní v školách zapojených do NP POP a NP POP II [textový dokument (print)]  [iný] / Juščáková, Zuzana [Autor, 16%] ; Klein, Vladimír [Autor, 14%] ; Marošiová, Lýdia [Autor, 14%] ; Petrík, Štefan [Autor, 14%] ; Rosinský, Rastislav [Autor, UKFFSVURS, 14%] ; Sabo, Róbert [Autor, 14%] ; Šilonová, Viera [Autor, 14%] ; Džačovská, Slavomíra [Zostavovateľ, editor, 100%] ; Čurillová, Júlia [Recenzent] ; Ferencová, Janka [Recenzent]. – 1. vyd. – Bratislava (Slovensko) : Metodicko-pedagogické centrum, 2021. – 154 s. [tlačená forma] : text, tab. – [slovenčina]. – [OV 010] </t>
  </si>
  <si>
    <t xml:space="preserve">Zvolen, okres Zvolen „Ochrana pred bleskom“ Zvolenský zámok – Kapitánsky dom, parc. č. KN-C 301, 303 [textový dokument (print)]  [iný] : výskumná dokumentácia z archeologického výskumu č. V-KARCH 04/2019/Paz / Beljak Pažinová, Noémi [Autor, UKFFFAKAR, 20%] ; Čierny, Miloš [Autor, UKOFIPV, 80%] ; Bisták, Peter [Recenzent] ; Bednár, Peter [Recenzent]. – 1. vyd. – Nitra (Slovensko) : Univerzita Konštantína Filozofa v Nitre, 2019. – 60 s. [tlačená forma] : text. – [slovenčina]. – [OV 030] </t>
  </si>
  <si>
    <t xml:space="preserve">Žitavany, okres Zlaté Moravce „Elektrická prípojka NN-NAVY-J 4x16mm2, dĺžky 1170m“, kat. úz. Opatovce [textový dokument (print)]  [iný] / Šimunková, Katarína [Autor, UKFFFAKAR, 100%] ; Bednár, Peter [Recenzent] ; Kosová, Katarína [Recenzent]. – 1. vyd. – Nitra (Slovensko) : Univerzita Konštantína Filozofa v Nitre, 2020. – 49 s. [3,12 AH] [tlačená forma] : text, fotogr. – [slovenčina]. – [OV 030] </t>
  </si>
  <si>
    <t>BAA - Odborné knižné publikácie vydané v zahraničných vydavateľstvách</t>
  </si>
  <si>
    <t xml:space="preserve">A turizmuspolitika és turizmusirányítás elmélete és gyakorlata az Európai Unióban [textový dokument (print)]  [knižná publikácia - odborná (do 2021)] / Csapó, János [Autor, UKFFSSKCR, 100%]. – 1. vyd. – Budapest (Maďarsko) : Akadémiai Kiadó, 2020. – 196 s. [tlačená forma] : text. – [maďarčina]. – [OV 080]. – ISBN 978-963-4544-82-1 </t>
  </si>
  <si>
    <t xml:space="preserve">Borostyánkő - mozaik [textový dokument (print)]  [knižná publikácia - odborná (do 2021)] / Pusztay, János [Autor, UKFFSSUML, 100%]. – 1. vyd. – Veszprém (Maďarsko) : OOK Press, 2018. – 75 s. [tlačená forma] : text. – [maďarčina]. – [OV 020]. – ISBN 978-615-5589-18-8 </t>
  </si>
  <si>
    <t xml:space="preserve">Hodnocení matematických kompetencí při řešení otevřených matematických problémů [elektronický dokument]  [knižná publikácia - odborná (do 2021)] / Ovary Bulková, Kristína [Autor, 25%] ; Medová, Janka [Autor, UKFFPVKMA, 25%] ; Čeretková, Soňa [Autor, UKFFPVKMA, 25%] ; Tirpáková, Anna [Autor, UKFFPVKMA, 25%] ; Pavlovičová, Gabriela [Recenzent] ; Molnár, Josef [Recenzent]. – 1. vyd. – Zlín (Česko) : Univerzita Tomáše Bati ve Zlíně, 2021. – 118 s. [online] : text. – [čeština]. – [OV 240]. – ISBN 978-80-7678-045-3 </t>
  </si>
  <si>
    <t xml:space="preserve">Kreativita v pedagogické praxi s ohledem na indivializaci ve výchovně vzdělávacím procesu [textový dokument (print)]  [knižná publikácia - odborná (do 2021)] / Bečvářová, Ivana [Autor, 14.29%] ; Košťálová, Martina [Autor, 14.285%] ; Podpera, Milan [Autor, 14.285%] ; Pospíšilová, Klaudia [Autor, 14.285%] ; Švecová, Milada [Autor, 14.285%] ; Tomková, Viera [Autor, UKFPFAKTT, 14.285%] ; Růžičková, Veronika [Autor, 14.285%]. – 1. vyd. – Praha (Česko) : Centrum aplikovaného výzkumu a dalšího vzdělávání, 2020. – 208 s. [tlačená forma] : text. – [čeština]. – [OV 010]. – [recenzované]. – ISBN 978-80-906241-1-5 </t>
  </si>
  <si>
    <t xml:space="preserve">Leggere senza libri. Conoscere gli e-book di letteratura italiana [textový dokument (print)]  [knižná publikácia - odborná (do 2021)] / Zaccarello, Michelangelo [Autor, UKFFFAKRO, 100%]. – 1. vyd. – Firenze (Taliansko) : Franco Cesati Editore, 2020. – 106 s. [tlačená forma] : text. – [taliančina]. – [OV 020]. – ISBN 978-88-7667-842-4 </t>
  </si>
  <si>
    <t xml:space="preserve">MaT2SMC : Materials for Teaching Together [textový dokument (print)]  [knižná publikácia - odborná (do 2021)] : Science and Mathematics Teachers collaborating for better results / Battaglia, Onofrio Rosario [Autor, 4.78%] ; Lo Cicero, Maria [Autor, 4.761%] ; De Silva, Daniel Antony [Autor, 4.761%] ; Di Paola, Benedetto [Autor, 4.761%] ; Evagorou, Maria [Autor, 4.761%] ; Fazio, Claudio [Autor, 4.761%] ; Holubová, Renata [Autor, 4.761%] ; Hughes, Rob [Autor, 4.761%] ; Jakab, Imrich [Autor, UKFFPVKEE, 4.761%] ; Lamanauskas, Vincentas [Autor, 4.761%] ; Medová, Janka [Autor, UKFFPVKMA, 4.761%] ; Milici, Pietro [Autor, 4.761%] ; Molnár, Josef [Autor, 4.761%] ; Mousoulidīs, Nikolas [Autor, 4.761%] ; Nezvalová, Danuše [Autor, 4.761%] ; Ragulienė, Loreta [Autor, 4.761%] ; Šlekienė, Violeta [Autor, 4.761%] ; Štubna, Martin [Autor, 4.761%] ; Ulovec, Andreas [Autor, 4.761%] ; Valovičová, Ľubomíra [Autor, UKFFPVKFY, 4.761%] ; Vaněk, Vladimír [Autor, 4.761%]. – 1. vyd. – Olomouc (Česko) : Univerzita Palackého v Olomouci, 2019. – 133 s. [tlačená forma] : text. – [slovenčina, angličtina, čeština]. – [OV 010, 240]. – ISBN 978-80-244-4950-0 </t>
  </si>
  <si>
    <t xml:space="preserve">Obsedantně-kompulzivní porucha [textový dokument (print)]  [knižná publikácia - odborná (do 2021)] / Praško Pavlov, Ján [Autor, UKFFSVKPV, 40%] ; Grambal, Aleš [Autor, 10%] ; Šlepecký, Miloš [Autor, UKFFSVKPV, 40%] ; Vyskočilová, Jana [Autor, 10%]. – 1. vyd. – Praha (Česko) : Grada Publishing, 2019. – 272 s. [tlačená forma] : text. – [čeština]. – [OV 060]. – ISBN 978-80-271-0495-6 </t>
  </si>
  <si>
    <t xml:space="preserve">Risk Groups of the Population and Social Changes in Society [textový dokument (print)]  [knižná publikácia - odborná (do 2021)] / Aftyka, Leszek [Autor, KURPESP, 1%] ; Bellová, Lucia [Autor, 2%] ; Gejdošová, Zuzana [Autor, KURPESP, 5%] ; Gretkowski, Andrzej Ryszard [Autor, KURPESP, 3%] ; Grewiński, Mirosław [Autor, 2%] ; Habánik, Tomáš [Autor, 2%] ; Chlpík, Ladislav [Autor, KURPESP, 2%] ; Kamińska, Małgorzata [Autor, 3%] ; Kawa, Marek [Autor, 2%] ; Kowalska, Magdalena [Autor, 4%] ; Lehoczká, Lýdia [Autor, UKFFSVURS, 2%] ; Lipiński, Stanisław [Autor, 10%] ; Lizut, Joanna [Autor, 2%] ; Marzano, Gilberto [Autor, 2%] ; Mazur, Piotr [Autor, 1%] ; Novotná, Alena [Autor, KURPESP, 5%] ; Sisíková, Katarína [Autor, KURPESP, 2%] ; Slezáková,, Katarína [Autor, 3%] ; Šrobárová, Soňa [Autor, KURPESP, 4%] ; Žilová, Anna [Autor, KURPESP, 43%] ; Žilová, Anna [Zostavovateľ, editor, KURPESP, 50%] ; Novotná, Alena [Zostavovateľ, editor, KURPESP, 40%] ; Akimjak, Amantius [Zostavovateľ, editor, Teologický inštitút KU, 10%] ; Grant, Therese [Recenzent] ; Jarmoch, Edward Zygmunt [Recenzent] ; Codd, Anne Marie [Recenzent]. – 1. vyd. – Dublin (Írsko) : International scientific board of catholic researchers and teachers in Ireland, 2019. – 167 s. [tlačená forma]. – [angličtina]. – [OV 020, 060]. – ISBN 978-0-9957986-8-7 </t>
  </si>
  <si>
    <t xml:space="preserve">Skupinová kognitívně-behaviorální terapie [textový dokument (print)]  [knižná publikácia - odborná (do 2021)] / Praško Pavlov, Ján [Autor, UKFFSVKPV, 40%] ; Grambal, Aleš [Autor, 10%] ; Šlepecký, Miloš [Autor, UKFFSVKPV, 35%] ; Možný, Petr [Autor, 10%] ; Vyskočilová, Jana [Autor, 5%]. – 1. vyd. – Praha (Česko) : Grada Publishing, 2019. – 379 s. [tlačená forma] : text. – [čeština]. – [OV 060]. – ISBN 978-80-271-0496-3 </t>
  </si>
  <si>
    <t xml:space="preserve">Teaching foreign languages and special needs learners [textový dokument (print)]  [knižná publikácia - odborná (do 2021)] / Hvozdíková, Silvia [Autor, UKFFFAKAA, 100%] ; Lőrinczová, Klaudia [Recenzent] ; Gadušová, Zdenka [Recenzent]. – 1. vyd. – Praha (Česko) : Verbum, 2020. – 110 s. [tlačená forma] : text. – [angličtina]. – [OV 020]. – ISBN 978-80-87800-83-6 </t>
  </si>
  <si>
    <t xml:space="preserve">Teoria e forme del testo digitale [textový dokument (print)]  [knižná publikácia - odborná (do 2021)] / Zaccarello, Michelangelo [Autor, UKFFFAKRO, 100%]. – 1. vyd. – Roma (Taliansko) : Carocci editore, 2019. – 232 s. [tlačená forma] : text. – [taliančina]. – [OV 020, 010]. – ISBN 9788843096671 </t>
  </si>
  <si>
    <t xml:space="preserve">Tradice a kulturní hodnoty území v péči UNESCO [textový dokument (print)] [elektronický dokument]  [knižná publikácia - odborná (do 2021)] : možnosti účelové obnovy tradičního hospodaření / Lněnička, Libor [Autor, 26%] ; Kolejka, Jaromír [Autor, 26%] ; Kozová, Mária [Autor, KURPEGO, 14%] ; Bašary, Jozef [Autor, 2%] ; Boltižiar, Martin [Autor, UKFFPVKGR, 6%] ; Čupa, Petr [Autor, 3%] ; Dvořáková, Lenka [Autor, 2%] ; Pauditšová, Eva [Autor, UKOPREKE, 8%] ; Petrovič, František [Autor, UKFFPVKEE, 6%] ; Synek, František [Autor, 2%] ; Šrankota, Pavol [Autor, 2%] ; Vybíral, Jan [Autor, 3%] ; Tomčíková, Ivana [Recenzent] ; Ruda, Aleš [Recenzent]. – 1. vyd. – Brno (Česko) : Masarykova univerzita, 2019. – 98 s. [tlačená forma] [CD-ROM] : text. – [čeština]. – [OV 100]. – ISBN 978-80-210-9350-8. – ISBN (online) 978-80-210-9351-5. – SIGN-UKO PR 1156/19 </t>
  </si>
  <si>
    <t>BAB - Odborné knižné publikácie vydané v domácich vydavateľstvách</t>
  </si>
  <si>
    <t xml:space="preserve">BOZP pre školy a školské zariadenia [textový dokument (print)]  [knižná publikácia - odborná (do 2021)] : príručka pre riaditeľov a zriaďovateľov ZŠ a SŠ / Tomková, Viera [Autor, UKFPFAKTT, 25%] ; Feszterová, Melánia [Autor, UKFFPVKCH, 25%] ; Bulla, Róbert [Autor, 25%] ; Depešová, Jana [Autor, UKFPFAKTT, 25%]. – 1. vyd. – Bratislava (Slovensko) : Dr. Josef Raabe Slovensko, 2019. – 220 s. [8,01 AH] [tlačená forma] : text. – [slovenčina]. – [OV 010]. – ISBN 978-80-8140-380-4 </t>
  </si>
  <si>
    <t xml:space="preserve">Cirkev „naživo“. S dodatkom o situácií on-line vysielania Bohoslužieb v dobe Covid-19 [textový dokument (print)]  [knižná publikácia - odborná (do 2021)] / Zifčák, Dobromil [Autor, UKFFFAKMR, 100%]. – 1. vyd. – Nitra (Slovensko) : Univerzita Konštantína Filozofa v Nitre, 2020. – 106 s. [tlačená forma] : text. – [slovenčina]. – [OV 020]. – ISBN 978-80-570-2005-9 </t>
  </si>
  <si>
    <t xml:space="preserve">Daniel Gabriel Lichard [textový dokument (print)]  [knižná publikácia - odborná (do 2021)] : muž medzi štúrovcami a Kollárom / Nemčeková, Jana [Autor, UKFFFASJL, 100%]. – 1. vyd. – Nitra (Slovensko) : Univerzita Konštantína Filozofa v Nitre, 2020. – 81 s. [tlačená forma] : text, obr. – [slovenčina]. – [OV 020]. – ISBN 978-80-558-1615-9 </t>
  </si>
  <si>
    <t xml:space="preserve">Deväť dní s Pavlom Straussom alias deviatnik láskavého človeka [textový dokument (print)]  [knižná publikácia - odborná (do 2021)] : Od skalpela k filozofii, od filozofie k poézii, od poézie k mystike a od mystiky ku skalpelu / Pružinec, Tomáš [Autor, UKFFFAKFI, 100%]. – 1. vyd. – Liptovský Mikuláš (Slovensko) : G-Ateliér, 2021. – 52 s. [3,35 AH] [tlačená forma] : text. – [slovenčina]. – [OV 020]. – [recenzované]. – ISBN 978-80-89739-25-7 </t>
  </si>
  <si>
    <t xml:space="preserve">Dotyk neba [textový dokument (print)]  [knižná publikácia - odborná (do 2021)] : Potulky po Atose / Zozuľak, Ján [Autor, UKFFFAKFI, 100%]. – 1. vyd. – Bratislava (Slovensko) : Futurum primum, 2020. – 240 s. [tlačená forma] : text. – [slovenčina]. – [OV 030, 060]. – ISBN 978-80-971806-4-5 </t>
  </si>
  <si>
    <t xml:space="preserve">Drobné zemné cicavce v interakcii s činnosťou človeka [textový dokument (print)]  [knižná publikácia - odborná (do 2021)] / Baláž, Ivan [Autor, UKFFPVKEE, 100%]. – 1. vyd. – Nitra (Slovensko) : Univerzita Konštantína Filozofa v Nitre, 2018. – 56 s. [3,16 AH] [tlačená forma] : text. – [slovenčina]. – [OV 100]. – ISBN 978-80-558-1266-3 </t>
  </si>
  <si>
    <t xml:space="preserve">Dvě studie k synodálnímu zákonodárství (Würzburg 1287, Kališ 1420) [textový dokument (print)]  [knižná publikácia - odborná (do 2021)] / Krafl, Pavel Otmar [Autor, UKFFFAKHI, 100%]. – 1. vyd. – Nitra (Slovensko) : Univerzita Konštantína Filozofa v Nitre, 2021. – 119 s. [tlačená forma] : text. – [čeština]. – [OV 030]. – ISBN 978-80-558-1740-8 </t>
  </si>
  <si>
    <t xml:space="preserve">Enci, benci, na kamenci... [textový dokument (print)]  [knižná publikácia - odborná (do 2021)] : tradičné detské hry Nitrianskeho kraja / Krausová, Agáta [Autor, 16.67%] ; Jágerová, Margita [Autor, UKFFFAKEF, 16.666%] ; Foglová, Lucia [Autor, UKFPFAKAP, 16.666%] ; Kollárová, Dana [Autor, UKFPFAKPE, 16.666%] ; Bužeková, Tatiana [Autor, UKOFIET, 16.666%] ; Konečná, Lenka [Autor, 16.666%] ; Štulajterová, Linda [Zostavovateľ, editor, 100%] ; Babčáková, Katarína [Recenzent] ; Ondrejka, Slavomír [Recenzent]. – 1. vyd. – Nitra (Slovensko) : Krajské osvetové stredisko v Nitre, 2018. – 252 s. [tlačená forma] : text, fotogr., not. záp., obr. – [slovenčina]. – [OV 030]. – ISBN 978-80-216-0143-7. – SIGN-UKO FI 29/18 ET </t>
  </si>
  <si>
    <t xml:space="preserve">Encyclopaedia Beliana (9. zv. Koks - Kraj) [textový dokument (print)]  [knižná publikácia - odborná (do 2021)] : Slovenská všeobecná encyklopédia / Abaffy, Dušan [Autor, 0.244%] ; Adámať, Jozef [Autor, 0.163%] ; Adamčík, Slavomír [Autor, 0.163%] ; Adamko, Rastislav [Autor, KURPEHU, 0.163%] ; Adamovičová, Andrea [Autor, 0.163%] ; Bernadič, Marián [Autor, UKOLFUPF, 0.163%] ; Bošanský, Miroslav [Autor, 020030, 0.163%] ; Čief, Rastislav [Autor, KURPEGO, 0.163%] ; Dillinger, Juraj [Autor, 0.163%] ; Jurkovičová, Jana [Autor, UKOLFUH, 0.163%] ; Kľuska, Branislav [Autor, KURPEKP, 0.163%] ; Lacináková, Mária [Autor, UKOFIKF, 0.163%] ; Leja, Jozef [Autor, 020080, 0.163%] ; Lešinský, Ján [Autor, 020030, 0.163%] ; Ondruš, Dalibor [Autor, UKOLFONU, 0.163%] ; Ostatníková, Daniela [Autor, UKOLFFYU, 0.163%] ; Pečeňák, Ján [Autor, UKOLFPK, 0.163%] ; Šteňo, Juraj [Autor, UKOLFNK, 0.163%] ; Turecký, Ladislav [Autor, UKOLFULCH, 0.163%] ; Velichová, Daniela [Autor, 020080, 0.163%] ; Pinka, Ján [Autor, 101401, 0.163%] ; Minár, Jozef [Autor, UKOPRZFGGI, 0.163%] ; Inštitorisová, Dagmar [Autor, UKFFFAKMR, 0.163%] ; Babiak, Michal [Autor, UKOFIES, 0.163%] ; Bielik, Lukáš [Autor, UKOFILG, 0.163%] ; Dobríková, Mária [Autor, UKOFISF, 0.163%] ; Dolník, Juraj [Autor, 0.163%] ; Drobný, Jaroslav [Autor, UKOFIKF, 0.163%] ; Grauzľová, Lucia [Autor, UKOFIAA, 0.163%] ; Hulková, Marta [Autor, UKOFIHV, 0.163%] ; Hurbanič, Martin [Autor, UKOFIHS, 0.163%] ; Kajanová, Yvetta [Autor, UKOFIHV, 0.163%] ; Kečka, Roman [Autor, UKOFIRL, 0.163%] ; Roháč, Juraj [Autor, UKOFIAV, 0.163%] ; Rybár, Lukáš [Autor, UKOFIHS, 0.163%] ; Truhlářová, Jana [Autor, UKOFIRO, 0.163%] ; Vojtechová Poklač, Saša [Autor, UKOFISF, 0.163%] ; Zhang Cziráková, Daniela [Autor, UKOFIJP, 0.163%] ; Eliášová Buzássyová, Ľudmila [Autor, UKOFIKF, 0.163%] ; Bojničanová, Renáta [Autor, UKOPDRJL, 0.163%] ; Mártonfi, Pavol [Autor, UPS99160, 0.163%]. – 1. vyd. – Bratislava (Slovensko) : Encyklopedický ústav SAV, 2021. – 688 s. [tlačená forma] : text. – [slovenčina]. – [OV 110, 140, 150, 180, 020, 030, 010]. – [recenzované]. – ISBN 978-80-970350-3-7. – SIGN-UKO LF ONU/21. – SIGN-TUKE 301181. – SIGN-UKO PR 935/21. – sign UPJS USEP 000058 </t>
  </si>
  <si>
    <t xml:space="preserve">Etnológia v regiónoch (1) [knižná publikácia - odborná (do 2021)] : osobnosti slovenskej etnológie / Jágerová, Margita [Autor, UKFFFAKEF, 33.334%] ; Krausová, Agáta [Autor, UKFFFAKEF, 33.333%] ; Voľanská, Slavomíra [Autor, 33.333%] ; Beňušková, Zuzana [Zostavovateľ, editor, UKFFFAKEF, 100%] ; Benža, Mojmír [Recenzent] ; Paríková, Magdaléna [Recenzent]. – 1. vyd. – Nitra (Slovensko) : Univerzita Konštantína Filozofa v Nitre, 2019. – 196 s. [tlačená forma]. – [slovenčina]. – [OV 030]. – ISBN 978-80-558-1468-1 </t>
  </si>
  <si>
    <t xml:space="preserve">Francúzsko-slovenský poľnohospodársky slovník [textový dokument (print)]  [knižná publikácia - odborná (do 2021)] / Prídavková, Viera [Autor, SPUFEM06, 67%] ; Kopecký, Peter [Autor, UKFFFAKTR, 33%]. – 1. vyd. – Nitra (Slovensko) : Univerzita Konštantína Filozofa v Nitre, 2018. – 202 s. [tlačená forma] : text. – [slovenčina]. – [OV 190, 020, 060]. – ISBN 978-80-558-1387-5 </t>
  </si>
  <si>
    <t xml:space="preserve">Hádzaná v telocvični [textový dokument (print)]  [knižná publikácia - odborná (do 2021)] / Hianik, Ján [Autor, UKFPFAKTV, 100%]. – 2. dopl. vyd. – Bratislava (Slovensko) : Slovenský zväz hádzanej, 2018. – 118 s. [tlačená forma] : text. – [slovenčina]. – [OV 210]. – ISBN 978-80-972990-0-2 </t>
  </si>
  <si>
    <t xml:space="preserve">Hodnotenie podnikateľského prostredia s akcentom na začínajúcich podnikateľov v Slovenskej republike [textový dokument (print)]  [knižná publikácia - odborná (do 2021)] / Fiľa, Milan [Autor, UKFFPVUMI, 85%] ; Urbaníková, Marta [Autor, UKFFPVUMI, 15%] ; Gozora, Vladimír [Recenzent] ; Papcunová, Viera [Recenzent]. – 1. vyd. – Nitra (Slovensko) : Univerzita Konštantína Filozofa v Nitre, 2020. – 143 s. [tlačená forma] : text. – [slovenčina]. – [OV 060]. – ISBN 978-80-558-1649-4 </t>
  </si>
  <si>
    <t xml:space="preserve">Hudba v hudbe [textový dokument (print)]  [knižná publikácia - odborná (do 2021)] : podoby polyštýlovosti v hudobnej tvorbe slovenských skladateľov 2. polovice 20. storočia / Veselý, Ondrej [Autor, UKFFFAULK, 100%] ; Zvara, Vladimír [Recenzent] ; Bubnáš, Juraj [Recenzent]. – 1. vyd. – Nitra (Slovensko) : Univerzita Konštantína Filozofa v Nitre, 2021. – 196 s. [tlačená forma] [online]. – [slovenčina]. – [OV 020]. – ISBN 978-80-558-1670-8 </t>
  </si>
  <si>
    <t xml:space="preserve">Krajinná štúdia - Vlkolínec [textový dokument (print)]  [knižná publikácia - odborná (do 2021)] / Bašary, Jozef [Autor, 2%] ; Boltižiar, Martin [Autor, UKFFPVKGR, 3%] ; Čarnogurský, Karol [Autor, KURPEMM, 2%] ; Čief, Rastislav [Autor, KURPEGO, 2%] ; Demko, Jaroslav [Autor, KURPEBE, 4%] ; Dítě, Daniel [Autor, 3%] ; Dudáš, Miloš [Autor, ZUZFHVMKD, 3%] ; Hammerová, Magdaléna [Autor, 3%] ; Hochel, Boris [Autor, 2%] ; Hrnčiarová, Františka [Autor, 2%] ; Huba, Mikuláš [Autor, 3%] ; Kozová, Mária [Autor, KURPEGO, 12%] ; Krajňáková, Ingrid [Autor, UKFFPVKEE, 4%] ; Pauditšová, Eva [Autor, UKOPREKE, 32%] ; Petrovič, František [Autor, UKFFPVKEE, 4%] ; Piteková, Jana [Autor, KURPEMM, 2%] ; Rakytová, Iveta [Autor, KURPEGO, 4%] ; Šalkovič, Martin [Autor, UKOPREKE, 2%] ; Šlávka, Milan [Autor, 2%] ; Tomčíková, Ivana [Autor, KURPEGO, 4%] ; Papčo, Pavol [Autor, KURPEGO, 3%] ; Vantara, Peter [Autor, 2%] ; Pauditšová, Eva [Zostavovateľ, editor, 50%] ; Kozová, Mária [Zostavovateľ, editor, KURPEGO, 50%] ; Salašová, Alena [Recenzent] ; Bublinec, Eduard [Recenzent]. – 1. vyd. – Ružomberok (Slovensko) : Katolícka univerzita v Ružomberku. VERBUM - vydavateľstvo KU, 2019. – 100 s. [9,55 AH] [tlačená forma] + + 5 máp. – [slovenčina]. – [OV 100]. – ISBN 978-80-561-0668-6. – SIGN-KU V 1.2/132. – SIGN-UKO PR 675/19 </t>
  </si>
  <si>
    <t xml:space="preserve">Ku koreňom nitrianskej geografie [textový dokument (print)]  [knižná publikácia - odborná (do 2021)] / Boltižiar, Martin [Autor, UKFFPVKGR, 6.25%] ; Dubcová, Alena [Autor, UKFFPVKGR, 6.25%] ; Kramáreková, Hilda [Autor, UKFFPVKGR, 6.25%] ; Krogmann, Alfred [Autor, UKFFPVKGR, 6.25%] ; Lacika, Ján [Autor, UKFFPVKGR, 6.25%] ; Mičudová, Renáta [Autor, UKFFPVKGR, 6.25%] ; Nemčíková, Magdaléna [Autor, UKFFPVKGR, 6.25%] ; Némethová, Jana [Autor, UKFFPVKGR, 6.25%] ; Oremusová, Daša [Autor, UKFFPVKGR, 6.25%] ; Petrikovičová, Lucia [Autor, UKFFPVKGR, 6.25%] ; Rampašeková, Zuzana [Autor, UKFFPVKGR, 6.25%] ; Repaská, Gabriela [Autor, UKFFPVKGR, 6.25%] ; Trembošová, Miroslava [Autor, UKFFPVKGR, 6.25%] ; Vilinová, Katarína [Autor, UKFFPVKGR, 6.25%] ; Vojtek, Matej [Autor, UKFFPVKGR, 6.25%] ; Vojteková, Jana [Autor, UKFFPVKGR, 6.25%]. – 1. vyd. – Nitra (Slovensko) : Univerzita Konštantína Filozofa v Nitre, 2019. – 619 s. [tlačená forma] : text. – [slovenčina]. – [OV 010, 092]. – ISBN 978-80-558-1471-1 </t>
  </si>
  <si>
    <t xml:space="preserve">Kurz slovenského jazyka pre cudzincov v podnikovej komunikácii [textový dokument (print)]  [knižná publikácia - odborná (do 2021)] / Pavlová, Renáta [Autor, UKFFFAJZC, 20%] ; Zelenická, Elena [Autor, UKFFFAJZC, 20%] ; Burcl, Pavol [Autor, UKFFFAJZC, 20%] ; Csalová, Oľga [Autor, UKFFFAJZC, 20%] ; Kozárová, Zuzana [Autor, UKFFFAJZC, 20%]. – 1. vyd. – Nitra (Slovensko) : Univerzita Konštantína Filozofa v Nitre, 2021. – 87 s. [tlačená forma] : text. – [slovenčina]. – [OV 020]. – ISBN 978-80-558-1806-1 </t>
  </si>
  <si>
    <t xml:space="preserve">Malý anglicko-slovenský výkladový slovník pre stredné odborné školy (2. Automotive) [textový dokument (print)]  [knižná publikácia - odborná (do 2021)] / Kozárová, Zuzana [Autor, UKFFFAJZC, 20%] ; Burcl, Pavol [Autor, UKFFFAJZC, 20%] ; Csalová, Oľga [Autor, UKFFFAJZC, 20%] ; Pavlová, Renáta [Autor, UKFFFAJZC, 20%] ; Zelenická, Elena [Autor, UKFFFAJZC, 20%]. – 1. vyd. – Nitra (Slovensko) : Univerzita Konštantína Filozofa v Nitre, 2021. – 158 s. [tlačená forma] : text. – [slovenčina]. – [OV 020]. – ISBN 978-80-558-1813-9 </t>
  </si>
  <si>
    <t xml:space="preserve">Malý anglicko-slovenský výkladový slovník pre stredné odborné školy (1. Podniková komunikácia) [textový dokument (print)]  [knižná publikácia - odborná (do 2021)] / Kozárová, Zuzana [Autor, UKFFFAJZC, 20%] ; Burcl, Pavol [Autor, UKFFFAJZC, 20%] ; Csalová, Oľga [Autor, UKFFFAJZC, 20%] ; Pavlová, Renáta [Autor, UKFFFAJZC, 20%] ; Zelenická, Elena [Autor, UKFFFAJZC, 20%]. – 1. vyd. – Nitra (Slovensko) : Univerzita Konštantína Filozofa v Nitre, 2021. – 310 s. [tlačená forma] : text. – [slovenčina]. – [OV 020]. – ISBN 978-80-558-1812-2 </t>
  </si>
  <si>
    <t xml:space="preserve">Manuál on-line vysielania v Cirkvi [textový dokument (print)]  [knižná publikácia - odborná (do 2021)] : verzia pre farnosti / Zifčák, Dobromil [Autor, UKFFFAKMR, 100%]. – 1. vyd. – Nitra (Slovensko) : [vlastným nákladom], 2019. – 73 s. [tlačená forma] : text. – [slovenčina]. – [OV 060]. – ISBN 978-80-570-0890-3 </t>
  </si>
  <si>
    <t xml:space="preserve">Moderné prístupy pri riešení prác stredoškolskej odbornej činnosti [textový dokument (print)]  [knižná publikácia - odborná (do 2021)] / Sandanusová, Anna [Autor, UKFFPVKZA, 90%] ; Púchovská, Vlasta [Autor, 5%] ; Bugajová, Eva [Autor, 5%]. – 1. vyd. – Bratislava (Slovensko) : Štátny inštitút odborného vzdelávania, 2018. – 111 s. [tlačená forma] : text. – [slovenčina]. – [OV 010]. – ISBN 978-80-89247-65-3 </t>
  </si>
  <si>
    <t xml:space="preserve">Názornosť a modelovanie vo vyučovaní zlomkov [textový dokument (print)]  [knižná publikácia - odborná (do 2021)] / Pavlovičová, Gabriela [Autor, UKFFPVKMA, 50%] ; Kupcová, Oľga [Autor, 20%] ; Vargová, Lucia [Autor, UKFFPVKMA, 30%]. – 1. vyd. – Nitra (Slovensko) : Univerzita Konštantína Filozofa v Nitre, 2020. – 100 s. [tlačená forma] : text. – [slovenčina]. – [OV 010, 240]. – ISBN 978-80-558-1638-8 </t>
  </si>
  <si>
    <t xml:space="preserve">Od hradu k hradu (2. diel) [textový dokument (print)]  [knižná publikácia - odborná (do 2021)] : 20 výletov k 47 hradom / Kollár, Daniel [Autor, 50%] ; Lacika, Ján [Autor, UKFFPVKGR, 50%]. – 1. vyd. – Bratislava (Slovensko) : DAJAMA, 2018. – 207 s. [tlačená forma] : text. – [slovenčina]. – [OV 092]. – ISBN 978-80-8136-083-1 </t>
  </si>
  <si>
    <t xml:space="preserve">Ohlasovacia povinnosť v kontexte dištančnej krízovej intervencie na linkách pomoci. Kríza a dištančná forma krízovej intervencie [textový dokument (print)]  [knižná publikácia - odborná (do 2021)] : príručka pre odborných zamestnancov a krízové linky pomoci / Madro, Marek [Autor, 50%] ; Katrušín, Boris [Autor, UKFFSVKPV, 50%]. – 1. vyd. – Bratislava (Slovensko) : IPčko, 2021. – 181 s. [tlačená forma] : text. – [slovenčina]. – [OV 060]. – ISBN 978-80-99978-01-1 </t>
  </si>
  <si>
    <t xml:space="preserve">Politické a sociokultúrne aspekty vzťahu „človek - zviera“ (nielen) v diele Ivana Dubničku [textový dokument (print)]  [knižná publikácia - odborná (do 2021)] / Fačkovec, Henrich [Autor, UKFFFAKPO, 100%]. – 1. vyd. – Nitra (Slovensko) : Univerzita Konštantína Filozofa v Nitre, 2021. – 106 s. [tlačená forma] : text. – [slovenčina]. – [OV 060]. – [recenzované]. – ISBN 978-80-558-1821-4 </t>
  </si>
  <si>
    <t xml:space="preserve">Posunky.sk: Prekladový slovník slovenského jazyka – slovenského posunkového jazyka 1. [elektronický dokument]  [knižná publikácia - odborná (do 2021)] [Posunky.sk: Prekladový slovník slovenského jazyka – slovenského posunkového jazyka I.] / Vojtechovský, Roman [Autor, TUTPFSJL, 70%] ; Vojtechovská, Veronika [Autor, 10%] ; Poláčková, Vladimíra [Autor, UKFPFAKPE, 10%] ; Lipovská, Beáta [Autor, 10%] ; Hladký, Juraj [Zostavovateľ, editor, TUTPFSJL, 50%] ; Vojtechovský, Roman [Zostavovateľ, editor, TUTPFSJL, 50%]. – 1. vyd. – Trnava (Slovensko) : Trnavská univerzita v Trnave. Pedagogická fakulta ; Bratislava (Slovensko) : Snepeda, 2021. – 116 s. [online]. – [slovenčina]. – [OV 020]. – ISBN (online) 978-80-568-0446-9. – TUTPFSJL signatúra E088876 </t>
  </si>
  <si>
    <t xml:space="preserve">Python pre teenagerov – úvod do jazyka [textový dokument (print)]  [knižná publikácia - odborná (do 2021)] / Skalka, Ján [Autor, UKFFPVKIN, 50%] ; Cápay, Martin [Autor, UKFFPVKIN, 50%]. – 1. vyd. – Nitra (Slovensko) : Univerzita Konštantína Filozofa v Nitre, 2020. – 250 s. [tlačená forma] : text. – [slovenčina]. – [OV 160]. – ISBN 978-80-558-1640-1 </t>
  </si>
  <si>
    <t xml:space="preserve">Riadenie pracovnej motivácie zamestnancov sieťových a nezávislých hotelov [textový dokument (print)]  [knižná publikácia - odborná (do 2021)] / Mazúchová, Ľudmila [Autor, UKFFSSKCR, 100%] ; Marasová, Jana [Recenzent] ; Palenčíková, Zuzana [Recenzent]. – 1. vyd. – Nitra (Slovensko) : Univerzita Konštantína Filozofa v Nitre, 2018. – 154 s. [tlačená forma] : text. – (Europica varietas ; 125). – [slovenčina]. – [OV 080]. – ISBN 978-80-558-1351-6 </t>
  </si>
  <si>
    <t xml:space="preserve">Rola cudzojazyčných učebníc v rozvíjaní interkultúrnych komunikatívnych kompetencií [textový dokument (print)]  [knižná publikácia - odborná (do 2021)] / Sándorová, Zuzana [Autor, UKFPFAKLI, 100%]. – 1. vyd. – Nitra (Slovensko) : Univerzita Konštantína Filozofa v Nitre, 2021. – 60 s. [tlačená forma]. – [slovenčina]. – [OV 010]. – ISBN 978-80-558-1822-1 </t>
  </si>
  <si>
    <t xml:space="preserve">Slovensko na starých pohľadniciach 1918 - 1939 [textový dokument (print)]  [knižná publikácia - odborná (do 2021)] / Hanušin, Ján [Autor, 34%] ; Kollár, Daniel [Autor, 33%] ; Lacika, Ján [Autor, UKFFPVKGR, 33%]. – 1. vyd. – Bratislava (Slovensko) : DAJAMA, 2018. – 183 s. [tlačená forma]. – [slovenčina]. – [OV 092]. – ISBN 978-80-8136-088-6 </t>
  </si>
  <si>
    <t xml:space="preserve">Slovensko-anglický slovník produkcie rastlín [textový dokument (print)]  [knižná publikácia - odborná (do 2021)] / Horváthová, Jarmila [Autor, SPUFEM06, 16%] ; Pačuta, Vladimír [Autor, SPUFAP25, 14%] ; Novák, Ján [Autor, 14%] ; Vozár, Ľuboš [Autor, SPUFAP25, 14%] ; Galuščáková, Ľudmila [Autor, UKFFPVKBG, 14%] ; Kovár, Peter [Autor, SPUFAP25, 14%] ; Hric, Peter [Autor, SPUFAP25, 14%] ; Baranec, Tibor [Recenzent] ; Kováčik, Peter [Recenzent]. – 1. vyd. – Nitra (Slovensko) : Slovenská poľnohospodárska univerzita v Nitre, 2021. – 225 s. [tlačená forma]. – [slovenčina]. – [OV 190]. – ISBN 978-80-552-2390-2 </t>
  </si>
  <si>
    <t xml:space="preserve">Slovník slepčianskeho nárečia [textový dokument (print)]  [knižná publikácia - odborná (do 2021)] / Koprda, Pavol [Autor, UKFFFAKRO, 100%]. – 2. dopl. vyd. – Nitra (Slovensko) : Univerzita Konštantína Filozofa v Nitre, 2018. – 316 s. [tlačená forma] : text. – [slovenčina]. – [OV 020]. – ISBN 978-80-558-1279-3 </t>
  </si>
  <si>
    <t xml:space="preserve">Teaching green. Teach Locally, Think Globally [elektronický dokument]  [knižná publikácia - odborná (do 2021)] / Kováčová, Adriana [Autor, 30%] ; Bizubová, Mária [Autor, 5%] ; López Giraldo, Juan Diego [Autor, 5%] ; Jackson, Mary [Autor, 5%] ; Jakab, Imrich [Autor, UKFFPVKEE, 5%] ; Kahan, Jozef [Autor, 5%] ; Massetti, Luciano [Autor, 5%] ; Palúchová, Iveta [Autor, 5%] ; Petluš, Peter [Autor, UKFFPVKEE, 5%] ; Petlušová, Viera [Autor, UKFFPVKEE, 5%] ; Pucherová, Zuzana [Autor, UKFFPVKEE, 5%] ; Staples-Rolfe, Ruth [Autor, 3%] ; Sýkorová, Janka [Autor, 5%] ; Ugolini, Francesca [Autor, 2%] ; Veselovská, Katarína [Autor, UKFFPVKEE, 5%] ; Zemko, Martin [Autor, UKFFPVKEE, 5%] ; Turiničová, Zuzana [Prekladateľ, 100%] ; Kováčová, Adriana [Zostavovateľ, editor, 100%]. – 1. vyd. – Bratislava (Slovensko) : INAK, 2020. – 212 s. [online] : text, ilustr. – [angličtina]. – [OV 100]. – ISBN 978-80-972996-8-2 </t>
  </si>
  <si>
    <t xml:space="preserve">The Need for Competency-based Selection and Training of Post-editors [elektronický dokument]  [knižná publikácia - odborná (do 2021)] / Absolon, Jakub [Autor, UKFFFAKTR, 100%]. – 1. vyd. – Nitra (Slovensko) : ASAP-translation.com, 2018. – 26 s. [3,67 AH] [online] : text, graf., tab., obr. – [angličtina]. – [OV 020]. – ISBN 978-80-89970-00-1 </t>
  </si>
  <si>
    <t xml:space="preserve">Univerzita Konštantína Filozofa v Nitre a jej metamorfózy [knižná publikácia - odborná (do 2021)] : od Pedagogického inštitútu až po súčasnú UKF / Antošová, Marcela [Autor, UKFFFAKZU, 34%] ; Nováčiková, Daša [Autor, UKFFFAKZU, 33%] ; Cillingová, Veronika [Autor, UKFFFAKZU, 33%]. – 1. vyd. – Nitra (Slovensko) : Univerzita Konštantína Filozofa v Nitre, 2019. – 248 s. [tlačená forma] : text. – [slovenčina]. – [OV 010]. – ISBN 978-80-558-1432-2 </t>
  </si>
  <si>
    <t xml:space="preserve">Vis-a-vis. Dialógy (nielen) o hudbe [textový dokument (print)]  [knižná publikácia - odborná (do 2021)] : (rozhovory so slovenskými a českými skladateľmi, hudobníkmi a teoretikmi) / Fuják, Július [Autor, UKFFFAKKU, 100%]. – 1. vyd. – Bratislava (Slovensko) : Drewo a srd, 2018. – 200 s. [tlačená forma] : text. – [slovenčina]. – [OV 020]. – ISBN 978-80-89550-41-8 </t>
  </si>
  <si>
    <t xml:space="preserve">Záhadné miesta (1. diel) [textový dokument (print)]  [knižná publikácia - odborná (do 2021)] : 128 tajomných a zaujímavých miest po Slovensku / Lacika, Ján [Autor, UKFFPVKGR, 100%]. – 1. vyd. – Bratislava (Slovensko) : DAJAMA, 2018. – 207 s. [tlačená forma] : text. – [angličtina]. – [OV 092]. – ISBN 978-80-8136-087-9 </t>
  </si>
  <si>
    <t xml:space="preserve">Záhadné miesta (2) [knižná publikácia - odborná (do 2021)] : 132 tajomných a zaujímavých miest po Slovensku / Lacika, Ján [Autor, UKFFPVKGR, 100%]. – 1. vyd. – Bratislava (Slovensko) : DAJAMA, 2019. – 207 s. [tlačená forma] : text. – [slovenčina]. – [OV 092]. – ISBN 978-80-8136-096-1 </t>
  </si>
  <si>
    <t xml:space="preserve">Zachovanie biodiverzity lesov na príklade aktivít lesnej pedagogiky [textový dokument (print)]  [knižná publikácia - odborná (do 2021)] : odborná knižná publikácia / Chlpošová, Dana [Autor, UKFFPVKEE, 34%] ; Jaloviarová, Veronika [Autor, UKFFPVKGR, 33%] ; Janíková, Monika [Autor, 33%] ; Melcerová, Andrea [Zostavovateľ, editor, 50%] ; Sélešová, Dagmar [Zostavovateľ, editor, 50%]. – 1. vyd. – Zvolen (Slovensko) : Národné lesnícke centrum, 2019. – 2019 s. [tlačená forma] : text. – [slovenčina]. – [OV 010]. – ISBN 978-80-8093-276-3 </t>
  </si>
  <si>
    <t xml:space="preserve">Základy podnikovej komunikácie v anglickom jazyku pre pedagogických a iných odborných zamestnancov stredných odborných škôl 1 [textový dokument (print)]  [knižná publikácia - odborná (do 2021)] : vybrané kapitoly zo základnej gramatiky / Burcl, Pavol [Autor, UKFFFAJZC, 20%] ; Csalová, Oľga [Autor, UKFFFAJZC, 20%] ; Kozárová, Zuzana [Autor, UKFFFAJZC, 20%] ; Pavlová, Renáta [Autor, UKFFFAJZC, 20%] ; Zelenická, Elena [Autor, UKFFFAJZC, 20%]. – 1. vyd. – Nitra (Slovensko) : Univerzita Konštantína Filozofa v Nitre, 2021. – 106 s. [tlačená forma] : text. – [slovenčina]. – [OV 010]. – ISBN 978-80-558-1774-3 </t>
  </si>
  <si>
    <t xml:space="preserve">Základy podnikovej komunikácie v anglickom jazyku pre pedagogických a iných odborných zamestnancov stredných odborných škôl 2 [textový dokument (print)]  [knižná publikácia - odborná (do 2021)] : špecifiká podnikovej komunikácie / Burcl, Pavol [Autor, UKFFFAJZC, 20%] ; Csalová, Oľga [Autor, UKFFFAJZC, 20%] ; Kozárová, Zuzana [Autor, UKFFFAJZC, 20%] ; Pavlová, Renáta [Autor, UKFFFAJZC, 20%] ; Zelenická, Elena [Autor, UKFFFAJZC, 20%]. – 1. vyd. – Nitra (Slovensko) : Univerzita Konštantína Filozofa v Nitre, 2021. – 107 s. [tlačená forma]. – [slovenčina]. – [OV 010]. – ISBN 978-80-558-1775-0 </t>
  </si>
  <si>
    <t xml:space="preserve">Zelená infraštruktúra [textový dokument (print)]  [knižná publikácia - odborná (do 2021)] : príručka nielen pre samosprávy / Hudeková, Zuzana [Autor, STUFADUUUP, 60%] ; Mederly, Peter [Autor, UKFFPVKEE, 20%] ; Tóth, Attila [Autor, SPUFZK09, 20%]. – 1. vyd. – Bratislava (Slovensko) : Mestská časť Bratislava - Karlova Ves, 2018. – 72 s. [tlačená forma] : text. – [slovenčina]. – [OV 100]. – ISBN 978-80-973076-8-4 </t>
  </si>
  <si>
    <t xml:space="preserve">Zelené učenie [elektronický dokument]  [knižná publikácia - odborná (do 2021)] : námety na žiacke výskumné projekty / Kahan, Jozef [Autor, 5%] ; Bizubová, Mária [Autor, 5%] ; López Giraldo, Juan Diego [Autor, 5%] ; Jackson, Mary [Autor, 5%] ; Jakab, Imrich [Autor, UKFFPVKEE, 5%] ; Kováčová, Adriana [Autor, 30%] ; Massetti, Luciano [Autor, 5%] ; Palúchová, Iveta [Autor, 5%] ; Petluš, Peter [Autor, UKFFPVKEE, 5%] ; Petlušová, Viera [Autor, UKFFPVKEE, 5%] ; Pucherová, Zuzana [Autor, UKFFPVKEE, 5%] ; Staples-Rolfe, Ruth [Autor, 5%] ; Sýkorová, Janka [Autor, 5%] ; Ugolini, Francesca [Autor, 5%] ; Zemko, Martin [Autor, UKFFPVKEE, 5%]. – 1. vyd. – Bratislava (Slovensko) : INAK, 2020. – 69 s. [online] : text, fotogr. – [slovenčina]. – [OV 100]. – ISBN 978-80-973854-2-2 </t>
  </si>
  <si>
    <t>BBA - Kapitoly v odborných knižných publikáciách vydané v zahraničných vydavateľstvách</t>
  </si>
  <si>
    <t xml:space="preserve">Editácia genómu / Omelka, Radoslav [Autor, UKFFPVKBG, 90%] ; Brdička, Radim [Autor, 10%]. – text. – [čeština]. – [OV 130]. – [kapitola] In: Genetika pro všeobecné praktické lékaře [textový dokument (print)] / Brdička, Radim [Autor]. – 1. vyd. – Praha (Česko) : Dr. Josef Raabe, 2020. – ISBN 978-80-7496-447-3, s. 209-227 [1,18 AH] [tlačená forma] </t>
  </si>
  <si>
    <t xml:space="preserve">Tvaroslovné prieniky do slovenskej prózy / Rédey, Zoltán [Autor, UKFFFAULK, 70%] ; Plesník, Ľubomír [Autor, UKFFFAULK, 30%]. – [slovenčina]. – [OV 020]. – [kapitola] In: Slovesné sondy [textový dokument (print)] : o kompoziční poetice slovenské prózy a jejích českých souvislostech / Všetička, František [Autor]. – 1. vyd. – Jinočany (Česko) : Nakladatelství H&amp;H, 2018. – ISBN 978-80-7319-126-9, s. 212-224 [1,08 AH] </t>
  </si>
  <si>
    <t>BBB - Kapitoly v odborných knižných publikáciách vydané v domácich vydavateľstvách</t>
  </si>
  <si>
    <t xml:space="preserve">Ako podávať spätnú väzbu? / Müller De Morais, Marianna [Autor, UKFPFAKPE, 100%]. – text. – [slovenčina]. – [OV 010]. – [kapitola] In: Kariéra v školstve [textový dokument (print)] / Šikulová, Elena [Zostavovateľ, editor]. – 20. aktual. vyd. – Bratislava (Slovensko) : Dr. Josef Raabe Slovensko, 2020. – ISBN 978-80-8140-290-6, s. 1-11 [1 AH] [tlačená forma] </t>
  </si>
  <si>
    <t xml:space="preserve">Archaický príbeh Atén / Jirkal, Emanuel [Autor, UKFFFAKHI, 100%] ; Dubcová, Veronika [Recenzent] ; Fraňo, Peter [Recenzent]. – text. – [slovenčina]. – [OV 030]. – [kapitola] In: Od Tróje k Termopylám [textový dokument (print)] : príbeh archaického Grécka / Habaj, Michal [Zostavovateľ, editor]. – 1. vyd. – Bratislava (Slovensko) : Perfekt, 2019. – ISBN 978-80-8046-946-7, s. 133-152 [1,09 AH] [tlačená forma] </t>
  </si>
  <si>
    <t xml:space="preserve">Asertivita ako jedna z kľúčových sociálnych kompetencií (D 1.6) / Müller De Morais, Marianna [Autor, UKFPFAKPE, 100%]. – text. – [slovenčina]. – [OV 010]. – [kapitola] In: Výchovný program pre školské výchovno-vzdelávacie zariadenia [textový dokument (print)] : sprievodca legislatívou, pedagogickou dokumentáciou a aktivitami v školských výchovno-vzdelávacích zariadeniach / [bez zostavovateľa] [Zostavovateľ, editor]. – 12. aktual. vyd. – Bratislava (Slovensko) : Dr. Josef Raabe Slovensko, 2018. – ISBN 978-80-8140-175-6, s. 1-32 [tlačená forma] </t>
  </si>
  <si>
    <t xml:space="preserve">Elementárne asertívne spôsobilosti (D 2.3) : sebariadenie kariérnej cesty / Müller De Morais, Marianna [Autor, UKFPFAKPE, 100%]. – text. – [slovenčina]. – [OV 010]. – [kapitola] In: Kariéra v školstve [textový dokument (print)] / Petákaová, Alena [Zostavovateľ, editor] ; Sitarčík, Ján [Zostavovateľ, editor]. – 11. aktual. vyd. – Bratislava (Slovensko) : Dr. Josef Raabe Slovensko, 2018. – ISBN 978-80-8140-290-6, s. 1-18 [1,05 AH] [tlačená forma] </t>
  </si>
  <si>
    <t xml:space="preserve">Etika v učiteľskej profesii (E 2.1) : Etika profesie / Lomnický, Igor [Autor, UKFFFAKAE 06.2022, 100%]. – text. – [slovenčina]. – [OV 010]. – [kapitola] In: Kariéra v školstve [textový dokument (print)] / Petákaová, Alena [Zostavovateľ, editor] ; Sitarčík, Ján [Zostavovateľ, editor]. – 1. vyd. – Bratislava (Slovensko) : Dr. Josef Raabe Slovensko, 2018. – ISBN 978-80-8140-290-6, s. 1-22 [tlačená forma] </t>
  </si>
  <si>
    <t xml:space="preserve">Etnológia / Ambrózová, Jana [Autor, UKFFFAKEF, 9.1%] ; Beňušková, Zuzana [Autor, UKFFFAKEF, 9.09%] ; Danglová, Oľga [Autor, 9.09%] ; Jágerová, Margita [Autor, UKFFFAKEF, 9.09%] ; Kovačovič, Igor [Autor, 9.09%] ; Krotáková, Janka [Autor, 9.09%] ; Murin, Ivan [Autor, 9.09%] ; Paríková, Magdaléna [Autor, 9.09%] ; Repčok, Štefan [Autor, 9.09%] ; Žigo, Pavol [Autor, UKOFISJ, 9.09%] ; Žilková, Ľubomíra [Autor, 9.09%] ; Darulová, Jolana [Recenzent] ; Koštialová, Katarína [Recenzent]. – [slovenčina]. – [OV 020, 030]. – [kapitola] In: Kokava nad Rimavicou [textový dokument (print)] : vlastivedná monografia / Sokolovský, Leon [Zostavovateľ, editor]. – 1. vyd. – Kokava nad Rimavicou (Slovensko) : Obecný úrad Kokava nad Rimavicou, 2018. – ISBN 978-80-973041-5-7, s. 355-480 [tlačená forma] </t>
  </si>
  <si>
    <t xml:space="preserve">Možnosti motivácie (pedagogických) zamestnancov v MŠ (1. časť), (E 3.7) / Müller De Morais, Marianna [Autor, UKFPFAKPE, 100%]. – [slovenčina]. – [OV 010]. – [kapitola] In: Riadenie materskej školy [textový dokument (print)] : sprievodca úspešným manažmentom materskej školy / [bez zostavovateľa] [Zostavovateľ, editor]. – 9. aktual. vyd. – Bratislava (Slovensko) : Dr. Josef Raabe Slovensko, 2018. – ISBN 978-80-8140-185-5, s. 1-36 [tlačená forma] </t>
  </si>
  <si>
    <t xml:space="preserve">Práca z domu (D 1/4) / Müller De Morais, Marianna [Autor, UKFPFAKPE, 85%] ; Papp, Erik [Autor, 15%]. – text. – [slovenčina]. – [OV 010]. – [kapitola] In: Kariéra v školstve [textový dokument (print)] / Šikulová, Elena [Zostavovateľ, editor]. – 20. aktual. vyd. – Bratislava (Slovensko) : Dr. Josef Raabe Slovensko, 2020. – ISBN 978-80-8140-290-6, s. 1-24 [tlačená forma] </t>
  </si>
  <si>
    <t xml:space="preserve">Rôzne / Vargová, Anna [Autor, 9.1%] ; Bulíková, Táňa [Autor, SZUFOZOSKUZS, 9.09%] ; Balko, Martin [Autor, 9.09%] ; Letanovská, Andrea [Autor, 9.09%] ; Osinová, Denisa [Autor, UKOLJ307, 9.09%] ; Herman, Peter [Autor, 9.09%] ; Gurňáková, Jitka [Autor, 9.09%] ; Veselá, Katarína [Autor, 9.09%] ; Hulová, Jana [Autor, UKFFSVKUM, 9.09%] ; Kováč, Peter [Autor, 9.09%] ; Moravanský, Norbert [Autor, UKOLFUSUL, 9.09%]. – text, tab., obr. – [slovenčina]. – [OV 180]. – [kapitola]. – SIGN-UKO LJ160/21. – SIGN-SZU BBB In: Urgentná medicína [textový dokument (print)] : prednemocničná, nemocničná, pre dospelých a deti / Dobiáš, Viliam [Zostavovateľ, editor] ; Šagát, Tibor [Recenzent]. – 3. dopl. vyd. – Martin (Slovensko) : Vydavateľstvo Osveta, 2021. – ISBN 978-80-8063-499-5. – SIGN-SZU FAI, s. 971-1135 [tlačená forma] </t>
  </si>
  <si>
    <t xml:space="preserve">Sebahodnotenie a vývinová úroveň poznávania dieťaťa v predškolskom veku (B 2.17) / Müller De Morais, Marianna [Autor, UKFPFAKPE, 50%] ; Škorvagová, Eva [Autor, ZUZFHVKPŠ, 50%]. – [slovenčina]. – [OV 010]. – [kapitola] In: Evaluácia v materskej škole (2) / [bez zostavovateľa] [Zostavovateľ, editor]. – 1. vyd. – Bratislava (Slovensko) : Dr. Josef Raabe Slovensko, 2020. – ISBN 978-80-8140-252-4, s. [1-22] [tlačená forma] </t>
  </si>
  <si>
    <t xml:space="preserve">Sebahodnotenie v pedagogickej práci učiteľa (3. časť), (D2.13.3) / Müller De Morais, Marianna [Autor, UKFPFAKPE, 100%]. – text. – [slovenčina]. – [OV 010]. – [kapitola] In: Evaluácia v materskej škole (1), (2) [textový dokument (print)] : sprievodca evaluačnými procesmi v materskej škole / [bez zostavovateľa] [Zostavovateľ, editor]. – 2. aktual. vyd. – Bratislava (Slovensko) : Dr. Josef Raabe Slovensko, 2018. – ISBN 978-80-8140-252-4, s. 3-42 [tlačená forma] </t>
  </si>
  <si>
    <t xml:space="preserve">Sebareflexia ako cesta sebazdokonaľovania vychovávateľa / Müller De Morais, Marianna [Autor, UKFPFAKPE, 100%]. – text. – [slovenčina]. – [OV 010]. – [kapitola] In: Výchovný program pre školské výchovno-vzdelávacie zariadenia (B 3.12) [textový dokument (print)] : sprievodca legislatívou, pedagogickou dokumentáciou a aktivitami v školských výchovno-vzdelávacích zariadeniach / [bez zostavovateľa] [Zostavovateľ, editor]. – 21. aktual. vyd. – Bratislava (Slovensko) : Dr. Josef Raabe Slovensko, 2019. – ISBN 978-80-8140-175-6, s. 1-16 [1,09 AH] [tlačená forma] </t>
  </si>
  <si>
    <t xml:space="preserve">Tréning asertivity pre deti (3. časť) : špeciálne kompetencie D 2.13.10 / Müller De Morais, Marianna [Autor, UKFPFAKPE, 100%]. – text. – [slovenčina]. – [OV 010]. – [kapitola] In: Výchovný program pre školské výchovno-vzdelávacie zariadenia (29. aktual. vyd.) [textový dokument (print)] : špeciálne kompetencie D 2.13.10 / Kubovičová, Mária [Zostavovateľ, editor] ; Adamíková, Jana [Zostavovateľ, editor]. – 29. aktual. vyd. – Bratislava (Slovensko) : Dr. Josef Raabe Slovensko, 2020. – ISBN 978-80-8140-175-6, s. 1-47 [tlačená forma] </t>
  </si>
  <si>
    <t xml:space="preserve">Tréning asertivity pre deti (4. časť) / Müller De Morais, Marianna [Autor, UKFPFAKPE, 100%]. – text. – [slovenčina]. – [OV 010]. – [kapitola] In: Výchovný program pre školské výchovno-vzdelávacie zariadenia (29. aktul. vyd.) [textový dokument (print)] : špeciálne kompetencie D 2.13.11. / Kubovičová, Mária [Zostavovateľ, editor] ; Adamíková, Jana [Zostavovateľ, editor]. – 29. aktual. vyd. – Bratislava (Slovensko) : Dr. Josef Raabe Slovensko, 2020. – ISBN 978-80-8140-175-6, s. 1-29 </t>
  </si>
  <si>
    <t xml:space="preserve">Tréning na rozvíjanie komunikačných spôsobilostí detí (B 2.9) / Müller De Morais, Marianna [Autor, UKFPFAKPE, 100%]. – [slovenčina]. – [OV 010]. – [kapitola] In: Evaluácia v materskej škole (1), (2) [textový dokument (print)] : sprievodca evaluačnými procesmi v materskej škole / [bez zostavovateľa] [Zostavovateľ, editor]. – 2. aktual. vyd. – Bratislava (Slovensko) : Dr. Josef Raabe Slovensko, 2018. – ISBN 978-80-8140-252-4, s. 1-43 [tlačená forma] </t>
  </si>
  <si>
    <t xml:space="preserve">Tréning na rozvíjanie komunikačných spôsobilostí detí - aktivity a hry (2. časť), (D2.13.2) / Müller De Morais, Marianna [Autor, UKFPFAKPE, 100%]. – [slovenčina]. – [OV 010]. – [kapitola] In: Výchovný program pre školské výchovno-vzdelávacie zariadenia [textový dokument (print)] : sprievodca legislatívou, pedagogickou dokumentáciou a aktivitami v školských výchovno-vzdelávacích zariadeniach / [bez zostavovateľa] [Zostavovateľ, editor]. – 2. aktual. vyd. – Bratislava (Slovensko) : Dr. Josef Raabe Slovensko, 2018. – ISBN 978-80-8140-175-6, s. 1-44 [tlačená forma] </t>
  </si>
  <si>
    <t xml:space="preserve">Tréning na rozvíjanie komunikačných spôsobilostí detí - aktivity a hry (3. časť), (D2.13.3) / Müller De Morais, Marianna [Autor, UKFPFAKPE, 100%]. – [slovenčina]. – [OV 010]. – [kapitola] In: Výchovný program pre školské výchovno-vzdelávacie zariadenia [textový dokument (print)] : sprievodca legislatívou, pedagogickou dokumentáciou a aktivitami v školských výchovno-vzdelávacích zariadeniach / [bez zostavovateľa] [Zostavovateľ, editor]. – 4. aktual. vyd. – Bratislava (Slovensko) : Dr. Josef Raabe Slovensko, 2018. – ISBN 978-80-8140-175-6, s. 1-32 [tlačená forma] </t>
  </si>
  <si>
    <t xml:space="preserve">Tréning zvládania interpersonálnych konfliktov (1. časť) / Müller De Morais, Marianna [Autor, UKFPFAKPE, 100%]. – text. – [slovenčina]. – [OV 010]. – [kapitola] In: Výchovný program pre školské výchovno-vzdelávacie zariadenia [textový dokument (print)] : sprievodca legislatívou, pedagogickou dokumentáciou a aktivitami v školských výchovno-vzdelávacích zariadeniach / [bez zostavovateľa] [Zostavovateľ, editor]. – 15. aktual. vyd. – Bratislava (Slovensko) : Dr. Josef Raabe Slovensko, 2018. – ISBN 978-80-8140-175-6, s. 1-40 </t>
  </si>
  <si>
    <t xml:space="preserve">Tréning zvládania interpersonálnych konfliktov (2. časť) / Müller De Morais, Marianna [Autor, UKFPFAKPE, 100%]. – text. – [slovenčina]. – [OV 010]. – [kapitola] In: Výchovný program pre školské výchovno-vzdelávacie zariadenia [textový dokument (print)] : sprievodca legislatívou, pedagogickou dokumentáciou a aktivitami v školských výchovno-vzdelávacích zariadeniach / Kubovičová, Mária [Zostavovateľ, editor] ; Adamíková, Jana [Zostavovateľ, editor]. – 11. aktual. vyd. – Bratislava (Slovensko) : Dr. Josef Raabe Slovensko, 2018. – ISBN 978-80-8140-175-6, s. 1-44 </t>
  </si>
  <si>
    <t xml:space="preserve">Tréning zvládania interpersonálnych konfliktov. 3. časť / Müller De Morais, Marianna [Autor, UKFPFAKPE, 100%]. – text. – [slovenčina]. – [OV 010]. – [kapitola] In: Výchovný program pre školské výchovno-vzdelávacie zariadenia [textový dokument (print)] : sprievodca legislatívou, pedagogickou dokumentáciou a aktivitami v školských výchovno-vzdelávacích zariadeniach / [bez zostavovateľa] [Zostavovateľ, editor]. – 20. aktual. vyd. – Bratislava (Slovensko) : Dr. Josef Raabe Slovensko, 2019. – ISBN 978-80-8140-175-6, s. 1-34 [tlačená forma] </t>
  </si>
  <si>
    <t xml:space="preserve">Tréning zvládania interpersonálnych konfliktov. 4. časť / Müller De Morais, Marianna [Autor, UKFPFAKPE, 100%]. – text. – [slovenčina]. – [OV 010]. – [kapitola] In: Výchovný program pre školské výchovno-vzdelávacie zariadenia (B 3.12) [textový dokument (print)] : sprievodca legislatívou, pedagogickou dokumentáciou a aktivitami v školských výchovno-vzdelávacích zariadeniach / [bez zostavovateľa] [Zostavovateľ, editor]. – 21. aktual. vyd. – Bratislava (Slovensko) : Dr. Josef Raabe Slovensko, 2019. – ISBN 978-80-8140-175-6, s. 1-22 [tlačená forma] </t>
  </si>
  <si>
    <t xml:space="preserve">Úvod k tréningu asertivity pre deti (1. časť) : ako sa presadiť primeraným spôsobom? / Müller De Morais, Marianna [Autor, UKFPFAKPE, 100%]. – text. – [slovenčina]. – [OV 010]. – [kapitola] In: Výchovný program pre školské výchovno-vzdelávacie zariadenia (D 2.13.8) [textový dokument (print)] : špeciálne kompetencie / Kubovičová, Mária [Zostavovateľ, editor] ; Adamíková, Jana [Zostavovateľ, editor]. – 25. aktual. vyd. – Bratislava (Slovensko) : Dr. Josef Raabe Slovensko, 2020. – ISBN 978-80-8140-175-6, s. 1-24 [tlačená forma] </t>
  </si>
  <si>
    <t xml:space="preserve">Zvládanie stresu pri práci z domu / Müller De Morais, Marianna [Autor, UKFPFAKPE, 85%] ; Papp, Erik [Autor, 15%]. – text. – [slovenčina]. – [OV 010]. – [kapitola] In: Výchovný program pre školské výchovno-vzdelávacie zariadenia [textový dokument (print)] : sprievodca legislatívou, pedagogickou dokumentáciou a aktivitami v školských výchovno-vzdelávacích zariadeniach / [bez zostavovateľa] [Zostavovateľ, editor]. – 27. aktual. vyd. – Bratislava (Slovensko) : Dr. Josef Raabe Slovensko, 2020. – ISBN 978-80-8140-175-6, s. 1-24 [tlačená forma] </t>
  </si>
  <si>
    <t xml:space="preserve">Živnostníci v 1. polovici 20. storočia / Kontriková Šusteková, Ivana [Autor, UKFFFAKEF, 100%]. – text. – [slovenčina]. – [OV 020, 030]. – [kapitola] In: Raková [textový dokument (print)] : Dejiny, ľudia, príbehy / Paštrnák, Ladislav [Autor]. – 1. vyd. – Bratislava (Slovensko) : Vydavateľstvo Magma, 2019. – ISBN 978-80-967685-2-3, s. 87-106 [1,2 AH] [tlačená forma] </t>
  </si>
  <si>
    <t>BCB - Učebnice pre stredné a základné školy</t>
  </si>
  <si>
    <t xml:space="preserve">Angličtina. Maturita - základná úroveň B1 + interaktívny obsah na yesky.sk [textový dokument (print)] [elektronický dokument]  [učebný text (do 2021)] / Billíková, Andrea [Autor, UKFFFAKAA, 20%] ; Kondelová, Soňa [Autor, UKFFFAKTR, 20%] ; Ciprianová, Elena [Autor, UKFFFAKAA, 40%] ; Cvičelová, Zdenka [Autor, 10%] ; Srnková, Monika [Autor, 10%]. – 1. vyd. – Nitra (Slovensko) : Enigma Publishing, 2021. – 365 s. [tlačená forma] [online] : text, ilustr., obr. – [slovenčina, angličtina]. – [OV 020, 010]. – ISBN 978-80-8133-103-9 </t>
  </si>
  <si>
    <t xml:space="preserve">Archívy v školskej praxi. Možnosti využitia písomných  prameňov vo výučbe histórie na základných  a stredných školách [textový dokument (print)]  [učebný text (do 2021)] : učebnica (nielen) pre učiteľov dejepisu na základnej a strednej škole  a študentov učiteľstva histórie na 1. a 2. stupni vysokoškolského štúdia / Tandlich, Tomáš [Autor, UKFFFAKHI, 100%]. – 1. vyd. – Nitra (Slovensko) : Univerzita Konštantína Filozofa v Nitre, 2021. – 113 s. [tlačená forma] : text, fotogr. – [slovenčina]. – [OV 010, 030]. – ISBN 978-80-558-1673-9 </t>
  </si>
  <si>
    <t xml:space="preserve">Biológia [textový dokument (print)]  [učebný text (do 2021)] / Sandanusová, Anna [Autor, UKFFPVKZA, 25%] ; Boleček, Peter [Autor, UKFFPVKBG, 7%] ; Kuna, Roman [Autor, UKFFPVKBG, 12%] ; Matejovičová, Barbora [Autor, UKFFPVKZA, 19%] ; Omelka, Radoslav [Autor, UKFFPVKBG, 15%] ; Schlarmannová, Janka [Autor, UKFFPVKZA, 21%] ; Štrba, Peter [Autor, 1%]. – 1. vyd. – Nitra (Slovensko) : Enigma Publishing, 2020. – 352 s. [tlačená forma] : text. – [slovenčina]. – [OV 010]. – ISBN 978-80-8133-095-7 </t>
  </si>
  <si>
    <t xml:space="preserve">Hudobná výchova 5 [textový dokument (print)]  [učebný text (do 2021)] : učebnica pre 5. ročník ZŠ / Brezina, Pavol [Autor, UKFPFAKHU, 80%] ; Bonde, Richard [Autor, 20%]. – 1. vyd. – Košice (Slovensko) : Taktik vydavateľstvo, 2020. – 67 s. [tlačená forma] : text. – [slovenčina]. – [OV 010]. – ISBN 978-80-8180-196-9 </t>
  </si>
  <si>
    <t xml:space="preserve">Chemické zloženie odpadov [textový dokument (print)]  [učebný text (do 2021)] : príručka pre 7. ročník základnej školy / Feszterová, Melánia [Autor, UKFFPVKCH, 100%]. – 1. vyd. – Nitra (Slovensko) : Univerzita Konštantína Filozofa v Nitre, 2019. – 105 s. [tlačená forma] : text, ilustr. – [slovenčina]. – [OV 010]. – ISBN 978-80-558-1504-6 </t>
  </si>
  <si>
    <t xml:space="preserve">Kraj okolo Duchonky - môj malý svet [učebný text (do 2021)] : učebnica regionálnej geografie pre základné školy Miestnej akčnej skupiny Spoločenstva obcí topoľčiansko-duchonského mikroregiónu a mesta Topoľčany / Hauptvogelová, Daša [Autor, 60%] ; Kramáreková, Hilda [Autor, UKFFPVKGR, 30%] ; Krajčík, Milan [Autor, 10%]. – 1. vyd. – Tovarniky (Slovensko) : Prima print, 2018. – 48 s. [3,15 AH] [tlačená forma] : text. – [slovenčina]. – [OV 092]. – ISBN 978-80-570-0476-9 </t>
  </si>
  <si>
    <t xml:space="preserve">Magyar irodalom az alapiskola 9. osztálya és a nyolcosztályos gimnázium 4. osztálya számára [textový dokument (print)]  [učebný text (do 2021)] / Bárcziová, Žofia [Autor, UKFFSSUML, 50%] ; Tóth, Anikó [Autor, UKFFSSUML, 50%]. – 2. upr. vyd. – Bratislava (Slovensko) : Slovenské pedagogické nakladateľstvo - Mladé letá, 2019. – 136 s. [tlačená forma] : text. – [maďarčina]. – [OV 010]. – ISBN 978-80-10-03363-8 </t>
  </si>
  <si>
    <t xml:space="preserve">Matematika 5 [textový dokument (print)]  [učebný text (do 2021)] : matematika pre 5. ročník základnej školy / Čeretková, Soňa [Autor, UKFFPVKMA, 70%] ; Šedivý, Ondrej [Autor, UKF.Nitra, 5%] ; Teplička, Ivan [Autor, 25%]. – 1. vyd. – Bratislava (Slovensko) : Slovenské pedagogické nakladateľstvo - Mladé letá, 2020. – 158 s. [tlačená forma] : text. – [slovenčina]. – [OV 010, 240]. – ISBN 978-80-10-03700-1 </t>
  </si>
  <si>
    <t xml:space="preserve">Matematika pre 6. ročník základnej školy a 1. ročník gymnázia s osemročným štúdiom; 1. časť [textový dokument (print)]  [učebný text (do 2021)] / Čeretková, Soňa [Autor, UKFFPVKMA, 60%] ; Šedivý, Ondrej [Autor, 10%] ; Teplička, Ivan [Autor, 30%]. – 1. vyd. – Bratislava (Slovensko) : Slovenské pedagogické nakladateľstvo - Mladé letá, 2021. – 96 s. [tlačená forma] : text, ilustr., fotogr. – [slovenčina]. – [OV 240]. – ISBN 978-80-10-03873-2 </t>
  </si>
  <si>
    <t xml:space="preserve">Matematika pre 6. ročník základnej školy a 1. ročník gymnázia s osemročným štúdiom; 2. časť [textový dokument (print)]  [učebný text (do 2021)] / Čeretková, Soňa [Autor, UKFFPVKMA, 50%] ; Šedivý, Ondrej [Autor, UKFFPVKMA, 20%] ; Teplička, Ivan [Autor, 30%]. – 1. vyd. – Bratislava (Slovensko) : Slovenské pedagogické nakladateľstvo - Mladé letá, 2021. – 96 s. [tlačená forma] : text. – [slovenčina]. – [OV 010]. – ISBN 978-80-10-03874-9 </t>
  </si>
  <si>
    <t xml:space="preserve">Nehanbi sa skrotiť rysa [textový dokument (print)]  [učebný text (do 2021)] : pravopisné cvičenia pre 1. stupeň základných škôl / Bánik, Tomáš [Autor, UKFFFASJL, 100%]. – 1. vyd. – Bratislava (Slovensko) : Albatros Media Slovakia, 2018. – 127 s. [tlačená forma] : text. – [slovenčina]. – [OV 010]. – ISBN 9788056605936 </t>
  </si>
  <si>
    <t xml:space="preserve">Občianska výchova pre 7. ročník špeciálnej základnej školy [textový dokument (print)]  [učebný text (do 2021)] / Rejková, Marta [Autor, 20%] ; Balková, Irena [Autor, 20%] ; Ilavská, Helena [Autor, 20%] ; Jakubovská, Viera [Autor, UKFFFAKFI, 20%] ; Jonášková, Gabriela [Autor, UKFFFAKFI, 20%]. – 4. aktual. vyd. – Bratislava (Slovensko) : Slovenské pedagogické nakladateľstvo - Mladé letá, 2019. – 53 s. [3,02 AH] [tlačená forma] : text. – [slovenčina]. – [OV 010]. – ISBN 978-80-10-03399-7 </t>
  </si>
  <si>
    <t xml:space="preserve">Polgári nevelés a speciális alapiskola 7. osztálya számára [učebný text (do 2021)] / Jonášková, Gabriela [Autor, UKFFFAKFI, 20%] ; Rejková, Marta [Autor, 20%] ; Balková, Irena [Autor, 20%] ; Ilavská, Helena [Autor, 20%] ; Jakubovská, Viera [Autor, UKFFFAKFI, 20%]. – 4. aktual. vyd. – Bratislava (Slovensko) : Mladé letá, 2019. – 61 s. [tlačená forma] : text. – [maďarčina]. – [OV 010]. – ISBN 978-80-10-03389-8 </t>
  </si>
  <si>
    <t xml:space="preserve">Španielčina - cvičebnica [textový dokument (print)]  [učebný text (do 2021)] : Sí / Mátéffyová, Eva [Autor, 50%] ; De Miguel Santos, César [Autor, UKFFFAKRO, 50%]. – 1. vyd. – Nitra (Slovensko) : Enigma Publishing, 2019. – 256 s. [tlačená forma] : text. – [slovenčina]. – [OV 020, 010]. – ISBN 978-80-8913-297-3 </t>
  </si>
  <si>
    <t xml:space="preserve">Technika [textový dokument (print)]  [učebný text (do 2021)] : učebnica pre pre 7. ročník základnej školy / Žáčok, Ľubomír [Autor, UMBFP07, 90%] ; Vargová, Mária [Autor, UKFPFAKTT, 10%] ; Čuková, Iveta [Recenzent] ; Depešová, Jana [Recenzent] ; Plachá, Ivana [Recenzent] ; Kuzma, Jozef [Recenzent]. – 1 vyd. – Košice (Slovensko) : Taktik vydavateľstvo, 2020. – 64 s. [3,20 AH] [tlačená forma] : text, ilustr., fotogr. – [slovenčina]. – [OV 010]. – ISBN 978-80-8180-099-3 </t>
  </si>
  <si>
    <t xml:space="preserve">Úspešná maturita Anglický jazyk B1 [textový dokument (print)]  [učebný text (do 2021)] / Kálaziová, Ingrid [Autor, UKFFFAKAA, 100%]. – 1. vyd. – Košice (Slovensko) : Taktik vydavateľstvo, 2020. – 244 s. [tlačená forma] : text. – [angličtina]. – [OV 010]. – ISBN 978-80-8180-130-3 </t>
  </si>
  <si>
    <t xml:space="preserve">Úspešná maturita anglický jazyk B2 [textový dokument (print)]  [učebný text (do 2021)] / Kálaziová, Ingrid [Autor, UKFFFAKAA, 100%]. – 1. vyd. – Košice (Slovensko) : Taktik vydavateľstvo, 2019. – 292 s. [tlačená forma] : text. – [slovenčina]. – [OV 010]. – ISBN 978-80-8180-128-0 </t>
  </si>
  <si>
    <t>BCI - Skriptá a učebné texty</t>
  </si>
  <si>
    <t xml:space="preserve">A nemzetközi és hazai turizmus legújabb keresleti trendjeinek bemutatása elméleti és gyakorlati megközelítésben [textový dokument (print)]  [skriptum (do 2021)] / Csapó, János [Autor, UKFFSSKCR, 100%]. – 1. vyd. – Pécs (Maďarsko) : Pécsi Tudományegyetem Közgazdaságtudományi Kar (PTE KTK), 2020. – 130 s. [tlačená forma] : text. – [maďarčina]. – [OV 080]. – ISBN 978-963-429-550-1 </t>
  </si>
  <si>
    <t xml:space="preserve">American Literature Reader [textový dokument (print)]  [skriptum (do 2021)] : 20th Century Writers / Pavlíková, Martina [Autor, UKFFFAKZU, 100%]. – 1. vyd. – Praha (Česko) : Verbum, 2020. – 76 s. [tlačená forma] : text. – [angličtina]. – [OV 020]. – ISBN 978-80-87800-64-5 </t>
  </si>
  <si>
    <t xml:space="preserve">CLIL - Obsahovo a jazykovo integrované vyučovanie na základných a stredných školách [textový dokument (print)]  [skriptum (do 2021)] / Hurajová, Ľudmila [Autor, MTF PJHV, 34%] ; Kováčiková, Elena [Autor, UKFPFAKLI, 33%] ; Luprichová, Jana [Autor, UCMFIFKAAM, 33%] ; Chmelíková, Gabriela [Recenzent] ; Naštická, Zuzana [Recenzent]. – 1. vyd. – Nitra (Slovensko) : Univerzita Konštantína Filozofa v Nitre, 2020. – 75 s. [tlačená forma]. – [slovenčina]. – [OV 020]. – ISBN 978-80-558-1526-8 </t>
  </si>
  <si>
    <t xml:space="preserve">Curso universitario de fonología y lexicología [textový dokument (print)]  [skriptum (do 2021)] / Lampis, Mirko [Autor, UKFFFAKRO, 50%] ; Štrbáková, Radana [Autor, UKOPDRJL, 50%] ; Waluch de la Torre, Edyta [Recenzent] ; Civáňová, Zuzana [Recenzent]. – 1. vyd. – Nitra (Slovensko) : Univerzita Konštantína Filozofa v Nitre, 2021. – 79 s. [tlačená forma] : text. – [španielčina]. – [OV 020]. – ISBN 978-80-558-1701-9. – SIGN-UKO PD RJ/21 </t>
  </si>
  <si>
    <t xml:space="preserve">Curso universitario de semiótica del texto [textový dokument (print)]  [skriptum (do 2021)] / Lampis, Mirko [Autor, UKFFFAKRO, 100%]. – 1. vyd. – Nitra (Slovensko) : Univerzita Konštantína Filozofa v Nitre, 2021. – 79 s. [tlačená forma] : text. – [španielčina]. – [OV 020]. – ISBN 978-80-558-1678-4 </t>
  </si>
  <si>
    <t xml:space="preserve">Cvičenia z bioanalytických metód [textový dokument (print)]  [skriptum (do 2021)] : (časť Proteomika) / Morovič, Martin [Autor, UKFFPVKZA, 100%]. – 1. vyd. – Nitra (Slovensko) : Univerzita Konštantína Filozofa v Nitre, 2020. – 62 s. [tlačená forma] : text. – [slovenčina]. – [OV 130]. – ISBN 978-80-558-1516-9 </t>
  </si>
  <si>
    <t xml:space="preserve">Dátová veda a jej aplikácie [elektronický dokument]  [skriptum (do 2021)] : vysokoškolské učebné texty / Antoni, Ľubomír [Autor, UPS14500, 3%] ; Paralič, Ján [Autor, 104004, 4%] ; Butka, Peter [Autor, 104004, 4%] ; Babič, František [Autor, 104004, 4%] ; Sarnovský, Martin [Autor, 104004, 4%] ; Bednár, Peter [Autor, 104004, 4%] ; Gurský, Peter [Autor, UPS14500, 4%] ; Galčík, František [Autor, 3%] ; Opiela, Miroslav [Autor, UPS14500, 4%] ; Krídlo, Ondrej [Autor, UPS14500, 4%] ; Kuzma, Miron [Autor, UPS14280, 3%] ; Bruoth, Erik [Autor, UPS99292, 3%] ; Šebej, Juraj [Autor, UPS14500, 3%] ; Kekeňák, Tomáš [Autor, 3%] ; Andrejková, Gabriela [Autor, UPS14500, 4%] ; Šveda, Dušan [Autor, UPS14600, 4%] ; Kapusta, Jozef [Autor, UKFFPVKIN, 4%] ; Drlík, Martin [Autor, UKFFPVKIN, 4%] ; Munk, Michal [Autor, UKFFPVKIN, 4%] ; Benko, Ľubomír [Autor, UKFFPVKIN, 4%] ; Vozár, Martin [Autor, UKFFPVKIN, 4%] ; Siládi, Vladimir [Autor, UMBFP05, 3%] ; Vagač, Michal [Autor, UMBFP05, 3%] ; Jankovič, Peter [Autor, ZUZRIAMOA, 4%] ; Kvaššay, Miroslav [Autor, ZUZRIAKIN, 4%] ; Kvet, Michal [Autor, ZUZRIAKIN, 4%] ; Varga, Michal [Autor, ZUZRIAKIN, 4%] ; Ševčík, Peter [Recenzent] ; Hudák, Dávid [Recenzent] ; Jacko, Milan [Recenzent] ; Aštary, Matej [Recenzent]. – 1. vyd. – Košice (Slovensko) : Univerzita Pavla Jozefa Šafárika v Košiciach, 2020. – 187 s. [8,8 AH] [online] : text. – [slovenčina]. – [OV 160]. – ISBN 978-80-8152-917-7. – sign UPJS SSEP 021615. – SIGN-TUKE 227839 </t>
  </si>
  <si>
    <t xml:space="preserve">English for Psychology Students [textový dokument (print)]  [skriptum (do 2021)] / Romanová, Martina [Autor, UKFFSVUAP, 100%]. – 1. vyd. – Nitra (Slovensko) : Univerzita Konštantína Filozofa v Nitre, 2018. – 88 s. [tlačená forma] : text. – [angličtina]. – [OV 060]. – ISBN 978-80-558-1316-5 </t>
  </si>
  <si>
    <t xml:space="preserve">Environmentálna biológia [skriptum (do 2021)] / Baláž, Ivan [Autor, UKFFPVKEE, 70%] ; Kamenišťák, Jakub [Autor, 30%]. – 1. vyd. – Nitra (Slovensko) : Univerzita Konštantína Filozofa v Nitre, 2018. – 194 s. [tlačená forma]. – [slovenčina]. – [OV 100]. – ISBN 978-80-558-1319-6 </t>
  </si>
  <si>
    <t xml:space="preserve">Európa v stredoveku [elektronický dokument]  [skriptum (do 2021)] / Ivanič, Peter [Autor, UKFFFAUKD, 19%] ; Hetényi, Martin [Autor, UKFFFAUKD, 7%] ; Hrnčiarová, Daniela [Autor, UKOFIHS, 14%] ; Hurbanič, Martin [Autor, UKOFIHS, 27%] ; Husár, Martin [Autor, UKFFFAUKD, 4%] ; Jirkal, Emanuel [Autor, UKFFFAKHI, 3%] ; Kičková, Adriana [Autor, UKFFFAKHI, 2%] ; Krafl, Pavel Otmar [Autor, UKFFFAKHI, 5%] ; Lukáčová, Martina [Autor, UKFFFAJZC, 2%] ; Molnárová, Mária [Autor, UKFFFAKHI, 2%] ; Palárik, Miroslav [Autor, UKFFFAKHI, 3%] ; Pintérová, Beáta [Autor, UKFFFAKHI, 3%] ; Rybár, Lukáš [Autor, UKOFIHS, 4%] ; Zozuľak, Ján [Autor, UKFFFAKFI, 3%] ; Zupka, Dušan [Autor, UKOFIHS, 2%]. – 1. vyd. – Nitra (Slovensko) : Univerzita Konštantína Filozofa v Nitre, 2020. – 900 s. [CD-ROM] : text, fotogr. – [slovenčina]. – [OV 030]. – ISBN 978-80-558-1629-6 </t>
  </si>
  <si>
    <t xml:space="preserve">Geografické informačné systémy - tvorba vybraných tematických máp [textový dokument (print)]  [skriptum (do 2021)] / Vojteková, Jana [Autor, UKFFPVKGR, 80%] ; Žoncová, Michaela [Autor, UMBFP01, 20%] ; Petrovič, František [Recenzent] ; Fuska, Jakub [Recenzent]. – 1. vyd. – Nitra (Slovensko) : Univerzita Konštantína Filozofa v Nitre, 2021. – 88 s. [tlačená forma] : text, fotogr., mapy. – [slovenčina]. – [OV 092]. – ISBN 978-80-558-1696-8 </t>
  </si>
  <si>
    <t xml:space="preserve">Geometrické aplikácie miery a integrálu [textový dokument (print)]  [skriptum (do 2021)] / Ďuriš, Viliam [Autor, UKFFPVKMA, 100%]. – 1. vyd. – Dubnica nad Váhom (Slovensko) : Dubnický technologický inštitút, 2020. – 79 s. [tlačená forma] : text. – [slovenčina]. – [OV 240]. – ISBN 978-80-89732-93-7 </t>
  </si>
  <si>
    <t xml:space="preserve">Gramatyka angielska inaczej [elektronický dokument]  [skriptum (do 2021)] : narzędziownik języka angielskiego (nie) tylko dla początkujących / Foltyn, Marzena Aneta [Autor, UKFPFAKLI, 100%]. – 1. vyd. – Gliwice (Poľsko) : Ebookpoint Publishing &amp; Sales, 2020. – 90 s. [online] : text. – [poľština]. – [OV 010]. – ISBN 978-83-958579-0-4 </t>
  </si>
  <si>
    <t xml:space="preserve">Internet vecí a jeho aplikácie [elektronický dokument]  [skriptum (do 2021)] / Antoni, Ľubomír [Autor, 5%] ; Ševčík, Peter [Autor, ZUZRIAKTK, 5%] ; Zolotová, Iveta [Autor, 104004, 6%] ; Papcun, Peter [Autor, 104004, 6%] ; Vaščák, Ján [Autor, 104004, 6%] ; Biňas, Miroslav [Autor, 6%] ; Kanócz, Tomáš [Autor, 104009, 6%] ; Porubän, Jaroslav [Autor, 104009, 5%] ; Tomášek, Martin [Autor, 104009, 5%] ; Lakatoš, Dominik [Autor, 104009, 5%] ; Skalka, Ján [Autor, UKFFPVKIN, 6%] ; Balogh, Zoltán [Autor, UKFFPVKIN, 6%] ; Švec, Peter [Autor, UKFFPVKIN, 6%] ; Galčík, František [Autor, 5%] ; Opiela, Miroslav [Autor, 5%] ; Pisarčík, Peter [Autor, 5%] ; Jakab, František [Autor, 104009, 6%] ; Šveda, Dušan [Autor, 6%]. – 1. vyd. – Košice (Slovensko) : Univerzita Pavla Jozefa Šafárika v Košiciach, 2020. – 165 s. [online]. – [slovenčina]. – [OV 160]. – [recenzované]. – ISBN 978-80-8152-911-5. – sign UPJS SSEP 021782. – SIGN-TUKE 227062 </t>
  </si>
  <si>
    <t xml:space="preserve">Karate [textový dokument (print)]  [skriptum (do 2021)] : charakteristika, rozhodcovské gestá a výklad pravidiel / Broďáni, Jaroslav [Autor, UKFPFAKTV, 50%] ; Czaková, Monika [Autor, UKFPFAKTV, 50%]. – 1. vyd. – Nitra (Slovensko) : Univerzita Konštantína Filozofa v Nitre, 2019. – 103 s. [tlačená forma] : text. – [slovenčina]. – [OV 010, 210]. – ISBN 978-80-558-1502-2 </t>
  </si>
  <si>
    <t xml:space="preserve">Kontúry filmového prekladu a tlmočenia [textový dokument (print)]  [skriptum (do 2021)] : základné teoretické koncepty a východiská / Perez, Emília [Autor, UKFFFAKTR, 50%] ; Hodáková, Soňa [Autor, UKFFFAKTR, 50%]. – 1. vyd. – Nitra (Slovensko) : Univerzita Konštantína Filozofa v Nitre, 2021. – 63 s. [tlačená forma] : text. – [slovenčina]. – [OV 020]. – ISBN 978-80-558-1703-3 </t>
  </si>
  <si>
    <t xml:space="preserve">Konzekutívne tlmočenie [textový dokument (print)]  [skriptum (do 2021)] / Vieriková, Lucia [Autor, UKFFFAKRU, 50%] ; Pulčár, Vlastimil [Autor, UKFFFAKRU, 50%]. – 1. vyd. – Nitra (Slovensko) : Univerzita Konštantína Filozofa v Nitre, 2019. – 92 s. [tlačená forma] : text. – [slovenčina]. – [OV 020, 010]. – ISBN 978-80-558-1410-0 </t>
  </si>
  <si>
    <t xml:space="preserve">Lehrbuch der slowakischen Sprache (2) [textový dokument (print)]  [skriptum (do 2021)] / Diweg-Pukanec, Martin [Autor, UKFFFAKSJ, 100%]. – 1. vyd. – Norderstedt (Nemecko) : BoD Verlag, 2021. – 124 s. [tlačená forma]. – [nemčina]. – [OV 020]. – ISBN 978-3-7543-3444-7 </t>
  </si>
  <si>
    <t xml:space="preserve">Manažment v ošetrovateľstve [textový dokument (print)]  [skriptum (do 2021)] / Vörösová, Gabriela [Autor, UKFFSVKOS, 50%] ; Zrubcová, Dana [Autor, UKFFSVKOS, 50%]. – 1. vyd. – Nitra (Slovensko) : Univerzita Konštantína Filozofa v Nitre, 2018. – 264 s. [tlačená forma] : text. – [slovenčina]. – [OV 180]. – ISBN 978-80-558-1291-5 </t>
  </si>
  <si>
    <t xml:space="preserve">Matematika a CLIL [skriptum (do 2021)] : úlohy a aktivity pre CLIL vyučovanie matematiky / Páleníková, Kitti [Autor, UKFFPVKMA, 30%] ; Naštická, Zuzana [Autor, UKFFPVKMA, 30%] ; Šubová, Lenka [Autor, UKFFPVKMA, 20%] ; Medová, Janka [Autor, UKFFPVKMA, 10%] ; Rumanová, Lucia [Autor, UKFFPVKMA, 5%] ; Plothová, Lucia [Autor, 5%]. – 1. vyd. – Nitra (Slovensko) : Univerzita Konštantína Filozofa v Nitre, 2018. – 106 s. [tlačená forma] : text. – [slovenčina]. – [OV 240]. – ISBN 978-80-558-1364-6 </t>
  </si>
  <si>
    <t xml:space="preserve">Mediálna kultúra I. [textový dokument (print)]  [skriptum (do 2021)] : vybrané texty k problematike mediálnej propagandy a manipulácie / Moravčíková, Erika [Autor, UKFFFAKKU, 100%]. – 1. vyd. – Nitra (Slovensko) : Univerzita Konštantína Filozofa v Nitre, 2020. – 144 s. [tlačená forma]. – [slovenčina]. – [OV 020]. – ISBN 978-80-558-1617-3 </t>
  </si>
  <si>
    <t xml:space="preserve">Memorix komunitného ošetrovateľstva [textový dokument (print)]  [skriptum (do 2021)] / Pavelová, Ľuboslava [Autor, UKFFSVKOS, 12%] ; Brázdilová, Dana [Autor, UKFFSVKUM, 11%] ; Krištofová, Erika [Autor, UKFFSVKOS, 11%] ; Líšková, Miroslava [Autor, UKFFSVKOS, 11%] ; Mesárošová, Jozefína [Autor, UKFFSVKOS, 11%] ; Poledníková, Ľubica [Autor, UKFFSVKOS, 11%] ; Slamková, Alica [Autor, UKFFSVKOS, 11%] ; Spáčilová, Zuzana [Autor, UKFFSVKOS, 11%] ; Vörösová, Gabriela [Autor, UKFFSVKOS, 11%] ; Pavelová, Ľuboslava [Zostavovateľ, editor, UKFFSVKOS, 100%]. – 1. vyd. – Nitra (Slovensko) : Univerzita Konštantína Filozofa v Nitre, 2020. – 230 s. [tlačená forma] : text. – [slovenčina]. – [OV 180]. – ISBN 978-80-558-1603-6 </t>
  </si>
  <si>
    <t xml:space="preserve">Memorix komunitného ošetrovateľstva 2 [textový dokument (print)]  [skriptum (do 2021)] / Pavelová, Ľuboslava [Autor, UKFFSVKOS, 10%] ; Brázdilová, Dana [Autor, UKFFSVKUM, 10%] ; Krištofová, Erika [Autor, UKFFSVKOS, 10%] ; Líšková, Miroslava [Autor, UKFFSVKOS, 10%] ; Mesárošová, Jozefína [Autor, UKFFSVKOS, 10%] ; Poledníková, Ľubica [Autor, UKFFSVKOS, 10%] ; Slamková, Alica [Autor, UKFFSVKOS, 10%] ; Solgajová, Andrea [Autor, UKFFSVKOS, 10%] ; Spáčilová, Zuzana [Autor, UKFFSVKOS, 10%] ; Zrubcová, Dana [Autor, UKFFSVKOS, 10%]. – 1. vyd. – Nitra (Slovensko) : Univerzita Konštantína Filozofa v Nitre, 2021. – 234 s. [tlačená forma] : text. – [slovenčina]. – [OV 180]. – ISBN 978-80-558-1799-6 </t>
  </si>
  <si>
    <t xml:space="preserve">Methodological approaches to the phonetic investigation of speech [textový dokument (print)]  [skriptum (do 2021)] : collection of texts on Slovak phonetics / Beňuš, Štefan [Autor, UKFFFAKAA, 100%]. – 1. vyd. – Nitra (Slovensko) : Univerzita Konštantína Filozofa v Nitre, 2018. – 105 s. [tlačená forma] : text. – [angličtina]. – [OV 020]. – ISBN 978-80-558-1334-9 </t>
  </si>
  <si>
    <t xml:space="preserve">Metodika práce s prístrojmi na meranie kvality prostredia [textový dokument (print)]  [skriptum (do 2021)] / Depešová, Jana [Autor, UKFPFAKTT, 12%] ; Ažaltovičová, Michaela [Autor, UKFPFAKTT, 11%] ; Bánesz, Gabriel [Autor, UKFPFAKTT, 11%] ; Bilčíková, Jana [Autor, UKFPFAKTT, 11%] ; Lukáčová, Danka [Autor, UKFPFAKTT, 11%] ; Šebo, Miroslav [Autor, UKFPFAKTT, 11%] ; Širka, Ján [Autor, UKFPFAKTT, 11%] ; Tomková, Viera [Autor, UKFPFAKTT, 11%] ; Tureková, Ivana [Autor, UKFPFAKTT, 11%] ; Depešová, Jana [Zostavovateľ, editor, UKFPFAKTT, 50%] ; Harangozó, Jozef [Zostavovateľ, editor, UKFPFAKTT, 50%]. – 1. vyd. – Nitra (Slovensko) : Univerzita Konštantína Filozofa v Nitre, 2021. – 108 s. [tlačená forma] : text, ilustr., fotogr. – [slovenčina]. – [OV 010]. – ISBN 978-80-558-1664-7 </t>
  </si>
  <si>
    <t xml:space="preserve">Mit Podcasts in der Online-Welt unterwegs [textový dokument (print)]  [skriptum (do 2021)] : Ein Ratgeber zum Selbermachen / Wrede, Oľga [Autor, UKFFFAKGE, 30%] ; Nováčiková, Daša [Autor, UKFFFAKZU, 40%] ; Litschko, Katrin [Autor, 30%]. – 1. vyd. – Nitra (Slovensko) : Univerzita Konštantína Filozofa v Nitre, 2021. – 89 s. [tlačená forma] : text. – [nemčina]. – [OV 020]. – ISBN 978-80-558-1797-2 </t>
  </si>
  <si>
    <t xml:space="preserve">Návody na cvičenia z anatómie a morfológie rastlín [textový dokument (print)]  [skriptum (do 2021)] / Cehula, Marcela [Autor, UKFFPVKBG, 24%] ; Babosová, Ramona [Autor, UKFFPVKZA, 24%] ; Bartková, Alexandra [Autor, UKFFPVKBG, 24%] ; Juríková, Tünde [Autor, UKFFSSUVP, 4%] ; Kuna, Roman [Autor, UKFFPVKBG, 24%]. – 1. vyd. – Nitra (Slovensko) : Univerzita Konštantína Filozofa v Nitre, 2019. – 100 s. [tlačená forma] : text. – [slovenčina]. – [OV 130]. – ISBN 978-80-558-1454-4 </t>
  </si>
  <si>
    <t xml:space="preserve">Návody na laboratórne cvičenia z biológie stresu rastlín [textový dokument (print)]  [skriptum (do 2021)] / Mészáros, Patrik [Autor, UKFFPVKBG, 100%]. – 1. vyd. – Nitra (Slovensko) : Univerzita Konštantína Filozofa v Nitre, 2020. – 71 s. [tlačená forma] : text, ilustr. – [slovenčina]. – [OV 130]. – ISBN 978-80-558-1514-5 </t>
  </si>
  <si>
    <t xml:space="preserve">Nelegálne skládky odpadov [textový dokument (print)]  [skriptum (do 2021)] : sprievodca mapovaním / Pucherová, Zuzana [Autor, UKFFPVKEE, 40%] ; Mišovičová, Regína [Autor, UKFFPVKEE, 30%] ; Petlušová, Viera [Autor, UKFFPVKEE, 30%]. – 1. vyd. – Nitra (Slovensko) : Univerzita Konštantína Filozofa v Nitre, 2018. – 91 s. [tlačená forma] : text. – [slovenčina]. – [OV 100]. – ISBN 978-80-558-1317-2 </t>
  </si>
  <si>
    <t xml:space="preserve">Nitra a okolie v rokoch 1939-1945 [textový dokument (print)]  [skriptum (do 2021)] : Dejiny Nitry a okolia v školskej praxi / Palárik, Miroslav [Autor, UKFFFAKHI, 35%] ; Mikulášová, Alena [Autor, UKFFFAKHI, 35%] ; Hetényi, Martin [Autor, UKFFFAUKD, 30%]. – 1. vyd. – Nitra (Slovensko) : Univerzita Konštantína Filozofa v Nitre, 2020. – 126 s. [tlačená forma] [CD-ROM]. – [slovenčina]. – [OV 030]. – ISBN 978-80-558-1614-2 </t>
  </si>
  <si>
    <t xml:space="preserve">Nitra a okolie v rokoch 1939-1945 [textový dokument (print)]  [skriptum (do 2021)] : Dejiny Nitry a okolia v školskej praxi - pracovný zošit / Palárik, Miroslav [Autor, UKFFFAKHI, 50%] ; Mikulášová, Alena [Autor, UKFFFAKHI, 40%] ; Hetényi, Martin [Autor, UKFFFAUKD, 10%]. – 1. vyd. – Nitra (Slovensko) : Univerzita Konštantína Filozofa v Nitre, 2020. – 196 s. [tlačená forma] [CD-ROM] : text. – [slovenčina]. – [OV 030]. – ISBN 978-80-558-1635-7 </t>
  </si>
  <si>
    <t xml:space="preserve">Nová cvičebnice pro rozvíjení kognitivních a komunikačních dovedností tlumočníků [textový dokument (print)]  [skriptum (do 2021)] / Vilímek, Vítězslav [Autor, 34%] ; Hodáková, Soňa [Autor, UKFFFAKTR, 33%] ; Raclavská, Jana [Autor, 33%]. – 1. vyd. – Ostrava (Česko) : Ostravská univerzita, 2019. – 105 s. [tlačená forma] : text. – [čeština]. – [OV 020]. – ISBN 978-80-7599-014-3 </t>
  </si>
  <si>
    <t xml:space="preserve">Orthoepy of West Slavonic Languages. Practical Exercises [textový dokument (print)]  [skriptum (do 2021)] : workbook for practising standard Czech, Slovak and Polish pronunciation / Olšiak, Marcel [Autor, UKFFFASJL, 34%] ; Kuldanová, Pavlína [Autor, 33%] ; Hebal-Jezierska, Milena [Autor, 33%]. – 1. vyd. – Ostrava (Česko) : Ostravská univerzita, 2019. – 53 s. [3,12 AH] [tlačená forma] : text. – [angličtina]. – [OV 010, 020]. – ISBN 978-80-7599-145-4 </t>
  </si>
  <si>
    <t xml:space="preserve">Pedagogická prax [textový dokument (print)]  [skriptum (do 2021)] : nástroj skvalitňovania vzdelávania učiteľov / Szíjjártóová, Katarína [Autor, UKFPFAKPE, 50%] ; Kramáreková, Hilda [Autor, UKFFPVKGR, 50%]. – 1. vyd. – Nitra (Slovensko) : Univerzita Konštantína Filozofa v Nitre, 2019. – 171 s. [tlačená forma]. – [slovenčina]. – [OV 010]. – ISBN 978-80-558-1443-8 </t>
  </si>
  <si>
    <t xml:space="preserve">Počítačové systémy a siete [textový dokument (print)]  [skriptum (do 2021)] / Švec, Peter [Autor, UKFFPVKIN, 40%] ; Koprda, Štefan [Autor, UKFFPVKIN, 30%] ; Škrinárová, Jarmila [Autor, 20%] ; Siládi, Vladimir [Autor, 10%]. – 1. vyd. – Bratislava (Slovensko) : Centrum vedecko-technických informácií SR, 2020. – 244 s. [tlačená forma] : text. – [slovenčina]. – [OV 160]. – ISBN 978-80-89965-77-9 </t>
  </si>
  <si>
    <t xml:space="preserve">Practice material for English Phonetics 1 [textový dokument (print)]  [skriptum (do 2021)] : basic prosody and connected speech / Beňuš, Štefan [Autor, UKFFFAKAA, 100%]. – 1. vyd. – Praha (Česko) : Verbum, 2018. – 74 s. [tlačená forma] : text. – [angličtina]. – [OV 020]. – ISBN 978-80-87800-46-1 </t>
  </si>
  <si>
    <t xml:space="preserve">Practice material for English Phonetics 2 [textový dokument (print)]  [skriptum (do 2021)] : Comprehensive analysis of spontaneous speech / Beňuš, Štefan [Autor, UKFFFAKAA, 100%]. – 1. vyd. – Praha (Česko) : Verbum, 2018. – 96 s. [tlačená forma] : text. – [angličtina]. – [OV 020]. – ISBN 978-80-87800-47-8 </t>
  </si>
  <si>
    <t xml:space="preserve">Programovanie mobilných zariadení [elektronický dokument]  [skriptum (do 2021)] / Šnajder, Ľubomír [Autor, UPS14500, 60%] ; Lovászová, Gabriela [Autor, UKFFPVKIN, 17%] ; Michaličková, Viera [Autor, UKFFPVKIN, 18%] ; Guniš, Ján [Autor, UPS14500, 5%] ; Šnajder, Ľubomír [Zostavovateľ, editor, UPS14500, 100%] ; Mazák, Ján [Recenzent] ; Novotný, Róbert [Recenzent]. – 1. vyd. – Bratislava (Slovensko) : Centrum vedecko-technických informácií SR, 2020. – 300 s. [11 AH] [online] : text. – [slovenčina]. – [OV 010, 160]. – ISBN 978-80-89965-63-2. – sign UPJS SSEP 021789 </t>
  </si>
  <si>
    <t xml:space="preserve">Riešenie problémov a programovanie [elektronický dokument]  [skriptum (do 2021)] / Guniš, Ján [Autor, UPS14500, 42%] ; Michaličková, Viera [Autor, UKFFPVKIN, 26%] ; Cápay, Martin [Autor, UKFFPVKIN, 22%] ; Šnajder, Ľubomír [Autor, UPS14500, 10%] ; Guniš, Ján [Zostavovateľ, editor, UPS14500, 100%] ; Aštary, Matej [Recenzent] ; Tomcsányi, Peter [Recenzent] ; Pietriková, Emília [Recenzent]. – 1. vyd. – Bratislava (Slovensko) : Centrum vedecko-technických informácií SR, 2020. – 469 s. [22,2 AH] [online] : text, tab., obr. – [slovenčina]. – [OV 010, 160]. – ISBN 978-80-89965-62-5. – sign UPJS SSEP 021788 </t>
  </si>
  <si>
    <t xml:space="preserve">Sociálna prevencia [textový dokument (print)]  [skriptum (do 2021)] / Rác, Ivan [Autor, UKFFSVURS, 100%]. – 1. vyd. – Nitra (Slovensko) : Univerzita Konštantína Filozofa v Nitre, 2019. – 108 s. [tlačená forma]. – [slovenčina]. – [OV 060]. – ISBN 978-80-558-1442-1 </t>
  </si>
  <si>
    <t xml:space="preserve">Stručný přehled české medievistiky od Palackého do sametové revoluce [textový dokument (print)]  [skriptum (do 2021)] : Příručka pro studenty historie / Krafl, Pavel Otmar [Autor, UKFFFAKHI, 100%]. – 1. vyd. – Nitra (Slovensko) : Univerzita Konštantína Filozofa v Nitre, 2021. – 112 s. [tlačená forma] : text. – [slovenčina]. – [OV 030]. – ISBN 978-80-558-1717-0 </t>
  </si>
  <si>
    <t xml:space="preserve">Súčasné kulturologické koncepcie 1 (1) [textový dokument (print)]  [skriptum (do 2021)] : (vybrané kapitoly) / Gabašová, Katarína [Autor, UKFFFAKKU, 100%]. – 1. vyd. – Nitra (Slovensko) : Univerzita Konštantína Filozofa v Nitre, 2020. – 78 s. [tlačená forma] : text. – [slovenčina]. – [OV 020]. – ISBN 978-80-558-1525-1 </t>
  </si>
  <si>
    <t xml:space="preserve">Súčasný stav kultúry Slovákov v Rumunsku [textový dokument (print)]  [skriptum (do 2021)] : učebné texty / Čukan, Jaroslav [Autor, UKFFFAKMK, 14.29%] ; Ďurakov, Viktor [Autor, UKFFFAKMK, 14.285%] ; Kurpaš, Michal [Autor, UKFFFAKMK, 14.285%] ; Letavajová, Silvia [Autor, UKFFFAKMK, 14.285%] ; Michalík, Boris [Autor, UKFFFAKMK, 14.285%] ; Zima, Roman [Autor, UKFFFAKMK, 14.285%] ; Žabenský, Marián [Autor, UKFFFAKMK, 14.285%]. – 1. vyd. – Nadlak (Rumunsko) : Vydavateľstvo - Editura Ivan Krasko, 2019. – 374 s. [tlačená forma] : text, fotogr. – [slovenčina]. – [OV 030]. – ISBN 978-973-107-154-1 </t>
  </si>
  <si>
    <t xml:space="preserve">Tajomstvá archeológie (2) [textový dokument (print)]  [skriptum (do 2021)] : študijný materiál pre 1. ročník Univerzity Tretieho Veku na TU vo Zvolene / Beljak Pažinová, Noémi [Autor, UKFFFAKAR, 100%]. – 1. vyd. – Zvolen (Slovensko) : Technická univerzita vo Zvolene, 2018. – 90 s. [tlačená forma] : text. – [slovenčina]. – [OV 030]. – ISBN 978-80-228-3090-4 </t>
  </si>
  <si>
    <t xml:space="preserve">Texty na nácvik konzekutívneho tlmočenia a využitie strojového prekladu pri príprave tlmočníka [textový dokument (print)]  [skriptum (do 2021)] / Ďuračková, Beáta [Autor, UKFFFAKTR, 50%] ; Welnitzová, Katarína [Autor, UCMFIFKAAM, 50%] ; Siantová, Gabriela [Recenzent] ; Štefčík, Jozef [Recenzent]. – 1. vyd. – Nitra (Slovensko) : Univerzita Konštantína Filozofa v Nitre. Filozofická fakulta, 2021. – 180 s. [tlačená forma]. – [slovenčina]. – [OV 020]. – ISBN 978-80-558-1831-3 </t>
  </si>
  <si>
    <t xml:space="preserve">Übungen zur Wortbildung des deutschen Adjektivs [textový dokument (print)]  [skriptum (do 2021)] / Žilová, Ružena [Autor, UKFFFAKGE, 100%]. – 1. vyd. – Nitra (Slovensko) : Univerzita Konštantína Filozofa v Nitre, 2020. – 150 s. [tlačená forma] : text, ilustr. – [nemčina]. – [OV 020]. – ISBN 978-80-558-1538-1 </t>
  </si>
  <si>
    <t xml:space="preserve">Übungen zur Wortbildung des deutschen Substantivs [textový dokument (print)]  [skriptum (do 2021)] / Žilová, Ružena [Autor, UKFFFAKGE, 100%]. – 1. vyd. – Nitra (Slovensko) : Univerzita Konštantína Filozofa v Nitre, 2018. – 132 s. [tlačená forma] : text. – [nemčina]. – [OV 020]. – ISBN 978-80-558-1276-2 </t>
  </si>
  <si>
    <t xml:space="preserve">Učebné texty z geografie poľnohospodárstva, rybného a lesného hospodárstva [textový dokument (print)]  [skriptum (do 2021)] / Némethová, Jana [Autor, UKFFPVKGR, 100%]. – 1. vyd. – Nitra (Slovensko) : Univerzita Konštantína Filozofa v Nitre, 2019. – 101 s. [tlačená forma] : text. – [slovenčina]. – [OV 092]. – ISBN 978-80-558-1388-2 </t>
  </si>
  <si>
    <t xml:space="preserve">Uplatnenie platformy SMART Learning Suite v oblasti tvorby edukačných aktivít [elektronický dokument]  [skriptum (do 2021)] / Záhorec, Ján [Autor, UKOPDDPP, 75%] ; Brečka, Peter [Autor, UKFPFAKTT, 25%]. – 1. vyd. – Bratislava (Slovensko) : Univerzita Komenského v Bratislave, 2021. – 129 s. [8,04 AH] [CD-ROM] : text, obr. – [slovenčina, angličtina]. – [OV 010]. – ISBN 978-80-223-5127-0. – SIGN-UKO PD DP/21 </t>
  </si>
  <si>
    <t xml:space="preserve">Úvod do teórie hodnôt a hodnotenia pre študentov humanitných vied [textový dokument (print)]  [skriptum (do 2021)] : učebné texty / Kondrla, Peter [Autor, UKFFFAKNS, 60%] ; Lesková, Andrea [Autor, UKFFFAKAE 06.2022, 20%] ; Ďurková, Eva [Autor, UKFFFAKAE 06.2022, 20%]. – 1. vyd. – Žilina (Slovensko) : TELEOS, 2018. – 82 s. [tlačená forma] : text. – [slovenčina]. – [OV 020]. – ISBN 978-80-973156-0-3 </t>
  </si>
  <si>
    <t xml:space="preserve">Vocational English in Exercises: Automotive [textový dokument (print)]  [skriptum (do 2021)] / Csalová, Oľga [Autor, UKFFFAJZC, 20%] ; Burcl, Pavol [Autor, UKFFFAJZC, 20%] ; Kozárová, Zuzana [Autor, UKFFFAJZC, 20%] ; Pavlová, Renáta [Autor, UKFFFAJZC, 20%] ; Zelenická, Elena [Autor, UKFFFAJZC, 20%]. – 1. vyd. – Nitra (Slovensko) : Univerzita Konštantína Filozofa v Nitre, 2021. – 98 s. [tlačená forma] : text. – [angličtina]. – [OV 020]. – ISBN 978-80-558-1814-6 </t>
  </si>
  <si>
    <t xml:space="preserve">Vybrané kapitoly matematickej analýzy v príkladoch [textový dokument (print)]  [skriptum (do 2021)] / Ďuriš, Viliam [Autor, UKFFPVKMA, 50%] ; Lengyelfalusy, Tomáš [Autor, 50%]. – 1. vyd. – Dubnica nad Váhom (Slovensko) : Vysoká škola DTI, 2021. – 163 s. [tlačená forma] : text. – [slovenčina]. – [OV 240]. – ISBN 978-80-8222-031-8 </t>
  </si>
  <si>
    <t xml:space="preserve">Vybrané kapitoly z kognitívnej lingvistiky [textový dokument (print)]  [skriptum (do 2021)] / Kováčová, Zuzana [Autor, UKFFFASJL, 100%]. – 1. vyd. – Nitra (Slovensko) : Univerzita Konštantína Filozofa v Nitre, 2018. – 94 s. [tlačená forma] : text. – [slovenčina]. – [OV 020]. – ISBN 978-80-89703-51-7 </t>
  </si>
  <si>
    <t xml:space="preserve">Vybrané kapitoly z podnikového hospodárstva [textový dokument (print)]  [skriptum (do 2021)] / Levický, Michal [Autor, UKFFPVUMI, 100%]. – 1. vyd. – Nitra (Slovensko) : Univerzita Konštantína Filozofa v Nitre, 2021. – 67 s. [tlačená forma] : text. – [slovenčina]. – [OV 060]. – ISBN 978-80-558-1852-8 </t>
  </si>
  <si>
    <t xml:space="preserve">Vybrané problémy z hudobnej kultúry [textový dokument (print)]  [skriptum (do 2021)] / Mudrák, Marcel [Autor, UKFFFAKMK, 100%]. – 1. vyd. – Nitra (Slovensko) : Univerzita Konštantína Filozofa v Nitre, 2018. – 130 s. [tlačená forma] : text. – [slovenčina]. – [OV 020]. – ISBN 978-80-558-1352-3 </t>
  </si>
  <si>
    <t xml:space="preserve">Výučba základov tlmočenia v skupinách s rôznymi pracovnými jazykmi (1) [textový dokument (print)]  [skriptum (do 2021)] / Hodáková, Soňa [Autor, UKFFFAKTR, 100%]. – 1. vyd. – Nitra (Slovensko) : Univerzita Konštantína Filozofa v Nitre, 2020. – 91 s. [tlačená forma]. – [slovenčina]. – [OV 010]. – ISBN 978-80-558-1633-3 </t>
  </si>
  <si>
    <t xml:space="preserve">Základy pedológie [textový dokument (print)]  [skriptum (do 2021)] / Petlušová, Viera [Autor, UKFFPVKEE, 35%] ; Hreško, Juraj [Autor, UKFFPVKEE, 30%] ; Petluš, Peter [Autor, UKFFPVKEE, 35%]. – 1. vyd. – Nitra (Slovensko) : Univerzita Konštantína Filozofa v Nitre, 2018. – 109 s. [tlačená forma] : text. – [slovenčina]. – [OV 100]. – ISBN 978-80-558-1358-5 </t>
  </si>
  <si>
    <t xml:space="preserve">Základy štatistiky [textový dokument (print)]  [skriptum (do 2021)] : vysokoškolské skriptá pre študentov vedného odboru „Vedy o športe“ / Broďáni, Jaroslav [Autor, UKFPFAKTV, 100%]. – 1. vyd. – Nitra (Slovensko) : Univerzita Konštantína Filozofa v Nitre, 2019. – 105 s. [tlačená forma] : text. – [slovenčina]. – [OV 210]. – ISBN 978-80-558-1441-4 </t>
  </si>
  <si>
    <t xml:space="preserve">Základy tlmočenia v jazykovej kombinácii slovenčina - angličtina [textový dokument (print)]  [skriptum (do 2021)] / Ďuračková, Beáta [Autor, UKFFFAKTR, 50%] ; Hodáková, Soňa [Autor, UKFFFAKTR, 50%]. – 1. vyd. – Nitra (Slovensko) : Univerzita Konštantína Filozofa v Nitre, 2021. – 118 s. [tlačená forma] : text. – [slovenčina]. – [OV 020]. – ISBN 978-80-558-1832-0 </t>
  </si>
  <si>
    <t xml:space="preserve">Základy tlmočenia v jazykovej kombinácii slovenčina - nemčina [textový dokument (print)]  [skriptum (do 2021)] / Hodáková, Soňa [Autor, UKFFFAKTR, 100%]. – 1. vyd. – Nitra (Slovensko) : Univerzita Konštantína Filozofa v Nitre, 2021. – 110 s. [tlačená forma] : text. – [slovenčina]. – [OV 020]. – ISBN 978-80-558-1734-7 </t>
  </si>
  <si>
    <t xml:space="preserve">Základy tlmočenia v jazykovom páre ruština - slovenčina [textový dokument (print)]  [skriptum (do 2021)] / Zahorák, Andrej [Autor, UKFFFAKTR, 70%] ; Hodáková, Soňa [Autor, UKFFFAKTR, 30%]. – 1. vyd. – Nitra (Slovensko) : Univerzita Konštantína Filozofa v Nitre, 2021. – 70 s. [tlačená forma] : text. – [slovenčina]. – [OV 020]. – ISBN 978-80-558-1716-3 </t>
  </si>
  <si>
    <t xml:space="preserve">Záznamník validovaných ošetrovateľských intervencií [skriptum (do 2021)] : intervencie pre pregraduálnu formu študijného programu Ošetrovateľstvo / Archalousová, Alexandra [Autor, UKFFSVKOS, 24%] ; Vörösová, Gabriela [Autor, UKFFSVKOS, 6%] ; Beťková, Melanie [Autor, 6%] ; Frei, Jiří [Autor, 6%] ; Krištofová, Erika [Autor, UKFFSVKOS, 6%] ; Líšková, Miroslava [Autor, UKFFSVKOS, 6%] ; Mesárošová, Jozefína [Autor, UKFFSVKOS, 6%] ; Pavelová, Ľuboslava [Autor, UKFFSVKOS, 6%] ; Poledníková, Ľubica [Autor, UKFFSVKOS, 6%] ; Slamková, Alica [Autor, UKFFSVKOS, 6%] ; Slezáková, Zuzana [Autor, UKFFSVKOS, 1%] ; Solgajová, Andrea [Autor, UKFFSVKOS, 6%] ; Spáčilová, Zuzana [Autor, UKFFSVKOS, 6%] ; Zrubcová, Dana [Autor, UKFFSVKOS, 6%] ; Semanišinová, Mária [Autor, 1%] ; Čičová, Daniela [Autor, UKFFSVKOS, 1%] ; Mikulová, Mariana [Autor, UKFFSVKOS, 1%] ; Archalousová, Alexandra [Zostavovateľ, editor, UKFFSVKOS, 100%]. – 1. vyd. – Nitra (Slovensko) : Univerzita Konštantína Filozofa v Nitre, 2018. – 68 s. [tlačená forma] : text. – [slovenčina]. – [OV 180]. – ISBN 978-80-558-1345-5 </t>
  </si>
  <si>
    <t xml:space="preserve">Zbierka inovatívnych metodík z biológie pre stredné školy [elektronický dokument]  [skriptum (do 2021)] = The collection of innovative methodologies in biology for secondary schools / Mišianiková, Anna [Autor, UPS14100, 30%] ; Lešková, Andrea [Autor, UPS14100, 2%] ; Kimáková, Katarína [Autor, UPS14100, 7%] ; Boberová, Zuzana [Autor, UPS14100, 3%] ; Slepáková, Ivana [Autor, UPS14100, 4%] ; Schubertová, Romana [Autor, UMBFP09, 4%] ; Malina, Radovan [Autor, UMBFP09, 4%] ; Sandanusová, Anna [Autor, UKFFPVKZA, 2%] ; Lengyelová, Libuša [Autor, UKFFPVKBG, 2%] ; Matejovičová, Barbora [Autor, UKFFPVKZA, 2%] ; Morovič, Martin [Autor, UKFFPVKZA, 2%] ; Strejček, František [Autor, UKFFPVKBG, 2%] ; Čipková, Elena [Autor, UKOPRDP, 4%] ; Panigaj, Ľubomír [Autor, UPS14100, 4%] ; Bruňáková, Katarína [Autor, UPS14100, 4%] ; Mock, Andrej [Autor, UPS14100, 4%] ; Kisková, Terézia [Autor, UPS14100, 10%] ; Škarbeková, Lenka [Autor, 4%] ; Čornaničová, Silvia [Autor, 4%] ; Luczyová, Petra [Autor, 2%] ; Nagyová, Soňa [Recenzent] ; Prokaiová, Marianna [Recenzent]. – 1. vyd. – Bratislava (Slovensko) : Centrum vedecko-technických informácií SR, 2020. – 410 s. [online] : text. – [slovenčina]. – [OV 010, 130, 100]. – ISBN 978-80-89965-50-2. – sign UPJS SSEP 021932. – SIGN-UKO PR 803/20 </t>
  </si>
  <si>
    <t xml:space="preserve">Zbierka inovatívnych metodík z biológie pre stredné školy [elektronický dokument]  [skriptum (do 2021)] [The collection of innovative methodologies in biology for secondary schools] / Mišianiková, Anna [Autor, UPS14100, 23%] ; Lešková, Andrea [Autor, UPS14100, 2%] ; Kimáková, Katarína [Autor, UPS14100, 8%] ; Boberová, Zuzana [Autor, UPS14100, 2.5%] ; Slepáková, Ivana [Autor, UPS14100, 3%] ; Schubertová, Romana [Autor, UMBFP09, 7%] ; Malina, Radovan [Autor, UMBFP09, 3%] ; Sandanusová, Anna [Autor, UKFFPVKZA, 1.5%] ; Lengyelová, Libuša [Autor, UKFFPVKBG, 1.5%] ; Matejovičová, Barbora [Autor, UKFFPVKZA, 1.5%] ; Morovič, Martin [Autor, UKFFPVKZA, 1.5%] ; Strejček, František [Autor, UKFFPVKBG, 1.5%] ; Čipková, Elena [Autor, UKOPRDP, 5.5%] ; Fuchs, Michael [Autor, UKOPRDP, 1.5%] ; Panigaj, Ľubomír [Autor, UPS14100, 3%] ; Bruňáková, Katarína [Autor, UPS14100, 3%] ; Mock, Andrej [Autor, UPS14100, 3%] ; Kisková, Terézia [Autor, UPS14100, 7%] ; Škarbeková, Lenka [Autor, 5.5%] ; Čornaničová, Silvia [Autor, 3%] ; Luczyová, Petra [Autor, 1.5%] ; Prokaiová, Marianna [Autor, 4%] ; Procházková, Beáta [Autor, 3%] ; Greňová, Alena [Autor, 1.5%] ; Šoltésová, Silvia [Autor, 1.5%] ; Skičková, Štefánia [Autor, 1%]. – 2. dopl. vyd. – Bratislava (Slovensko) : Centrum vedecko-technických informácií SR, 2021. – 527 s. [online]. – [slovenčina]. – [OV 010, 130]. – [recenzované]. – ISBN (online) 978-80-8240-003-1. – sign UPJS SSEP 022644. – SIGN-UKO PR 942/21 </t>
  </si>
  <si>
    <t xml:space="preserve">Zbierka inovatívnych metodík z biológie pre základné školy [textový dokument (print)]  [skriptum (do 2021)] = The collection of innovative methodologies in biology for primary schools / Lešková, Andrea [Autor, 30%] ; Mišianiková, Anna [Autor, 30%] ; Kimáková, Katarína [Autor, 2%] ; Boberová, Zuzana [Autor, 5%] ; Slepáková, Ivana [Autor, 3%] ; Schubertová, Romana [Autor, 3%] ; Malina, Radovan [Autor, 3%] ; Sandanusová, Anna [Autor, UKFFPVKZA, 2%] ; Vondráková, Mária [Autor, UKFFPVKZA, 2%] ; Schlarmannová, Janka [Autor, UKFFPVKZA, 2%] ; Strejček, František [Autor, UKFFPVKBG, 1%] ; Čipková, Elena [Autor, 2%] ; Fridmanová, Andrea [Autor, 2%] ; Panigaj, Ľubomír [Autor, 2%] ; Kotlárová, Karin [Autor, 2%] ; Fialková, Lívia [Autor, 2%] ; Šmajdová, Valéria [Autor, 2%] ; Petnuchová, Viera [Autor, 3%] ; Mitíľová, Viera [Autor, 2%] ; Fančovičová, Jana [Recenzent] ; Fuchs, Michael [Recenzent]. – 1. vyd. – Bratislava (Slovensko) : Centrum vedecko-technických informácií SR, 2020. – 392 s. [tlačená forma] : text. – [slovenčina]. – [OV 010, 130]. – ISBN 978-80-89965-49-6. – sign UPJS SSEP 021933. – SIGN-UKO PR 803/20 </t>
  </si>
  <si>
    <t xml:space="preserve">Zbierka inovatívnych metodík z biológie pre základné školy [elektronický dokument]  [skriptum (do 2021)] / Lešková, Andrea [Autor, UPS14100, 25.5%] ; Mišianiková, Anna [Autor, UPS14100, 25.5%] ; Kimáková, Katarína [Autor, UPS14100, 2%] ; Boberová, Zuzana [Autor, UPS14100, 4%] ; Slepáková, Ivana [Autor, UPS14100, 7%] ; Schubertová, Romana [Autor, UMBFP09, 2%] ; Malina, Radovan [Autor, UMBFP09, 2%] ; Sandanusová, Anna [Autor, UKFFPVKZA, 1.5%] ; Vondráková, Mária [Autor, UKFFPVKZA, 1.5%] ; Schlarmannová, Janka [Autor, UKFFPVKZA, 1.5%] ; Strejček, František [Autor, UKFFPVKBG, 0.5%] ; Čipková, Elena [Autor, UKOPRDP, 5%] ; Fridmanová, Andrea [Autor, UPS99160, 1.5%] ; Panigaj, Ľubomír [Autor, UPS14100, 1.5%] ; Kotlárová, Karin [Autor, 1.5%] ; Fialková, Lívia [Autor, 1.5%] ; Šmajdová, Valéria [Autor, 1.5%] ; Petnuchová, Viera [Autor, 3%] ; Mitíľová, Viera [Autor, 1.5%] ; Vavreková, Jana [Autor, 4%] ; Bystrá, Barbora [Autor, 1.5%] ; Žideková, Katarína [Autor, 1.5%] ; Radvanský, Marián [Autor, 1%] ; Fuchs, Michael [Autor, UKOPRDP, 2%]. – 1. vyd. – Bratislava (Slovensko) : Centrum vedecko-technických informácií SR, 2021. – 503 s. [online] : text. – [slovenčina]. – [OV 010, 130]. – ISBN (online) 978-80-8240-001-7. – sign UPJS SSEP 022642. – SIGN-UKO PR 942/21 </t>
  </si>
  <si>
    <t xml:space="preserve">Zbierka inovatívnych metodík z fyziky pre stredné školy [textový dokument (print)] [elektronický dokument]  [skriptum (do 2021)] / Ješková, Zuzana [Autor, UPS14201, 10%] ; Kupčíková, Vlasta [Autor, 37.5%] ; Kireš, Marián [Autor, UPS14201, 6.25%] ; Demkanin, Peter [Autor, UKOMFKDMFI, 7.5%] ; Horváth, Peter [Autor, UKOMFKDMFI, 7.5%] ; Velmovská, Klára [Autor, UKOMFKDMFI, 2.5%] ; Hruška, Martin [Autor, UMBFP06, 5%] ; Spodniaková Pfefferová, Miriam [Autor, UMBFP06, 2.5%] ; Raganová, Janka [Autor, UMBFP06, 1.25%] ; Lacsný, Boris [Autor, 3.75%] ; Valovičová, Ľubomíra [Autor, UKFFPVKFY, 1.25%] ; Ondruška, Ján [Autor, UKFFPVKFY, 1.25%] ; Majerčáková, Zuzana [Autor, 2.5%] ; Palenčárová, Ingrid [Autor, 2.5%] ; Beňuška, Jozef [Autor, 2.5%] ; Balážovič, Marek [Autor, 2.5%] ; Čevajka, Jakub [Autor, UKOMFKDMFI, 2.5%] ; Kozelková, Katarína [Autor, 1.25%] ; Duľa, Ivan [Recenzent] ; Holec, Stanislav [Recenzent]. – 1. vyd. – Bratislava (Slovensko) : Centrum vedecko-technických informácií SR, 2020. – 585 s. [tlačená forma] [online] : text, graf., tab., obr. – [slovenčina]. – [OV 091, 010]. – ISBN 978-80-89965-52-6. – sign UPJS SSEP 021996. – SIGN-UKO MF21-0033 </t>
  </si>
  <si>
    <t xml:space="preserve">Zbierka inovatívnych metodík z fyziky pre základné školy [elektronický dokument]  [skriptum (do 2021)] / Ješková, Zuzana [Autor, UPS14201, 36%] ; Kireš, Marián [Autor, UPS14201, 4%] ; Černíková, Dorota [Autor, 7%] ; Velmovská, Klára [Autor, UKOMFKDMFI, 14%] ; Demkanin, Peter [Autor, UKOMFKDMFI, 1.5%] ; Valovičová, Ľubomíra [Autor, UKFFPVKFY, 3.2%] ; Vanyová, Monika [Autor, 10%] ; Spodniaková Pfefferová, Miriam [Autor, UMBFP06, 1.5%] ; Ondruška, Ján [Autor, UKFFPVKFY, 3.2%] ; Macháčová, Ľubomíra [Autor, 2.5%] ; Raganová, Janka [Autor, UMBFP06, 5%] ; Hruška, Martin [Autor, UMBFP06, 2.5%] ; Horváthová, Mária [Autor, 2.5%] ; Šebeň, Vladimír [Autor, PUPHUFMT, 1.3%] ; Vargová, Adriana [Autor, 2.5%] ; Csatáryová, Mária [Autor, PUPHUFMT, 1.3%] ; Kozelková, Katarína [Autor, 2%] ; Lapitková, Viera [Recenzent] ; Štefančínová, Iveta [Recenzent]. – 1. vyd. – Bratislava (Slovensko) : Centrum vedecko-technických informácií SR, 2020. – 460 s. [online] : text, graf., tab., obr. – [slovenčina]. – [OV 091, 010]. – ISBN 978-80-89965-51-9. – sign UPJS SSEP 021997. – SIGN-UKO MF21-0032. – SIGN-PU FHPV-21 261/20 </t>
  </si>
  <si>
    <t xml:space="preserve">Zbierka inovatívnych metodík z geografie pre stredné školy [textový dokument (print)]  [skriptum (do 2021)] : spracované v rámci národného projektu IT Akadémia - vzdelávanie pre 21. storočie / Csachová, Stela [Autor, UPS14300, 30%] ; Kaňuk, Ján [Autor, UPS14300, 20%] ; Gessert, Alena [Autor, UPS14300, 20%] ; Ondová, Veronika [Autor, UPS14300, 3%] ; Škodová, Martina [Autor, 3%] ; Gregorová, Bohuslava [Autor, 3%] ; Vojtek, Matej [Autor, UKFFPVKGR, 3%] ; Vilinová, Katarína [Autor, UKFFPVKGR, 3%] ; Karolčík, Štefan [Autor, 3%] ; Mázorová, Henrieta [Autor, 3%] ; Farárik, Peter [Autor, 3%] ; Papierniková, Martina [Autor, 3%] ; Reváková, Marcela [Autor, 3%] ; Svobodová, Hana [Recenzent] ; Lukáčová, Alena [Recenzent]. – 1. vyd. – Bratislava (Slovensko) : Centrum vedecko-technických informácií SR, 2020. – 486 s. [tlačená forma] : text. – [slovenčina]. – [OV 010, 092]. – ISBN 978-80-89965-54-0. – SIGN-UKO PR 2/20. – sign UPJS SSEP 021784 </t>
  </si>
  <si>
    <t xml:space="preserve">Zbierka inovatívnych metodík z geografie pre základné školy [textový dokument (print)]  [skriptum (do 2021)] : spracované v rámci národného projektu IT Akadémia - vzdelávanie pre 21. storočie / Csachová, Stela [Autor, UPS14300, 20%] ; Kaňuk, Ján [Autor, UPS14300, 10%] ; Gessert, Alena [Autor, UPS14300, 10%] ; Ondová, Veronika [Autor, UPS14300, 33%] ; Škodová, Martina [Autor, 3%] ; Gregorová, Bohuslava [Autor, 3%] ; Vojtek, Matej [Autor, UKFFPVKGR, 3%] ; Vilinová, Katarína [Autor, UKFFPVKGR, 3%] ; Karolčík, Štefan [Autor, 3%] ; Mázorová, Henrieta [Autor, 3%] ; Farárik, Peter [Autor, 3%] ; Papierniková, Martina [Autor, 3%] ; Reváková, Marcela [Autor, 3%] ; Madziková, Alena [Recenzent] ; Lajčáková, Andrea [Recenzent]. – 1. vyd. – Bratislava (Slovensko) : Centrum vedecko-technických informácií SR, 2020. – 439 s. [tlačená forma] : text. – [slovenčina]. – [OV 010, 092]. – ISBN 978-80-89965-53-3. – SIGN-UKO PR 308/20. – sign UPJS SSEP 021785 </t>
  </si>
  <si>
    <t xml:space="preserve">Zbierka inovatívnych metodík z chémie pre stredné školy [elektronický dokument]  [skriptum (do 2021)] / Ganajová, Mária [Autor, UPS14400, 15%] ; Babinčáková, Mária [Autor, UPS14400, 27%] ; Sotáková, Ivana [Autor, UPS14400, 17%] ; Pacovská, Anna [Autor, 6%] ; Antušová, Monika [Autor, 4%] ; Kožurková, Mária [Autor, UPS14400, 4%] ; Skoršepa, Marek [Autor, UMBFP08, 4%] ; Kmeťová, Jarmila [Autor, UMBFP08, 4%] ; Jenisová, Zita [Autor, UKFFPVKCH, 2%] ; Braniša, Jana [Autor, UKFFPVKCH, 2%] ; Szarka, Katarína [Autor, UJSPFKCH, 3%] ; Brestenská, Beáta [Autor, UKOPRDP, 1%] ; Dzurišinová, Zuzana [Autor, 5%] ; Spišiaková, Alena [Autor, 3%] ; Letošníková, Petra [Autor, 3%] ; Kovaľová, Renáta [Recenzent] ; Trčková, Kateřina [Recenzent]. – 1. vyd. – Bratislava (Slovensko) : Centrum vedecko-technických informácií SR, 2020. – 669 s. [online] : text. – [slovenčina]. – [OV 010, 120]. – ISBN (online) 978-80-89965-56-4. – sign UPJS SSEP 021931. – SIGN-UKO PR 804/20 </t>
  </si>
  <si>
    <t xml:space="preserve">Zbierka inovatívnych metodík z chémie pre základné školy [elektronický dokument]  [skriptum (do 2021)] / Ganajová, Mária [Autor, UPS14400, 20%] ; Babinčáková, Mária [Autor, UPS14400, 22%] ; Sotáková, Ivana [Autor, UPS14400, 18%] ; Pacovská, Anna [Autor, 7%] ; Antušová, Monika [Autor, 2%] ; Skoršepa, Marek [Autor, UMBFP08, 4%] ; Kmeťová, Jarmila [Autor, UMBFP08, 4%] ; Jenisová, Zita [Autor, UKFFPVKCH, 3%] ; Braniša, Jana [Autor, UKFFPVKCH, 3%] ; Brestenská, Beáta [Autor, UKOPRDP, 1%] ; Ľuptáčiková, Ivana [Autor, 7%] ; Müllerová, Veronika [Autor, 7%] ; Vicenová, Helena [Autor, 2%] ; Kotuľáková, Katarína [Recenzent] ; Payerová, Iveta [Recenzent]. – 1. vyd. – Bratislava (Slovensko) : Centrum vedecko-technických informácií SR, 2020. – 522 s. [online] : text. – [slovenčina]. – [OV 010, 120]. – ISBN 978-80-89965-55-7. – sign UPJS SSEP 021930. – SIGN-UKO PR 804/20 </t>
  </si>
  <si>
    <t xml:space="preserve">Zbierka inovatívnych metodík z Informatiky pre 2. stupeň základných škôl a stredné školy [textový dokument (print)]  [skriptum (do 2021)] / Tkáčová, Zuzana [Autor, 37%] ; Hanesz, Angelika [Autor, 25%] ; Tomcsányiová, Monika [Autor, UKOMFKDMFI, 7%] ; Tomcsányi, Peter [Autor, UKOMFKDMFI, 6%] ; Trajteľ, Ľudovít [Autor, 7%] ; Jacková, Jana [Autor, KURPEIN, 6%] ; Lovászová, Gabriela [Autor, UKFFPVKIN, 4%] ; Cápay, Martin [Autor, UKFFPVKIN, 4%] ; Michaličková, Viera [Autor, UKFFPVKIN, 4%] ; Trajteľ, Ľudovít [Zostavovateľ, editor, 40%] ; Lovászová, Gabriela [Zostavovateľ, editor, UKFFPVKIN, 30%] ; Hanesz, Angelika [Zostavovateľ, editor, 30%]. – 1. vyd. – Bratislava (Slovensko) : Centrum vedecko-technických informácií SR, 2020. – 507 s. [tlačená forma] : text. – [slovenčina]. – [OV 010, 160]. – ISBN 978-80-89965-60-1. – SIGN-UKO MF20-0685. – sign UPJS SSEP 022447 </t>
  </si>
  <si>
    <t xml:space="preserve">Zbierka inovatívnych metodík z matematiky  pre stredné školy [elektronický dokument]  [skriptum (do 2021)] / Lukáč, Stanislav [Autor, UPS14600, 26%] ; Doboš, Jozef [Autor, UPS14600, 20%] ; Harminc, Matúš [Autor, UPS14600, 2%] ; Semanišinová, Ingrid [Autor, UPS14600, 3%] ; Madaras, Tomáš [Autor, UPS14600, 3%] ; Lučivjanská, Katarína [Autor, UPS14600, 3%] ; Šupina, Jaroslav [Autor, UPS14600, 3%] ; Halčinová, Lenka [Autor, UPS14600, 1%] ; Dillingerová, Monika [Autor, UKOMFKDMFI, 6%] ; Vargová, Michaela [Autor, UKOMFKDMFI, 4%] ; Rumanová, Lucia [Autor, UKFFPVKMA, 3%] ; Páleníková, Kitti [Autor, UKFFPVKMA, 3%] ; Janiš, Vladimír [Autor, UMBFP10, 5%] ; Sisáková, Andrea [Autor, UMBFP10, 2%] ; Macko, Marián [Autor, 5%] ; Tischlerová, Martina [Autor, 3%] ; Kočí Missbachová, Barunka [Autor, 3%] ; Kocová Mičkaninová, Katarína [Autor, 3%] ; Semešiová, Martina [Autor, 1%] ; Hubeňáková, Veronika [Autor, UPS14600, 1%]. – 1. vyd. – Bratislava (Slovensko) : Centrum vedecko-technických informácií SR, 2020. – 509 s. [online] : text. – [slovenčina]. – [OV 010, 240]. – ISBN 978-80-89965-58-8. – sign UPJS SSEP 021957. – SIGN-UKO MF20-0677 </t>
  </si>
  <si>
    <t xml:space="preserve">Zbierka inovatívnych metodík z matematiky pre stredné školy [elektronický dokument]  [skriptum (do 2021)] [A collection of innovative mathematical methodics for secondary schools] / Lukáč, Stanislav [Autor, UPS14600, 25%] ; Doboš, Jozef [Autor, UPS14600, 16%] ; Harminc, Matúš [Autor, UPS14600, 1%] ; Semanišinová, Ingrid [Autor, UPS14600, 2%] ; Madaras, Tomáš [Autor, UPS14600, 2%] ; Lučivjanská, Katarína [Autor, UPS14600, 2%] ; Šupina, Jaroslav [Autor, UPS14600, 2%] ; Halčinová, Lenka [Autor, UPS14600, 1%] ; Dillingerová, Monika [Autor, UKOMFKDMFI, 5%] ; Vargová, Michaela [Autor, UKOMFKDMFI, 5%] ; Rumanová, Lucia [Autor, UKFFPVKMA, 3%] ; Páleníková, Kitti [Autor, UKFFPVKMA, 3%] ; Janiš, Vladimír [Autor, UMBFP10, 3%] ; Sisáková, Andrea [Autor, 2%] ; Macko, Marián [Autor, 7%] ; Tischlerová, Martina [Autor, 5%] ; Kočí Missbachová, Barunka [Autor, 3%] ; Kocová Mičkaninová, Katarína [Autor, 2%] ; Semešiová, Martina [Autor, 1%] ; Hubeňáková, Veronika [Autor, UPS14600, 2%] ; Filová, Petra [Autor, 2%] ; Székelyová, Noémi [Autor, 2%] ; Vodičková, Viera [Autor, 3%] ; Varga, Marek [Autor, 1%] ; Kušnírová, Martina [Recenzent] ; Slavíčková, Mária [Recenzent]. – 2. dopl. vyd. – Bratislava (Slovensko) : Centrum vedecko-technických informácií SR, 2021. – 704 s. [online] : text. – [slovenčina]. – [OV 010, 240]. – ISBN 978-80-8240-010-9. – sign UPJS SSEP 022523. – SIGN-UKO MF21-0634 </t>
  </si>
  <si>
    <t xml:space="preserve">Zbierka inovatívnych metodík z matematiky pre základné školy [elektronický dokument]  [skriptum (do 2021)] / Semanišinová, Ingrid [Autor, UPS14600, 13%] ; Hubeňáková, Veronika [Autor, UPS14600, 41%] ; Krajčiová, Jana [Autor, 8.5%] ; Vodičková, Viera [Autor, 6%] ; Harminc, Matúš [Autor, UPS14600, 2.5%] ; Slavíčková, Mária [Autor, UKOMFKDMFI, 1.5%] ; Vargová, Michaela [Autor, UKOMFKDMFI, 1.5%] ; Rumanová, Lucia [Autor, UKFFPVKMA, 2.5%] ; Záhorská, Júlia [Autor, UKFFPVKMA, 4%] ; Janiš, Vladimír [Autor, UMBFP10, 1.5%] ; Sebínová, Katarína [Autor, UMBFP10, 4%] ; Sojáková, Alžbeta [Autor, 4%] ; Páleníková, Kitti [Autor, UKFFPVKMA, 2.5%] ; Čandová, Zuzana [Autor, 1.5%] ; Lukáč, Stanislav [Autor, UPS14600, 6%] ; Čeretková, Soňa [Recenzent] ; Zaujecová, Anna [Recenzent]. – 2. dopl. vyd. – Bratislava (Slovensko) : Centrum vedecko-technických informácií SR, 2021. – 406 s. [online] : text, graf., tab. – [slovenčina]. – [OV 010, 240]. – ISBN (online) 978-80-8240-009-3. – sign UPJS SSEP 022643. – SIGN-UKO MF21-0774 </t>
  </si>
  <si>
    <t>BCK - Kapitoly v učebniciach a učebných textoch</t>
  </si>
  <si>
    <t xml:space="preserve">Biologicky aktívne látky a terapeutické účinky rastlinných častí niektorých druhov rastlín / Juríková, Tünde [Autor, UKFFSSUVP, 34%] ; Fatrcová Šramková, Katarína [Autor, SPUFAP16, 33%] ; Schwarzová, Marianna [Autor, SPUFAP16, 33%]. – [slovenčina]. – [OV 190, 010]. – [kapitola] In: Peľ a včelie peľové obnôžky z niektorých druhov rastlín [elektronický dokument] : učebné texty pre špecializované kurzy v medzinárodnom projekte FarmersEduca Zabudnuté a málo využívané druhy v sociálno-ekonomickom rozvoji vidieka / Brindza, Jan [Zostavovateľ, editor] ; Motyleva, Svetlana [Zostavovateľ, editor] ; Vinogradova, Yulia [Recenzent] ; Kalista, Mariia [Recenzent] ; Baranec, Tibor [Recenzent]. – 1. vyd. – Nitra (Slovensko) : Slovenská poľnohospodárska univerzita v Nitre, 2018. – ISBN 978-80-552-1862-5, s. 122-133 [1,08 AH] [online] </t>
  </si>
  <si>
    <t xml:space="preserve">Tvorivá dramatika v lesnej pedagogike / Kollárová, Dana [Autor, UKFPFAKPE, 100%]. – [slovenčina]. – [OV 010]. – [kapitola] In: Lesná pedagogika [textový dokument (print)] : učebné texty k vzdelávaciemu programu / Loyová, Dana [Zostavovateľ, editor]. – 1. vyd. – Zvolen (Slovensko) : Národné lesnícke centrum, 2018. – ISBN 978-80-8093-240-4, s. 77-85 [1,05 AH] [tlačená forma] </t>
  </si>
  <si>
    <t>BDA - Heslá v odborných terminologických slovníkoch a encyklopédiách vydaných v zahraničných vydavateľstvách</t>
  </si>
  <si>
    <t xml:space="preserve">Higher Education Systems and Institutions, Slovakia / Lachká, Ľubica [Autor, REKTOR, 30%] ; Verešová, Marcela [Autor, UKFPFAKAP, 30%] ; Baláž, Ivan [Autor, UKFFPVKEE, 20%] ; Miššíková, Gabriela [Autor, UKFFFAKAA, 20%]. – text. – [angličtina]. – [OV 010]. – [heslo] In: Encyclopedia of International Higher Education Systems and Institutions [elektronický dokument] / Teixeira, Pedro [Zostavovateľ, editor] ; Cheol Shin, Jung [Zostavovateľ, editor]. – 1. vyd. – Dordrecht (Holandsko) : Springer Nature. Springer International Publishing AG, 2018. – ISBN (online) 978-94-017-9553-1, 3,02 NS, s. 1-4 [online] </t>
  </si>
  <si>
    <t xml:space="preserve">Nitranská škola / Teplan, Dušan [Autor, UKFFFASJL, 100%]. – text. – [čeština]. – [OV 020]. – [heslo] In: Slovník literárněvědného strukturalismu [textový dokument (print)] / Sládek, Ondřej [Zostavovateľ, editor]. – 1. vyd. – Praha (Česko) : Akademie věd České republiky. Ústav pro českou literaturu AV ČR, 2018. – ISBN 978-80-7577-479-8, 3,12 normostrán, s. 501-509 </t>
  </si>
  <si>
    <t xml:space="preserve">Reproductive Effects of Oil-Related Environmental Pollutants / Sirotkin, Alexander [Autor, UKFFPVKZA, 100%]. – text. – [angličtina]. – [OV 130]. – [heslo]. – SCO In: Encyclopedia of Environmental Health [textový dokument (print)] / Nriagu, Jerome [Zostavovateľ, editor]. – 2. dopl. vyd. – Amsterdam (Holandsko) : Elsevier, 2019. – ISBN 9780444639516. – ISBN (online) 9780444639523, s. 493-498 [tlačená forma] </t>
  </si>
  <si>
    <t xml:space="preserve">Slovakia: History, Culture and Geography of Music / Garaj, Bernard [Autor, UKFFFAKEF, 100%]. – text. – [angličtina]. – [OV 030]. – [heslo]. – [recenzované]. – DOI 10.4135/9781483317731.n655 In: The SAGE International Encyclopedia of Music and Culture [textový dokument (print)] / Sturman, Janet [Zostavovateľ, editor]. – 1. vyd. – Thousand Oaks (USA) : SAGE Publications, 2019. – ISBN 9781483317755. – ISBN (online) 9781483317731, s. 1984-1987 [tlačená forma] </t>
  </si>
  <si>
    <t>BDB - Heslá v odborných terminologických slovníkoch a encyklopédiách vydaných v domácich vydavateľstvách</t>
  </si>
  <si>
    <t xml:space="preserve">Fauna lesov / Krumpálová, Zuzana [Autor, UKFFPVKEE, 100%]. – [slovenčina]. – [OV 100]. – [heslo] In: Veľká kniha živočíchov [textový dokument (print)] / Krumpál, Miroslav [Zostavovateľ, editor]. – 6. preprac. vyd. – Bratislava (Slovensko) : Ikar, 2019. – ISBN 978-80-551-6883-8, s. 29-31 [tlačená forma] </t>
  </si>
  <si>
    <t xml:space="preserve">Pavúky / Krumpálová, Zuzana [Autor, UKFFPVKEE, 100%]. – [slovenčina]. – [OV 100]. – [heslo] In: Veľká kniha živočíchov [textový dokument (print)] / Krumpál, Miroslav [Zostavovateľ, editor]. – 6. preprac. vyd. – Bratislava (Slovensko) : Ikar, 2019. – ISBN 978-80-551-6883-8, s. 82-85 [tlačená forma] </t>
  </si>
  <si>
    <t>BDD - Odborné práce v domácich karentovaných časopisoch</t>
  </si>
  <si>
    <t xml:space="preserve">Jazyk transcendentnej skúsenosti v literárno-fenomenologickej interpretácii = The language of transcendent experience in literary-phenomenological interpretation   / Kučerková, Magda [Autor, UKFFFAKRO, 50%] ; Vašek, Martin [Autor, UKFFFAKFI, 50%]. – text. – [slovenčina]. – [OV 020]. – [článok]. – WOS CC ; SCO ; CCC In: World Literature Studies [textový dokument (print)] [elektronický dokument] . – Bratislava (Slovensko) : Slovenská akadémia vied. Pracoviská SAV. Ústav svetovej literatúry. – ISSN 1337-9275. – ISSN (online) 1337-9690. – Roč. 12, č. 3 (2020), s. 2-8 [tlačená forma] [online] . – SJR: 0,116 ; CiteScore: 0,1 ; SNIP: 0,077 ; AIS: 0.082 AIS - Literature - Q4 Scimago - Literature and literary theory - Q2 </t>
  </si>
  <si>
    <t>BDE - Odborné práce v ostatných zahraničných časopisoch</t>
  </si>
  <si>
    <t xml:space="preserve">A Pro Urbe- és Harmónia-díjas Galántai Kodály Zoltán Daloskör tevékenysége a Kodályévben / Józsa, Mónika [Autor, UKFFSSUVP, 100%]. – text. – [maďarčina]. – [OV 010]. – [článok] In: ZeneSzó [textový dokument (print)] . – ISSN 1215-0436. – Roč. 28, č. 2 (2018), s. 4-6 [tlačená forma] </t>
  </si>
  <si>
    <t xml:space="preserve">A Zólyomi Pusztavár = Pustý hrad vo Zvolene / Beljak, Ján [Autor, 50%] ; Beljak Pažinová, Noémi [Autor, UKFFFAKAR, 50%]. – text. – [maďarčina]. – [OV 030]. – [článok] In: Castrum [textový dokument (print)] : a Castrum Bene Egyesület folyóirata. – Budapešť (Maďarsko) : Castrum Bene Egyesület. – ISSN 1787-1093. – Roč. 23, č. 1-2 (2020), s. 209-215 [tlačená forma] </t>
  </si>
  <si>
    <t xml:space="preserve">Could Tom Bombadil be a Maia? / Juričková, Martina [Autor, UKFFFAKAA, 100%]. – [angličtina]. – [OV 020]. – [článok] In: Amon Hen [elektronický dokument] . – ISSN 0306-8781. – č. 272 (2019), s. 12-13 [online] </t>
  </si>
  <si>
    <t xml:space="preserve">Didattica in aula vs didattica a distanza / Zaccarello, Michelangelo [Autor, UKFFFAKRO, 100%]. – [taliančina]. – [OV 020]. – [článok] In: Il Mulino [textový dokument (print)] . – Roma (Taliansko) : Società editrice il Mulino. – ISSN 1973-8145. – Roč. 69, č. 6 (2020), s. 1-2 [tlačená forma] </t>
  </si>
  <si>
    <t xml:space="preserve">Die Burg Dobrá Niva (Mittelslowakei) im Lichte neuester Forschungen / Beljak Pažinová, Noémi [Autor, UKFFFAKAR, 100%]. – text. – [nemčina]. – [OV 030]. – [článok] In: Burgen und Schlösser [textový dokument (print)] : Zeitschrift für Burgenforschung und Denkmalpflege. – Brabauch (Nemecko) : Deutsche Burgenvereinigung. – ISSN 0007-6201. – ISSN (online) 2567-3041. – Roč. 61, č. 1 (2020), s. 19-26 [tlačená forma] </t>
  </si>
  <si>
    <t xml:space="preserve">Dobronya vára = Hrad Dobrá Niva / Beljak Pažinová, Noémi [Autor, UKFFFAKAR, 100%]. – text. – [maďarčina]. – [OV 030]. – [článok] In: Castrum [textový dokument (print)] : a Castrum Bene Egyesület folyóirata. – Budapešť (Maďarsko) : Castrum Bene Egyesület. – ISSN 1787-1093. – Roč. 23, č. 1-2 (2020), s. 199-203 [tlačená forma] </t>
  </si>
  <si>
    <t xml:space="preserve">e-MOTION: Moc neuromarketingu, emócií a virtuálnej reality aneb čo prinieslo odborné kolokvium / Szabóová, Veronika [Autor, UKFFFAKMR, 100%]. – text. – [slovenčina]. – [OV 020]. – [článok] In: Marketing a komunikace [textový dokument (print)] . – Praha (Česko) : Česká marketingová společnost, Brno (Česko) : Česká společnost pro propagaci a public relations - MOSPRA. – ISSN 1211-5622. – Roč. 26, č. 4 (2021), s. 18-19 [tlačená forma] </t>
  </si>
  <si>
    <t xml:space="preserve">Factors influencing increasing interest in technical education / Ažaltovičová, Michaela [Autor, UKFPFAKTT, 50%] ; Tomková, Viera [Autor, UKFPFAKTT, 50%]. – text. – [angličtina]. – [OV 010]. – [článok] In: Journal of Technology and Information Education [textový dokument (print)] [elektronický dokument] . – Olomouc (Česko) : Univerzita Palackého v Olomouci. Pedagogická fakulta. Katedra technické a informační výchovy. – ISSN 1803-537X. – ISSN (online) 1803-6805. – Roč. 11, č. 1 (2019), s. 14-21 [tlačená forma] [online] </t>
  </si>
  <si>
    <t xml:space="preserve">Faith, Hope, and Despair in Tolkien’s Works / Juričková, Martina [Autor, UKFFFAKAA, 100%]. – text. – [angličtina]. – [OV 020]. – [článok] In: Journal of Tolkien Research [elektronický dokument] . – Valparaiso (USA) : Valparaiso University Press. – ISSN 2471-934X. – Roč. 12, č. 1 (2021), s. 1-10 [online] </t>
  </si>
  <si>
    <t xml:space="preserve">Felvidéki kórusmozaik / Józsa, Mónika [Autor, UKFFSSUVP, 100%]. – [maďarčina]. – [OV 010]. – [článok] In: ZeneSzó [textový dokument (print)] . – ISSN 1215-0436. – Roč. 29, č. 6 (2019), s. 11-13 [tlačená forma] </t>
  </si>
  <si>
    <t xml:space="preserve">Follow-up po liečbe zhubných nádorov vulvy / Mlynček, Miloš [Autor, UKFFSVKOS, 25%] ; Hanzelová, Veronika [Autor, UKOLF1GK, 25%] ; Kubalová, Mária [Autor, UKOLF1GK, 25%] ; Debnár, Tomáš [Autor, UKOLF1GK, 25%]. – text. – [slovenčina]. – [OV 180]. – [článok]. – SIGN-UKO LF 1GK/20. – SIGN-UKO LJ675/21 In: Moderní gynekologie a porodnictví [textový dokument (print)] : časopis pro celoživotní vzdělávání lékařů. – Praha (Česko) : Levret. – ISSN 1211-1058. – Roč. 28, č. 2 (2021), s. 284-287 [tlačená forma] </t>
  </si>
  <si>
    <t xml:space="preserve">Frodo and Sam’s Relationship in the Light of Aristotle’s Philia / Juričková, Martina [Autor, UKFFFAKAA, 100%]. – text. – [angličtina]. – [OV 020]. – [článok] In: Journal of Tolkien Research [elektronický dokument] . – Valparaiso (USA) : Valparaiso University Press. – ISSN 2471-934X. – Roč. 12, č. 1 (2021), s. 1-11 [online] </t>
  </si>
  <si>
    <t xml:space="preserve">Fungovanie edukačného prostredia základných a stredných škôl v pandemoických podmienkach : skúsenosti zo Slovenska / Hašková, Alena [Autor, UKFPFAKTT, 40%] ; Havettová, Romana [Autor, 30%] ; Vogelová, Zuzana [Autor, 30%]. – text. – [slovenčina]. – [OV 010]. – [článok] In: Inovace a technologie ve vzdělávání. – Plzeň (Česko) : Západočeská univerzita v Plzni. – ISSN 2571-2519. – Roč. 2, č. 1 (2020), s. 25-35 [online] </t>
  </si>
  <si>
    <t xml:space="preserve">Iatrogenic Bowel Injuries During Gynaecological Surgery : a Case Report and Literature Review / Hanzelová, Veronika [Autor, UKOLF1GK, 50%] ; Mlynček, Miloš [Autor, UKFFSVKOS, 50%]. – text. – [angličtina]. – [OV 180]. – [článok]. – DOI 10.31487/j.SCR.2020.08.12. – SIGN-UKO LF 1GK/20. – SIGN-UKO LJ589/20 In: Surgical Case Reports [textový dokument (print)] [elektronický dokument] . – Tallin (Estónsko) : Science Repository OÜ. – ISSN 2613-5965. – Roč. 3, č. 8 (2020), s. 1-4 [online] [tlačená forma] </t>
  </si>
  <si>
    <t xml:space="preserve">Katedra muzeológie Filozofickej fakulty Univerzity Konštantína Filozofa v Nitre - reflexie a perspektívy / Gogová, Stanislava [Autor, UKFFFAKMU, 80%] ; Miček, Daniel [Autor, 20%]. – text. – [slovenčina]. – [OV 030]. – [článok] In: Zprávy památkové péče [textový dokument (print)] : časopis státní památkové péče. – Praha (Česko) : Národní památkový ústav. Územní odborné pracoviště středních Čech v Praze. – ISSN 1210-5538. – Roč. 79, č. 3 (2019), s. 366-368 [tlačená forma] </t>
  </si>
  <si>
    <t xml:space="preserve">Kodály zoltán népdalgyűjtő munkássága a mai szlovákia területén / Józsa, Mónika [Autor, UKFFSSUVP, 100%]. – text. – [maďarčina]. – [OV 010]. – [článok] In: Parlando [textový dokument (print)] : A Magyar Zeneművészek és Táncművészek Szakszervezete időszaki zenepedagógiai . – Budapest : Művészeti Szakszervezetek Szövetsége. – ISSN 2063-1979. – ISSN (zrušené) 0133-2767. – Roč. 59, č. 2 (2020), s. 1-24 [tlačená forma] </t>
  </si>
  <si>
    <t xml:space="preserve">Kulturologičeskij podchod v slovackoj obrazovateľnoj auditorii / Zelenická, Elena [Autor, UKFFFAJZC, 100%]. – text. – [ruština]. – [OV 020, 010]. – [článok] In: Philologia Rossica [textový dokument (print)] : časopis pro ruskou filologii a výuku ruského jazyka. – Hradec Králové (Česko) : Univerzita Hradec Králové. – ISSN 2694-8826. – Roč. 1, č. 1 (2019), s. 150-154 [tlačená forma] </t>
  </si>
  <si>
    <t xml:space="preserve">Literárny text ako východisko k vzdelávaciemu obsahu: les ukrytý v básni / Nagyová, Alexandra [Autor, UKFPFAKPE, 100%]. – text. – [slovenčina]. – [OV 020]. – [článok] In: Jazyk - literatura - komunikace [elektronický dokument] : recenzovaný časopis KČJL UP Olomouc. – Olomouc (Česko) : Univerzita Palackého v Olomouci. Pedagogická fakulta. Katedra českého jazyka a literatury. – ISSN (online) 1805-689X. – Roč. 8, č. 2 (2019), s. 110-121 [online] </t>
  </si>
  <si>
    <t xml:space="preserve">Manažment operabilných štádií karcinómu vulvy / Mlynček, Miloš [Autor, UKFFSVKOS, 25%] ; Hanzelová, Veronika [Autor, UKOLF1GK, 25%] ; Kubalová, Mária [Autor, UKOLF1GK, 25%] ; Debnár, Tomáš [Autor, UKOLF1GK, 25%]. – text. – [slovenčina]. – [OV 180]. – [článok]. – SIGN-UKO LF 1GK/20. – SIGN-UKO LJ676/21 In: Moderní gynekologie a porodnictví [textový dokument (print)] : časopis pro celoživotní vzdělávání lékařů. – Praha (Česko) : Levret. – ISSN 1211-1058. – Roč. 28, č. 2 (2021), s. 249-255 [tlačená forma] </t>
  </si>
  <si>
    <t xml:space="preserve">Methodology of quantitative research application in context of branch didactics / Šafranko, Csilla [Autor, 50%] ; Hašková, Alena [Autor, UKFPFAKTT, 50%]. – text. – [angličtina]. – [OV 010]. – [článok]. – DOI 10.5507/jtie.2021.012 In: Journal of Technology and Information Education [textový dokument (print)] [elektronický dokument] . – Olomouc (Česko) : Univerzita Palackého v Olomouci. Pedagogická fakulta. Katedra technické a informační výchovy. – ISSN 1803-537X. – ISSN (online) 1803-6805. – Roč. 13, č. 1 (2021), s. 116-134 [tlačená forma] [online] </t>
  </si>
  <si>
    <t xml:space="preserve">Päť ročníkov ETNODOMU v rámci Folklórneho festivalu Východná / Jágerová, Margita [Autor, UKFFFAKEF, 100%]. – text. – [slovenčina]. – [OV 030]. – [článok] In: Národopisná revue [textový dokument (print)] [elektronický dokument] . – Strážnice (Česko) : Národní ústav lidové kultury. – ISSN 0862-8351. – ISSN (online) 2570-9437. – Roč. 30, č. 3 (2020), s. 259-260 [tlačená forma] [online] . – SNIP: 0,406 ; SJR: 0,156 ; CiteScore: 0,2 Scimago - Anthropology - Q3, Cultural studies - Q2 </t>
  </si>
  <si>
    <t xml:space="preserve">Petyusa vára = Hrad Peťuša / Beljak Pažinová, Noémi [Autor, UKFFFAKAR, 100%]. – text. – [maďarčina]. – [OV 030]. – [článok] In: Castrum [textový dokument (print)] : a Castrum Bene Egyesület folyóirata. – Budapešť (Maďarsko) : Castrum Bene Egyesület. – ISSN 1787-1093. – Roč. 23, č. 1-2 (2020), s. 216-221 [tlačená forma] </t>
  </si>
  <si>
    <t xml:space="preserve">Post-fáza či work in progress? / Timčíková, Zuzana [Autor, UKFFFAULK, 100%]. – text. – [slovenčina]. – [OV 020]. – [článok] In: A2 [textový dokument (print)] : kulturní čtrnáctideník. – Praha (Česko) : A2. – ISSN 1803-6635. – Roč. 14, č. 17 (2018), s. 32-32 [tlačená forma] </t>
  </si>
  <si>
    <t xml:space="preserve">Práce s knihou v přístupu k výchovným situacím v primárním / Hegarová, Eva [Autor, UKFPFAKPE, 100%]. – text. – [čeština]. – [OV 010]. – [článok] In: Jazyk - literatura - komunikace [elektronický dokument] : recenzovaný časopis KČJL UP Olomouc. – Olomouc (Česko) : Univerzita Palackého v Olomouci. Pedagogická fakulta. Katedra českého jazyka a literatury. – ISSN (online) 1805-689X. – Roč. 8, č. 2 (2019), s. 131-139 [online] </t>
  </si>
  <si>
    <t xml:space="preserve">Rozvoj reakčnej agility vo futbale / Šimonek, Jaromír [Autor, UKFPFAKTV, 50%] ; Horička, Pavol [Autor, UKFPFAKTV, 50%]. – text. – [slovenčina]. – [OV 210]. – [článok] In: Fotbal a trénink [textový dokument (print)] . – Praha (Česko) : Unie českých fotbalových trenérů. – ISSN 1212-3390. – Roč. 24, č. 1 (2019), s. 34-37 [tlačená forma] </t>
  </si>
  <si>
    <t xml:space="preserve">Russian Circles - Blood Year / Lakoštik, Radoslav [Autor, UKFFFAULK, 100%]. – [angličtina]. – [OV 020]. – [článok] In: Full Moon [textový dokument (print)] . – Praha (Česko) : Fullmoonzine. – ISSN 1804-3208. – Roč. 5, č. 99-100 (2019), s. 199-200 [online] </t>
  </si>
  <si>
    <t xml:space="preserve">Sasko vára = Šášovský hrad / Kučeráková, Kristína [Autor, 50%] ; Beljak Pažinová, Noémi [Autor, UKFFFAKAR, 50%]. – text. – [maďarčina]. – [OV 030]. – [článok] In: Castrum [textový dokument (print)] : a Castrum Bene Egyesület folyóirata. – Budapešť (Maďarsko) : Castrum Bene Egyesület. – ISSN 1787-1093. – Roč. 23, č. 1-2 (2020), s. 222-226 [tlačená forma] </t>
  </si>
  <si>
    <t xml:space="preserve">Slovenská alternativa k Benešovi / Arpáš, Róbert [Autor, UKFFFAKHI, 100%]. – text. – [slovenčina]. – [OV 030]. – [článok] In: Živá historie [textový dokument (print)] : historický magazín. – ISSN 1803-3326. – Roč. 13, č. 10 (2020), s. 8-13 [tlačená forma] </t>
  </si>
  <si>
    <t xml:space="preserve">Slovenské zeiringity / Patúš, Martin [Autor, 50%] ; Štubňa, Ján [Autor, UKFFPVKGR, 50%]. – text. – [slovenčina]. – [OV 092]. – [článok] In: Minerál [textový dokument (print)] : svět nerostů a drahých kamenů. – České Budějovice (Česko) : Jihočeský mineralogický klub. – ISSN 1213-0710. – Roč. 29, č. 5 (2021), s. 436-440 [tlačená forma] </t>
  </si>
  <si>
    <t xml:space="preserve">Stained glass dated 1907 in St Catherine’s Church in Banská Štiavnica. Saint Joseph, Infant Jesus and Saint John the Baptist., Stained glass dated 1883 in basilica in Hronský Beňadik. Saint Margaret of Hungary : [dve fotografie] / Mináriková, Jana [Autor, UKFPFAKVV, 100%]. – text, fotogr. – [angličtina]. – [OV 010]. – [článok] In: Glass News [elektronický dokument] . – London (Veľká Británia) : Association for the History of Glass. – ISSN (online) 1362-5195. – č. 47 (2020), s. 17-18 [online] </t>
  </si>
  <si>
    <t xml:space="preserve">Strategies for English spelling and reading / Sorádová, Daniela [Autor, UKFPFAKLI, 100%]. – text. – [angličtina]. – [OV 010]. – [článok] In: Problemy Wczesnej Edukacji [textový dokument (print)] . – ISSN 1734-1582. – ISSN (online) 2451-2230. – Roč. 14, č. 1 (2018), s. 107-115 [tlačená forma] </t>
  </si>
  <si>
    <t xml:space="preserve">Theoretical study on differences between social and societal marketing / Džupina, Milan [Autor, UKFFFAKMR, 100%]. – [angličtina]. – [OV 020]. – [článok] In: Logos Polytechnikos [textový dokument (print)] [elektronický dokument] . – Jihlava (Česko) : Vysoká škola polytechnická Jihlava. – ISSN 1804-3682. – ISSN (online) 2464-7551. – Roč. 9, č. 3 (2018), s. 5-18 [tlačená forma] [online] </t>
  </si>
  <si>
    <t xml:space="preserve">Transteoretický model zmeny v sociálnej práci / Pavelová, Ľuba [Autor, 33%] ; Balážiová, Petra [Autor, 33%] ; Juhásová, Andrea [Autor, UKFPFAKAP, 34%]. – text. – [slovenčina]. – [OV 020]. – [článok] In: Logos Polytechnikos [textový dokument (print)] [elektronický dokument] . – Jihlava (Česko) : Vysoká škola polytechnická Jihlava. – ISSN 1804-3682. – ISSN (online) 2464-7551. – Roč. 12, č. 2 (2021), s. 196-206 [tlačená forma] [online] </t>
  </si>
  <si>
    <t xml:space="preserve">Walter Egon / Hochel, Igor [Autor, UKFFFASJL, 100%]. – text. – [chorvátčina]. – [OV 020]. – [článok] In: Artikulacije [textový dokument (print)] : časopis za čitanje. – Koprivnica (Chorvátsko) : Društva hrvatskih književnika. – ISSN 2459-5152. – Roč. 4, č. 1 (2019), s. 49-64 </t>
  </si>
  <si>
    <t xml:space="preserve">Základní principy mentální a fyzické přípravy operatérů (nejen) v gynekologii / Mlynček, Miloš [Autor, UKFFSVKOS, 100%]. – text. – [čeština]. – [OV 180]. – [článok] In: Gynekologie a porodnictví [textový dokument (print)] . – Praha (Česko) : Medibay. – ISSN 2533-4689. – Roč. 5, č. 4-5 (2021), s. 309-310 </t>
  </si>
  <si>
    <t xml:space="preserve">Zólyom várkastélya = Zvolenský zámok / Beljak Pažinová, Noémi [Autor, UKFFFAKAR, 50%] ; Maliniak, Pavol [Autor, 50%]. – text. – [maďarčina]. – [OV 030]. – [článok] In: Castrum [textový dokument (print)] : a Castrum Bene Egyesület folyóirata. – Budapešť (Maďarsko) : Castrum Bene Egyesület. – ISSN 1787-1093. – Roč. 23, č. 1-2 (2020), s. 204-208 [tlačená forma] </t>
  </si>
  <si>
    <t>BDF - Odborné práce v ostatných domácich časopisoch</t>
  </si>
  <si>
    <t xml:space="preserve">"A kampány lett az olvasásnépszerűsítés fő eszköze" : Beszélgetés Fenyő D. Györggyel az irodalomnépszerűsítés lehetőségeiről / Petres Csizmadia, Gabriela [Autor, UKFFSSUML, 100%]. – text. – [maďarčina]. – [OV 010]. – [článok] In: Katedra [elektronický dokument] : szlovákiai magyar pedagógusok és szülők lapja. – Dunajská Streda (Slovensko) : Nadácia Katedra. – ISSN 1335-6445. – ISSN (online) 2729-9066. – Roč. 26, č. 8 (2019), s. 4-6 [tlačená forma] [online] </t>
  </si>
  <si>
    <t xml:space="preserve">"K čomu sa to vyvíjam?" Horizont budúcnosti v denníku J. Vanoviča z rokov 1970-1975 / Mitková, Natália [Autor, UKFFFASJL, 100%]. – text. – [slovenčina]. – [OV 020]. – [článok] In: Fraktál [textový dokument (print)] : literatúra horizontálne a vertikálne. – Závod (Slovensko) : Fraktál. – ISSN 2585-8912. – Roč. 2, č. 4 (2019), s. 153-159 [tlačená forma] </t>
  </si>
  <si>
    <t xml:space="preserve">"Nie je to len mier pre kontinenty, je to mier pre ľudstvo" : Versaillská mierová zmluva 1919 / Mikulášová, Alena [Autor, UKFFFAKHI, 100%]. – text. – [slovenčina]. – [OV 030]. – [článok] In: Historická revue [textový dokument (print)] : vedecko-populárny mesačník o dejinách. – Bratislava (Slovensko) : Slovenský archeologický a historický inštitút. – ISSN 1335-6550. – TUT ID E003501. – Roč. 30, č. 7 (2019), s. 74-79 [tlačená forma] </t>
  </si>
  <si>
    <t xml:space="preserve">"Vidím strukturalismus jako nepřetržité promýšlení..." : rozhovor s Tomášom Hoskovcom / Teplan, Dušan [Autor, UKFFFASJL, 100%]. – text. – [slovenčina]. – [OV 020]. – [článok] In: Litikon [textový dokument (print)] : časopis pre výskum literatúry = journal for literature research. – Nitra (Slovensko) : Univerzita Konštantína Filozofa v Nitre. – ISSN 2453-8507. – Roč. 3, č. 1 (2018), s. 220-225 [tlačená forma] </t>
  </si>
  <si>
    <t xml:space="preserve">„A legnagyobb álmok is sikerülhetnek, ha hiszünk bennük és teszünk értük” / Brutovszky, Gabriella [Autor, UKFFSSUML, 100%]. – text. – [maďarčina]. – [OV 020]. – [článok] In: Katedra [elektronický dokument] : szlovákiai magyar pedagógusok és szülők lapja. – Dunajská Streda (Slovensko) : Nadácia Katedra. – ISSN 1335-6445. – ISSN (online) 2729-9066. – Roč. 27, č. 6 (2020), s. 4-5 [tlačená forma] [online] </t>
  </si>
  <si>
    <t xml:space="preserve">„Az irodalom egyetlen esélye, ha olvassák és beszél(get)nek róla” : Beszélgetés Pethőné Nagy Csillával = „Jedinou šancou literatúry je čítať ju a hovoriť o nej” : rozhovor s Csillou Pethőné Nagy / Tóth, Anikó [Autor, UKFFSSUML, 100%]. – [maďarčina]. – [OV 010]. – [článok] In: Katedra [elektronický dokument] : szlovákiai magyar pedagógusok és szülők lapja. – Dunajská Streda (Slovensko) : Nadácia Katedra. – ISSN 1335-6445. – ISSN (online) 2729-9066. – Roč. 28, č. 3 (2020), s. 4-5 [tlačená forma] [online] </t>
  </si>
  <si>
    <t xml:space="preserve">„Az irodalom iránti elköteleződésem a legerősebb“ : beszélgetés Brutovszky Gabriellával / Petres Csizmadia, Gabriela [Autor, UKFFSSUML, 50%] ; Brutovszky, Gabriella [Autor, UKFFSSUML, 50%]. – text. – [maďarčina]. – [OV 010]. – [článok] In: Katedra [elektronický dokument] : szlovákiai magyar pedagógusok és szülők lapja. – Dunajská Streda (Slovensko) : Nadácia Katedra. – ISSN 1335-6445. – ISSN (online) 2729-9066. – Roč. 27, č. 3 (2019), s. 4-5 [tlačená forma] [online] </t>
  </si>
  <si>
    <t xml:space="preserve">„Elegánsan olvasni, nagylelkűen” – A Legere Irodalmi Verseny a tizedik év bűvöletében / Radics, Rudolf [Autor, UKFFSSUML, 100%]. – text. – [maďarčina]. – [OV 010]. – [článok] In: Katedra [elektronický dokument] : szlovákiai magyar pedagógusok és szülők lapja. – Dunajská Streda (Slovensko) : Nadácia Katedra. – ISSN 1335-6445. – ISSN (online) 2729-9066. – Roč. 28, č. 6 (2021), s. 33-34 [tlačená forma] [online] </t>
  </si>
  <si>
    <t xml:space="preserve">„Elsősorban a jelenre kéne felkészíteni a diákokat” : beszélgetés Beták Norberttel, a digitális oktatás szakemberével / Petres Csizmadia, Gabriela [Autor, UKFFSSUML, 50%] ; Beták, Norbert [Autor, UKFFSSKCR, 50%]. – text. – [maďarčina]. – [OV 010, 020]. – [článok] In: Katedra [elektronický dokument] : szlovákiai magyar pedagógusok és szülők lapja. – Dunajská Streda (Slovensko) : Nadácia Katedra. – ISSN 1335-6445. – ISSN (online) 2729-9066. – Roč. 28, č. 5 (2021), s. 4-6 [tlačená forma] [online] </t>
  </si>
  <si>
    <t xml:space="preserve">„Tiéd a gyűjtemény!” – egy irodalmi projekt margójára / Brutovszky, Gabriella [Autor, UKFFSSUML, 100%]. – text. – [maďarčina]. – [OV 010]. – [článok] In: Katedra [elektronický dokument] : szlovákiai magyar pedagógusok és szülők lapja. – Dunajská Streda (Slovensko) : Nadácia Katedra. – ISSN 1335-6445. – ISSN (online) 2729-9066. – Roč. 26, č. 4 (2019), s. 9-10 [tlačená forma] [online] </t>
  </si>
  <si>
    <t xml:space="preserve">11 okamihov, ktoré zmenili Veľkú vojnu / Koppan, Vladimír [Autor, UKFFFAKHI, 100%]. – text. – [slovenčina]. – [OV 030]. – [článok] In: HistoryWeb [elektronický dokument] : informačný portál o histórii. – Banská Bystrica (Slovensko) : [s.n.]. – ISSN (online) 1338-8789. – č. november (2018), s. 1-3 [online] </t>
  </si>
  <si>
    <t xml:space="preserve">15 rokov ECL na UKF : za posledných 14 rokov otvorilo Národné skúškové centrum 14 regionálnych skúškových centier na Slovensku / Machová, Renáta [Autor, UKFFFAJZC, 100%]. – text. – [slovenčina]. – [OV 020]. – [článok] In: Náš čas [textový dokument (print)] : časopis Univerzity Konštatnína Filozofa v Nitre. – Nitra (Slovensko) : Univerzita Konštantína Filozofa v Nitre. – ISSN 1338-3272. – Roč. 22, č. 4 (2018), s. 16-16 [tlačená forma] </t>
  </si>
  <si>
    <t xml:space="preserve">170 éve történt – a pákozdi csata / Angyal, Ladislav [Autor, UKFFSSUML, 100%]. – text. – [maďarčina]. – [OV 020]. – [článok] In: Katedra [elektronický dokument] : szlovákiai magyar pedagógusok és szülők lapja. – Dunajská Streda (Slovensko) : Nadácia Katedra. – ISSN 1335-6445. – ISSN (online) 2729-9066. – Roč. 26, č. 1 (2018), s. 26-27 [tlačená forma] [online] </t>
  </si>
  <si>
    <t xml:space="preserve">25th Anniversary of the Department of German Studies : The Department of German Studies and the German Academic Exchange Service celebrating twenty-five years of their existence / Wrede, Oľga [Autor, UKFFFAKGE, 100%]. – text. – [angličtina]. – [OV 020]. – [článok] In: Náš čas [textový dokument (print)] : časopis Univerzity Konštatnína Filozofa v Nitre. – Nitra (Slovensko) : Univerzita Konštantína Filozofa v Nitre. – ISSN 1338-3272. – Roč. 22, č. 3 (2018), s. 28-29 [tlačená forma] </t>
  </si>
  <si>
    <t xml:space="preserve">30 years of ERASMUS program / Butorová, Katarína [Autor, UKFREKTOR, 100%]. – text. – [angličtina]. – [OV 010]. – [článok] In: Náš čas [textový dokument (print)] : časopis Univerzity Konštatnína Filozofa v Nitre. – Nitra (Slovensko) : Univerzita Konštantína Filozofa v Nitre. – ISSN 1338-3272. – Roč. 22, č. 3 (2018), s. 56-57 [tlačená forma] </t>
  </si>
  <si>
    <t xml:space="preserve">A 2018-as Pisa-felmérés Szlovákiában / Kázmér, Klára [Autor, UKFFSSUML, 100%]. – text. – [maďarčina]. – [OV 020]. – [článok] In: Katedra [elektronický dokument] : szlovákiai magyar pedagógusok és szülők lapja. – Dunajská Streda (Slovensko) : Nadácia Katedra. – ISSN 1335-6445. – ISSN (online) 2729-9066. – Roč. 26, č. 1 (2018), s. 24-25 [tlačená forma] [online] </t>
  </si>
  <si>
    <t xml:space="preserve">A digitális írástudás és az ECDL / Beták, Norbert [Autor, UKFFSSKCR, 100%]. – text. – [maďarčina]. – [OV 010]. – [článok] In: Katedra [elektronický dokument] : szlovákiai magyar pedagógusok és szülők lapja. – Dunajská Streda (Slovensko) : Nadácia Katedra. – ISSN 1335-6445. – ISSN (online) 2729-9066. – Roč. 25, č. 7 (2018), s. 22-23 [tlačená forma] [online] </t>
  </si>
  <si>
    <t xml:space="preserve">A digitális tér kínálta módszertani lehetőségek / Radics, Rudolf [Autor, UKFFSSUML, 100%]. – text. – [maďarčina]. – [OV 010]. – [článok] In: Katedra [elektronický dokument] : szlovákiai magyar pedagógusok és szülők lapja. – Dunajská Streda (Slovensko) : Nadácia Katedra. – ISSN 1335-6445. – ISSN (online) 2729-9066. – Roč. 27, č. 8 (2020), s. 15-16 [tlačená forma] [online] </t>
  </si>
  <si>
    <t xml:space="preserve">A geometria jelentősége / Tóth, Attila [Autor, UKFFSSUVP, 50%] ; Nagyová Lehocká, Zuzana [Autor, UKFFSSUVP, 50%]. – text. – [maďarčina]. – [OV 010]. – [článok] In: Katedra [elektronický dokument] : szlovákiai magyar pedagógusok és szülők lapja. – Dunajská Streda (Slovensko) : Nadácia Katedra. – ISSN 1335-6445. – ISSN (online) 2729-9066. – Roč. 28, č. 10 (2021), s. 25-26 [tlačená forma] [online] </t>
  </si>
  <si>
    <t xml:space="preserve">A gondoskodó és megmentésre váró szülők / Petres Csizmadia, Gabriela [Autor, UKFFSSUML, 100%]. – text. – [maďarčina]. – [OV 010]. – [článok] In: Kabóca [textový dokument (print)] : minden kisiskolásnak és iskolába keszülőnek. – Šamorín (Slovensko) : Anser Kiadó. – ISSN 1338-2519. – Roč. 7, č. 9 (2018), s. 30-31 [tlačená forma] </t>
  </si>
  <si>
    <t xml:space="preserve">A közös indulás / Öllös, László [Autor, UKFFFAKPO, 100%]. – text. – [maďarčina]. – [OV 060]. – [článok] In: Fórum Társadalomtudományi Szemle [textový dokument (print)] . – Šamorín (Slovensko) : Fórum inštitút pre výskum menšín. – ISSN 1335-4361. – Roč. 21, č. 3 (2019), s. 107-113 [tlačená forma] </t>
  </si>
  <si>
    <t xml:space="preserve">A magyar nyelv alternatív rokonai (1. rész) / Kozmács, István [Autor, UKFFSSUML, 100%]. – text. – [maďarčina]. – [OV 020]. – [článok] In: Katedra [elektronický dokument] : szlovákiai magyar pedagógusok és szülők lapja. – Dunajská Streda (Slovensko) : Nadácia Katedra. – ISSN 1335-6445. – ISSN (online) 2729-9066. – Roč. 25, č. 9 (2018), s. 9-11 [tlačená forma] [online] </t>
  </si>
  <si>
    <t xml:space="preserve">A magyar nyelv alternatív rokonai (2. rész) / Kozmács, István [Autor, UKFFSSUML, 100%]. – text. – [maďarčina]. – [OV 020]. – [článok] In: Katedra [elektronický dokument] : szlovákiai magyar pedagógusok és szülők lapja. – Dunajská Streda (Slovensko) : Nadácia Katedra. – ISSN 1335-6445. – ISSN (online) 2729-9066. – Roč. 25, č. 10 (2018), s. 21-23 [tlačená forma] [online] </t>
  </si>
  <si>
    <t xml:space="preserve">A meg nem valósított tervek kísértetként visszajárnak : Interjú Macsovszky Péterrel = Nesplnené plány sa vracajú ako duchovia : rozhovor s Petrom Macsovszkým / Tóth, Anikó [Autor, UKFFSSUML, 100%]. – [maďarčina]. – [OV 020]. – [článok] In: Irodalmi Szemle [textový dokument (print)] [elektronický dokument] : irodalom, kritika, társadalomtudomány. – Bratislava (Slovensko) : Madách-Posonium. – ISSN 1336-5088. – Roč. 64, č. 7-8 (2021), s. 74-105 [tlačená forma] [online] </t>
  </si>
  <si>
    <t xml:space="preserve">A nagyhatalmú, jóindulatú és ügyetlen varázslók / Petres Csizmadia, Gabriela [Autor, UKFFSSUML, 100%]. – text. – [maďarčina]. – [OV 010]. – [článok] In: Kabóca [textový dokument (print)] : minden kisiskolásnak és iskolába keszülőnek. – Šamorín (Slovensko) : Anser Kiadó. – ISSN 1338-2519. – Roč. 7, č. 5 (2018), s. 30-31 [tlačená forma] </t>
  </si>
  <si>
    <t xml:space="preserve">A nemzetek tanítójára - Comenius Amos János - halálának 350. évfordulója alkalmából emlékezünk / Pataiová, Helena [Autor, UKFFSSUVP, 100%]. – text. – [maďarčina]. – [OV 010]. – [článok] In: Katedra [elektronický dokument] : szlovákiai magyar pedagógusok és szülők lapja. – Dunajská Streda (Slovensko) : Nadácia Katedra. – ISSN 1335-6445. – ISSN (online) 2729-9066. – Roč. 28, č. 3 (2020), s. 21-23 [tlačená forma] [online] </t>
  </si>
  <si>
    <t xml:space="preserve">A nevadí, že mám iba dvanásť? / Malíček, Juraj [Autor, UKFFFAULK, 100%]. – text. – [slovenčina]. – [OV 020]. – [článok] In: Kultúrny život [textový dokument (print)] . – Bratislava (Slovensko) : Petit Press. – ISSN 2585-9838. – Roč. 3, č. 3 (2020), s. 5-5 [tlačená forma] </t>
  </si>
  <si>
    <t xml:space="preserve">A nyelvjárás megbélyegzése az anyanyelv megbélegzését jelenti : beszélgetés Presinszky Károllyal / Petres Csizmadia, Gabriela [Autor, UKFFSSUML, 50%] ; Presinszky, Károly [Autor, UKFFSSUML, 50%]. – text. – [maďarčina]. – [OV 010]. – [článok] In: Katedra [elektronický dokument] : szlovákiai magyar pedagógusok és szülők lapja. – Dunajská Streda (Slovensko) : Nadácia Katedra. – ISSN 1335-6445. – ISSN (online) 2729-9066. – Roč. 25, č. 6 (2018), s. 4-6 [tlačená forma] [online] </t>
  </si>
  <si>
    <t xml:space="preserve">A PISA-felmérés módszertana és kritikája / Kázmér, Klára [Autor, UKFFSSUML, 100%]. – text. – [maďarčina]. – [OV 010]. – [článok] In: Katedra [elektronický dokument] : szlovákiai magyar pedagógusok és szülők lapja. – Dunajská Streda (Slovensko) : Nadácia Katedra. – ISSN 1335-6445. – ISSN (online) 2729-9066. – Roč. 25, č. 6 (2018), s. 9-11 [tlačená forma] [online] </t>
  </si>
  <si>
    <t xml:space="preserve">A rászedett és jóindulatú ördögök / Petres Csizmadia, Gabriela [Autor, UKFFSSUML, 100%]. – text. – [maďarčina]. – [OV 010]. – [článok] In: Kabóca [textový dokument (print)] : minden kisiskolásnak és iskolába keszülőnek. – Šamorín (Slovensko) : Anser Kiadó. – ISSN 1338-2519. – Roč. 7, č. 8 (2018), s. 30-31 [tlačená forma] </t>
  </si>
  <si>
    <t xml:space="preserve">A saját útjukat járó királykisasszonyok / Petres Csizmadia, Gabriela [Autor, UKFFSSUML, 100%]. – text. – [maďarčina]. – [OV 010]. – [článok] In: Kabóca [textový dokument (print)] : minden kisiskolásnak és iskolába keszülőnek. – Šamorín (Slovensko) : Anser Kiadó. – ISSN 1338-2519. – Roč. 7, č. 7 (2018), s. 30-31 [tlačená forma] </t>
  </si>
  <si>
    <t xml:space="preserve">A szlovákiai magyar diákok olvasási szokásai / Gergelyová, Viktória [Autor, UKFFSSUML, 100%]. – text. – [maďarčina]. – [OV 010]. – [článok] In: Katedra [elektronický dokument] : szlovákiai magyar pedagógusok és szülők lapja. – Dunajská Streda (Slovensko) : Nadácia Katedra. – ISSN 1335-6445. – ISSN (online) 2729-9066. – Roč. 29, č. 1 (2021), s. 16-20 [tlačená forma] [online] </t>
  </si>
  <si>
    <t xml:space="preserve">A Szlovákiai magyar nyelvjárási hangoskönyvek / Presinszky, Károly [Autor, UKFFSSUML, 100%]. – text. – [maďarčina]. – [OV 020]. – [článok] In: Katedra [elektronický dokument] : szlovákiai magyar pedagógusok és szülők lapja. – Dunajská Streda (Slovensko) : Nadácia Katedra. – ISSN 1335-6445. – ISSN (online) 2729-9066. – Roč. 28, č. 8 (2021), s. 27-28 [tlačená forma] [online] </t>
  </si>
  <si>
    <t xml:space="preserve">A szövegértés fogalmának értelmezése / Gergelyová, Viktória [Autor, UKFFSSUML, 100%]. – text. – [maďarčina]. – [OV 010]. – [článok] In: Katedra [elektronický dokument] : szlovákiai magyar pedagógusok és szülők lapja. – Dunajská Streda (Slovensko) : Nadácia Katedra. – ISSN 1335-6445. – ISSN (online) 2729-9066. – Roč. 27, č. 9 (2020), s. 21-23 [tlačená forma] [online] </t>
  </si>
  <si>
    <t xml:space="preserve">A táj átalakulása : a városias területek rohamos növekedésének fenntarthatósági kérdései / Hardi, Tamás [Autor, UKFFSSKCR, 100%]. – text. – [maďarčina]. – [OV 010]. – [článok] In: Katedra [elektronický dokument] : szlovákiai magyar pedagógusok és szülők lapja. – Dunajská Streda (Slovensko) : Nadácia Katedra. – ISSN 1335-6445. – ISSN (online) 2729-9066. – Roč. 28, č. 8 (2021), s. 14-17 [tlačená forma] [online] </t>
  </si>
  <si>
    <t xml:space="preserve">A térlátás fejlesztését segítő térbeli eszközök / Nagyová Lehocká, Zuzana [Autor, UKFFSSUVP, 50%] ; Csáky, Antal [Autor, UKFFSSUVP, 50%]. – text. – [maďarčina]. – [OV 010]. – [článok] In: Katedra [elektronický dokument] : szlovákiai magyar pedagógusok és szülők lapja. – Dunajská Streda (Slovensko) : Nadácia Katedra. – ISSN 1335-6445. – ISSN (online) 2729-9066. – Roč. 28, č. 3 (2020), s. 28-29 [tlačená forma] [online] </t>
  </si>
  <si>
    <t xml:space="preserve">A valódi hivatali kétnyelvűségért / Schulcz, Patrik [Autor, UKFFSSUML, 100%]. – text. – [maďarčina]. – [OV 010]. – [článok] In: Katedra [elektronický dokument] : szlovákiai magyar pedagógusok és szülők lapja. – Dunajská Streda (Slovensko) : Nadácia Katedra. – ISSN 1335-6445. – ISSN (online) 2729-9066. – Roč. 27, č. 10 (2020), s. 24-25 [tlačená forma] [online] </t>
  </si>
  <si>
    <t xml:space="preserve">Ako ďalej v Novom roku : [veda, výskum a akreditácia v roku 2022 na UKF v Nitre] / Vozár, Libor [Autor, UKFFPVKFY, 100%]. – text. – [slovenčina]. – [OV 010]. – [článok] In: Náš čas [textový dokument (print)] : časopis Univerzity Konštatnína Filozofa v Nitre. – Nitra (Slovensko) : Univerzita Konštantína Filozofa v Nitre. – ISSN 1338-3272. – Roč. 24, č. 5 (2020), s. 3-4 [tlačená forma] </t>
  </si>
  <si>
    <t xml:space="preserve">Ako hovoriť o umeleckom diele : inšpirácie na hodiny umenia a kultúry či výchovy umením / Zeleňáková, Hana [Autor, UKFFFAULK, 100%]. – text. – [slovenčina]. – [OV 020]. – [článok] In: Dobrá škola [textový dokument (print)] [elektronický dokument] : časopis o vzdelávaní v 21. storočí : inšpirácia pre učiteľov, ktorí chcú byť lepší. – Bratislava (Slovensko) : Dobrá škola. – ISSN 1338-0338. – ISSN (online) 1338-8444. – Roč. 9, č. 9 (2018), s. 24-24 [tlačená forma] [online] </t>
  </si>
  <si>
    <t xml:space="preserve">Ako sa budovalo československo-sovietske priateľstvo / Hasarová, Zuzana [Autor, UKFFFAKHI, 100%]. – text. – [slovenčina]. – [OV 030]. – [článok] In: HistoryWeb [elektronický dokument] : informačný portál o histórii. – Banská Bystrica (Slovensko) : [s.n.]. – ISSN (online) 1338-8789. – č. 01.09.2021 (2021), s. 1-7 [online] </t>
  </si>
  <si>
    <t xml:space="preserve">Ako sa stať súčasťou, no zároveň nestratiť svoju kultúru? / Račeková, Ľubica [Autor, UKFFFAKZU, 100%]. – text. – [slovenčina]. – [OV 060]. – [článok] In: Náš čas [textový dokument (print)] : časopis Univerzity Konštatnína Filozofa v Nitre. – Nitra (Slovensko) : Univerzita Konštantína Filozofa v Nitre. – ISSN 1338-3272. – Roč. 24, č. 5 (2020), s. 28-29 [tlačená forma] </t>
  </si>
  <si>
    <t xml:space="preserve">Ako študenti FSVaZ vnímali obdobie dištančnej výučby / Čerešníková, Miroslava [Autor, UKFFSVURS, 100%]. – text. – [slovenčina]. – [OV 100]. – [článok] In: Náš čas [textový dokument (print)] : časopis Univerzity Konštatnína Filozofa v Nitre. – Nitra (Slovensko) : Univerzita Konštantína Filozofa v Nitre. – ISSN 1338-3272. – Roč. 24, č. 4 (2020), s. 19-19 [tlačená forma] </t>
  </si>
  <si>
    <t xml:space="preserve">Ako v Československu oslavovali Stalinove narodeniny? / Hasarová, Zuzana [Autor, UKFFFAKHI, 100%]. – text. – [slovenčina]. – [OV 030]. – [článok] In: HistoryWeb [elektronický dokument] : informačný portál o histórii. – Banská Bystrica (Slovensko) : [s.n.]. – ISSN (online) 1338-8789. – č. február (2020), s. 1-3 [online] </t>
  </si>
  <si>
    <t xml:space="preserve">Akumulácie fosforu v reziduálnych sedimentoch  Kolíňanského vrchu v pohorí Tribeč / Feszterová, Melánia [Autor, UKFFPVKCH, 50%] ; Jahn, Ján [Autor, 50%]. – text. – [slovenčina]. – [OV 092, 120]. – [článok] In: Esemestník [textový dokument (print)] [elektronický dokument] : spravodajca Slovenskej mineralogickej spoločnosti. – Bratislava (Slovensko) : Slovenská mineralogická spoločnosť. – ISSN 1338-6425. – ISSN (online) 1338-7189. – Roč. 8, č. 1 (2019), s. 22-23 [tlačená forma] [online] </t>
  </si>
  <si>
    <t xml:space="preserve">Alexander Matuška ako kritik (v) spoločnosti / Teplan, Dušan [Autor, UKFFFASJL, 50%] ; Kolenčíková, Natália [Autor, 50%]. – text. – [slovenčina]. – [OV 020]. – [článok] In: Fraktál [textový dokument (print)] : literatúra horizontálne a vertikálne. – Závod (Slovensko) : Fraktál. – ISSN 2585-8912. – Roč. 4, č. 4 (2021), s. 45-46 [tlačená forma] </t>
  </si>
  <si>
    <t xml:space="preserve">Állati jó mesék / Petres Csizmadia, Gabriela [Autor, UKFFSSUML, 100%]. – text. – [maďarčina]. – [OV 020]. – [článok] In: Kabóca [textový dokument (print)] : minden kisiskolásnak és iskolába keszülőnek. – Šamorín (Slovensko) : Anser Kiadó. – ISSN 1338-2519. – Roč. 7, č. 10 (2018), s. 30-31 [tlačená forma] </t>
  </si>
  <si>
    <t xml:space="preserve">Anexia Krymu / Manda, Vladimír [Autor, UKFFFAKFI, 100%]. – [slovenčina]. – [OV 060]. – [článok] In: Slovo [textový dokument (print)] : kultúrny, historický, lingvistický, literárny a teologický časopis Inštitútu slovanského dedičstva. – ISSN 1097-6248. – Roč. 20, č. 1 (2018), s. 1-2 [tlačená forma] </t>
  </si>
  <si>
    <t xml:space="preserve">Aplikácia čitateľských stratégií do edukačného procesu / Kozárová, Nina [Autor, UKFPFAKPE, 50%] ; Gunišová, Denisa [Autor, UKFPFAKPE, 50%]. – text. – [slovenčina]. – [OV 010]. – [článok] In: Didaktika [textový dokument (print)] : odborný časopis pre výchovu a vzdelávanie. – Bratislava (Slovensko) : Wolters Kluwer. Wolters Kluwer SR. – ISSN 1338-2845. – Roč. 1, č. 3 (2020), s. 14-16 [tlačená forma] </t>
  </si>
  <si>
    <t xml:space="preserve">Aplikovanie stratégií rozvoja sebaregulácie žiakov do edukačného procesu / Kozárová, Nina [Autor, UKFPFAKPE, 50%] ; Gunišová, Denisa [Autor, UKFPFAKPE, 50%]. – text. – [slovenčina]. – [OV 010]. – [článok] In: Didaktika [textový dokument (print)] : odborný časopis pre výchovu a vzdelávanie. – Bratislava (Slovensko) : Wolters Kluwer. Wolters Kluwer SR. – ISSN 1338-2845. – Roč. 2, č. 2 (2021), s. 29-31 [tlačená forma] </t>
  </si>
  <si>
    <t xml:space="preserve">Arc- és lélekszépítő műhely / Józsa, Mónika [Autor, UKFFSSUVP, 100%]. – text. – [maďarčina]. – [OV 010]. – [článok] In: Katedra [elektronický dokument] : szlovákiai magyar pedagógusok és szülők lapja. – Dunajská Streda (Slovensko) : Nadácia Katedra. – ISSN 1335-6445. – ISSN (online) 2729-9066. – Roč. 28, č. 9 (2021), s. 34-35 [tlačená forma] [online] </t>
  </si>
  <si>
    <t xml:space="preserve">Archeológia ľudského rodu / Ballay, Miroslav [Autor, UKFFFAKKU, 100%]. – text. – [slovenčina]. – [OV 020]. – [článok] In: Konkrétne o divadle [textový dokument (print)] [elektronický dokument] : mesačník o divadle na Slovensku. – Bratislava (Slovensko) : Divadelný ústav. – ISSN 1337-1800. – ISSN (online) 2336-4548. – Roč. 12, č. 6 (2018), s. 30-34 [tlačená forma] [online] </t>
  </si>
  <si>
    <t xml:space="preserve">Aspoň na týždeň vysokoškolákom : ľudia so špecifickými potrebami okúsili atmosféru akademickej pôdy / Pavelová, Ľuboslava [Autor, UKFFSVKOS, 50%] ; Krištofová, Erika [Autor, UKFFSVKOS, 50%]. – text. – [slovenčina]. – [OV 060]. – [článok] In: Náš čas [textový dokument (print)] : časopis Univerzity Konštatnína Filozofa v Nitre. – Nitra (Slovensko) : Univerzita Konštantína Filozofa v Nitre. – ISSN 1338-3272. – Roč. 22, č. 4 (2018), s. 6-6 [tlačená forma] </t>
  </si>
  <si>
    <t xml:space="preserve">Audit 2020/2021 / Satková, Janka [Autor, UKFPFAKVV, 100%]. – text. – [slovenčina]. – [OV 010]. – [článok] In: Náš čas [textový dokument (print)] : časopis Univerzity Konštatnína Filozofa v Nitre. – Nitra (Slovensko) : Univerzita Konštantína Filozofa v Nitre. – ISSN 1338-3272. – Roč. 25, č. 2 (2021), s. 24-27 [tlačená forma] </t>
  </si>
  <si>
    <t xml:space="preserve">Autenticky o ľúbosti / Ballay, Miroslav [Autor, UKFFFAKKU, 100%]. – text. – [slovenčina]. – [OV 020]. – [článok] In: Konkrétne o divadle [textový dokument (print)] [elektronický dokument] : mesačník o divadle na Slovensku. – Bratislava (Slovensko) : Divadelný ústav. – ISSN 1337-1800. – ISSN (online) 2336-4548. – Roč. 12, č. 8 (2018), s. 51-51 [tlačená forma] [online] </t>
  </si>
  <si>
    <t xml:space="preserve">Autoritarianizmus 21. storočia (2) / Brhlíková, Radoslava [Autor, UKFFFAKPO, 100%]. – text. – [slovenčina]. – [OV 060]. – [článok] In: Civitas [textový dokument (print)] : časopis pre politické a sociálne vedy. – Nitra (Slovensko) : Univerzita Konštantína Filozofa v Nitre. Filozofická fakulta. Katedra politológie a euroázijských štúdií. – ISSN 1335-2652. – Roč. 26, č. 2 (2020), s. 2-5 [tlačená forma] </t>
  </si>
  <si>
    <t xml:space="preserve">Autoritarianizmus 21. storočia, časť 1. / Brhlíková, Radoslava [Autor, UKFFFAKPO, 100%]. – [slovenčina]. – [OV 060]. – [článok] In: Civitas [textový dokument (print)] : časopis pre politické a sociálne vedy. – Nitra (Slovensko) : Univerzita Konštantína Filozofa v Nitre. Filozofická fakulta. Katedra politológie a euroázijských štúdií. – ISSN 1335-2652. – Roč. 26, č. 1 (2020), s. 2-4 [tlačená forma] </t>
  </si>
  <si>
    <t xml:space="preserve">Az addiktív iskola / Pintes, Gábor [Autor, UKFPFAKPE, 100%]. – text. – [maďarčina]. – [OV 010]. – [článok] In: Katedra [elektronický dokument] : szlovákiai magyar pedagógusok és szülők lapja. – Dunajská Streda (Slovensko) : Nadácia Katedra. – ISSN 1335-6445. – ISSN (online) 2729-9066. – Roč. 27, č. 10 (2020), s. 3-3 [tlačená forma] [online] </t>
  </si>
  <si>
    <t xml:space="preserve">Az adminisztratív munkaerővel szembeni kompetenciaelvárások : országok közti áttekintés / Schulcz, Patrik [Autor, UKFFSSUML, 100%]. – text. – [maďarčina]. – [OV 010]. – [článok] In: Katedra [elektronický dokument] : szlovákiai magyar pedagógusok és szülők lapja. – Dunajská Streda (Slovensko) : Nadácia Katedra. – ISSN 1335-6445. – ISSN (online) 2729-9066. – Roč. 28, č. 9 (2021), s. 22-23 [tlačená forma] [online] </t>
  </si>
  <si>
    <t xml:space="preserve">Az antihős királyfik / Petres Csizmadia, Gabriela [Autor, UKFFSSUML, 100%]. – text. – [maďarčina]. – [OV 010]. – [článok] In: Kabóca [textový dokument (print)] : minden kisiskolásnak és iskolába keszülőnek. – Šamorín (Slovensko) : Anser Kiadó. – ISSN 1338-2519. – Roč. 7, č. 6 (2018), s. 30-31 [tlačená forma] </t>
  </si>
  <si>
    <t xml:space="preserve">Az anyanyelv napjára / Kozmács, István [Autor, UKFFSSUML, 100%]. – text. – [maďarčina]. – [OV 020]. – [článok] In: Katedra [elektronický dokument] : szlovákiai magyar pedagógusok és szülők lapja. – Dunajská Streda (Slovensko) : Nadácia Katedra. – ISSN 1335-6445. – ISSN (online) 2729-9066. – Roč. 25, č. 6 (2018), s. 3-4 [tlačená forma] [online] </t>
  </si>
  <si>
    <t xml:space="preserve">Az anyanyelvi nevelés néhány alapelve / Jánk, István [Autor, UKFFSSUML, 100%]. – text. – [maďarčina]. – [OV 010]. – [článok] In: Katedra [elektronický dokument] : szlovákiai magyar pedagógusok és szülők lapja. – Dunajská Streda (Slovensko) : Nadácia Katedra. – ISSN 1335-6445. – ISSN (online) 2729-9066. – Roč. 25, č. 6 (2018), s. 7-8 [tlačená forma] [online] </t>
  </si>
  <si>
    <t xml:space="preserve">Basketbalový dvojtakt - technika a metodika / Horička, Pavol [Autor, UKFPFAKTV, 100%]. – text. – [slovenčina]. – [OV 210]. – [článok] In: Športový edukátor [elektronický dokument] . – Nitra (Slovensko) : Univerzita Konštantína Filozofa v Nitre. Pedagogická fakulta UKF. Katedra telesnej výchovy a športu. – ISSN (online) 1337-7809. – Roč. 13, č. 2 (2020), s. 26-33 [online] </t>
  </si>
  <si>
    <t xml:space="preserve">Básnik hlbokej pokory a zbožnosti : k 110. výročiu narodenia Jána Harantu / Gallik, Ján [Autor, UKFFSSUSJ, 100%]. – text. – [slovenčina]. – [OV 020]. – [článok] In: Kultúra [textový dokument (print)] [elektronický dokument] : dvojtýždenník závislý od etiky. – ISSN 1335-3470. – ISSN (online) 1336-2992. – Roč. 22, č. 21 (2019), s. 6-7 [tlačená forma] [online] </t>
  </si>
  <si>
    <t xml:space="preserve">Bez diskusie niet demokracie / Sťahel, Richard [Autor, UKFFFAKFI, 100%]. – text. – [slovenčina]. – [OV 020]. – [článok] In: Slovo [elektronický dokument] . – Bratislava (Slovensko) : Občianske združenie Klub Nového slova. – ISSN 1336-2984. – č. 17.01.2019 (2019), s. 1-3 [online] </t>
  </si>
  <si>
    <t xml:space="preserve">Bibliografia / Teplan, Dušan [Autor, UKFFFASJL, 100%]. – text. – [slovenčina]. – [OV 020]. – [článok] In: Fraktál [textový dokument (print)] : literatúra horizontálne a vertikálne. – Závod (Slovensko) : Fraktál. – ISSN 2585-8912. – Roč. 4, č. 4 (2021), s. 259-271 [tlačená forma] </t>
  </si>
  <si>
    <t xml:space="preserve">Bibliografia / Teplan, Dušan [Autor, UKFFFASJL, 100%]. – text. – [slovenčina]. – [OV 020]. – [článok] In: Fraktál [textový dokument (print)] : literatúra horizontálne a vertikálne. – Závod (Slovensko) : Fraktál. – ISSN 2585-8912. – Roč. 1, č. 4 (2018), s. 164-171 [tlačená forma] </t>
  </si>
  <si>
    <t xml:space="preserve">Biografický koncept starostlivosti o seniorov ako prevencia ageizmu a súčasť prípravy na starnutie / Ivančíková, Monika [Autor, UKFPFAKPE, 100%]. – text. – [slovenčina]. – [OV 010]. – [článok] In: Journal Socioterapie [elektronický dokument] : vedecký časopis Inštitútu edukológie a sociálnej práce. – Prešov (Slovensko) : Prešovská univerzita v Prešove. Filozofická fakulta. Inštitút edukológie a sociálnej práce. – ISSN 2453-7543. – Roč. 5, č. 2 (2019), s. 39-45 [online] </t>
  </si>
  <si>
    <t xml:space="preserve">Biopásy v intenzívne využívanej poľnohospodárskej krajine / Petlušová, Viera [Autor, UKFFPVKEE, 50%] ; Petluš, Peter [Autor, UKFFPVKEE, 50%]. – text. – [slovenčina]. – [OV 100]. – [článok] In: Naše pole [textový dokument (print)] [elektronický dokument] : odborný mesačník pre pestovateľov rastlín. – Lužianky (Slovensko) : Naše pole. – ISSN 1335-2466. – ISSN (online) 1336-2666. – Roč. 25, č. 11 (2021), s. 2-26 [tlačená forma] [online] </t>
  </si>
  <si>
    <t xml:space="preserve">Bizonytalan vizeken / Pintes, Gábor [Autor, UKFPFAKPE, 100%]. – text. – [maďarčina]. – [OV 010]. – [článok] In: Katedra [elektronický dokument] : szlovákiai magyar pedagógusok és szülők lapja. – Dunajská Streda (Slovensko) : Nadácia Katedra. – ISSN 1335-6445. – ISSN (online) 2729-9066. – Roč. 29, č. 2 (2021), s. 3-3 [tlačená forma] [online] </t>
  </si>
  <si>
    <t xml:space="preserve">Boh je láska : k storočnici básnika Jána Motulka / Gallik, Ján [Autor, UKFFSSUSJ, 100%]. – text. – [slovenčina]. – [OV 020]. – [článok] In: Kultúra [textový dokument (print)] [elektronický dokument] : dvojtýždenník závislý od etiky. – ISSN 1335-3470. – ISSN (online) 1336-2992. – Roč. 23, č. 3 (2020), s. 6-7 [tlačená forma] [online] </t>
  </si>
  <si>
    <t xml:space="preserve">Britský punk rock ako reakcia na spoločenskú situáciu / Mudrák, Marcel [Autor, UKFFFAKMK, 100%]. – text. – [slovenčina]. – [OV 060]. – [článok] In: Kontexty kultúry a turizmu [textový dokument (print)] . – Nitra (Slovensko) : Univerzita Konštantína Filozofa v Nitre. Filozofická fakulta. – ISSN 1337-7760. – Roč. 12, č. 1 (2019), s. 39-50 [tlačená forma] </t>
  </si>
  <si>
    <t xml:space="preserve">Celý svet je kabaret? / Ballay, Miroslav [Autor, UKFFFAKKU, 100%]. – text. – [slovenčina]. – [OV 060]. – [článok] In: Konkrétne o divadle [textový dokument (print)] [elektronický dokument] : mesačník o divadle na Slovensku. – Bratislava (Slovensko) : Divadelný ústav. – ISSN 1337-1800. – ISSN (online) 2336-4548. – Roč. 15, č. 7 (2021), s. 50-51 [tlačená forma] [online] . – CiteScore: 0,1 ; SJR: 0,158 ; SNIP: 0,704 Scimago - Cultural studies - Q2, History - Q2, Visual arts and performing arts - Q1 </t>
  </si>
  <si>
    <t xml:space="preserve">Cesta - necesta po rodnom kraji / Baďová, Petra [Autor, UKFFFAULK, 100%]. – text. – [slovenčina]. – [OV 020]. – [článok] In: Knižná revue [textový dokument (print)] [elektronický dokument] : mesačník o nových knihách. – Bratislava (Slovensko) : Literárne informačné centrum. – ISSN 1210-1982. – ISSN (online) 1336-247X. – Roč. 30, č. 3 (2020), s. 20-21 [tlačená forma] [online] </t>
  </si>
  <si>
    <t xml:space="preserve">CITES podliehajú aj šperkové suroviny (CITES is also subject to jewelery rav materials) / Schlarmannová, Janka [Autor, UKFFPVKZA, 50%] ; Illášová, Ľudmila [Autor, UKFFPVGMU, 50%]. – text. – [slovenčina]. – [OV 092]. – [článok] In: Gemologický spravodajca [textový dokument (print)] : časopis gemológov pri FPV UKF v Nitre. – Nitra (Slovensko) : Univerzita Konštantína Filozofa v Nitre. Fakulta prírodných vied. – ISSN 1337-6136. – ISSN (online) 1338-5275. – Roč. 10, č. 1 (2020), s. 13-15 [tlačená forma] </t>
  </si>
  <si>
    <t xml:space="preserve">Cvičenia na rozvoj bežeckej a reakčnej agility pre tematický celok Hádzaná / Horička, Pavol [Autor, UKFPFAKTV, 50%] ; Didová, Kristína [Autor, UKFPFAKTV, 50%]. – text. – [slovenčina]. – [OV 010, 210]. – [článok] In: Športový edukátor [elektronický dokument] . – Nitra (Slovensko) : Univerzita Konštantína Filozofa v Nitre. Pedagogická fakulta UKF. Katedra telesnej výchovy a športu. – ISSN (online) 1337-7809. – Roč. 13, č. 1 (2020), s. 23-35 [online] </t>
  </si>
  <si>
    <t xml:space="preserve">Cvičenia na rozvoj pohyblivosti profesionálnych vojakov v rámci komplexného pohybového programu telesnej prípravy / Markovič, Roman [Autor, UKFPFAKTV, 100%]. – text. – [slovenčina]. – [OV 210]. – [článok] In: Telesná výchova &amp; šport [elektronický dokument] : vedecký a odborný recenzovaný časopis Slovenskej vedeckej spoločnosti pre telesnú výchovu a šport. – Bratislava (Slovensko) : Slovenská vedecká spoločnosť pre telesnú výchovu a šport. – ISSN 1335-2245. – ISSN (online) 2730-017X. – Roč. 31, č. 1 (2021), s. 38-42 [online] </t>
  </si>
  <si>
    <t xml:space="preserve">Cykloturistika a možnosti jej využitia v meste Nitra / Šimonek, Jaromír [Autor, UKFPFAKTV, 50%] ; Mihaľ, Jakub [Autor, 50%]. – text. – [slovenčina]. – [OV 210]. – [článok] In: Športový edukátor [elektronický dokument] . – Nitra (Slovensko) : Univerzita Konštantína Filozofa v Nitre. Pedagogická fakulta UKF. Katedra telesnej výchovy a športu. – ISSN (online) 1337-7809. – Roč. 12, č. 2 (2019), s. 45-82 [online] </t>
  </si>
  <si>
    <t xml:space="preserve">Časté chyby v plaveckom spôsobe kraul a cvičenia zamerané na ich odstránenie / Kováčová, Natália [Autor, UKFPFAKTV, 100%]. – text. – [slovenčina]. – [OV 210]. – [článok] In: Športový edukátor [elektronický dokument] . – Nitra (Slovensko) : Univerzita Konštantína Filozofa v Nitre. Pedagogická fakulta UKF. Katedra telesnej výchovy a športu. – ISSN (online) 1337-7809. – Roč. 12, č. 1 (2019), s. 39-44 [online] </t>
  </si>
  <si>
    <t xml:space="preserve">Červený barón zomrel nevyjasnenou smrťou / Koppan, Vladimír [Autor, UKFFFAKHI, 100%]. – text. – [slovenčina]. – [OV 030]. – [článok] In: HistoryWeb [elektronický dokument] : informačný portál o histórii. – Banská Bystrica (Slovensko) : [s.n.]. – ISSN (online) 1338-8789. – č. február (2018), s. 1-3 [online] </t>
  </si>
  <si>
    <t xml:space="preserve">Čítanie v scénografickej mysli Jozefa Cillera / Inštitorisová, Dagmar [Autor, UKFFFAKMR, 100%]. – text. – [slovenčina]. – [OV 020]. – [článok] In: Portál Slovenského národného divadla [textový dokument (print)] . – Bratislava (Slovensko) : Slovenské národné divadlo. – ISSN 1339-5122. – Roč. 8, č. 8 (2019), s. 24-25 [tlačená forma] </t>
  </si>
  <si>
    <t xml:space="preserve">Čo pedagogika ľudí nedokáže naučiť / Židová, Monika [Autor, UKFPFAKPE, 100%]. – text. – [slovenčina]. – [OV 010]. – [článok] In: Naša škola [textový dokument (print)] : odborný metodický časopis pre učiteľov materských škôl a 1. stupňa základných škôl. – Bratislava (Slovensko) : Pamiko. – ISSN 1335-2733. – Roč. 24, č. 3-4 (2020), s. 20-24 [tlačená forma] </t>
  </si>
  <si>
    <t xml:space="preserve">Dialóg ako živá škola myslenia / Blaščíková, Andrea [Autor, UKFFFAKNS, 100%]. – text. – [slovenčina]. – [OV 010]. – [článok] In: Náš čas [textový dokument (print)] : časopis Univerzity Konštatnína Filozofa v Nitre. – Nitra (Slovensko) : Univerzita Konštantína Filozofa v Nitre. – ISSN 1338-3272. – Roč. 25, č. 4 (2021), s. 18-18 [tlačená forma] </t>
  </si>
  <si>
    <t xml:space="preserve">Diecézny mládežnícky spevník / Machutová, Dominika [Autor, UKFPFAKHU, 100%]. – [slovenčina]. – [OV 010]. – [článok] In: Adoramus Te [textový dokument (print)] : časopis o duchovnej hudbe. – Trnava : Spolok svätého Vojtecha, Ružomberok : Ústav hudobného umenia vedy a sakrálnej hudby pri PF Katolíckej univerzity v Ružomberku, SpišskýHrhov (Slovensko) : Liturgická komisia Spišskej diecézy. – ISSN 1335-3292. – Roč. 21, č. 1 (2018), s. 7-11 [tlačená forma] </t>
  </si>
  <si>
    <t xml:space="preserve">Digitálne humanitné vedy pod drobnohľadom / Debnár, Marek [Autor, UKFFFACHV, 100%]. – text. – [slovenčina]. – [OV 020]. – [článok] In: Fraktál [textový dokument (print)] : literatúra horizontálne a vertikálne. – Závod (Slovensko) : Fraktál. – ISSN 2585-8912. – Roč. 4, č. 2 (2021), s. 164-168 [tlačená forma] </t>
  </si>
  <si>
    <t xml:space="preserve">Digithink [Design Thinking for Digital Innovation] : projekt prichádza s modernými prístupmi, ktoré postupne prenikajú aj na Slovensko, zatiaľ hlavne v oblasti marketingu / Žitný, Rastislav [Autor, UKFFSSUVP, 34%] ; Palenčíková, Zuzana [Autor, UKFFSSKCR, 33%] ; Repáňová, Terézia [Autor, UKFFSSKCR, 33%]. – text. – [slovenčina]. – [OV 010]. – [článok] In: Náš čas [textový dokument (print)] : časopis Univerzity Konštatnína Filozofa v Nitre. – Nitra (Slovensko) : Univerzita Konštantína Filozofa v Nitre. – ISSN 1338-3272. – Roč. 22, č. 2 (2018), s. 44-45 [tlačená forma] </t>
  </si>
  <si>
    <t xml:space="preserve">Dínó, kaland, humor - egy történetben / Petres Csizmadia, Gabriela [Autor, UKFFSSUML, 100%]. – text. – [maďarčina]. – [OV 010]. – [článok] In: Katedra [elektronický dokument] : szlovákiai magyar pedagógusok és szülők lapja. – Dunajská Streda (Slovensko) : Nadácia Katedra. – ISSN 1335-6445. – ISSN (online) 2729-9066. – Roč. 27, č. 3 (2019), s. 15-15 [tlačená forma] [online] </t>
  </si>
  <si>
    <t xml:space="preserve">Dirigent : 2020, digitálna frotáž, 54 x 78 cm / Zabadal, Ľubomír [Autor, UKFPFAKVV, 100%]. – text. – [slovenčina]. – [OV 010]. – [článok] In: Slovenská hudba [textový dokument (print)] : revue pre hudobnú kultúru. – Bratislava (Slovensko) : Slovenská muzikologická asociácia pri Slovenskej hudobnej únii. – ISSN 1335-2458. – ISSN (zrušené) 0037-6965. – Roč. 47, č. 1 (2021), s. 1-1 [tlačená forma] </t>
  </si>
  <si>
    <t xml:space="preserve">Do väznice v Ilave sa nedostávali len vrahovia / Rigová, Viktória [Autor, UKFFFAKHI, 100%]. – text. – [slovenčina]. – [OV 030]. – [článok] In: HistoryWeb [elektronický dokument] : informačný portál o histórii. – Banská Bystrica (Slovensko) : [s.n.]. – ISSN (online) 1338-8789. – Roč. 9, č. 4 (2020), s. 1-6 [online] </t>
  </si>
  <si>
    <t xml:space="preserve">Dokument doby a osobného smútku : k autorskej stratégii Jána Roznera v diele Sedem dní do pohrebu / Mitková, Natália [Autor, UKFFFASJL, 100%]. – text. – [slovenčina]. – [OV 020]. – [článok] In: Fraktál [textový dokument (print)] : literatúra horizontálne a vertikálne. – Závod (Slovensko) : Fraktál. – ISSN 2585-8912. – Roč. 1, č. 3 (2018), s. 120-126 [tlačená forma] </t>
  </si>
  <si>
    <t xml:space="preserve">Dominik Tatarka a bovaryovská honba za ilúziou : k postave Marty z Tatarkovej novely V úzkosti hľadania / Kolesík, Milan [Autor, UKFFFASJL, 100%]. – text. – [slovenčina]. – [OV 020]. – [článok] In: Fraktál [textový dokument (print)] : literatúra horizontálne a vertikálne. – Závod (Slovensko) : Fraktál. – ISSN 2585-8912. – Roč. 4, č. 1 (2021), s. 71-80 [tlačená forma] </t>
  </si>
  <si>
    <t xml:space="preserve">Dospelí a predsa deti / Malíček, Juraj [Autor, UKFFFAULK, 100%]. – text. – [slovenčina]. – [OV 020]. – [článok] In: Kultúrny život [textový dokument (print)] . – Bratislava (Slovensko) : Petit Press. – ISSN 2585-9838. – Roč. 2, č. 6 (2019), s. 5-5 [tlačená forma] </t>
  </si>
  <si>
    <t xml:space="preserve">Drobná úvaha o neblahom stave divadla počas pandémie / Ballay, Miroslav [Autor, UKFFFAKKU, 100%]. – text. – [slovenčina]. – [OV 060]. – [článok] In: Fraktál [textový dokument (print)] : literatúra horizontálne a vertikálne. – Závod (Slovensko) : Fraktál. – ISSN 2585-8912. – Roč. 4, č. 2 (2021), s. 38-40 [tlačená forma] </t>
  </si>
  <si>
    <t xml:space="preserve">Drobné zemné cicavce na Záhorí / Kalivodová, Michaela [Autor, UKFFPVKEE, 100%]. – text. – [slovenčina]. – [OV 100]. – [článok] In: Záhorie [textový dokument (print)] : náučno-popularizačný časopis venovaný dejinám, tradíciám, prírode a kultúre Záhoria. – Skalica (Slovensko) : Záhorské múzeum Skalica. – ISSN 1335-7840. – ISSN (chybné) 1337-5687. – Roč. 27, č. 2 (2018), s. 14-18 [tlačená forma] </t>
  </si>
  <si>
    <t xml:space="preserve">Druhý stupeň psychologickej liečby (Psychologická liečba s nižším stupňom intenzity) / Šlepecký, Miloš [Autor, UKFFSVKPV, 70%] ; Praško Pavlov, Ján [Autor, UKFFSVKPV, 15%] ; Jandová, Katarína [Autor, 15%]. – text. – [slovenčina]. – [OV 060]. – [článok] In: Integrácia [textový dokument (print)] : interdisciplinárny odborný časopis o inováciách riešení nepriaznivých sociálnych situácií občanov. – Bratislava (Slovensko) : Rada pre poradenstvo v sociálnej práci. – ISSN 1336-2011. – Roč. 30, č. 1-2 (2019), s. 44-45 [tlačená forma] </t>
  </si>
  <si>
    <t xml:space="preserve">Ďumbier lekársky - zázvor, jeho farmakologické a nutričné využitie / Fatrcová Šramková, Katarína [Autor, SPUFAP16, 50%] ; Juríková, Tünde [Autor, UKFFSSUVP, 50%]. – text. – [slovenčina]. – [OV 190, 010]. – [článok] In: Revue medicíny v praxi [textový dokument (print)] . – Bratislava (Slovensko) : Fabart. – ISSN 1336-202X. – Roč. 16, č. 3 (2018), s. 40-42 [tlačená forma] </t>
  </si>
  <si>
    <t xml:space="preserve">Dve na jednu (knihu: Bokníková, Andrea: Potopené duše. Z tvorby slovenských poetiek v prvej polovici 20. storočia) : revitalizácia tvorby slovenských poetiek / Brunclík, Jozef [Autor, UKFFFASJL, 100%]. – text. – [slovenčina]. – [OV 020]. – [článok] In: Glosolália [textový dokument (print)] [elektronický dokument] : rodovo orientovaný časopis. – Bratislava (Slovensko) : Glosolália, o.z. – ISSN 1338-7146. – ISSN (online) 1339-245X. – Roč. 7, č. 1 (2018), s. 19-27 [tlačená forma] [online] </t>
  </si>
  <si>
    <t xml:space="preserve">Edin Karamazov: "Hranie na ulici bolo dobrou školou." / Veselý, Ondrej [Autor, UKFFFAULK, 100%]. – text. – [slovenčina]. – [OV 010]. – [článok] In: Hudobný život [textový dokument (print)] [elektronický dokument] : jediný odborný mesačník pre klasickú hudbu a jazz na Slovensku. – Bratislava (Slovensko) : Hudobné centrum. – ISSN 1335-4140. – ISSN (online) 2729-7586. – ISSN (zrušené) 0323-133X. – Roč. 51, č. 7-8 (2019), s. 7-8 [tlačená forma] [online] </t>
  </si>
  <si>
    <t xml:space="preserve">Egy felsőoktatási intézmény tantárgykínálatának vizsgálata az EU kompetencia-elvárásainak tükrében / Schulcz, Patrik [Autor, UKFFSSUML, 100%]. – text. – [maďarčina]. – [OV 020]. – [článok] In: Katedra [elektronický dokument] : szlovákiai magyar pedagógusok és szülők lapja. – Dunajská Streda (Slovensko) : Nadácia Katedra. – ISSN 1335-6445. – ISSN (online) 2729-9066. – Roč. 28, č. 6 (2021), s. 21-22 [tlačená forma] [online] </t>
  </si>
  <si>
    <t xml:space="preserve">Együttműködésii lehetőségek : Érsekújvári jó gyakorlat bemutatása / Nagyová Lehocká, Zuzana [Autor, UKFFSSUVP, 100%]. – text. – [maďarčina]. – [OV 010]. – [článok] In: Katedra [elektronický dokument] : szlovákiai magyar pedagógusok és szülők lapja. – Dunajská Streda (Slovensko) : Nadácia Katedra. – ISSN 1335-6445. – ISSN (online) 2729-9066. – Roč. 26, č. 7 (2019), s. 30-31 [tlačená forma] [online] </t>
  </si>
  <si>
    <t xml:space="preserve">Emocionálne prežívanie a regulácia emócií u pacientov v ústavnej liečbe závislostí od alkoholizmu / Jurišová, Erika [Autor, UKFFSVKPV, 30%] ; Wolt, Richard [Autor, UKFFSVKPV, 40%] ; Majtényiová, Kristína [Autor, 30%]. – text. – [slovenčina]. – [OV 060]. – [ŠO 7701]. – [článok] In: Alkoholizmus a drogové závislosti [textový dokument (print)] : odborný časopis Ministerstva zdravotníctva Slovenskej republiky a Sekcie drogových závislostí Psychiatrickej spoločnosti SLS : (Protialkoholický obzor) = Professional Journal of the Ministry of Health of the Slovak Republic. – Bratislava (Slovensko) : Obzor. – ISSN 0862-0350. – Roč. 56, č. 3-4 (2021), s. 143-162 [tlačená forma] </t>
  </si>
  <si>
    <t xml:space="preserve">Esencia biografie na javisku [Søren Kierkegaard] / Ballay, Miroslav [Autor, UKFFFAKKU, 100%]. – [slovenčina]. – [OV 020]. – [článok] In: Culturologica Slovaca [elektronický dokument] : internetový kulturologický časopis. – Nitra (Slovensko) : Univerzita Konštantína Filozofa v Nitre. – ISSN 2453-9740. – Roč. 5, č. 1 (2020), s. 209-211 [online] </t>
  </si>
  <si>
    <t xml:space="preserve">Eterogeneità delle traduzioni slovacche della letteratura italiana delle origini : vecchie traduzioni e nuove prospettive / Šavelová, Monika [Autor, UKFFFAKRO, 100%]. – text. – [taliančina]. – [OV 020]. – [článok] In: Romanistica Comeniana [textový dokument (print)] . – Bratislava (Slovensko) : Univerzita Komenského v Bratislave. – ISSN 2585-8483. – č. 2 (2021), s. 119-129 [tlačená forma] </t>
  </si>
  <si>
    <t xml:space="preserve">Európska sústava chránených území  NATURA 2000 na Slovensku / Saxa, Andrej [Autor, 50%] ; Černecký, Andrej [Autor, UKFFPVKEE, 50%]. – text. – [slovenčina]. – [OV 100]. – [článok] In: Enviromagazín [textový dokument (print)] [elektronický dokument] : odborno-náučný časopis o životnom prostredí. – Banská Bystrica (Slovensko) : Slovenská agentúra životného prostredia, Bratislava (Slovensko) : Ministerstvo životného prostredia Slovenskej republiky. – ISSN 1335-1877. – Roč. 24, č. 2 (2019), s. 32-32 [tlačená forma] </t>
  </si>
  <si>
    <t xml:space="preserve">Existenciálna a umelecko-tvorivá (ne)závislosť a (ne)sloboda hudobných skladateľov / Veselý, Ondrej [Autor, UKFFFAULK, 100%]. – text. – [slovenčina]. – [OV 010]. – [článok] In: Slovenská hudba [textový dokument (print)] : revue pre hudobnú kultúru. – Bratislava (Slovensko) : Slovenská muzikologická asociácia pri Slovenskej hudobnej únii. – ISSN 1335-2458. – ISSN (zrušené) 0037-6965. – Roč. 46, č. 1 (2020), s. 27-32 [tlačená forma] </t>
  </si>
  <si>
    <t xml:space="preserve">Expaxpansion of services for students / Líšková, Miroslava [Autor, UKFFSVKOS, 34%] ; Tvrdík, Miroslav [Autor, 33%] ; Kamenická, Tímea [Autor, UKFREKTOR, 33%]. – text. – [angličtina]. – [OV 020]. – [článok] In: Náš čas [textový dokument (print)] : časopis Univerzity Konštatnína Filozofa v Nitre. – Nitra (Slovensko) : Univerzita Konštantína Filozofa v Nitre. – ISSN 1338-3272. – Roč. 22, č. 3 (2018), s. 14-15 [tlačená forma] </t>
  </si>
  <si>
    <t xml:space="preserve">Fantastický život Stana Leeho / Búry, Juraj [Autor, UKFFFAULK, 100%]. – [slovenčina]. – [OV 020]. – [článok] In: Kultúrny život [textový dokument (print)] . – Bratislava (Slovensko) : Petit Press. – ISSN 2585-9838. – Roč. 1, č. 2 (2018), s. 16-16 [tlačená forma] </t>
  </si>
  <si>
    <t xml:space="preserve">Feladatok a Lechner című meséhez / Petres Csizmadia, Gabriela [Autor, UKFFSSUML, 100%]. – text. – [maďarčina]. – [OV 020]. – [článok] In: Kabóca [textový dokument (print)] : minden kisiskolásnak és iskolába keszülőnek. – Šamorín (Slovensko) : Anser Kiadó. – ISSN 1338-2519. – Roč. 8, č. 7 (2019), s. 8-9 [tlačená forma] </t>
  </si>
  <si>
    <t xml:space="preserve">Felfedező matematikatanulás / Nagyová Lehocká, Zuzana [Autor, UKFFSSUVP, 100%]. – [maďarčina]. – [OV 010]. – [článok] In: Katedra [elektronický dokument] : szlovákiai magyar pedagógusok és szülők lapja. – Dunajská Streda (Slovensko) : Nadácia Katedra. – ISSN 1335-6445. – ISSN (online) 2729-9066. – Roč. 27, č. 2 (2019), s. 6-7 [tlačená forma] [online] </t>
  </si>
  <si>
    <t xml:space="preserve">Festival Nová dráma 2018 a jeho edukačné dimenzie / Ballay, Miroslav [Autor, UKFFFAKKU, 100%]. – text. – [slovenčina]. – [OV 060]. – [článok] In: Kontexty kultúry a turizmu [textový dokument (print)] . – Nitra (Slovensko) : Univerzita Konštantína Filozofa v Nitre. Filozofická fakulta. – ISSN 1337-7760. – Roč. 11, č. 1 (2018), s. 86-90 [tlačená forma] </t>
  </si>
  <si>
    <t xml:space="preserve">Festival slobody / Kralovič, Tomáš [Autor, UKFFFAKHI, 50%] ; Trnkóci, Lukáš [Autor, UKFFFAKHI, 50%]. – text. – [slovenčina]. – [OV 020]. – [článok] In: Náš čas [textový dokument (print)] : časopis Univerzity Konštatnína Filozofa v Nitre. – Nitra (Slovensko) : Univerzita Konštantína Filozofa v Nitre. – ISSN 1338-3272. – Roč. 22, č. 5 (2018), s. 10-11 [tlačená forma] </t>
  </si>
  <si>
    <t xml:space="preserve">Festival umení Konfrontácie 2019 / Sondorová, Dominika [Autor, UKFPFAKHU, 33.334%] ; Gálisová, Lenka [Autor, UKFPFAKHU, 33.333%] ; Kačmárová, Simona [Autor, UKFPFAKHU, 33.333%]. – text. – [slovenčina]. – [OV 010]. – [článok] In: Slovenská hudba [textový dokument (print)] : revue pre hudobnú kultúru. – Bratislava (Slovensko) : Slovenská muzikologická asociácia pri Slovenskej hudobnej únii. – ISSN 1335-2458. – ISSN (zrušené) 0037-6965. – Roč. 46, č. 2 (2020), s. 159-168 [tlačená forma] </t>
  </si>
  <si>
    <t xml:space="preserve">Festival umení Konfrontácie 2021 / Sondorová, Dominika [Autor, UKFPFAKHU, 33%] ; Hubinská, Zuzana [Autor, UKFPFAKHU, 33%] ; Lacková, Ivana [Autor, UKFPFAKHU, 34%]. – text. – [slovenčina]. – [OV 010]. – [článok] In: Slovenská hudba [textový dokument (print)] : revue pre hudobnú kultúru. – Bratislava (Slovensko) : Slovenská muzikologická asociácia pri Slovenskej hudobnej únii. – ISSN 1335-2458. – ISSN (zrušené) 0037-6965. – Roč. 47, č. 4 (2021), s. 383-393 [tlačená forma] </t>
  </si>
  <si>
    <t xml:space="preserve">Filozofia osoby : filozofia a lingvistika môžu byť  stále príťažlivé aj pre mladú  generáciu / Pružinec, Tomáš [Autor, UKFFFAKFI, 100%]. – text. – [slovenčina]. – [OV 010]. – [článok] In: Náš čas [textový dokument (print)] : časopis Univerzity Konštatnína Filozofa v Nitre. – Nitra (Slovensko) : Univerzita Konštantína Filozofa v Nitre. – ISSN 1338-3272. – Roč. 22, č. 1 (2018), s. 35-35 [tlačená forma] </t>
  </si>
  <si>
    <t xml:space="preserve">Filozofické bádanie na Ženevskej univerzite / Pružinec, Tomáš [Autor, UKFFFAKFI, 100%]. – text. – [slovenčina]. – [OV 180]. – [článok] In: Náš čas [textový dokument (print)] : časopis Univerzity Konštatnína Filozofa v Nitre. – Nitra (Slovensko) : Univerzita Konštantína Filozofa v Nitre. – ISSN 1338-3272. – Roč. 22, č. 5 (2018), s. 54-54 [tlačená forma] </t>
  </si>
  <si>
    <t xml:space="preserve">Folklór si zamiloval na UKF. V Ponitrane bol 18 rokov / Černáková, Jana [Autor, UKFREKTOR, 100%]. – text. – [slovenčina]. – [OV 030]. – [článok] In: Náš čas [textový dokument (print)] : časopis Univerzity Konštatnína Filozofa v Nitre. – Nitra (Slovensko) : Univerzita Konštantína Filozofa v Nitre. – ISSN 1338-3272. – Roč. 24, č. 4 (2020), s. 36-39 [tlačená forma] </t>
  </si>
  <si>
    <t xml:space="preserve">Foodprint : pozvánka na výstavu Foodprint / Farkašová, Elena [Autor, KDNI, 90%] ; Zelinský, Miroslav [Autor, UKFFFAKMR, 10%]. – [slovenčina]. – [OV 040]. – [článok] In: Duševné vlastníctvo [textový dokument (print)] [elektronický dokument] : revue pre teóriu a prax v oblasti duševného vlastníctva. – Banská Bystrica (Slovensko) : Úrad priemyselného vlastníctva Slovenskej republiky. – ISSN 1335-2881. – ISSN (online) 1339-5564. – ISSN výber print 1339-8040. – TUTPR signatúra E003480. – TUTPR signatúra E046286. – TUTPR signatúra E050062. – Roč. 24, č. 1 (2020), s. 52-53 [tlačená forma] [online] </t>
  </si>
  <si>
    <t xml:space="preserve">Francúzsko-slovenský diplom / Švarbová, Eva [Autor, UKFFFAKRO, 100%]. – text. – [slovenčina]. – [OV 010]. – [článok] In: Náš čas [textový dokument (print)] : časopis Univerzity Konštatnína Filozofa v Nitre. – Nitra (Slovensko) : Univerzita Konštantína Filozofa v Nitre. – ISSN 1338-3272. – Roč. 22, č. 1 (2018), s. 30-31 [tlačená forma] </t>
  </si>
  <si>
    <t xml:space="preserve">Gemologický ústav informuje a zároveň varuje !!! / Illášová, Ľudmila [Autor, UKFFPVGMU, 100%]. – text. – [slovenčina]. – [OV 092]. – [článok] In: Gemologický spravodajca [textový dokument (print)] : časopis gemológov pri FPV UKF v Nitre. – Nitra (Slovensko) : Univerzita Konštantína Filozofa v Nitre. Fakulta prírodných vied. – ISSN 1337-6136. – ISSN (online) 1338-5275. – Roč. 8, č. 1 (2018), s. 33-37 [tlačená forma] </t>
  </si>
  <si>
    <t xml:space="preserve">Gemológovia KGRR FPV UKF v Nitre informujú a zároveň varujú : pokračovanie / Illášová, Ľudmila [Autor, UKFFPVGMU, 100%]. – text. – [slovenčina]. – [OV 092]. – [článok] In: Gemologický spravodajca [textový dokument (print)] : časopis gemológov pri FPV UKF v Nitre. – Nitra (Slovensko) : Univerzita Konštantína Filozofa v Nitre. Fakulta prírodných vied. – ISSN 1337-6136. – ISSN (online) 1338-5275. – Roč. 9, č. 1 (2019), s. 39-41 [tlačená forma] </t>
  </si>
  <si>
    <t xml:space="preserve">Geografické aspekty stredoeurópskeho priestoru / Boltižiar, Martin [Autor, UKFFPVKGR, 50%] ; Palenčíková, Zuzana [Autor, UKFFSSKCR, 50%]. – text. – [slovenčina]. – [OV 010, 092]. – [článok] In: Náš čas [textový dokument (print)] : časopis Univerzity Konštatnína Filozofa v Nitre. – Nitra (Slovensko) : Univerzita Konštantína Filozofa v Nitre. – ISSN 1338-3272. – Roč. 24, č. 5 (2020), s. 36-37 [tlačená forma] </t>
  </si>
  <si>
    <t xml:space="preserve">Geografické aspekty stredoeurópskeho priestoru: Slovensko a Česko – 25 rokov na politickej mape sveta / Boltižiar, Martin [Autor, UKFFPVKGR, 100%]. – text. – [slovenčina]. – [OV 092]. – [článok] In: Náš čas [textový dokument (print)] : časopis Univerzity Konštatnína Filozofa v Nitre. – Nitra (Slovensko) : Univerzita Konštantína Filozofa v Nitre. – ISSN 1338-3272. – Roč. 22, č. 5 (2018), s. 35-35 [tlačená forma] </t>
  </si>
  <si>
    <t xml:space="preserve">Gondolatok a matematika és a média kapcsolatáról / Csáky, Antal [Autor, UKFFSSUVP, 100%]. – [maďarčina]. – [OV 010]. – [článok] In: Katedra [elektronický dokument] : szlovákiai magyar pedagógusok és szülők lapja. – Dunajská Streda (Slovensko) : Nadácia Katedra. – ISSN 1335-6445. – ISSN (online) 2729-9066. – Roč. 25, č. 6 (2018), s. 16-18 [tlačená forma] [online] </t>
  </si>
  <si>
    <t xml:space="preserve">Gustáv Husák optikou mladého českého historika : prednáška doktora Michala Macháčka v rámci marcových Interdisciplinárnych dialógov 2019 / Hasarová, Zuzana [Autor, UKFFFAKHI, 100%]. – text. – [slovenčina]. – [OV 030]. – [článok] In: Studia Historica Nitriensia [textový dokument (print)] [elektronický dokument] . – Nitra (Slovensko) : Univerzita Konštantína Filozofa v Nitre. – ISSN 1338-7219. – ISSN (online) 2585-8661. – Roč. 23, č. 1 (2019), s. 243-245 [tlačená forma] [online] . – SNIP: 0,629 ; SJR: 0,187 ; CiteScore: 0,2 Scimago - Cultural studies - Q2, History - Q2, Museology - Q2 </t>
  </si>
  <si>
    <t xml:space="preserve">Herendský porcelán - Herend porcelain / Illášová, Ľudmila [Autor, UKFFPVGMU, 100%]. – text. – [slovenčina]. – [OV 092]. – [článok] In: Gemologický spravodajca [textový dokument (print)] : časopis gemológov pri FPV UKF v Nitre. – Nitra (Slovensko) : Univerzita Konštantína Filozofa v Nitre. Fakulta prírodných vied. – ISSN 1337-6136. – ISSN (online) 1338-5275. – Roč. 8, č. 2 (2018), s. 29-32 [tlačená forma] </t>
  </si>
  <si>
    <t xml:space="preserve">Historicky prvý online DOD na UKF bol úspešný / Drlík, Martin [Autor, UKFFPVKIN, 20%] ; Čerešníková, Miroslava [Autor, UKFFSVURS, 20%] ; Bárcziová, Žofia [Autor, UKFFSSUML, 20%] ; Maximová, Jarmila [Autor, UKFFFAKAE 06.2022, 20%] ; Pintes, Gábor [Autor, UKFPFAKPE, 20%]. – text. – [slovenčina]. – [OV 010]. – [článok] In: Náš čas [textový dokument (print)] : časopis Univerzity Konštatnína Filozofa v Nitre. – Nitra (Slovensko) : Univerzita Konštantína Filozofa v Nitre. – ISSN 1338-3272. – Roč. 25, č. 1 (2021), s. 5-9 [tlačená forma] </t>
  </si>
  <si>
    <t xml:space="preserve">Hľadá sa zviera z inej planéty / Baďová, Petra [Autor, UKFFFAULK, 100%]. – text. – [slovenčina]. – [OV 020]. – [článok] In: Knižná revue [textový dokument (print)] [elektronický dokument] : mesačník o nových knihách. – Bratislava (Slovensko) : Literárne informačné centrum. – ISSN 1210-1982. – ISSN (online) 1336-247X. – Roč. 29, č. 12 (2019), s. 20-21 [tlačená forma] [online] </t>
  </si>
  <si>
    <t xml:space="preserve">Hniezdo, Archa, Koruna, Bumerang, Identikit, Samohlásky, Z vonku, Selekcia I, E Go, Nerovnocenný rozhovor, Kaseopea, D&amp;Z, Tatko UBU, Apokalyptický tvor / Szalai, Daniel [Autor ilustrácií, grafiky, UKFPFAKVV, 100%]. – ilustr. – [slovenčina, maďarčina]. – [OV 010]. – [článok] In: Irodalmi Szemle [textový dokument (print)] [elektronický dokument] : irodalom, kritika, társadalomtudomány. – Bratislava (Slovensko) : Madách-Posonium. – ISSN 1336-5088. – Roč. 63, č. 5 (2020), s. 2-100 [tlačená forma] [online] </t>
  </si>
  <si>
    <t xml:space="preserve">Hogyan értékeli a szövegértést a PISA2018, és mit kell tudni a szlovákiai diákok eredményeiről? / Vančo, Ildikó [Autor, UKFFSSUML, 50%] ; Gergelyová, Viktória [Autor, UKFFSSUML, 50%]. – text. – [maďarčina]. – [OV 010]. – [článok] In: Katedra [elektronický dokument] : szlovákiai magyar pedagógusok és szülők lapja. – Dunajská Streda (Slovensko) : Nadácia Katedra. – ISSN 1335-6445. – ISSN (online) 2729-9066. – Roč. 28, č. 5 (2021), s. 24-27 [tlačená forma] [online] </t>
  </si>
  <si>
    <t xml:space="preserve">Hovoríme o predsudkoch a stereotypoch na školách? / Jakubovská, Viera [Autor, UKFFFAKFI, 100%]. – text. – [slovenčina]. – [OV 020]. – [článok] In: Naša škola [textový dokument (print)] : odborný metodický časopis pre učiteľov materských škôl a 1. stupňa základných škôl. – Bratislava (Slovensko) : Pamiko. – ISSN 1335-2733. – Roč. 22, č. 1-2 (2018), s. 13-22 [tlačená forma] </t>
  </si>
  <si>
    <t xml:space="preserve">Hry a cvičenia na nácvik základných plaveckých zručností (1) / Divinec, Lenka [Autor, UKFPFAKTV, 80%] ; Špániková, Andrea [Autor, 20%]. – text. – [slovenčina]. – [OV 210]. – [článok] In: Športový edukátor [elektronický dokument] . – Nitra (Slovensko) : Univerzita Konštantína Filozofa v Nitre. Pedagogická fakulta UKF. Katedra telesnej výchovy a športu. – ISSN (online) 1337-7809. – Roč. 12, č. 2 (2019), s. 38-44 [online] </t>
  </si>
  <si>
    <t xml:space="preserve">Hry a cvičenia na nácvik základných plaveckých zručností (2) / Divinec, Lenka [Autor, UKFPFAKTV, 80%] ; Špániková, Andrea [Autor, 20%]. – text. – [slovenčina]. – [OV 210]. – [článok] In: Športový edukátor [elektronický dokument] . – Nitra (Slovensko) : Univerzita Konštantína Filozofa v Nitre. Pedagogická fakulta UKF. Katedra telesnej výchovy a športu. – ISSN (online) 1337-7809. – Roč. 13, č. 1 (2020), s. 42-48 [online] </t>
  </si>
  <si>
    <t xml:space="preserve">Idegen nyelvi kompetenciák fejlesztése modern módszerek segítségével / Beták, Norbert [Autor, UKFFSSKCR, 50%] ; Sándorová, Zuzana [Autor, UKFFSSKCR, 50%]. – text. – [maďarčina]. – [OV 080]. – [článok] In: Katedra [elektronický dokument] : szlovákiai magyar pedagógusok és szülők lapja. – Dunajská Streda (Slovensko) : Nadácia Katedra. – ISSN 1335-6445. – ISSN (online) 2729-9066. – Roč. 28, č. 6 (2021), s. 7-9 [tlačená forma] [online] </t>
  </si>
  <si>
    <t xml:space="preserve">Időutazás Galántán / Hrbáček, Magdaléna [Autor, UKFFSSUSJ, 100%]. – text. – [maďarčina]. – [OV 010]. – [článok] In: Katedra [elektronický dokument] : szlovákiai magyar pedagógusok és szülők lapja. – Dunajská Streda (Slovensko) : Nadácia Katedra. – ISSN 1335-6445. – ISSN (online) 2729-9066. – Roč. 27, č. 1 (2019), s. 2-2 [tlačená forma] [online] </t>
  </si>
  <si>
    <t xml:space="preserve">Impact of previous cultural development on current society the main theme of the speeches : International Conference in Singapore / Tkáč-Zabáková, Lenka [Autor, UKFFSSUSJ, 100%]. – text. – [angličtina]. – [OV 020]. – [článok] In: Náš čas [textový dokument (print)] : časopis Univerzity Konštatnína Filozofa v Nitre. – Nitra (Slovensko) : Univerzita Konštantína Filozofa v Nitre. – ISSN 1338-3272. – Roč. 22, č. 3 (2018), s. 58-59 [tlačená forma] </t>
  </si>
  <si>
    <t xml:space="preserve">In and Out of the Pandemic : COVID-19 Aftermath in the World of Translation and Interpreting (and Beyond) / Perez, Emília [Autor, UKFFFAKTR, 70%] ; Nikolić, Kristijan [Autor, 30%]. – text. – [angličtina]. – [OV 020]. – [článok] In: Bridge [elektronický dokument] : Trends and Traditions in Translation and Interpreting Studies. – Nitra (Slovensko) : Univerzita Konštantína Filozofa v Nitre. Filozofická fakulta. Katedra translatológie. – ISSN (online) 2729-8183. – Roč. 2, č. 2 (2021), s. 1-3 [online] </t>
  </si>
  <si>
    <t xml:space="preserve">Informatika trochu inak / Cápay, Martin [Autor, UKFFPVKIN, 100%]. – text. – [slovenčina]. – [OV 160]. – [článok] In: Náš čas [textový dokument (print)] : časopis Univerzity Konštatnína Filozofa v Nitre. – Nitra (Slovensko) : Univerzita Konštantína Filozofa v Nitre. – ISSN 1338-3272. – Roč. 22, č. 4 (2018), s. 9-9 [tlačená forma] </t>
  </si>
  <si>
    <t xml:space="preserve">Inštitút pre výskum literatúry / Teplan, Dušan [Autor, UKFFFASJL, 50%] ; Topor, Michal [Autor, 50%]. – text. – [slovenčina]. – [OV 020]. – [článok] In: Litikon [textový dokument (print)] : časopis pre výskum literatúry = journal for literature research. – Nitra (Slovensko) : Univerzita Konštantína Filozofa v Nitre. – ISSN 2453-8507. – Roč. 3, č. 2 (2018), s. 327-329 [tlačená forma] </t>
  </si>
  <si>
    <t xml:space="preserve">Interkultúrna komunikácia / Moravčíková, Erika [Autor, UKFFFAKKU, 100%]. – text. – [slovenčina]. – [OV 020]. – [článok] In: Culturologica Slovaca [elektronický dokument] : internetový kulturologický časopis. – Nitra (Slovensko) : Univerzita Konštantína Filozofa v Nitre. – ISSN 2453-9740. – Roč. 5, č. 2 (2020), s. 94-95 [online] </t>
  </si>
  <si>
    <t xml:space="preserve">Interkultúrne kompetencie / Ballay, Miroslav [Autor, UKFFFAKKU, 100%]. – text. – [slovenčina]. – [OV 020]. – [článok] In: Culturologica Slovaca [elektronický dokument] : internetový kulturologický časopis. – Nitra (Slovensko) : Univerzita Konštantína Filozofa v Nitre. – ISSN 2453-9740. – Roč. 5, č. 2 (2020), s. 96-98 [online] </t>
  </si>
  <si>
    <t xml:space="preserve">Interkultúrny dialóg / Moravčíková, Erika [Autor, UKFFFAKKU, 100%]. – text. – [slovenčina]. – [OV 020]. – [článok] In: Culturologica Slovaca [elektronický dokument] : internetový kulturologický časopis. – Nitra (Slovensko) : Univerzita Konštantína Filozofa v Nitre. – ISSN 2453-9740. – Roč. 5, č. 2 (2020), s. 99-100 [online] </t>
  </si>
  <si>
    <t xml:space="preserve">Interkultúrny rozmer výučby cudzích jazykov / Záhumenská, Lucia [Autor, UKFFFAKMK, 50%] ; Molnárová, Andrea [Autor, UKFFFAKMK, 50%]. – text. – [slovenčina]. – [OV 020]. – [článok] In: Kontexty kultúry a turizmu [textový dokument (print)] . – Nitra (Slovensko) : Univerzita Konštantína Filozofa v Nitre. Filozofická fakulta. – ISSN 1337-7760. – Roč. 11, č. 2 (2018), s. 93-99 [tlačená forma] </t>
  </si>
  <si>
    <t xml:space="preserve">Interkultúrny workshop pre zahraničných študentov / Pavlová, Renáta [Autor, UKFFFAJZC, 100%]. – text. – [slovenčina]. – [OV 010]. – [článok] In: Náš čas [textový dokument (print)] : časopis Univerzity Konštatnína Filozofa v Nitre. – Nitra (Slovensko) : Univerzita Konštantína Filozofa v Nitre. – ISSN 1338-3272. – Roč. 23, č. 8 (2019), s. 24-25 [tlačená forma] </t>
  </si>
  <si>
    <t xml:space="preserve">Jana Zaujecová (nar. 1977) / Récka, Adriana [Autor, UKFPFAKVV, 100%]. – [slovenčina]. – [OV 010]. – [článok] In: Slovenská hudba [textový dokument (print)] : revue pre hudobnú kultúru. – Bratislava (Slovensko) : Slovenská muzikologická asociácia pri Slovenskej hudobnej únii. – ISSN 1335-2458. – ISSN (zrušené) 0037-6965. – Roč. 45, č. 2 (2019), s. 215-215 [tlačená forma] </t>
  </si>
  <si>
    <t xml:space="preserve">Jazykové okienko / Olšiak, Marcel [Autor, UKFFFASJL, 100%]. – [slovenčina]. – [OV 020]. – [článok] In: Dnešná škola [textový dokument (print)] [elektronický dokument] : človek a príroda. – Bratislava (Slovensko) : Združenie učiteľov chémie. – ISSN 1339-7761. – ISSN (online) 1339-3952. – Roč. 5, č. 1 (2018), s. 20-20 [tlačená forma] [online] </t>
  </si>
  <si>
    <t xml:space="preserve">Jobsovo laboratórium umožní študentom navrhovať vlastné riešenia : schopnosť vyvíjať mobilné aplikácie a navrhovať zariadenia schopné uľahčiť a zjednodušiť aktivity bežného života je jednou zo základných zručností, ktoré študenti získavajú pri modernom štúdiu informatiky / Skalka, Ján [Autor, UKFFPVKIN, 100%]. – text. – [slovenčina]. – [OV 160]. – [článok] In: Náš čas [textový dokument (print)] : časopis Univerzity Konštatnína Filozofa v Nitre. – Nitra (Slovensko) : Univerzita Konštantína Filozofa v Nitre. – ISSN 1338-3272. – Roč. 23, č. 1 (2019), s. 20-21 [tlačená forma] </t>
  </si>
  <si>
    <t xml:space="preserve">K storočnici básnika Karola Strmeňa / Gallik, Ján [Autor, UKFFSSUSJ, 100%]. – text. – [slovenčina]. – [OV 020]. – [článok] In: Kultúra [textový dokument (print)] [elektronický dokument] : dvojtýždenník závislý od etiky. – ISSN 1335-3470. – ISSN (online) 1336-2992. – Roč. 24, č. 8 (2021), s. 3 a s. 9, s. 3-3 [tlačená forma] [online] </t>
  </si>
  <si>
    <t xml:space="preserve">Kaleidoskopické hemženie farieb a tvarov / Baďová, Petra [Autor, UKFFFAULK, 100%]. – text. – [slovenčina]. – [OV 020]. – [článok] In: Knižná revue [textový dokument (print)] [elektronický dokument] : mesačník o nových knihách. – Bratislava (Slovensko) : Literárne informačné centrum. – ISSN 1210-1982. – ISSN (online) 1336-247X. – Roč. 29, č. 3 (2019), s. 10-11 [tlačená forma] [online] </t>
  </si>
  <si>
    <t xml:space="preserve">Kam zmizli anjeli, betlehemská hviezda či Ježiško? Ako komunisti zmenili symboly Vianoc / Hasarová, Zuzana [Autor, UKFFFAKHI, 100%]. – text. – [slovenčina]. – [OV 030]. – [článok] In: HistoryWeb [elektronický dokument] : informačný portál o histórii. – Banská Bystrica (Slovensko) : [s.n.]. – ISSN (online) 1338-8789. – Roč. 9, č. 4 (2020), s. 1-7 [online] </t>
  </si>
  <si>
    <t xml:space="preserve">Kariérové rozhodovanie žiakov so špeciálnymi výchovno-vzdelávacími potrebami / Gatial, Viktor [Autor, UKFPFAKAP, 100%]. – [slovenčina]. – [OV 010]. – [článok] In: Didaktika [textový dokument (print)] : odborný časopis pre výchovu a vzdelávanie. – Bratislava (Slovensko) : Wolters Kluwer. Wolters Kluwer SR. – ISSN 1338-2845. – Roč. 2, č. 1 (2021), s. 7-7 [tlačená forma] </t>
  </si>
  <si>
    <t xml:space="preserve">Kartágo, mocný nepriateľ Rímskej ríše / Jirkal, Emanuel [Autor, UKFFFAKHI, 100%]. – text. – [slovenčina]. – [OV 030]. – [článok] In: Historická revue [textový dokument (print)] : vedecko-populárny mesačník o dejinách. – Bratislava (Slovensko) : Slovenský archeologický a historický inštitút. – ISSN 1335-6550. – TUT ID E003501. – Roč. 30, č. 8 (2019), s. 6-11 [tlačená forma] </t>
  </si>
  <si>
    <t xml:space="preserve">Katedra manažmentu kultúry a turizmu na medzinárodnej konferencii "Hotelnictví, turismus a vzdělávání" cielenej na "Výzvy digitálneho sveta" / Kompasová, Katarína [Autor, UKFFFAKMK, 100%]. – text. – [slovenčina]. – [OV 080]. – [článok] In: Kontexty kultúry a turizmu [textový dokument (print)] . – Nitra (Slovensko) : Univerzita Konštantína Filozofa v Nitre. Filozofická fakulta. – ISSN 1337-7760. – Roč. 11, č. 2 (2018), s. 153-155 [tlačená forma] </t>
  </si>
  <si>
    <t xml:space="preserve">Katedra translatológie úspešná v dynamickom svete prekladu / Perez, Emília [Autor, UKFFFAKTR, 100%]. – text. – [slovenčina]. – [OV 020]. – [článok] In: Náš čas [textový dokument (print)] : časopis Univerzity Konštatnína Filozofa v Nitre. – Nitra (Slovensko) : Univerzita Konštantína Filozofa v Nitre. – ISSN 1338-3272. – Roč. 25, č. 1 (2021), s. 32-33 [tlačená forma] </t>
  </si>
  <si>
    <t xml:space="preserve">Katedra translatológie vo výkonnej rade EMT : Mgr. Emília Perez, PhD., v oficiálnej voľbe uspela po predstavení svojich vízií a rozhovoroch so zástupcami všetkých programov v konkurencii 16 kandidátov / Krajčovičová, Jana [Autor, REKTOR, 100%]. – text. – [slovenčina]. – [OV 020]. – [článok] In: Náš čas [textový dokument (print)] : časopis Univerzity Konštatnína Filozofa v Nitre. – Nitra (Slovensko) : Univerzita Konštantína Filozofa v Nitre. – ISSN 1338-3272. – Roč. 24, č. 1 (2020), s. 9-10 [tlačená forma] </t>
  </si>
  <si>
    <t xml:space="preserve">Kell-e nekünk alternatíva? / Pintes, Gábor [Autor, UKFPFAKPE, 100%]. – text. – [maďarčina]. – [OV 010]. – [článok] In: Katedra [elektronický dokument] : szlovákiai magyar pedagógusok és szülők lapja. – Dunajská Streda (Slovensko) : Nadácia Katedra. – ISSN 1335-6445. – ISSN (online) 2729-9066. – Roč. 28, č. 9 (2021), s. 11-12 [tlačená forma] [online] </t>
  </si>
  <si>
    <t xml:space="preserve">KioSK po vyhorení / Ballay, Miroslav [Autor, UKFFFAKKU, 100%]. – [slovenčina]. – [OV 020]. – [článok] In: Tanec [textový dokument (print)] : časopis o tanci a pohybe. – Bratislava (Slovensko) : Verbunk. – ISSN 1339-7699. – Roč. 6, č. 3 (2019), s. 30-35 [tlačená forma] </t>
  </si>
  <si>
    <t xml:space="preserve">Komiksový film? Nie! Avengers Endgame / Malíček, Juraj [Autor, UKFFFAULK, 100%]. – text. – [slovenčina]. – [OV 020]. – [článok] In: Kultúrny život [textový dokument (print)] . – Bratislava (Slovensko) : Petit Press. – ISSN 2585-9838. – Roč. 2, č. 2 (2019), s. 5-5 [tlačená forma] </t>
  </si>
  <si>
    <t xml:space="preserve">Kompenzačné cvičenia s využitím fitlopty / Divinec, Lenka [Autor, UKFPFAKTV, 30%] ; Vasiľovský, Ivan [Autor, 10%] ; Kanásová, Janka [Autor, UKFPFAKTV, 30%] ; Czaková, Natália [Autor, UKFPFAKTV, 30%]. – text. – [slovenčina]. – [OV 210]. – [článok] In: Športový edukátor [elektronický dokument] . – Nitra (Slovensko) : Univerzita Konštantína Filozofa v Nitre. Pedagogická fakulta UKF. Katedra telesnej výchovy a športu. – ISSN (online) 1337-7809. – Roč. 12, č. 1 (2019), s. 33-38 [online] </t>
  </si>
  <si>
    <t xml:space="preserve">Komplex moci : Publicistické články Milana Pišúta z rokov 1945 - 1947 (II. diel) / Teplan, Dušan [Autor, UKFFFASJL, 100%]. – text. – [slovenčina]. – [OV 020]. – [článok] In: Litikon [textový dokument (print)] : časopis pre výskum literatúry = journal for literature research. – Nitra (Slovensko) : Univerzita Konštantína Filozofa v Nitre. – ISSN 2453-8507. – Roč. 4, č. 1 (2019), s. 279-303 [tlačená forma] </t>
  </si>
  <si>
    <t xml:space="preserve">Kortársak a digitális tanteremben : az irodalom és a képregény esete / Radics, Rudolf [Autor, UKFFSSUML, 100%]. – text. – [maďarčina]. – [OV 010]. – [článok] In: Katedra [elektronický dokument] : szlovákiai magyar pedagógusok és szülők lapja. – Dunajská Streda (Slovensko) : Nadácia Katedra. – ISSN 1335-6445. – ISSN (online) 2729-9066. – Roč. 28, č. 2 (2020), s. 28-30 [tlačená forma] [online] </t>
  </si>
  <si>
    <t xml:space="preserve">Kotúle - metodické rady / Czaková, Natália [Autor, UKFPFAKTV, 100%]. – text. – [slovenčina]. – [OV 210]. – [článok] In: Športový edukátor [elektronický dokument] . – Nitra (Slovensko) : Univerzita Konštantína Filozofa v Nitre. Pedagogická fakulta UKF. Katedra telesnej výchovy a športu. – ISSN (online) 1337-7809. – Roč. 13, č. 2 (2020), s. 52-55 [online] </t>
  </si>
  <si>
    <t xml:space="preserve">Kto sa smeje naposledy, ten má dlhé vedenie / Waldnerová, Jana [Autor, UKFFFAKAA, 100%]. – text. – [slovenčina]. – [OV 020]. – [článok] In: Revue svetovej literatúry [textový dokument (print)] . – Bratislava (Slovensko) : Slovenský spisovateľ, Bratislava (Slovensko) : Slovenská spoločnosť prekladateľov umeleckej literatúry. – ISSN 0231-6269. – Roč. 54, č. 1 (2018), s. 2-5 [tlačená forma] </t>
  </si>
  <si>
    <t xml:space="preserve">Kto sú Židia? (3. časť) : (vybrané aspekty židovskej identity: Židovský kalendár a sviatky) = (Selected Aspects of Jewish Identity: Jewish calendar and holidays) = Who are Jews? / Mlyneková, Miriam [Autor, UKFFFAKPO, 100%]. – text. – [slovenčina]. – [OV 060]. – [článok] In: Civitas [textový dokument (print)] : časopis pre politické a sociálne vedy. – Nitra (Slovensko) : Univerzita Konštantína Filozofa v Nitre. Filozofická fakulta. Katedra politológie a euroázijských štúdií. – ISSN 1335-2652. – Roč. 25, č. 57 - 2 (2019), s. 6-11 [tlačená forma] </t>
  </si>
  <si>
    <t xml:space="preserve">Kto sú židia? (2. časť) : (Vybrané aspekty židovskej identity: Kašrut) = (Selected Aspects of Jewish Identity: Kashrut) = Who are Jews? / Mlyneková, Miriam [Autor, UKFFFAKPO, 100%]. – text. – [slovenčina]. – [OV 060]. – [článok] In: Civitas [textový dokument (print)] : časopis pre politické a sociálne vedy. – Nitra (Slovensko) : Univerzita Konštantína Filozofa v Nitre. Filozofická fakulta. Katedra politológie a euroázijských štúdií. – ISSN 1335-2652. – Roč. 24, č. 55 - 2 (2018), s. 6-9 [tlačená forma] </t>
  </si>
  <si>
    <t xml:space="preserve">Kto sú židia? (1. časť) : (vybrané aspekty židovskej identity) = (Selected Aspects of Jewish Identity) = Who are Jews? / Mlyneková, Miriam [Autor, UKFFFAKPO, 100%]. – text. – [slovenčina]. – [OV 030]. – [článok] In: Civitas [textový dokument (print)] : časopis pre politické a sociálne vedy. – Nitra (Slovensko) : Univerzita Konštantína Filozofa v Nitre. Filozofická fakulta. Katedra politológie a euroázijských štúdií. – ISSN 1335-2652. – Roč. 24, č. 54 - 1 (2018), s. 8-12 [tlačená forma] </t>
  </si>
  <si>
    <t xml:space="preserve">Ktorý vtáčí atlas je "naj"? / Baďová, Petra [Autor, UKFFFAULK, 100%]. – text. – [slovenčina]. – [OV 020]. – [článok] In: Knižná revue [textový dokument (print)] [elektronický dokument] : mesačník o nových knihách. – Bratislava (Slovensko) : Literárne informačné centrum. – ISSN 1210-1982. – ISSN (online) 1336-247X. – Roč. 29, č. 10 (2019), s. 20-21 [tlačená forma] [online] </t>
  </si>
  <si>
    <t xml:space="preserve">Kulturologicko-aisthesické úvahy v čase korony / Fuják, Július [Autor, UKFFFAKKU, 100%]. – [slovenčina]. – [OV 020]. – [článok] In: Culturologica Slovaca [elektronický dokument] : internetový kulturologický časopis. – Nitra (Slovensko) : Univerzita Konštantína Filozofa v Nitre. – ISSN 2453-9740. – Roč. 5, č. 2 (2020), s. 6-14 [online] </t>
  </si>
  <si>
    <t xml:space="preserve">Kurkuma a fenikel, ich cenné zložky a použitie / Fatrcová Šramková, Katarína [Autor, SPUFAP16, 50%] ; Juríková, Tünde [Autor, UKFFSSUVP, 50%]. – [slovenčina]. – [OV 190, 180]. – [článok] In: Revue medicíny v praxi [textový dokument (print)] . – Bratislava (Slovensko) : Fabart. – ISSN 1336-202X. – Roč. 17, č. 1 (2019), s. 37-39 [tlačená forma] </t>
  </si>
  <si>
    <t xml:space="preserve">Kvalita vnútorného prostredia v školskej učebni a jej vplyv na výkon žiakov / Tomková, Viera [Autor, UKFPFAKTT, 100%]. – text. – [slovenčina]. – [OV 010]. – [článok] In: Technika a vzdelávanie [textový dokument (print)] [elektronický dokument] : časopis zameraný na technické vzdelávanie v základných, stredných i na vysokých školách, na oblasť základného a aplikovaného výskumu, aplikáciu informačných technológií vo výučbe odborných predmetov. – Banská Bystrica (Slovensko) : Univerzita Mateja Bela v Banskej Bystrici. Fakulta prírodných vied. – ISSN 1338-9742. – ISSN (online) 1339-9888. – Roč. 7, č. 2 (2018), s. 2-4 [tlačená forma] [online] </t>
  </si>
  <si>
    <t xml:space="preserve">La Mer... V rozpätí dvoch pobreží Debussy - Adamčiak / Fuják, Július [Autor, UKFFFAKKU, 100%]. – text. – [slovenčina]. – [OV 020]. – [článok] In: Vlna [textový dokument (print)] : časopis o súčasnom umení a kultúre. – Bratislava (Slovensko) : Drewo a srd. – ISSN 1335-5341. – ISSN (chybné) ISSN 1335-969X. – Roč. 23, č. 87 (2021), s. 90-91 [tlačená forma] </t>
  </si>
  <si>
    <t xml:space="preserve">La transcription de la dissidence tchécoslovaque: l'apport de Sylvie Germain / Rybárová, Silvia [Autor, UKFFFAKRO, 100%]. – text. – [taliančina]. – [OV 020]. – [článok] In: Romanistica Comeniana [textový dokument (print)] . – Bratislava (Slovensko) : Univerzita Komenského v Bratislave. – ISSN 2585-8483. – č. 2 (2018), s. 78-86 [tlačená forma] </t>
  </si>
  <si>
    <t xml:space="preserve">Labor Socialis / Minarovičová, Katarína [Autor, UKFFSVKSP, 100%]. – text. – [slovenčina]. – [OV 060]. – [článok] In: Náš čas [textový dokument (print)] : časopis Univerzity Konštatnína Filozofa v Nitre. – Nitra (Slovensko) : Univerzita Konštantína Filozofa v Nitre. – ISSN 1338-3272. – Roč. 22, č. 4 (2018), s. 20-21 [tlačená forma] </t>
  </si>
  <si>
    <t xml:space="preserve">Latinsko-slovensko-česko-rusko-bieloruský slovník oficiálnych názvov liečivých rastlín / Bačová, Mária [Autor, UKFFFAKRU, 100%]. – text. – [slovenčina]. – [OV 020]. – [článok] In: Kultúra slova [textový dokument (print)] [elektronický dokument] : vedecko-popularizačný časopis pre jazykovú kultúru a terminológiu. – Martin (Slovensko) : Matica slovenská. Vydavateľstvo Matice slovenskej. – ISSN 0023-5202. – Roč. 55, č. 4 (2021), s. 217-227 [tlačená forma] [online] </t>
  </si>
  <si>
    <t xml:space="preserve">Latinsko-slovensko-česko-rusko-bieloruský slovník oficiálnych názvov liečivých rastlín. 2. časť (2) / Bačová, Mária [Autor, UKFFFAKRU, 100%]. – text. – [slovenčina]. – [OV 020]. – [článok] In: Kultúra slova [textový dokument (print)] [elektronický dokument] : vedecko-popularizačný časopis pre jazykovú kultúru a terminológiu. – Martin (Slovensko) : Matica slovenská. Vydavateľstvo Matice slovenskej. – ISSN 0023-5202. – Roč. 55, č. 5 (2021), s. 286-293 [tlačená forma] [online] </t>
  </si>
  <si>
    <t xml:space="preserve">Len sa tak dobre zasmiať / Malíček, Juraj [Autor, UKFFFAULK, 100%]. – text. – [slovenčina]. – [OV 020]. – [článok] In: Kultúrny život [textový dokument (print)] . – Bratislava (Slovensko) : Petit Press. – ISSN 2585-9838. – Roč. 2, č. 2 (2019), s. 8-9 [tlačená forma] </t>
  </si>
  <si>
    <t xml:space="preserve">Lesk a bieda slovenskej kinematografie, prvý štvrťrok 2019 / Malíček, Juraj [Autor, UKFFFAULK, 100%]. – text. – [slovenčina]. – [OV 020]. – [článok] In: Kultúrny život [textový dokument (print)] . – Bratislava (Slovensko) : Petit Press. – ISSN 2585-9838. – Roč. 2, č. 8 (2019), s. 6-7 [tlačená forma] </t>
  </si>
  <si>
    <t xml:space="preserve">Letná škola archeológie / Beljak Pažinová, Noémi [Autor, UKFFFAKAR, 100%]. – text. – [slovenčina]. – [OV 030]. – [článok] In: Náš čas [textový dokument (print)] : časopis Univerzity Konštatnína Filozofa v Nitre. – Nitra (Slovensko) : Univerzita Konštantína Filozofa v Nitre. – ISSN 1338-3272. – Roč. 22, č. 4 (2018), s. 11-11 [tlačená forma] </t>
  </si>
  <si>
    <t xml:space="preserve">Letná škola slovenského jazyka / Machová, Renáta [Autor, UKFFFAJZC, 100%]. – text. – [slovenčina]. – [OV 020]. – [článok] In: Náš čas [textový dokument (print)] : časopis Univerzity Konštatnína Filozofa v Nitre. – Nitra (Slovensko) : Univerzita Konštantína Filozofa v Nitre. – ISSN 1338-3272. – Roč. 22, č. 4 (2018), s. 14-14 [tlačená forma] </t>
  </si>
  <si>
    <t xml:space="preserve">Lingvafest / Horváthová, Ivana [Autor, UKFFFAKAA, 20%] ; Brezováková, Monika [Autor, UKFFFAKRO, 20%] ; Stančeková, Svetlana [Autor, UKFFFAKRO, 20%] ; Ficzere, Anikó [Autor, UKFFFAKGE, 20%] ; Zahorák, Andrej [Autor, UKFFFAKTR, 20%]. – text. – [slovenčina]. – [OV 020]. – [článok] In: Náš čas [textový dokument (print)] : časopis Univerzity Konštatnína Filozofa v Nitre. – Nitra (Slovensko) : Univerzita Konštantína Filozofa v Nitre. – ISSN 1338-3272. – Roč. 22, č. 5 (2018), s. 30-30 [tlačená forma] </t>
  </si>
  <si>
    <t xml:space="preserve">Literárnokritická recepcia slovenskej literatúry v prvej polovici 20. storočia I. / Teplan, Dušan [Autor, UKFFFASJL, 100%]. – text. – [slovenčina]. – [OV 020]. – [článok] In: Litikon [textový dokument (print)] : časopis pre výskum literatúry = journal for literature research. – Nitra (Slovensko) : Univerzita Konštantína Filozofa v Nitre. – ISSN 2453-8507. – Roč. 4, č. 1 (2019), s. 235-278 [tlačená forma] </t>
  </si>
  <si>
    <t xml:space="preserve">Literárny vedec s veľkou noblesou / Hochel, Igor [Autor, UKFFFASJL, 100%]. – text. – [slovenčina]. – [OV 020]. – [článok] In: Litikon [textový dokument (print)] : časopis pre výskum literatúry = journal for literature research. – Nitra (Slovensko) : Univerzita Konštantína Filozofa v Nitre. – ISSN 2453-8507. – Roč. 3, č. 1 (2018), s. 180-181 [tlačená forma] </t>
  </si>
  <si>
    <t xml:space="preserve">Literatúra a jej filmová podoba v stredoeurópskom kontexte (správa) / Dzurko Hrešková, Sylvia [Autor, UKFFSSUSJ, 100%]. – [slovenčina]. – [OV 020]. – [článok] In: Stredoeurópske pohľady [textový dokument (print)] [elektronický dokument] : časopis pre jazyk, literatúru, kultúru a médiá. – Nitra (Slovensko) : Univerzita Konštantína Filozofa v Nitre. Fakulta stredoeurópskych štúdií. Ústav stredoeurópskych jazykov a kultúr. – ISSN 2644-6367. – ISSN (online) 2644-6472. – Roč. 1, č. 2 (2019), s. 72-74 [tlačená forma] [online] </t>
  </si>
  <si>
    <t xml:space="preserve">Ľubomír Bereš : Havária na útese / Récka, Adriana [Autor, UKFPFAKVV, 100%]. – text. – [slovenčina]. – [OV 010]. – [článok] In: Slovenská hudba [textový dokument (print)] : revue pre hudobnú kultúru. – Bratislava (Slovensko) : Slovenská muzikologická asociácia pri Slovenskej hudobnej únii. – ISSN 1335-2458. – ISSN (zrušené) 0037-6965. – Roč. 46, č. 4 (2020), s. 364-364 [tlačená forma] </t>
  </si>
  <si>
    <t xml:space="preserve">Ľubomír Bereš : Krídelko (vážka) / Récka, Adriana [Autor, UKFPFAKVV, 100%]. – text. – [slovenčina]. – [OV 010]. – [článok] In: Slovenská hudba [textový dokument (print)] : revue pre hudobnú kultúru. – Bratislava (Slovensko) : Slovenská muzikologická asociácia pri Slovenskej hudobnej únii. – ISSN 1335-2458. – ISSN (zrušené) 0037-6965. – Roč. 46, č. 3 (2020), s. 276-276 [tlačená forma] </t>
  </si>
  <si>
    <t xml:space="preserve">Ľubomír Zabadal : Maják, 2019, digitálna frotáž, 80 x 60 cm / Récka, Adriana [Autor, UKFPFAKVV, 100%]. – [slovenčina]. – [OV 010]. – [článok]. – [recenzované] In: Slovenská hudba [textový dokument (print)] : revue pre hudobnú kultúru. – Bratislava (Slovensko) : Slovenská muzikologická asociácia pri Slovenskej hudobnej únii. – ISSN 1335-2458. – ISSN (zrušené) 0037-6965. – Roč. 47, č. 2 (2021), s. 198-198 [tlačená forma] </t>
  </si>
  <si>
    <t xml:space="preserve">Ľubomír Zabadal : Dirigent / Récka, Adriana [Autor, UKFPFAKVV, 100%]. – text. – [slovenčina]. – [OV 010]. – [článok] In: Slovenská hudba [textový dokument (print)] : revue pre hudobnú kultúru. – Bratislava (Slovensko) : Slovenská muzikologická asociácia pri Slovenskej hudobnej únii. – ISSN 1335-2458. – ISSN (zrušené) 0037-6965. – Roč. 47, č. 1 (2021), s. 98-98 [tlačená forma] </t>
  </si>
  <si>
    <t xml:space="preserve">Ľubomír Zabadal: Plačúci : 2020, digitálna frotáž, 56,5 x 76,5 cm / Récka, Adriana [Autor, UKFPFAKVV, 100%]. – [slovenčina]. – [OV 010]. – [článok] In: Slovenská hudba [textový dokument (print)] : revue pre hudobnú kultúru. – Bratislava (Slovensko) : Slovenská muzikologická asociácia pri Slovenskej hudobnej únii. – ISSN 1335-2458. – ISSN (zrušené) 0037-6965. – Roč. 47, č. 3 (2021), s. 294-294 [tlačená forma] </t>
  </si>
  <si>
    <t xml:space="preserve">Ľudové náhrobníky na Slovensku / Jágerová, Margita [Autor, UKFFFAKEF, 100%]. – [angličtina]. – [OV 030]. – [článok] In: Remeslo, umenie, dizajn [textový dokument (print)] : revue o hodnotách remesla a dizajnu. – Bratislava (Slovensko) : Ústredie ľudovej umeleckej výroby. – ISSN 1335-5457. – Roč. 20, č. 1 (2019), s. 21-23 [tlačená forma] </t>
  </si>
  <si>
    <t xml:space="preserve">Lymfocysty po pelvických a paraaortálnych lymfadenektómiách = Lymphocysts after Pelvic and Paraaortic Lymphadenectomies / Debnár, Tomáš [Autor, UKOLF1GK, 25%] ; Hanzelová, Veronika [Autor, UKOLF1GK, 25%] ; Kubalová, Mária [Autor, UKOLF1GK, 25%] ; Mlynček, Miloš [Autor, UKFFSVKOS, 25%]. – text. – [slovenčina]. – [OV 180]. – [článok]. – SIGN-UKO LF 1GK/21. – SIGN-UKO LJ678/21 In: Slovenská gynekológia a pôrodníctvo [textový dokument (print)] : časopis Slovenskej gynekologicko-pôrodníckej spoločnosti. – Bratislava (Slovensko) : A-medi management. – ISSN 1335-0862. – Roč. 28, č. 3 (2021), s. 160-164 [tlačená forma] </t>
  </si>
  <si>
    <t xml:space="preserve">Maják / Zabadal, Ľubomír [Autor, UKFPFAKVV, 100%]. – [slovenčina]. – [OV 010]. – [článok] In: Slovenská hudba [textový dokument (print)] : revue pre hudobnú kultúru. – Bratislava (Slovensko) : Slovenská muzikologická asociácia pri Slovenskej hudobnej únii. – ISSN 1335-2458. – ISSN (zrušené) 0037-6965. – Roč. 47, č. 2 (2021), s. 1-1 [tlačená forma] </t>
  </si>
  <si>
    <t xml:space="preserve">Manažment vzdelávania / Onušková, Mária [Autor, UKFPFAKPE, 100%]. – [slovenčina]. – [OV 010]. – [článok] In: Pedagogické rozhľady [elektronický dokument] [textový dokument (print)] : Odborno-metodický časopis pre školy a školské zariadenia. – Banská Bystrica (Slovensko) : Metodicko-pedagogické centrum. – ISSN (online) 1335-0404. – Roč. 30, č. 7 (2021), s. 37-41 [online] [tlačená forma] </t>
  </si>
  <si>
    <t xml:space="preserve">Manipulációs eszközök a matematikaórán / Nagyová Lehocká, Zuzana [Autor, UKFFSSUVP, 100%]. – text. – [maďarčina]. – [OV 010]. – [článok] In: Katedra [elektronický dokument] : szlovákiai magyar pedagógusok és szülők lapja. – Dunajská Streda (Slovensko) : Nadácia Katedra. – ISSN 1335-6445. – ISSN (online) 2729-9066. – Roč. 28, č. 2 (2020), s. 26-27 [tlačená forma] [online] </t>
  </si>
  <si>
    <t xml:space="preserve">Marion a Badiou o láske / Vašek, Martin [Autor, UKFFFAKFI, 100%]. – text. – [slovenčina]. – [OV 020]. – [článok] In: Nové horizonty [textový dokument (print)] : časopis pre teológiu, kultúru a spoločnosť. – Bratislava (Slovensko) : Lúč, Spišské Podhradie (Slovensko) : Klub priateľov Ferka Skyčáka. – ISSN 1337-6535. – Roč. 15, č. 1 (2021), s. 35-38 [tlačená forma] </t>
  </si>
  <si>
    <t xml:space="preserve">Marx a "Hnutie za slušné Slovensko" / Manda, Vladimír [Autor, UKFFFAKFI, 100%]. – text. – [slovenčina]. – [OV 020]. – [článok] In: Dav Dva [elektronický dokument] [textový dokument (print)] : kultúrno-politický magazín. – Bratislava (Slovensko) : Občianska iniciatíva DAV DVA. – ISSN 2453-9864. – Roč. 2, č. 1 (2018), s. 26-27 [online] </t>
  </si>
  <si>
    <t xml:space="preserve">Masovokomunikačné prostriedky ako významné socializačné činitele / Selická, Denisa [Autor, UKFFFAKSO, 100%]. – text. – [slovenčina]. – [OV 060, 010]. – [článok] In: Vychovávateľ [textový dokument (print)] : časopis pedagógov. – Bratislava (Slovensko) : Educatio. – ISSN 0139-6919. – Roč. 68, č. 9-10 (2020), s. 34-40 [tlačená forma] </t>
  </si>
  <si>
    <t xml:space="preserve">Matematické prechádzky / Čeretková, Soňa [Autor, UKFFPVKMA, 100%]. – [slovenčina]. – [OV 010]. – [článok] In: Náš čas [textový dokument (print)] : časopis Univerzity Konštatnína Filozofa v Nitre. – Nitra (Slovensko) : Univerzita Konštantína Filozofa v Nitre. – ISSN 1338-3272. – Roč. 22, č. 5 (2018), s. 26-27 [tlačená forma] </t>
  </si>
  <si>
    <t xml:space="preserve">Matéria, moc a Transcendentno v kontexte bytostného napĺňania človeka / Pružinec, Tomáš [Autor, UKFFFAKFI, 100%]. – text. – [slovenčina]. – [OV 020]. – [článok] In: Kultúra [textový dokument (print)] [elektronický dokument] : dvojtýždenník závislý od etiky. – ISSN 1335-3470. – ISSN (online) 1336-2992. – Roč. 22, č. 13 (2019), s. 8-12 [tlačená forma] [online] </t>
  </si>
  <si>
    <t xml:space="preserve">Matka dieťaťa so špeciálnymi potrebami a jej návrat do pracovného života : práca po materskej dovolenke / Kozubík, Michal [Autor, UKFFSVKSP, 90%] ; Síthová, Svetlana [Autor, 10%]. – text. – [slovenčina]. – [OV 060]. – [článok] In: Slnečnica [textový dokument (print)] : časopis Spoločnosti Downovho syndrómu na Slovensku = journal of Slovak Down Syndrome Society. – Bratislava (Slovensko) : Spoločnosť Downovho syndrómu na Slovensku. – ISSN 1336-2194. – Roč. 22, č. 1 (2018), s. 9-9 [tlačená forma] </t>
  </si>
  <si>
    <t xml:space="preserve">Medzi matematikou a estetikou / Teplan, Dušan [Autor, UKFFFASJL, 50%] ; Kolenčíková, Natália [Autor, 50%]. – text. – [slovenčina]. – [OV 020]. – [článok] In: Fraktál [textový dokument (print)] : literatúra horizontálne a vertikálne. – Závod (Slovensko) : Fraktál. – ISSN 2585-8912. – Roč. 4, č. 4 (2021), s. 43-44 [tlačená forma] </t>
  </si>
  <si>
    <t xml:space="preserve">Medzinárodná letná škola archeológie 2019 na Pustom hrade vo Zvolene / Beljak Pažinová, Noémi [Autor, UKFFFAKAR, 100%]. – text. – [slovenčina]. – [OV 030]. – [článok] In: Náš čas [textový dokument (print)] : časopis Univerzity Konštatnína Filozofa v Nitre. – Nitra (Slovensko) : Univerzita Konštantína Filozofa v Nitre. – ISSN 1338-3272. – Roč. 23, č. 8 (2019), s. 18-19 [tlačená forma] </t>
  </si>
  <si>
    <t xml:space="preserve">Medzinárodná vedecká konferencia Labor Socialis 2019 / Minarovičová, Katarína [Autor, UKFFSVKSP, 100%]. – text. – [slovenčina]. – [OV 060]. – [článok] In: Náš čas [textový dokument (print)] : časopis Univerzity Konštatnína Filozofa v Nitre. – Nitra (Slovensko) : Univerzita Konštantína Filozofa v Nitre. – ISSN 1338-3272. – Roč. 23, č. 8 (2019), s. 6-7 [tlačená forma] </t>
  </si>
  <si>
    <t xml:space="preserve">Medzinárodná vedecká konferencia: „Bezpečnosť človeka a spravodlivosť“ v Drohiczyne (Poľsko) / Štefaňak, Ondrej [Autor, UKFFFAKSO, 100%]. – text. – [slovenčina]. – [OV 060]. – [článok]. – DOI 10.17846/SS.2021.6.2.66-67 In: Sociológia a spoločnosť [textový dokument (print)] [elektronický dokument] : medzinárodný vedecký sociologický časopis. – Nitra (Slovensko) : Univerzita Konštantína Filozofa v Nitre. – ISSN 2453-8086. – ISSN (online) 2644-5980. – Roč. 6, č. 2 (2021), s. 66-67 [tlačená forma] [online] </t>
  </si>
  <si>
    <t xml:space="preserve">Medzinárodná vedecká konferencia: „Medzináboženský dialóg a jeho vplyv na spoločnosť, politiku, biznis a kultúru“ v Ternopile (Ukrajina) / Štefaňak, Ondrej [Autor, UKFFFAKSO, 100%]. – text. – [slovenčina]. – [OV 060]. – [článok]. – DOI 10.17846/SS.2021.6.2.68-69 In: Sociológia a spoločnosť [textový dokument (print)] [elektronický dokument] : medzinárodný vedecký sociologický časopis. – Nitra (Slovensko) : Univerzita Konštantína Filozofa v Nitre. – ISSN 2453-8086. – ISSN (online) 2644-5980. – Roč. 6, č. 2 (2021), s. 68-69 [tlačená forma] [online] </t>
  </si>
  <si>
    <t xml:space="preserve">Medzinárodná vedecká konferencia: „Rodina – Mládež – Kultúra (Oblasti záujmu a sociologických výskumov prof. Petra Ondrejkoviča a prof. Wojciecha Świątkiewicza)“ na Katedre sociológie FF UKF / Štefaňak, Ondrej [Autor, UKFFFAKSO, 100%]. – text. – [slovenčina]. – [OV 060]. – [článok]. – DOI 10.17846/SS.2021.6.2.70-71 In: Sociológia a spoločnosť [textový dokument (print)] [elektronický dokument] : medzinárodný vedecký sociologický časopis. – Nitra (Slovensko) : Univerzita Konštantína Filozofa v Nitre. – ISSN 2453-8086. – ISSN (online) 2644-5980. – Roč. 6, č. 2 (2021), s. 70-71 [tlačená forma] [online] </t>
  </si>
  <si>
    <t xml:space="preserve">Medzinárodný festival Pro musica nostra Nitriensi : 2. ročník / Sondorová, Dominika [Autor, UKFPFAKHU, 50%] ; Kačmárová, Simona [Autor, UKFPFAKHU, 50%]. – text. – [slovenčina]. – [OV 010]. – [článok] In: Slovenská hudba [textový dokument (print)] : revue pre hudobnú kultúru. – Bratislava (Slovensko) : Slovenská muzikologická asociácia pri Slovenskej hudobnej únii. – ISSN 1335-2458. – ISSN (zrušené) 0037-6965. – Roč. 45, č. 4 (2019), s. 392-405 [tlačená forma] </t>
  </si>
  <si>
    <t xml:space="preserve">Metalurgický predmet z hradu Šintava = Metalurgical article from Šintava Castle / Illášová, Ľudmila [Autor, UKFFPVGMU, 70%] ; Klčo, Marián [Autor, 30%]. – text. – [slovenčina]. – [OV 092]. – [článok] In: Gemologický spravodajca [textový dokument (print)] : časopis gemológov pri FPV UKF v Nitre. – Nitra (Slovensko) : Univerzita Konštantína Filozofa v Nitre. Fakulta prírodných vied. – ISSN 1337-6136. – ISSN (online) 1338-5275. – Roč. 10, č. 1 (2020), s. 46-49 [tlačená forma] </t>
  </si>
  <si>
    <t xml:space="preserve">Metodický rad nácviku stojky na hlave / Czaková, Natália [Autor, UKFPFAKTV, 100%]. – text. – [slovenčina]. – [OV 210]. – [článok] In: Športový edukátor [elektronický dokument] . – Nitra (Slovensko) : Univerzita Konštantína Filozofa v Nitre. Pedagogická fakulta UKF. Katedra telesnej výchovy a športu. – ISSN (online) 1337-7809. – Roč. 12, č. 1 (2019), s. 45-47 [online] </t>
  </si>
  <si>
    <t xml:space="preserve">Milovať romantické komédie a nehanbiť sa za to! / Malíček, Juraj [Autor, UKFFFAULK, 100%]. – text. – [slovenčina]. – [OV 020]. – [článok] In: Kultúrny život [textový dokument (print)] . – Bratislava (Slovensko) : Petit Press. – ISSN 2585-9838. – Roč. 2, č. 3 (2019), s. 6-7 [tlačená forma] </t>
  </si>
  <si>
    <t xml:space="preserve">Milyen messze esik az alma a fájától? / Gergelyová, Viktória [Autor, UKFFSSUML, 50%] ; Vančo, Ildikó [Autor, UKFFSSUML, 50%]. – text. – [maďarčina]. – [OV 010]. – [článok] In: Katedra [elektronický dokument] : szlovákiai magyar pedagógusok és szülők lapja. – Dunajská Streda (Slovensko) : Nadácia Katedra. – ISSN 1335-6445. – ISSN (online) 2729-9066. – Roč. 29, č. 3 (2021), s. 21-24 [tlačená forma] [online] </t>
  </si>
  <si>
    <t xml:space="preserve">Mindennapi iskolai dilemmáink / Pintes, Gábor [Autor, UKFPFAKPE, 100%]. – text. – [maďarčina]. – [OV 010]. – [článok] In: Katedra [elektronický dokument] : szlovákiai magyar pedagógusok és szülők lapja. – Dunajská Streda (Slovensko) : Nadácia Katedra. – ISSN 1335-6445. – ISSN (online) 2729-9066. – Roč. 28, č. 2 (2020), s. 3-4 [tlačená forma] [online] </t>
  </si>
  <si>
    <t xml:space="preserve">Mit kell tudni a PISA-ról, avagy mit jelent a szövegértés? / Gergelyová, Viktória [Autor, UKFFSSUML, 50%] ; Vančo, Ildikó [Autor, UKFFSSUML, 50%]. – text. – [maďarčina]. – [OV 010]. – [článok] In: Katedra [elektronický dokument] : szlovákiai magyar pedagógusok és szülők lapja. – Dunajská Streda (Slovensko) : Nadácia Katedra. – ISSN 1335-6445. – ISSN (online) 2729-9066. – Roč. 28, č. 2 (2020), s. 21-24 [tlačená forma] [online] </t>
  </si>
  <si>
    <t xml:space="preserve">Mladí ľudia a extrémizmus / Selická, Denisa [Autor, UKFFFAKSO, 100%]. – text. – [slovenčina]. – [OV 060]. – [článok] In: Vychovávateľ [textový dokument (print)] : časopis pedagógov. – Bratislava (Slovensko) : Educatio. – ISSN 0139-6919. – Roč. 67, č. 7-8 (2019), s. 39-43 [tlačená forma] </t>
  </si>
  <si>
    <t xml:space="preserve">Módszertani kézikönyvek az irodalomoktatás kontextusában / Radics, Rudolf [Autor, UKFFSSUML, 100%]. – text. – [maďarčina]. – [OV 010]. – [článok] In: Katedra [elektronický dokument] : szlovákiai magyar pedagógusok és szülők lapja. – Dunajská Streda (Slovensko) : Nadácia Katedra. – ISSN 1335-6445. – ISSN (online) 2729-9066. – Roč. 27, č. 7 (2020), s. 6-7 [tlačená forma] [online] </t>
  </si>
  <si>
    <t xml:space="preserve">Moje nulté / Fuják, Július [Autor, UKFFFAKKU, 100%]. – text. – [slovenčina]. – [OV 020]. – [článok] In: Vlna [textový dokument (print)] : časopis o súčasnom umení a kultúre. – Bratislava (Slovensko) : Drewo a srd. – ISSN 1335-5341. – ISSN (chybné) ISSN 1335-969X. – Roč. 22, č. 83 (2020), s. 80-83 [tlačená forma] </t>
  </si>
  <si>
    <t xml:space="preserve">Moje obľúbené slovenské filmy / Ambrózová, Jana [Autor, UKFFFAKEF, 100%]. – text. – [slovenčina]. – [OV 030]. – [článok] In: Film.sk [textový dokument (print)] [elektronický dokument] : mesačník o filmovom dianí na Slovensku. – Bratislava (Slovensko) : Slovenský filmový ústav. – ISSN 1335-8286. – ISSN (online) 1336-2712. – Roč. 20, č. 2 (2019), s. 19-19 [tlačená forma] [online] </t>
  </si>
  <si>
    <t xml:space="preserve">Monitoring biotopov a druhov európskeho  významu na Slovensku / Saxa, Andrej [Autor, 50%] ; Černecký, Andrej [Autor, UKFFPVKEE, 50%]. – text. – [slovenčina]. – [OV 100]. – [článok] In: Enviromagazín [textový dokument (print)] [elektronický dokument] : odborno-náučný časopis o životnom prostredí. – Banská Bystrica (Slovensko) : Slovenská agentúra životného prostredia, Bratislava (Slovensko) : Ministerstvo životného prostredia Slovenskej republiky. – ISSN 1335-1877. – Roč. 24, č. 1 (2019), s. 24-25 [tlačená forma] </t>
  </si>
  <si>
    <t xml:space="preserve">Morálne zásady v hatha joge - Nijama / Bartal, Jana [Autor, UKFFFAKAE 06.2022, 100%]. – text. – [slovenčina]. – [OV 020]. – [článok] In: Prekroč svoj tieň [elektronický dokument] : prvý recenzovaný vedecko-odborný časopis osobného rozvoja. – Bratislava (Slovensko) : Business Intelligence Club. – ISSN (online) 2644-6707. – Roč. 1, č. august (2020), s. 1-4 [online] </t>
  </si>
  <si>
    <t xml:space="preserve">Motivačné prvky podporujúce rozvoj grafických zručností / Tomková, Viera [Autor, UKFPFAKTT, 100%]. – text. – [slovenčina]. – [OV 010]. – [článok] In: Technika a vzdelávanie [textový dokument (print)] [elektronický dokument] : časopis zameraný na technické vzdelávanie v základných, stredných i na vysokých školách, na oblasť základného a aplikovaného výskumu, aplikáciu informačných technológií vo výučbe odborných predmetov. – Banská Bystrica (Slovensko) : Univerzita Mateja Bela v Banskej Bystrici. Fakulta prírodných vied. – ISSN 1338-9742. – ISSN (online) 1339-9888. – Roč. 7, č. 1 (2018), s. 32-34 [tlačená forma] [online] </t>
  </si>
  <si>
    <t xml:space="preserve">Možnosti edukačnej pomoci pre ťažko zdravotne postihnuté deti / Selická, Denisa [Autor, UKFFFAKSO, 100%]. – text. – [slovenčina]. – [OV 010]. – [článok] In: Vychovávateľ [textový dokument (print)] : časopis pedagógov. – Bratislava (Slovensko) : Educatio. – ISSN 0139-6919. – Roč. 67, č. 5-6 (2019), s. 34-39 [tlačená forma] </t>
  </si>
  <si>
    <t xml:space="preserve">Možnosti vyučovania telesnej a športovej výchovy online / Czaková, Natália [Autor, UKFPFAKTV, 50%] ; Domčeková, Andrea [Autor, UKFPFAKTV, 50%]. – text. – [slovenčina]. – [OV 210]. – [článok] In: Športový edukátor [elektronický dokument] . – Nitra (Slovensko) : Univerzita Konštantína Filozofa v Nitre. Pedagogická fakulta UKF. Katedra telesnej výchovy a športu. – ISSN (online) 1337-7809. – Roč. 14, č. 1 (2021), s. 9-13 [online] </t>
  </si>
  <si>
    <t xml:space="preserve">Nadosobne osobná Slávy dcera Jána Kollára / Taneski, Martina [Autor, UKFFFASJL, 100%]. – text. – [slovenčina]. – [OV 020]. – [článok] In: Knižná revue [textový dokument (print)] [elektronický dokument] : mesačník o nových knihách. – Bratislava (Slovensko) : Literárne informačné centrum. – ISSN 1210-1982. – ISSN (online) 1336-247X. – Roč. 28, č. 2 (2018), s. 29-31 [tlačená forma] [online] </t>
  </si>
  <si>
    <t xml:space="preserve">Nagy Lehocky Zsuzsa, az élményszerűmatematikatanítás népszerűsítője / Petres Csizmadia, Gabriela [Autor, UKFFSSUML, 50%] ; Nagyová Lehocká, Zuzana [Autor, UKFFSSUVP, 50%]. – text. – [maďarčina]. – [OV 010]. – [článok] In: Katedra [elektronický dokument] : szlovákiai magyar pedagógusok és szülők lapja. – Dunajská Streda (Slovensko) : Nadácia Katedra. – ISSN 1335-6445. – ISSN (online) 2729-9066. – Roč. 27, č. 2 (2019), s. 4-5 [tlačená forma] [online] </t>
  </si>
  <si>
    <t xml:space="preserve">Najprv bol väzňom, potom národným umelcom / Hochel, Igor [Autor, UKFFFASJL, 100%]. – text. – [slovenčina]. – [OV 020]. – [článok] In: Katolícke noviny [textový dokument (print)] [elektronický dokument] . – Trnava (Slovensko) : Spolok svätého Vojtecha. – ISSN 0139-8512. – ISSN (online) 1336-2399. – Roč. 133, č. 16 (2018), s. 10-10 [tlačená forma] [online] </t>
  </si>
  <si>
    <t xml:space="preserve">Nakladanie s odpadom ekologickejšie a čistejšie / Černáková, Jana [Autor, UKFREKTOR, 100%]. – text. – [slovenčina]. – [OV 100]. – [článok] In: Náš čas [textový dokument (print)] : časopis Univerzity Konštatnína Filozofa v Nitre. – Nitra (Slovensko) : Univerzita Konštantína Filozofa v Nitre. – ISSN 1338-3272. – Roč. 24, č. 4 (2020), s. 18-19 [tlačená forma] </t>
  </si>
  <si>
    <t xml:space="preserve">Národný záujem ako "nový fenomén" v zahraničnej politike 21. storočia / Brhlíková, Radoslava [Autor, UKFFFAKPO, 100%]. – text. – [slovenčina]. – [OV 060]. – [článok] In: Civitas [textový dokument (print)] : časopis pre politické a sociálne vedy. – Nitra (Slovensko) : Univerzita Konštantína Filozofa v Nitre. Filozofická fakulta. Katedra politológie a euroázijských štúdií. – ISSN 1335-2652. – Roč. 25, č. 56 - 1 (2019), s. 2-5 [tlačená forma] </t>
  </si>
  <si>
    <t xml:space="preserve">Naše študentky pomáhajú žiakom základných škôl / Čerešníková, Miroslava [Autor, UKFFSVURS, 100%]. – text. – [slovenčina]. – [OV 020]. – [článok] In: Náš čas [textový dokument (print)] : časopis Univerzity Konštatnína Filozofa v Nitre. – Nitra (Slovensko) : Univerzita Konštantína Filozofa v Nitre. – ISSN 1338-3272. – Roč. 25, č. 1 (2021), s. 36-37 [tlačená forma] </t>
  </si>
  <si>
    <t xml:space="preserve">Nebezpečenstvo online hier / Židová, Monika [Autor, UKFPFAKPE, 100%]. – text. – [slovenčina]. – [OV 010]. – [článok] In: Aktuality zväzu [textový dokument (print)] : aktuality zväzu pracovníkov školstva a vedy na Slovensku. – Bratislava (Slovensko) : Odborový zväz pracovníkov školstva a vedy na Slovensku. – ISSN 1338-7960. – Roč. 29, č. 3-4 (2020), s. 24-25 [tlačená forma] </t>
  </si>
  <si>
    <t xml:space="preserve">Několik poznámek k metodologii studia protižidovských narativů ve filologické perspektivě : na úvod monotematického čísla (editoriál) / Mikulášek, Alexej [Autor, UKFFSSUSJ, 100%]. – text. – [čeština]. – [OV 020]. – [článok] In: Stredoeurópske pohľady [textový dokument (print)] [elektronický dokument] : časopis pre jazyk, literatúru, kultúru a médiá. – Nitra (Slovensko) : Univerzita Konštantína Filozofa v Nitre. Fakulta stredoeurópskych štúdií. Ústav stredoeurópskych jazykov a kultúr. – ISSN 2644-6367. – ISSN (online) 2644-6472. – Roč. 2, č. 1 (2020), s. 2-6 [tlačená forma] [online] </t>
  </si>
  <si>
    <t xml:space="preserve">Nepoznaná kresba / Baďová, Petra [Autor, UKFFFAULK, 100%]. – text. – [slovenčina]. – [OV 020]. – [článok] In: Knižná revue [textový dokument (print)] [elektronický dokument] : mesačník o nových knihách. – Bratislava (Slovensko) : Literárne informačné centrum. – ISSN 1210-1982. – ISSN (online) 1336-247X. – Roč. 30, č. 2 (2020), s. 20-21 [tlačená forma] [online] </t>
  </si>
  <si>
    <t xml:space="preserve">Neúplná správa o nezvyčajnej intermediálnej výstave / Fuják, Július [Autor, UKFFFAKKU, 100%]. – text. – [slovenčina]. – [OV 020]. – [článok] In: Vlna [textový dokument (print)] : časopis o súčasnom umení a kultúre. – Bratislava (Slovensko) : Drewo a srd. – ISSN 1335-5341. – ISSN (chybné) ISSN 1335-969X. – Roč. 21, č. 80 (2019), s. 126-127 [tlačená forma] </t>
  </si>
  <si>
    <t xml:space="preserve">Neutíchajúci prameň múdrosti / Ballay, Miroslav [Autor, UKFFFAKKU, 100%]. – text. – [slovenčina]. – [OV 060]. – [článok] In: Náš čas [textový dokument (print)] : časopis Univerzity Konštatnína Filozofa v Nitre. – Nitra (Slovensko) : Univerzita Konštantína Filozofa v Nitre. – ISSN 1338-3272. – Roč. 24, č. 4 (2020), s. 7-8 [tlačená forma] </t>
  </si>
  <si>
    <t xml:space="preserve">Nevek között : A 21. szlovák névtudományi konferencia / Angyal, Ladislav [Autor, UKFFSSUML, 100%]. – text. – [maďarčina]. – [OV 020]. – [článok] In: Katedra [elektronický dokument] : szlovákiai magyar pedagógusok és szülők lapja. – Dunajská Streda (Slovensko) : Nadácia Katedra. – ISSN 1335-6445. – ISSN (online) 2729-9066. – Roč. 27, č. 2 (2019), s. 33-34 [tlačená forma] [online] </t>
  </si>
  <si>
    <t xml:space="preserve">Nie svetonázor, diagnóza / Malíček, Juraj [Autor, UKFFFAULK, 100%]. – text. – [slovenčina]. – [OV 020]. – [článok] In: Kultúrny život [textový dokument (print)] . – Bratislava (Slovensko) : Petit Press. – ISSN 2585-9838. – Roč. 2, č. 3 (2019), s. 5-5 [tlačená forma] </t>
  </si>
  <si>
    <t xml:space="preserve">Niekoľko poznámok k najmovšej migračnej kríze = A few notes on the latest migration wave / Krno, Svetozár [Autor, UKFFFAKPO, 100%]. – text. – [slovenčina]. – [OV 060]. – [článok] In: Civitas [textový dokument (print)] : časopis pre politické a sociálne vedy. – Nitra (Slovensko) : Univerzita Konštantína Filozofa v Nitre. Filozofická fakulta. Katedra politológie a euroázijských štúdií. – ISSN 1335-2652. – Roč. 25, č. 57 - 2 (2019), s. 2-3 [tlačená forma] </t>
  </si>
  <si>
    <t xml:space="preserve">Niekoľko poznámok k rozmachu autobiografického písania a memoárového žánru v slovenskej literatúre po roku 2000 / Mitková, Natália [Autor, UKFFFASJL, 100%]. – text. – [slovenčina]. – [OV 020]. – [článok] In: Romboid [textový dokument (print)] : časopis pre literatúru a umeleckú komunikáciu. – Bratislava (Slovensko) : Zväz slovenských spisovateľov, Bratislava (Slovensko) : Asociácia organizácií spisovateľov Slovenska. – ISSN 0231-6714. – Roč. 53, č. 9-10 (2018), s. 89-95 [tlačená forma] </t>
  </si>
  <si>
    <t xml:space="preserve">Nočné mory na dosah ovládača / Debnár, Marek [Autor, UKFFFACHV, 100%]. – text. – [slovenčina]. – [OV 020]. – [článok] In: Knižná revue [textový dokument (print)] [elektronický dokument] : mesačník o nových knihách. – Bratislava (Slovensko) : Literárne informačné centrum. – ISSN 1210-1982. – ISSN (online) 1336-247X. – Roč. 30, č. 10 (2020), s. 23-23 [tlačená forma] [online] </t>
  </si>
  <si>
    <t xml:space="preserve">Nová agenda vo vzdelávaní sestier v európskom kontexte / Zrubcová, Dana [Autor, UKFFSVKOS, 33.334%] ; Solgajová, Andrea [Autor, UKFFSVKOS, 33.333%] ; Pavelová, Ľuboslava [Autor, UKFFSVKOS, 33.333%]. – text. – [slovenčina]. – [OV 010, 180]. – [článok] In: Náš čas [textový dokument (print)] : časopis Univerzity Konštatnína Filozofa v Nitre. – Nitra (Slovensko) : Univerzita Konštantína Filozofa v Nitre. – ISSN 1338-3272. – Roč. 24, č. 5 (2020), s. 27-28 [tlačená forma] </t>
  </si>
  <si>
    <t xml:space="preserve">Nuda v galérii? V žiadnom prípade / Baďová, Petra [Autor, UKFFFAULK, 100%]. – text. – [slovenčina]. – [OV 020]. – [článok] In: Knižná revue [textový dokument (print)] [elektronický dokument] : mesačník o nových knihách. – Bratislava (Slovensko) : Literárne informačné centrum. – ISSN 1210-1982. – ISSN (online) 1336-247X. – Roč. 29, č. 6 (2019), s. 20-21 [tlačená forma] [online] </t>
  </si>
  <si>
    <t xml:space="preserve">Nútil ľudí myslieť  a hľadať vlastné odpovede / Palitefka, Jozef [Autor, UKFFFAKKU, 100%]. – text. – [slovenčina]. – [OV 060]. – [článok] In: Náš čas [textový dokument (print)] : časopis Univerzity Konštatnína Filozofa v Nitre. – Nitra (Slovensko) : Univerzita Konštantína Filozofa v Nitre. – ISSN 1338-3272. – Roč. 24, č. 4 (2020), s. 9-9 [tlačená forma] </t>
  </si>
  <si>
    <t xml:space="preserve">Nyelvi revitalizáció az oktatáson keresztül (1. rész) : A finnországi számik példája / Vančo, Ildikó [Autor, UKFFSSUML, 100%]. – text. – [maďarčina]. – [OV 020]. – [článok] In: Katedra [elektronický dokument] : szlovákiai magyar pedagógusok és szülők lapja. – Dunajská Streda (Slovensko) : Nadácia Katedra. – ISSN 1335-6445. – ISSN (online) 2729-9066. – Roč. 28, č. 6 (2021), s. 8-10 [tlačená forma] [online] </t>
  </si>
  <si>
    <t xml:space="preserve">Nyelvi revitalizáció az oktatáson keresztül (2. rész) : A finnországi számik példája / Vančo, Ildikó [Autor, UKFFSSUML, 100%]. – text. – [maďarčina]. – [OV 020]. – [článok] In: Katedra [elektronický dokument] : szlovákiai magyar pedagógusok és szülők lapja. – Dunajská Streda (Slovensko) : Nadácia Katedra. – ISSN 1335-6445. – ISSN (online) 2729-9066. – Roč. 28, č. 7 (2021), s. 24-27 [tlačená forma] [online] </t>
  </si>
  <si>
    <t xml:space="preserve">O (novom slovenskom) komikse pre nezasvätených / Baďová, Petra [Autor, UKFFFAULK, 100%]. – text. – [slovenčina]. – [OV 020]. – [článok] In: Knižná revue [textový dokument (print)] [elektronický dokument] : mesačník o nových knihách. – Bratislava (Slovensko) : Literárne informačné centrum. – ISSN 1210-1982. – ISSN (online) 1336-247X. – Roč. 29, č. 9 (2019), s. 20-21 [tlačená forma] [online] </t>
  </si>
  <si>
    <t xml:space="preserve">O myšiach (a ľuďoch) / Baďová, Petra [Autor, UKFFFAULK, 100%]. – text. – [slovenčina]. – [OV 020]. – [článok] In: Knižná revue [textový dokument (print)] [elektronický dokument] : mesačník o nových knihách. – Bratislava (Slovensko) : Literárne informačné centrum. – ISSN 1210-1982. – ISSN (online) 1336-247X. – Roč. 29, č. 11 (2019), s. 20-21 [tlačená forma] [online] </t>
  </si>
  <si>
    <t xml:space="preserve">O psovi na zjedenie / Baďová, Petra [Autor, UKFFFAULK, 100%]. – text. – [slovenčina]. – [OV 020]. – [článok] In: Knižná revue [textový dokument (print)] [elektronický dokument] : mesačník o nových knihách. – Bratislava (Slovensko) : Literárne informačné centrum. – ISSN 1210-1982. – ISSN (online) 1336-247X. – Roč. 30, č. 1 (2020), s. 20-21 [tlačená forma] [online] </t>
  </si>
  <si>
    <t xml:space="preserve">Obezita : rizikový faktor rakoviny 4. časť / Mináriková, Daniela [Autor, UKOFAPR, 50%] ; Minárik, Peter [Autor, UKFFSVKUM, 50%]. – [slovenčina]. – [OV 180]. – [článok] In: Lekárnické listy [textový dokument (print)] : odborno-informačný časopis Slovenskej lekárnickej komory. – Bratislava (Slovensko) : Slovenská lekárnická komora. – ISSN 1335-5821. – Roč. 23, č. 6 (2021), s. 22-23 [tlačená forma] </t>
  </si>
  <si>
    <t xml:space="preserve">Od kamenných divadiel k nezávislej scéne / Timčíková, Zuzana [Autor, UKFFFAULK, 100%]. – text. – [slovenčina]. – [OV 020]. – [článok] In: Vlna [textový dokument (print)] : časopis o súčasnom umení a kultúre. – Bratislava (Slovensko) : Drewo a srd. – ISSN 1335-5341. – ISSN (chybné) ISSN 1335-969X. – Roč. 21, č. 78 (2019), s. 78-81 [tlačená forma] </t>
  </si>
  <si>
    <t xml:space="preserve">Od utópií k postapokalyptizmu : niekoľko poznámok k vybraným anticipáciám budúcnosti v súčasnej sloveskej poézii / Lietavec, Tomáš [Autor, UKFFFAULK, 100%]. – text. – [slovenčina]. – [OV 020]. – [článok] In: Fraktál [textový dokument (print)] : literatúra horizontálne a vertikálne. – Závod (Slovensko) : Fraktál. – ISSN 2585-8912. – Roč. 2, č. 4 (2019), s. 150-153 [tlačená forma] </t>
  </si>
  <si>
    <t xml:space="preserve">Odborný workshop spojil dva svety / Palenčíková, Zuzana [Autor, UKFFSSKCR, 100%]. – text. – [slovenčina]. – [OV 010]. – [článok] In: Náš čas [textový dokument (print)] : časopis Univerzity Konštatnína Filozofa v Nitre. – Nitra (Slovensko) : Univerzita Konštantína Filozofa v Nitre. – ISSN 1338-3272. – Roč. 24, č. 4 (2020), s. 21-21 [tlačená forma] </t>
  </si>
  <si>
    <t xml:space="preserve">Odkrývanie skrytého kafkovstva - Xafoo / Fuják, Július [Autor, UKFFFAKKU, 100%]. – text. – [slovenčina]. – [OV 020]. – [článok] In: Vlna [textový dokument (print)] : časopis o súčasnom umení a kultúre. – Bratislava (Slovensko) : Drewo a srd. – ISSN 1335-5341. – ISSN (chybné) ISSN 1335-969X. – Roč. 20, č. 75 (2018), s. 18-23 [tlačená forma] </t>
  </si>
  <si>
    <t xml:space="preserve">Online detstvo ako determinant súčasnej smutnej generácie / Židová, Monika [Autor, UKFPFAKPE, 100%]. – text. – [slovenčina]. – [OV 010]. – [článok] In: Aktuality zväzu [textový dokument (print)] : aktuality zväzu pracovníkov školstva a vedy na Slovensku. – Bratislava (Slovensko) : Odborový zväz pracovníkov školstva a vedy na Slovensku. – ISSN 1338-7960. – Roč. 29, č. 2 (2020), s. 28-30 [tlačená forma] </t>
  </si>
  <si>
    <t xml:space="preserve">Online projekty o migrácii oslovili široké publikum / Račeková, Ľubica [Autor, UKFFFAKZU, 100%]. – text. – [slovenčina]. – [OV 010]. – [článok] In: Náš čas [textový dokument (print)] : časopis Univerzity Konštatnína Filozofa v Nitre. – Nitra (Slovensko) : Univerzita Konštantína Filozofa v Nitre. – ISSN 1338-3272. – Roč. 25, č. 1 (2021), s. 18-19 [tlačená forma] </t>
  </si>
  <si>
    <t xml:space="preserve">Online študentský terénny výskum na katedre etnológie a folkloristiky / Bošelová, Miriama [Autor, UKFFFAKEF, 100%]. – text. – [slovenčina]. – [OV 010]. – [článok] In: Náš čas [textový dokument (print)] : časopis Univerzity Konštatnína Filozofa v Nitre. – Nitra (Slovensko) : Univerzita Konštantína Filozofa v Nitre. – ISSN 1338-3272. – Roč. 25, č. 1 (2021), s. 19-20 [tlačená forma] </t>
  </si>
  <si>
    <t xml:space="preserve">On-line/ Off-line / Pintes, Gábor [Autor, UKFPFAKPE, 100%]. – text. – [maďarčina]. – [OV 010]. – [článok] In: Katedra [elektronický dokument] : szlovákiai magyar pedagógusok és szülők lapja. – Dunajská Streda (Slovensko) : Nadácia Katedra. – ISSN 1335-6445. – ISSN (online) 2729-9066. – Roč. 27, č. 9 (2020), s. 3-3 [tlačená forma] [online] </t>
  </si>
  <si>
    <t xml:space="preserve">Orchester výkrikov i tlmených slov / Zumríková Kekeliaková, Monika [Autor, UKFFFASJL, 100%]. – text. – [slovenčina]. – [OV 020]. – [článok] In: Katolícke noviny [textový dokument (print)] [elektronický dokument] . – Trnava (Slovensko) : Spolok svätého Vojtecha. – ISSN 0139-8512. – ISSN (online) 1336-2399. – Roč. 136, č. 13-14 (2021), s. 20-21 [tlačená forma] [online] </t>
  </si>
  <si>
    <t xml:space="preserve">Óriási a fizikatanár-hiány - veszélyben a jövő? / Tóth, Attila [Autor, UKFFSSUVP, 100%]. – text. – [maďarčina]. – [OV 010]. – [článok] In: Katedra [elektronický dokument] : szlovákiai magyar pedagógusok és szülők lapja. – Dunajská Streda (Slovensko) : Nadácia Katedra. – ISSN 1335-6445. – ISSN (online) 2729-9066. – Roč. 26, č. 9 (2019), s. 23-24 [tlačená forma] [online] </t>
  </si>
  <si>
    <t xml:space="preserve">Ovplyvnil lockdown životný štýl počas prvej vlny pandémie COVID-19 na Slovensku? : 1. časť / Schwarzová, Marianna [Autor, SPUFAP16, 20%] ; Fatrcová Šramková, Katarína [Autor, SPUFAP16, 20%] ; Tvrdá, Eva [Autor, SPUFBP03, 20%] ; Kačániová, Miroslava [Autor, SPUFZK06, 20%] ; Juríková, Tünde [Autor, UKFFSSUVP, 20%]. – text. – [slovenčina]. – [OV 190]. – [článok] In: Revue medicíny v praxi [textový dokument (print)] . – Bratislava (Slovensko) : Fabart. – ISSN 1336-202X. – Roč. 18, č. 2 (2020), s. 5-8 [tlačená forma] </t>
  </si>
  <si>
    <t xml:space="preserve">Ozubené kolieska v "hlave" citrusového plodu - teribl to stvar : (A. Burgess. Mechanický pomaranč) / Boszorád, Martin [Autor, UKFFFAULK, 100%]. – text. – [slovenčina]. – [OV 020]. – [článok] In: Fraktál [textový dokument (print)] : literatúra horizontálne a vertikálne. – Závod (Slovensko) : Fraktál. – ISSN 2585-8912. – Roč. 1, č. 2 (2018), s. 172-173 [tlačená forma] </t>
  </si>
  <si>
    <t xml:space="preserve">Pán K. ́s not dead! K reanimácii Franza Kafku a jeho diela v (populárnej) kultúre / Boszorád, Martin [Autor, UKFFFAULK, 100%]. – text. – [slovenčina]. – [OV 020]. – [článok] In: Fraktál [textový dokument (print)] : literatúra horizontálne a vertikálne. – Závod (Slovensko) : Fraktál. – ISSN 2585-8912. – Roč. 1, č. 3 (2018), s. 66-69 [tlačená forma] </t>
  </si>
  <si>
    <t xml:space="preserve">Pätnásť rokov v znamení rýchlosti / Valovičová, Ľubomíra [Autor, UKFFPVKFY, 100%]. – text. – [slovenčina]. – [OV 010]. – [článok] In: Náš čas [textový dokument (print)] : časopis Univerzity Konštatnína Filozofa v Nitre. – Nitra (Slovensko) : Univerzita Konštantína Filozofa v Nitre. – ISSN 1338-3272. – Roč. 24, č. 4 (2020), s. 32-33 [tlačená forma] </t>
  </si>
  <si>
    <t xml:space="preserve">Pedagogička UKF hosťom relácie RTVS Ars Litera / Inštitorisová, Dagmar [Autor, UKFFFAKMR, 100%]. – text. – [slovenčina]. – [OV 020]. – [článok] In: Náš čas [textový dokument (print)] : časopis Univerzity Konštatnína Filozofa v Nitre. – Nitra (Slovensko) : Univerzita Konštantína Filozofa v Nitre. – ISSN 1338-3272. – Roč. 24, č. 4 (2020), s. 30-31 [tlačená forma] </t>
  </si>
  <si>
    <t xml:space="preserve">PhDr. Iveta Zuskinová jubiluje (28.6.1950) / Beňušková, Zuzana [Autor, UKFFFAKEF, 100%]. – text. – [slovenčina]. – [OV 030]. – [článok] In: Múzeum [textový dokument (print)] : Metodický , študijný a  informačný recenzovaný časopis pre zamestnancov múzeí a galérií. – Bratislava (Slovensko) : Slovenské národné múzeum. – ISSN 0027-5263. – Roč. 66, č. 3 (2020), s. 59-60 [tlačená forma] </t>
  </si>
  <si>
    <t xml:space="preserve">Piloti veľkej vojny žili na hranici života a smrti / Koppan, Vladimír [Autor, UKFFFAKHI, 100%]. – [slovenčina]. – [OV 030]. – [článok] In: HistoryWeb [elektronický dokument] : informačný portál o histórii. – Banská Bystrica (Slovensko) : [s.n.]. – ISSN (online) 1338-8789. – č. máj (2018), s. 1-3 [online] </t>
  </si>
  <si>
    <t xml:space="preserve">Pilotná etapa biomonitoringu v areáli Jaguar Land Rover Slovakia, s. r. o. / Baláž, Ivan [Autor, UKFFPVKEE, 25%] ; Tulis, Filip [Autor, UKFFPVKEE, 20%] ; David, Stanislav [Autor, UKFFPVKEE, 15%] ; Krumpálová, Zuzana [Autor, UKFFPVKEE, 15%] ; Poláčiková, Zuzana [Autor, UKFFPVKZA, 5%] ; Petrovič, František [Autor, UKFFPVKEE, 5%] ; Straňák, Jozef [Autor, UKFFPVKEE, 5%] ; Petrovičová, Kornélia [Autor, SPUFAP26, 5%] ; Drozd, Martin [Autor, 5%]. – [slovenčina]. – [OV 100]. – [článok] In: Enviromagazín [textový dokument (print)] [elektronický dokument] : odborno-náučný časopis o životnom prostredí. – Banská Bystrica (Slovensko) : Slovenská agentúra životného prostredia, Bratislava (Slovensko) : Ministerstvo životného prostredia Slovenskej republiky. – ISSN 1335-1877. – Roč. 25, č. 6 (2020), s. 30-31 [tlačená forma] </t>
  </si>
  <si>
    <t xml:space="preserve">Plačúci, 2020, digitálna frotáž 56,5 x 76,5 cm / Zabadal, Ľubomír [Autor, UKFPFAKVV, 100%]. – text, ilustr. – [slovenčina]. – [OV 010]. – [článok] In: Slovenská hudba [textový dokument (print)] : revue pre hudobnú kultúru. – Bratislava (Slovensko) : Slovenská muzikologická asociácia pri Slovenskej hudobnej únii. – ISSN 1335-2458. – ISSN (zrušené) 0037-6965. – Roč. 47, č. 3 (2021), s. 1-1 [tlačená forma] </t>
  </si>
  <si>
    <t xml:space="preserve">Plasty: hrozba či pomoc? / Petrovičová, Ida [Autor, UKFFPVKZA, 100%]. – [slovenčina]. – [OV 100]. – [článok] In: Náš čas [textový dokument (print)] : časopis Univerzity Konštatnína Filozofa v Nitre. – Nitra (Slovensko) : Univerzita Konštantína Filozofa v Nitre. – ISSN 1338-3272. – Roč. 22, č. 5 (2018), s. 25-25 [tlačená forma] </t>
  </si>
  <si>
    <t xml:space="preserve">Plavecký spôsob znak: základné cvičenia pre začiatočníkov a najčastejšie chyby v technike / Kováčová, Natália [Autor, UKFPFAKTV, 100%]. – text. – [slovenčina]. – [OV 210]. – [článok] In: Športový edukátor [elektronický dokument] . – Nitra (Slovensko) : Univerzita Konštantína Filozofa v Nitre. Pedagogická fakulta UKF. Katedra telesnej výchovy a športu. – ISSN (online) 1337-7809. – Roč. 12, č. 2 (2019), s. 39-44 [online] </t>
  </si>
  <si>
    <t xml:space="preserve">Playing-2-gether: Teacher sensitivity as a basis for inclusion in preschool (P2G) / Grofčíková, Soňa [Autor, UKFPFAKPE, 50%] ; Klimentová, Anna [Autor, UKFPFAKPE, 50%]. – text. – [angličtina]. – [OV 010]. – [článok] In: Pedagogika.sk [elektronický dokument] : slovenský časopis pre pedagogické vedy = Slovak Journal for Educational Sciences. – Bratislava (Slovensko) : Slovenská akadémia vied. Slovenská pedagogická spoločnosť pri SAV. – ISSN (online) 1338-0982. – Roč. 9, č. 4 (2018), s. 232-235 [online] </t>
  </si>
  <si>
    <t xml:space="preserve">Plní si svoj veľký sen - vďaka svojmu talentu aj filmu Hobit : absolventka UKF sa do veľkého sveta šoubiznisu dostala aj vďaka spolupráci so spoločnosťou Warner Bros. Momentálne sa podieľa na tvorbe filmu s hollywoodskymi hviezdami v hlavných úlohách / Černáková, Jana [Autor, UKFREKTOR, 100%]. – text. – [slovenčina]. – [OV 020]. – [článok] In: Náš čas [textový dokument (print)] : časopis Univerzity Konštatnína Filozofa v Nitre. – Nitra (Slovensko) : Univerzita Konštantína Filozofa v Nitre. – ISSN 1338-3272. – Roč. 23, č. 8 (2019), s. 30-31 [tlačená forma] </t>
  </si>
  <si>
    <t xml:space="preserve">Pocta tajomstvám / Baďová, Petra [Autor, UKFFFAULK, 100%]. – text. – [slovenčina]. – [OV 020]. – [článok] In: Knižná revue [textový dokument (print)] [elektronický dokument] : mesačník o nových knihách. – Bratislava (Slovensko) : Literárne informačné centrum. – ISSN 1210-1982. – ISSN (online) 1336-247X. – Roč. 30, č. 6 (2020), s. 18-19 [tlačená forma] [online] </t>
  </si>
  <si>
    <t xml:space="preserve">Podoby rôznych slobôd / Ballay, Miroslav [Autor, UKFFFAKKU, 100%]. – [slovenčina]. – [OV 020]. – [článok] In: Art communication &amp; popculture [textový dokument (print)] : časopis pre umeleckú komunikáciu a popkultúru. – Nitra (Slovensko) : Univerzita Konštantína Filozofa v Nitre. – ISSN 1339-9284. – Roč. 5, č. 1-2 (2019), s. 223-227 [tlačená forma] </t>
  </si>
  <si>
    <t xml:space="preserve">Poézia a Digital Humanities / Teplan, Dušan [Autor, UKFFFASJL, 100%]. – text. – [slovenčina]. – [OV 020]. – [článok] In: Litikon [textový dokument (print)] : časopis pre výskum literatúry = journal for literature research. – Nitra (Slovensko) : Univerzita Konštantína Filozofa v Nitre. – ISSN 2453-8507. – Roč. 4, č. 1 (2019), s. 333-334 [tlačená forma] </t>
  </si>
  <si>
    <t xml:space="preserve">Pompeiova cesta do Egypta 1 : do vytvorenia prvého triumvirátu / Jirkal, Emanuel [Autor, UKFFFAKHI, 100%]. – text. – [slovenčina]. – [OV 030]. – [článok] In: Historická revue [textový dokument (print)] : vedecko-populárny mesačník o dejinách. – Bratislava (Slovensko) : Slovenský archeologický a historický inštitút. – ISSN 1335-6550. – TUT ID E003501. – Roč. 29, č. 7 (2018), s. 16-21 [tlačená forma] </t>
  </si>
  <si>
    <t xml:space="preserve">Pompeiova cesta do Egypta 2 : od spojenectva s Caesarom po boj na život a na smrť / Jirkal, Emanuel [Autor, UKFFFAKHI, 100%]. – text. – [slovenčina]. – [OV 030]. – [článok] In: Historická revue [textový dokument (print)] : vedecko-populárny mesačník o dejinách. – Bratislava (Slovensko) : Slovenský archeologický a historický inštitút. – ISSN 1335-6550. – TUT ID E003501. – Roč. 29, č. 7 (2018), s. 22-28 [tlačená forma] </t>
  </si>
  <si>
    <t xml:space="preserve">Popkultúrny kánon? Ťava uchom ihly! / Malíček, Juraj [Autor, UKFFFAULK, 100%]. – [slovenčina]. – [OV 020]. – [článok] In: Kultúrny život [textový dokument (print)] . – Bratislava (Slovensko) : Petit Press. – ISSN 2585-9838. – Roč. 2, č. 1 (2019), s. 6-7 [tlačená forma] </t>
  </si>
  <si>
    <t xml:space="preserve">Porozumenie čítaných textov v materinskom a cudzom jazyku vzhľadom na intervenciu / Selická, Denisa [Autor, UKFFFAKSO, 33%] ; Štrbová, Monika [Autor, UKFFFAKSO, 34%] ; Stranovská, Eva [Autor, UKFFFAKGE, 33%]. – text. – [slovenčina, angličtina]. – [OV 010]. – [článok] In: Mládež a spoločnosť [textový dokument (print)] : slovenský časopis pre štátnu politiku a výskum mládeže = Slovak journal for state policy and youth research. – Bratislava (Slovensko) : Centrum vedecko-technických informácií SR. – ISSN 1335-1109. – Roč. 25, č. 3-4 (2019), s. 85-86 [tlačená forma] </t>
  </si>
  <si>
    <t xml:space="preserve">Portfólio v materskej škole - efektívny prostriedok diagnostikovania dieťaťa / Pupíková, Eva [Autor, UKFPFAKPE, 50%] ; Marcineková, Tatiana [Autor, UKFPFAKPE, 50%]. – text. – [slovenčina]. – [OV 010]. – [článok] In: Naša škola [textový dokument (print)] : odborný metodický časopis pre učiteľov materských škôl a 1. stupňa základných škôl. – Bratislava (Slovensko) : Pamiko. – ISSN 1335-2733. – Roč. 22, č. 10 (2019), s. 5-8 [tlačená forma] </t>
  </si>
  <si>
    <t xml:space="preserve">Posilňovanie s netradičnými pomôckami (1.časť) / Halmová, Nora [Autor, UKFPFAKTV, 100%]. – text. – [slovenčina]. – [OV 210]. – [článok] In: Športový edukátor [elektronický dokument] . – Nitra (Slovensko) : Univerzita Konštantína Filozofa v Nitre. Pedagogická fakulta UKF. Katedra telesnej výchovy a športu. – ISSN (online) 1337-7809. – Roč. 12, č. 1 (2019), s. 23-32 [online] </t>
  </si>
  <si>
    <t xml:space="preserve">Posilňovanie s netradičnými pomôckami (2.časť) (2) / Halmová, Nora [Autor, UKFPFAKTV, 100%]. – text. – [slovenčina]. – [OV 210]. – [článok] In: Športový edukátor [elektronický dokument] . – Nitra (Slovensko) : Univerzita Konštantína Filozofa v Nitre. Pedagogická fakulta UKF. Katedra telesnej výchovy a športu. – ISSN (online) 1337-7809. – Roč. 12, č. 2 (2019), s. 18-24 [online] </t>
  </si>
  <si>
    <t xml:space="preserve">Povesť ako túžba či sen / Gallik, Ján [Autor, UKFFSSUSJ, 100%]. – text. – [slovenčina]. – [OV 020]. – [článok] In: Bibiana [textový dokument (print)] : revue o umení pre deti a mládež. – Bratislava (Slovensko) : Bibiana. – ISSN 1335-7263. – Roč. 28, č. 3 (2021), s. 30-32 [tlačená forma] </t>
  </si>
  <si>
    <t xml:space="preserve">Povinné testovanie pohybovej výkonnosti žiakov 1. ročníka ZŠ podľa nového zákona o športe / Šimonek, Jaromír [Autor, UKFPFAKTV, 100%]. – text. – [slovenčina]. – [OV 210]. – [článok] In: Športový edukátor [elektronický dokument] . – Nitra (Slovensko) : Univerzita Konštantína Filozofa v Nitre. Pedagogická fakulta UKF. Katedra telesnej výchovy a športu. – ISSN (online) 1337-7809. – Roč. 11, č. 2 (2018), s. 3-11 [online] </t>
  </si>
  <si>
    <t xml:space="preserve">Pozície hereckej dvojpólovosti vinscenácii Banalita lásky / Ballay, Miroslav [Autor, UKFFFAKKU, 100%]. – [slovenčina]. – [OV 020]. – [článok] In: Culturologica Slovaca [elektronický dokument] : internetový kulturologický časopis. – Nitra (Slovensko) : Univerzita Konštantína Filozofa v Nitre. – ISSN 2453-9740. – Roč. 5, č. 1 (2020), s. 211-216 [online] </t>
  </si>
  <si>
    <t xml:space="preserve">Pôsobenie pedagóga v penitenciárnej starostlivosti v pomáhajúcej profesii / Vanková, Katarína [Autor, UKFFSVURS, 100%]. – text. – [slovenčina]. – [OV 060]. – [článok] In: Didaktika [textový dokument (print)] : odborný časopis pre výchovu a vzdelávanie. – Bratislava (Slovensko) : Wolters Kluwer. Wolters Kluwer SR. – ISSN 1338-2845. – Roč. 2, č. 5 (2021), s. 23-32 [tlačená forma] </t>
  </si>
  <si>
    <t xml:space="preserve">Právo klásť otázky : Na margo tragédie koronamatrixu / Fuják, Július [Autor, UKFFFAKKU, 100%]. – text. – [slovenčina]. – [OV 020]. – [článok] In: Vlna [textový dokument (print)] : časopis o súčasnom umení a kultúre. – Bratislava (Slovensko) : Drewo a srd. – ISSN 1335-5341. – ISSN (chybné) ISSN 1335-969X. – Roč. 22, č. 85 (2020), s. 5-10 [tlačená forma] </t>
  </si>
  <si>
    <t xml:space="preserve">Prax študentov napriek koronakríze nemeškala / Černáková, Jana [Autor, UKFREKTOR, 100%]. – text. – [slovenčina]. – [OV 030]. – [článok] In: Náš čas [textový dokument (print)] : časopis Univerzity Konštatnína Filozofa v Nitre. – Nitra (Slovensko) : Univerzita Konštantína Filozofa v Nitre. – ISSN 1338-3272. – Roč. 24, č. 4 (2020), s. 26-28 [tlačená forma] </t>
  </si>
  <si>
    <t xml:space="preserve">Prebúdzanie monštier v literatúre : k prózam dvoch francúzskych autoriek / Žiak, Peter [Autor, UKFFFAKTR, 100%]. – text. – [slovenčina]. – [OV 020]. – [článok] In: Glosolália [textový dokument (print)] [elektronický dokument] : rodovo orientovaný časopis. – Bratislava (Slovensko) : Glosolália, o.z. – ISSN 1338-7146. – ISSN (online) 1339-245X. – Roč. 9, č. 1 (2020), s. 179-188 [tlačená forma] [online] Rec: Dievča v plameňoch [textový dokument (print)] / Messud, Claire [Autor]. – 1. vyd. – Bratislava (Slovensko) : Inaque, 2019. – 192 s. [tlačená forma]. – ISBN 9788082070173 </t>
  </si>
  <si>
    <t xml:space="preserve">Prečiny slovenčiny / Olšiak, Marcel [Autor, UKFFFASJL, 100%]. – text. – [slovenčina]. – [OV 020]. – [článok] In: Dnešná škola [textový dokument (print)] [elektronický dokument] : človek a príroda. – Bratislava (Slovensko) : Združenie učiteľov chémie. – ISSN 1339-7761. – ISSN (online) 1339-3952. – Roč. 5, č. 3 (2018), s. 20-20 [tlačená forma] [online] </t>
  </si>
  <si>
    <t xml:space="preserve">Prečo nás fascinujú diamanty? : v súčasnosti je na Slovensku len pár inštitúcií,  ktoré majú prístroje na identifikovanie syntetických diamantov. Medzi tieto pracoviská patrí aj Gemologický ústav FPV UKF v Nitre / Štubňa, Ján [Autor, UKFFPVGMU, 100%]. – text. – [slovenčina]. – [OV 092]. – [článok] In: Náš čas [textový dokument (print)] : časopis Univerzity Konštatnína Filozofa v Nitre. – Nitra (Slovensko) : Univerzita Konštantína Filozofa v Nitre. – ISSN 1338-3272. – Roč. 23, č. 3 (2019), s. 14-15 [tlačená forma] </t>
  </si>
  <si>
    <t xml:space="preserve">Pregraduálna príprava učiteľov environmentálnej výchovy / Jakab, Imrich [Autor, UKFFPVKEE, 50%] ; Petlušová, Viera [Autor, UKFFPVKEE, 50%]. – [slovenčina]. – [OV 100]. – [článok] In: Enviromagazín [textový dokument (print)] [elektronický dokument] : odborno-náučný časopis o životnom prostredí. – Banská Bystrica (Slovensko) : Slovenská agentúra životného prostredia, Bratislava (Slovensko) : Ministerstvo životného prostredia Slovenskej republiky. – ISSN 1335-1877. – Roč. 23, č. 1 (2018), s. 2-3 [tlačená forma] </t>
  </si>
  <si>
    <t xml:space="preserve">Prepísať sa inam / Rácová, Veronika [Autor, UKFFFASJL, 100%]. – text. – [slovenčina]. – [OV 020]. – [článok] In: Knižná revue [textový dokument (print)] [elektronický dokument] : mesačník o nových knihách. – Bratislava (Slovensko) : Literárne informačné centrum. – ISSN 1210-1982. – ISSN (online) 1336-247X. – Roč. 28, č. 4 (2018), s. 8-9 [tlačená forma] [online] </t>
  </si>
  <si>
    <t xml:space="preserve">Prezentácia materiálnej a duchovnej kultúry Keltov v projekte študentov Katedry muzeológie na FF UKF v Nitre / Gogová, Stanislava [Autor, UKFFFAKMU, 50%] ; Šteiner, Pavol [Autor, UKFFFAKMU, 50%]. – text. – [slovenčina]. – [OV 030]. – [článok] In: Muzeológia a kultúrne dedičstvo [textový dokument (print)] [elektronický dokument] : vedecký recenzovaný časopis. – Bratislava (Slovensko) : Univerzita Komenského v Bratislave. Filozofická fakulta UK. – ISSN 1339-2204. – ISSN (online) 2453-9759. – Roč. 6, č. 2 (2018), s. 149-162 [tlačená forma] [online] . – SJR: 0,347 ; CiteScore: 0,9 ; SNIP: 1,127 Scimago - Conservation - Q1, Museology - Q1 </t>
  </si>
  <si>
    <t xml:space="preserve">Priateľstvo, súzvuk duší alebo Pavol Strauss o Júliusovi Rybákovi / Pružinec, Tomáš [Autor, UKFFFAKFI, 100%]. – text. – [slovenčina]. – [OV 020]. – [článok] In: Listy PS [textový dokument (print)] : [bulletin]. – Liptovský Mikuláš (Slovensko) : Spolok priateľov MUDr. Pavla Straussa. – ISSN 2453-9333. – Roč. 36, č. 1 (2021), s. 22-23 [tlačená forma] </t>
  </si>
  <si>
    <t xml:space="preserve">Prítulnosť duší alebo esej o láske : Niekoľko myšlienok k úvahám Jula Rybáka o láske / Pružinec, Tomáš [Autor, UKFFFAKFI, 100%]. – text. – [slovenčina]. – [OV 020]. – [článok] In: Listy PS [textový dokument (print)] : [bulletin]. – Liptovský Mikuláš (Slovensko) : Spolok priateľov MUDr. Pavla Straussa. – ISSN 2453-9333. – č. 3 (2020), s. 12-13 [tlačená forma] </t>
  </si>
  <si>
    <t xml:space="preserve">Pro musica nostra Nitriensi : 2. ročník medzinarodneho festivalu, 30. septembra-6. oktobra, Hudobne centrum, OZ Konfrontacie / Sondorová, Dominika [Autor, UKFPFAKHU, 50%] ; Kačmárová, Simona [Autor, UKFPFAKHU, 50%]. – text. – [slovenčina]. – [OV 010]. – [článok] In: Hudobný život [textový dokument (print)] [elektronický dokument] : jediný odborný mesačník pre klasickú hudbu a jazz na Slovensku. – Bratislava (Slovensko) : Hudobné centrum. – ISSN 1335-4140. – ISSN (online) 2729-7586. – ISSN (zrušené) 0323-133X. – Roč. 51, č. 12 (2019), s. 12-13 [tlačená forma] [online] </t>
  </si>
  <si>
    <t xml:space="preserve">Problémy literatúry migrácie z pohľadu filozofie Emmanuela Lévinasa / Jaščurová, Jana [Autor, UKFFFAKRO, 100%]. – text. – [slovenčina]. – [OV 020]. – [článok] In: Studi italo-slovacchi [textový dokument (print)] . – Nitra (Slovensko) : Univerzita Konštantína Filozofa v Nitre. Filozofická fakulta, Bratislava (Slovensko) : Slovenská akadémia vied. – ISSN 1338-6778. – Roč. 9, č. 2 (2020), s. 35-42 [tlačená forma] </t>
  </si>
  <si>
    <t xml:space="preserve">Proces socializácie v rodine a v škole / Selická, Denisa [Autor, UKFFFAKSO, 100%]. – text. – [slovenčina]. – [OV 060]. – [článok] In: Vychovávateľ [textový dokument (print)] : časopis pedagógov. – Bratislava (Slovensko) : Educatio. – ISSN 0139-6919. – Roč. 66, č. 5-6 (2018), s. 42-48 [tlačená forma] </t>
  </si>
  <si>
    <t xml:space="preserve">Profesijné kompetencie ako determinant profesijného rozvoja učiteľa / Feranská, Margita [Autor, UKFPFAKPE, 100%]. – text. – [slovenčina]. – [OV 010]. – [článok] In: Naša škola [textový dokument (print)] : odborný metodický časopis pre učiteľov materských škôl a 1. stupňa základných škôl. – Bratislava (Slovensko) : Pamiko. – ISSN 1335-2733. – Roč. 22, č. 5-6 (2019), s. 4-9 [tlačená forma] </t>
  </si>
  <si>
    <t xml:space="preserve">Projekt FITPED / Skalka, Ján [Autor, UKFFPVKIN, 100%]. – text. – [slovenčina]. – [OV 160]. – [článok] In: Náš čas [textový dokument (print)] : časopis Univerzity Konštatnína Filozofa v Nitre. – Nitra (Slovensko) : Univerzita Konštantína Filozofa v Nitre. – ISSN 1338-3272. – Roč. 22, č. 5 (2018), s. 52-52 [tlačená forma] </t>
  </si>
  <si>
    <t xml:space="preserve">Prvá tanková bitka mala prekvapivý výsledok / Koppan, Vladimír [Autor, UKFFFAKHI, 100%]. – text. – [slovenčina]. – [OV 030]. – [článok] In: HistoryWeb [elektronický dokument] : informačný portál o histórii. – Banská Bystrica (Slovensko) : [s.n.]. – ISSN (online) 1338-8789. – č. október (2018), s. 1-6 [online] </t>
  </si>
  <si>
    <t xml:space="preserve">Prvé číslo piateho ročníka časopisu Culturologica Slovaca / Moravčíková, Erika [Autor, UKFFFAKKU, 100%]. – text. – [slovenčina]. – [OV 020]. – [článok] In: Culturologica Slovaca [elektronický dokument] : internetový kulturologický časopis. – Nitra (Slovensko) : Univerzita Konštantína Filozofa v Nitre. – ISSN 2453-9740. – Roč. 5, č. 1 (2020), s. 3-4 [online] </t>
  </si>
  <si>
    <t xml:space="preserve">Prvé vedecké výstupy študentov Katedry histórie FF UKF : katedrové kolo ŠVK a UP 2019 / Hasarová, Zuzana [Autor, UKFFFAKHI, 100%]. – text. – [slovenčina]. – [OV 030, 010]. – [článok] In: Studia Historica Nitriensia [textový dokument (print)] [elektronický dokument] . – Nitra (Slovensko) : Univerzita Konštantína Filozofa v Nitre. – ISSN 1338-7219. – ISSN (online) 2585-8661. – Roč. 23, č. 1 (2019), s. 245-246 [tlačená forma] [online] . – SNIP: 0,629 ; SJR: 0,187 ; CiteScore: 0,2 Scimago - Cultural studies - Q2, History - Q2, Museology - Q2 </t>
  </si>
  <si>
    <t xml:space="preserve">Prvouka ako proces hľadania, objavovania a skladania obrazu okolitého sveta / Kollárová, Dana [Autor, UKFPFAKPE, 70%] ; Nagyová, Alexandra [Autor, UKFPFAKPE, 30%]. – text. – [slovenčina]. – [OV 010]. – [článok] In: Naša škola [textový dokument (print)] : odborný metodický časopis pre učiteľov materských škôl a 1. stupňa základných škôl. – Bratislava (Slovensko) : Pamiko. – ISSN 1335-2733. – Roč. 24, č. 7-8 (2021), s. 10-17 [tlačená forma] </t>
  </si>
  <si>
    <t xml:space="preserve">Publikum / Ballay, Miroslav [Autor, UKFFFAKKU, 100%]. – text. – [slovenčina]. – [OV 020]. – [článok] In: Culturologica Slovaca [elektronický dokument] : internetový kulturologický časopis. – Nitra (Slovensko) : Univerzita Konštantína Filozofa v Nitre. – ISSN 2453-9740. – Roč. 5, č. 2 (2020), s. 101-103 [online] </t>
  </si>
  <si>
    <t xml:space="preserve">Putovanie pamiatkami a prírodou Nitry a okolia / Borzová, Zuzana [Autor, UKFFFAKAR, 100%]. – text. – [slovenčina]. – [OV 020]. – [článok] In: Náš čas [textový dokument (print)] : časopis Univerzity Konštatnína Filozofa v Nitre. – Nitra (Slovensko) : Univerzita Konštantína Filozofa v Nitre. – ISSN 1338-3272. – Roč. 22, č. 4 (2018), s. 15-15 [tlačená forma] </t>
  </si>
  <si>
    <t xml:space="preserve">Rachel - dievčatko z Iraku / Kozubík, Michal [Autor, UKFFSVKSP, 90%] ; Síthová, Svetlana [Autor, 10%]. – text. – [slovenčina]. – [OV 060]. – [článok] In: Slnečnica [textový dokument (print)] : časopis Spoločnosti Downovho syndrómu na Slovensku = journal of Slovak Down Syndrome Society. – Bratislava (Slovensko) : Spoločnosť Downovho syndrómu na Slovensku. – ISSN 1336-2194. – Roč. 22, č. 1 (2018), s. 10-11 [tlačená forma] </t>
  </si>
  <si>
    <t xml:space="preserve">Rastlinná biomasa - významný zdroj antioxidantov / Michalík, Ivan [Autor, 50%] ; Bauerová, Mária [Autor, UKFFPVKBG, 50%]. – text. – [slovenčina]. – [OV 130]. – [článok] In: Naše pole [textový dokument (print)] [elektronický dokument] : odborný mesačník pre pestovateľov rastlín. – Lužianky (Slovensko) : Naše pole. – ISSN 1335-2466. – ISSN (online) 1336-2666. – Roč. 24, č. 6 (2020), s. 36-39 [tlačená forma] [online] </t>
  </si>
  <si>
    <t xml:space="preserve">Reakčná agilita a jej testovanie / Šimonek, Jaromír [Autor, UKFPFAKTV, 100%]. – text. – [slovenčina]. – [OV 210]. – [článok] In: Telesná výchova &amp; šport [elektronický dokument] : vedecký a odborný recenzovaný časopis Slovenskej vedeckej spoločnosti pre telesnú výchovu a šport. – Bratislava (Slovensko) : Slovenská vedecká spoločnosť pre telesnú výchovu a šport. – ISSN 1335-2245. – ISSN (online) 2730-017X. – Roč. 30, č. 1 (2020), s. 2-7 [online] </t>
  </si>
  <si>
    <t xml:space="preserve">Récsei Noémi, akinek mindig egy kérdéssel több van a tarsolyában / Petres Csizmadia, Gabriela [Autor, UKFFSSUML, 100%]. – text. – [maďarčina]. – [OV 010]. – [článok] In: Katedra [elektronický dokument] : szlovákiai magyar pedagógusok és szülők lapja. – Dunajská Streda (Slovensko) : Nadácia Katedra. – ISSN 1335-6445. – ISSN (online) 2729-9066. – Roč. 27, č. 1 (2019), s. 4-6 [tlačená forma] [online] </t>
  </si>
  <si>
    <t xml:space="preserve">Riešia otázku kompetencie čítania s porozumením / Ficzere, Anikó [Autor, UKFFSSKCR, 50%] ; Szabó, Erzsébet [Autor, UKFFFAKGE, 50%]. – text. – [slovenčina]. – [OV 010]. – [článok] In: Náš čas [textový dokument (print)] : časopis Univerzity Konštatnína Filozofa v Nitre. – Nitra (Slovensko) : Univerzita Konštantína Filozofa v Nitre. – ISSN 1338-3272. – Roč. 24, č. 5 (2020), s. 13-13 [tlačená forma] </t>
  </si>
  <si>
    <t xml:space="preserve">Rizikové subkultúry mládeže / Selická, Denisa [Autor, UKFFFAKSO, 100%]. – text. – [slovenčina]. – [OV 010]. – [článok] In: Vychovávateľ [textový dokument (print)] : časopis pedagógov. – Bratislava (Slovensko) : Educatio. – ISSN 0139-6919. – Roč. 68, č. 3-4 (2020), s. 12-18 [tlačená forma] </t>
  </si>
  <si>
    <t xml:space="preserve">Rodičovské roly v súčasnej rodine / Selická, Denisa [Autor, UKFFFAKSO, 100%]. – [slovenčina]. – [OV 060]. – [článok] In: Vychovávateľ [textový dokument (print)] : časopis pedagógov. – Bratislava (Slovensko) : Educatio. – ISSN 0139-6919. – Roč. 66, č. 9-10 (2018), s. 51-54 [tlačená forma] </t>
  </si>
  <si>
    <t xml:space="preserve">Románová palimpsestová koláž / Brunclík, Jozef [Autor, UKFFFASJL, 100%]. – text. – [slovenčina]. – [OV 020]. – [článok] In: Romboid [textový dokument (print)] : časopis pre literatúru a umeleckú komunikáciu. – Bratislava (Slovensko) : Zväz slovenských spisovateľov, Bratislava (Slovensko) : Asociácia organizácií spisovateľov Slovenska. – ISSN 0231-6714. – Roč. 53, č. 3-4 (2018), s. 38-41 [tlačená forma] </t>
  </si>
  <si>
    <t xml:space="preserve">Rozhodcovské gestá a ich výklad v karate / Borecký, Ján [Autor, 34%] ; Baďura, Peter [Autor, 33%] ; Broďáni, Jaroslav [Autor, UKFPFAKTV, 33%]. – text. – [slovenčina]. – [OV 210]. – [článok] In: Športový edukátor [elektronický dokument] . – Nitra (Slovensko) : Univerzita Konštantína Filozofa v Nitre. Pedagogická fakulta UKF. Katedra telesnej výchovy a športu. – ISSN (online) 1337-7809. – Roč. 12, č. 2 (2019), s. 83-115 [online] </t>
  </si>
  <si>
    <t xml:space="preserve">Rozšírené srdce - centrum umenia? : (k ontológii centra a periférie v básni Jamesa Wrighta Drahokam) / Pariláková, Eva [Autor, UKFFFAULK, 100%]. – text. – [slovenčina]. – [OV 020]. – [článok] In: Vertigo [textový dokument (print)] : časopis o poézii a básnikoch. – Fintice (Slovensko) : FACE - Fórum alternatívnej kultúry a vzdelávania. – ISSN 1339-3820. – Roč. 8, č. 3-4 (2020), s. 74-78 [tlačená forma] </t>
  </si>
  <si>
    <t xml:space="preserve">Rozvíjame praktické zručnosti študentov: kurz Podnikanie v kultúre / Jakubovská, Kristína [Autor, UKFFFAKKU, 100%]. – text. – [slovenčina]. – [OV 060]. – [článok] In: Culturologica Slovaca [elektronický dokument] : internetový kulturologický časopis. – Nitra (Slovensko) : Univerzita Konštantína Filozofa v Nitre. – ISSN 2453-9740. – Roč. 5, č. 2 (2020), s. 147-150 [online] </t>
  </si>
  <si>
    <t xml:space="preserve">Rozvoj agility na hodinách TŠV / Horička, Pavol [Autor, UKFPFAKTV, 100%]. – text. – [slovenčina]. – [OV 210]. – [článok] In: Športový edukátor [elektronický dokument] . – Nitra (Slovensko) : Univerzita Konštantína Filozofa v Nitre. Pedagogická fakulta UKF. Katedra telesnej výchovy a športu. – ISSN (online) 1337-7809. – Roč. 11, č. 1 (2018), s. 18-24 [online] </t>
  </si>
  <si>
    <t xml:space="preserve">Rozvoj tvorivého a kritického myslenia z pohľadu teórie a praxe / Duchovičová, Jana [Autor, UKFPFAKPE, 50%] ; Gunišová, Denisa [Autor, UKFPFAKPE, 50%]. – [slovenčina]. – [OV 010]. – [článok] In: Pedagogika.sk [elektronický dokument] : slovenský časopis pre pedagogické vedy = Slovak Journal for Educational Sciences. – Bratislava (Slovensko) : Slovenská akadémia vied. Slovenská pedagogická spoločnosť pri SAV. – ISSN (online) 1338-0982. – Roč. 9, č. 1 (2018), s. 51-53 [online] </t>
  </si>
  <si>
    <t xml:space="preserve">Ruština bola prostriedkom rozširovania sovietskeho vplyvu / Hasarová, Zuzana [Autor, UKFFFAKHI, 100%]. – text. – [slovenčina]. – [OV 030]. – [článok] In: HistoryWeb [elektronický dokument] : informačný portál o histórii. – Banská Bystrica (Slovensko) : [s.n.]. – ISSN (online) 1338-8789. – č. 29.09.2021 (2021), s. 1-3 [online] </t>
  </si>
  <si>
    <t xml:space="preserve">S nemčinou v teréne / Wrede, Oľga [Autor, UKFFFAKGE, 100%]. – text. – [slovenčina]. – [OV 010]. – [článok] In: Náš čas [textový dokument (print)] : časopis Univerzity Konštatnína Filozofa v Nitre. – Nitra (Slovensko) : Univerzita Konštantína Filozofa v Nitre. – ISSN 1338-3272. – Roč. 22, č. 4 (2018), s. 18-18 [tlačená forma] </t>
  </si>
  <si>
    <t xml:space="preserve">Scientific conference in Poland: Educational studies carried out within positivist and neo positivist paradigms. Conceptual frameworks - research - results / Kurincová, Viera [Autor, UKFPFAKPE, 100%]. – text. – [slovenčina]. – [OV 010]. – [článok] In: Pedagogika.sk [elektronický dokument] : slovenský časopis pre pedagogické vedy = Slovak Journal for Educational Sciences. – Bratislava (Slovensko) : Slovenská akadémia vied. Slovenská pedagogická spoločnosť pri SAV. – ISSN (online) 1338-0982. – Roč. 9, č. 4 (2018), s. 228-229 [online] </t>
  </si>
  <si>
    <t xml:space="preserve">Scrittori migranti nel contesto italiano / Jaščurová, Jana [Autor, UKFFFAKRO, 100%]. – text. – [taliančina]. – [OV 020]. – [článok] In: Studi italo-slovacchi [textový dokument (print)] . – Nitra (Slovensko) : Univerzita Konštantína Filozofa v Nitre. Filozofická fakulta, Bratislava (Slovensko) : Slovenská akadémia vied. – ISSN 1338-6778. – Roč. 8, č. 1 (2019), s. 34-56 [tlačená forma] </t>
  </si>
  <si>
    <t xml:space="preserve">Semjon Ludvigovič Frank : "nástupca" Solovjova a predstaviteľ filozofie všejednoty / Pružinec, Tomáš [Autor, UKFFFAKFI, 100%]. – text. – [slovenčina]. – [OV 020]. – [článok] In: Viera a život [textový dokument (print)] : časopis pre kresťanskú orientáciu. – Trnava (Slovensko) : Vydavateľstvo Dobrá kniha. – ISSN 1335-6771. – TUT signatúra E006519. – Roč. 28, č. 2 (2018), s. 74-85 [tlačená forma] </t>
  </si>
  <si>
    <t xml:space="preserve">Silné a slabé stránky kritického myslenia v slovenskom školstve / Borisová, Simona [Autor, UKFPFAKPE, 100%]. – text. – [slovenčina]. – [OV 010]. – [článok] In: Naša škola [textový dokument (print)] : odborný metodický časopis pre učiteľov materských škôl a 1. stupňa základných škôl. – Bratislava (Slovensko) : Pamiko. – ISSN 1335-2733. – Roč. 24, č. 3-4 (2020), s. 14-16 [tlačená forma] </t>
  </si>
  <si>
    <t xml:space="preserve">Skvalitňovanie praktickej prípravy budúcich pedagogických zamestnancov na UKF v Nitre / Duchovičová, Jana [Autor, UKFPFAKPE, 100%]. – text. – [slovenčina]. – [OV 010]. – [článok] In: Náš čas [textový dokument (print)] : časopis Univerzity Konštatnína Filozofa v Nitre. – Nitra (Slovensko) : Univerzita Konštantína Filozofa v Nitre. – ISSN 1338-3272. – Roč. 24, č. 4 (2020), s. 12-13 [tlačená forma] </t>
  </si>
  <si>
    <t xml:space="preserve">Slovanská fantasy globálnym hitom / Malíček, Juraj [Autor, UKFFFAULK, 100%]. – text. – [slovenčina]. – [OV 020]. – [článok] In: Kultúrny život [textový dokument (print)] . – Bratislava (Slovensko) : Petit Press. – ISSN 2585-9838. – Roč. 2, č. 5 (2019), s. 6-7 [tlačená forma] </t>
  </si>
  <si>
    <t xml:space="preserve">Slovenčina ako slovanské esperanto / Machová, Renáta [Autor, UKFFFAJZC, 100%]. – text. – [slovenčina]. – [OV 020]. – [článok] In: Náš čas [textový dokument (print)] : časopis Univerzity Konštatnína Filozofa v Nitre. – Nitra (Slovensko) : Univerzita Konštantína Filozofa v Nitre. – ISSN 1338-3272. – Roč. 22, č. 4 (2018), s. 13-13 [tlačená forma] </t>
  </si>
  <si>
    <t xml:space="preserve">Slovenské fantázie : fantastika 2017 / Búry, Juraj [Autor komentárov, sprievodného materiálu, UKFFFAULK, 100%]. – text. – [slovenčina]. – [OV 020]. – [článok] In: Knižná revue [textový dokument (print)] [elektronický dokument] : mesačník o nových knihách. – Bratislava (Slovensko) : Literárne informačné centrum. – ISSN 1210-1982. – ISSN (online) 1336-247X. – Roč. 28, č. 7-8 (2018), s. 32-32 [tlačená forma] [online] </t>
  </si>
  <si>
    <t xml:space="preserve">Sme naozaj takí drbnutí? / Ballay, Miroslav [Autor, UKFFFAKKU, 100%]. – text. – [slovenčina]. – [OV 020]. – [článok] In: Konkrétne o divadle [textový dokument (print)] [elektronický dokument] : mesačník o divadle na Slovensku. – Bratislava (Slovensko) : Divadelný ústav. – ISSN 1337-1800. – ISSN (online) 2336-4548. – Roč. 13, č. 9 (2019), s. 22-24 [tlačená forma] [online] . – SJR: 0,101 Scimago - Cultural studies - Q4, History - Q4, Visual arts and performing arts - Q4 </t>
  </si>
  <si>
    <t xml:space="preserve">Sociálny pedagóg a jeho práca s deťmi z národnostne zmiešaných rodín / Selická, Denisa [Autor, UKFFFAKSO, 100%]. – text. – [slovenčina]. – [OV 060]. – [článok] In: Vychovávateľ [textový dokument (print)] : časopis pedagógov. – Bratislava (Slovensko) : Educatio. – ISSN 0139-6919. – Roč. 67, č. 9-10 (2019), s. 40-44 [tlačená forma] </t>
  </si>
  <si>
    <t xml:space="preserve">Sociológia voľného času / Selická, Denisa [Autor, UKFFFAKSO, 100%]. – text. – [slovenčina]. – [OV 010]. – [článok] In: Vychovávateľ [textový dokument (print)] : časopis pedagógov. – Bratislava (Slovensko) : Educatio. – ISSN 0139-6919. – Roč. 68, č. 1-2 (2020), s. 33-37 [tlačená forma] </t>
  </si>
  <si>
    <t xml:space="preserve">Sociologický pohľad na rodinu / Selická, Denisa [Autor, UKFFFAKSO, 100%]. – text. – [slovenčina]. – [OV 060]. – [článok] In: Vychovávateľ [textový dokument (print)] : časopis pedagógov. – Bratislava (Slovensko) : Educatio. – ISSN 0139-6919. – Roč. 67, č. 3-4 (2019), s. 46-54 [tlačená forma] </t>
  </si>
  <si>
    <t xml:space="preserve">Sovietska 27. gardová tanková brigáda medzi Váhom a Moravou / Koppan, Vladimír [Autor, UKFFFAKHI, 100%]. – text. – [slovenčina]. – [OV 030]. – [článok] In: Vojnová kronika [textový dokument (print)] : časopis Múzea Slovenského národného povstania : spoločnosť, politika, armáda, kultúra. – Banská Bystrica (Slovensko) : Múzeum Slovenského národného povstania. – ISSN 1338-6379. – Roč. 7, č. 2 (2018), s. 41-46 [tlačená forma] </t>
  </si>
  <si>
    <t xml:space="preserve">Spätný pohľad na Hermovo ucho a PostmutArt v Nitre / Fuják, Július [Autor, UKFFFAKKU, 50%] ; Pavelka, Ľubomír [Autor, 50%]. – text. – [slovenčina]. – [OV 020]. – [článok] In: Slovenská hudba [textový dokument (print)] : revue pre hudobnú kultúru. – Bratislava (Slovensko) : Slovenská muzikologická asociácia pri Slovenskej hudobnej únii. – ISSN 1335-2458. – ISSN (zrušené) 0037-6965. – Roč. 46, č. 2 (2020), s. 127-133 [tlačená forma] </t>
  </si>
  <si>
    <t xml:space="preserve">Spoločne za zviditeľnenie Nitry na kultúrnej mape Európy / Kramáreková, Hilda [Autor, UKFFPVKGR, 50%] ; Ivanič, Peter [Autor, UKFFFAUKD, 50%]. – text. – [slovenčina]. – [OV 020, 092, 010]. – [článok] In: Náš čas [textový dokument (print)] : časopis Univerzity Konštatnína Filozofa v Nitre. – Nitra (Slovensko) : Univerzita Konštantína Filozofa v Nitre. – ISSN 1338-3272. – Roč. 24, č. 4 (2020), s. 16-17 [tlačená forma] </t>
  </si>
  <si>
    <t xml:space="preserve">Spolupráca FPV s Jaguar Land Rover pokračuje / Baláž, Ivan [Autor, UKFFPVKEE, 100%]. – text. – [slovenčina]. – [OV 100]. – [článok] In: Náš čas [textový dokument (print)] : časopis Univerzity Konštatnína Filozofa v Nitre. – Nitra (Slovensko) : Univerzita Konštantína Filozofa v Nitre. – ISSN 1338-3272. – Roč. 24, č. 5 (2020), s. 47-48 [tlačená forma] </t>
  </si>
  <si>
    <t xml:space="preserve">Spomienky na prítomnosť budúcnosti (v populárnej kultúre) / Boszorád, Martin [Autor, UKFFFAULK, 100%]. – text. – [slovenčina]. – [OV 020]. – [článok] In: Fraktál [textový dokument (print)] : literatúra horizontálne a vertikálne. – Závod (Slovensko) : Fraktál. – ISSN 2585-8912. – Roč. 2, č. 4 (2019), s. 146-150 [tlačená forma] </t>
  </si>
  <si>
    <t xml:space="preserve">Spoveď dieťaťa dvoch vekov, starého a nového veku : rozhovor s profesorom Františkom Kolim (I. diel) / Teplan, Dušan [Autor interview, UKFFFASJL, 100%]. – text. – [slovenčina]. – [OV 020]. – [článok] In: Litikon [textový dokument (print)] : časopis pre výskum literatúry = journal for literature research. – Nitra (Slovensko) : Univerzita Konštantína Filozofa v Nitre. – ISSN 2453-8507. – Roč. 3, č. 1 (2018), s. 183-219 [tlačená forma] </t>
  </si>
  <si>
    <t xml:space="preserve">Správa o kurze digitálneho art marketingu pre pracovníkov kultúrnych inštitúcií / Szabóová, Veronika [Autor, UKFFFAKMR, 100%]. – [slovenčina]. – [OV 020]. – [článok] In: Culturologica Slovaca [elektronický dokument] : internetový kulturologický časopis. – Nitra (Slovensko) : Univerzita Konštantína Filozofa v Nitre. – ISSN 2453-9740. – Roč. 6, č. 2 (2021), s. 219-221 [online] </t>
  </si>
  <si>
    <t xml:space="preserve">Správa z výskumu projektu VEGA  „Formovanie postojov generácie y v geografickom priestore V4  k problematike migrantov prostredníctvom  digitálnej komunikácie na sociálnych sieťach“ / Spálová, Lucia [Autor, UKFFFAKMR, 33.334%] ; Szabóová, Veronika [Autor, UKFFFAKMR, 33.333%] ; Štrbová, Edita [Autor, UKFFFAKMR, 33.333%]. – text. – [slovenčina]. – [OV 060]. – [článok] In: Dot.comm [elektronický dokument] : časopis pre teóriu, výskum a prax mediálnej a marketingovej komunikácie = journal for the theory, research and practice of media and marketing communication. – Bratislava (Slovensko) : Európska akadémia manažmentu marketingu a médií. – ISSN 1339-5181. – Roč. 8, č. 1 (2020), s. 45-54 [online] </t>
  </si>
  <si>
    <t xml:space="preserve">Starostlivosť o dieťa – čo je správne a čo nie / Slamková, Alica [Autor, UKFFSVKOS, 100%]. – text. – [slovenčina]. – [OV 180]. – [článok] In: Náš čas [textový dokument (print)] : časopis Univerzity Konštatnína Filozofa v Nitre. – Nitra (Slovensko) : Univerzita Konštantína Filozofa v Nitre. – ISSN 1338-3272. – Roč. 22, č. 5 (2018), s. 50-50 [tlačená forma] </t>
  </si>
  <si>
    <t xml:space="preserve">Starostlivosť o vlastné zdravie u zdravotníckych pracovníkov / Brázdilová, Dana [Autor, UKFFSVKUM, 50%] ; Palková, Tatiana [Autor, 50%]. – text. – [slovenčina]. – [OV 180]. – [článok] In: Ošetrovateľstvo a pôrodná asistencia [textový dokument (print)] [elektronický dokument] . – Bratislava (Slovensko) : Slovenská komora sestier a pôrodných asistentiek. – ISSN 1336-183X. – ISSN (online) 1339-5920. – č. 4 (2021), s. 50-56 [tlačená forma] [online] </t>
  </si>
  <si>
    <t xml:space="preserve">Storočnica kysuckého velikána / Gallik, Ján [Autor, UKFFSSUSJ, 100%]. – text. – [slovenčina]. – [OV 020]. – [článok] In: Kultúra [textový dokument (print)] [elektronický dokument] : dvojtýždenník závislý od etiky. – ISSN 1335-3470. – ISSN (online) 1336-2992. – Roč. 22, č. 16 (2019), s. 6-7 [tlačená forma] [online] </t>
  </si>
  <si>
    <t xml:space="preserve">Streetworkout 2 - tlakové cvičenia / Karabin, Jakub [Autor, 50%] ; Czaková, Natália [Autor, UKFPFAKTV, 50%]. – text. – [slovenčina]. – [OV 210]. – [článok] In: Športový edukátor [elektronický dokument] . – Nitra (Slovensko) : Univerzita Konštantína Filozofa v Nitre. Pedagogická fakulta UKF. Katedra telesnej výchovy a športu. – ISSN (online) 1337-7809. – Roč. 13, č. 1 (2020), s. 14-18 [online] </t>
  </si>
  <si>
    <t xml:space="preserve">Streetworkout 3 - zmiešané cvičenia / Czaková, Natália [Autor, UKFPFAKTV, 50%] ; Karabin, Jakub [Autor, 50%]. – text. – [slovenčina]. – [OV 210]. – [článok] In: Športový edukátor [elektronický dokument] . – Nitra (Slovensko) : Univerzita Konštantína Filozofa v Nitre. Pedagogická fakulta UKF. Katedra telesnej výchovy a športu. – ISSN (online) 1337-7809. – Roč. 13, č. 2 (2020), s. 10-12 [online] </t>
  </si>
  <si>
    <t xml:space="preserve">Stretnutie mocností : prvá púnska vojna / Jirkal, Emanuel [Autor, UKFFFAKHI, 100%]. – text. – [slovenčina]. – [OV 030]. – [článok] In: Historická revue [textový dokument (print)] : vedecko-populárny mesačník o dejinách. – Bratislava (Slovensko) : Slovenský archeologický a historický inštitút. – ISSN 1335-6550. – TUT ID E003501. – Roč. 30, č. 8 (2019), s. 18-21 [tlačená forma] </t>
  </si>
  <si>
    <t xml:space="preserve">Subjektívna teória učiteľa a možnosti jej uplatnenia vo vyučovacom procese s nadanými žiakmi / Feranská, Margita [Autor, UKFPFAKPE, 50%] ; Hošová, Dominika [Autor, UKFPFAKPE, 50%]. – text. – [slovenčina]. – [OV 010]. – [článok] In: Naša škola [textový dokument (print)] : odborný metodický časopis pre učiteľov materských škôl a 1. stupňa základných škôl. – Bratislava (Slovensko) : Pamiko. – ISSN 1335-2733. – Roč. 22, č. 3-4 (2019), s. 18-23 [tlačená forma] </t>
  </si>
  <si>
    <t xml:space="preserve">Subkultúrmych päťdesiat odtieňov sivej / Boszorád, Martin [Autor, UKFFFAULK, 100%]. – text. – [slovenčina]. – [OV 020]. – [článok] In: Kultúrny život [textový dokument (print)] . – Bratislava (Slovensko) : Petit Press. – ISSN 2585-9838. – Roč. 2, č. 1 (2019), s. 14-14 [tlačená forma] </t>
  </si>
  <si>
    <t xml:space="preserve">Súčasný stav kriminality na Slovensku : odborný seminár / Štrbová, Monika [Autor, UKFFFAKSO, 100%]. – text. – [slovenčina]. – [OV 060]. – [článok] In: Sociológia a spoločnosť [textový dokument (print)] [elektronický dokument] : medzinárodný vedecký sociologický časopis. – Nitra (Slovensko) : Univerzita Konštantína Filozofa v Nitre. – ISSN 2453-8086. – ISSN (online) 2644-5980. – Roč. 3, č. 1 (2018), s. 93-93 [tlačená forma] [online] </t>
  </si>
  <si>
    <t xml:space="preserve">Summer school of Slovak language : Students from Beijing in China participating on Summer school of Slovak language / Machová, Renáta [Autor, UKFFFAJZC, 50%] ; Lukáčová, Martina [Autor, UKFFFAJZC, 50%]. – text. – [angličtina]. – [OV 020]. – [článok] In: Náš čas [textový dokument (print)] : časopis Univerzity Konštatnína Filozofa v Nitre. – Nitra (Slovensko) : Univerzita Konštantína Filozofa v Nitre. – ISSN 1338-3272. – Roč. 22, č. 3 (2018), s. 22-23 [tlačená forma] </t>
  </si>
  <si>
    <t xml:space="preserve">Súvis stratégií zvládania záťaže s prítomnosťou otca vo výchove u závislých od nelegálnych drog / Wolt, Richard [Autor, UKFFSVKPV, 33%] ; Pašková, Miroslava [Autor, 33%] ; Romanová, Martina [Autor, UKFFSVUAP, 34%]. – text. – [slovenčina]. – [OV 060]. – [článok] In: Pomáhajúce profesie [textový dokument (print)] : recenzovaný vedecký časopis pre teóriu, výskum, prax a vzdelávanie v pomáhajúcich profesiách. – Nitra (Slovensko) : Univerzita Konštantína Filozofa v Nitre. – ISSN 2585-9447. – Roč. 3, č. 1 (2020), s. 12-22 [tlačená forma] [online] </t>
  </si>
  <si>
    <t xml:space="preserve">Svedectvo ako dokument doby. Nad knihou Hely Volanskej "Ako na cudzej svadbe" / Vytykačová, Lucia [Autor, UKFFFAKSJ, 100%]. – text. – [slovenčina]. – [OV 020]. – [článok] In: Fraktál [textový dokument (print)] : literatúra horizontálne a vertikálne. – Závod (Slovensko) : Fraktál. – ISSN 2585-8912. – Roč. 3, č. 3 (2020), s. 108-112 [tlačená forma] </t>
  </si>
  <si>
    <t xml:space="preserve">Svetová konferencia o pluricentrických jazykoch / Gallik, Ján [Autor, UKFFSSUSJ, 100%]. – text. – [slovenčina]. – [OV 010]. – [článok] In: Náš čas [textový dokument (print)] : časopis Univerzity Konštatnína Filozofa v Nitre. – Nitra (Slovensko) : Univerzita Konštantína Filozofa v Nitre. – ISSN 1338-3272. – Roč. 22, č. 4 (2018), s. 16-17 [tlačená forma] </t>
  </si>
  <si>
    <t xml:space="preserve">Svetový deň hospicovej a paliatívnej starostlivosti / Slamková, Alica [Autor, UKFFSVKOS, 100%]. – text. – [slovenčina]. – [OV 180]. – [článok] In: Náš čas [textový dokument (print)] : časopis Univerzity Konštatnína Filozofa v Nitre. – Nitra (Slovensko) : Univerzita Konštantína Filozofa v Nitre. – ISSN 1338-3272. – Roč. 22, č. 5 (2018), s. 54-54 [tlačená forma] </t>
  </si>
  <si>
    <t xml:space="preserve">Syndróm vyhorenia - reálna hrozba pre riaditeľov škôl a školských zariadení / Pisoňová, Mária [Autor, UKFPFAKPE, 50%] ; Sitarčík, Ján [Autor, 50%]. – text. – [slovenčina]. – [OV 010]. – [článok] In: Manažment školy v praxi [elektronický dokument] : odborný mesačník pre školy a školské zariadenia. – Bratislava (Slovensko) : Wolters Kluwer. – ISSN 1336-9849. – Roč. 15, č. 3 (2020), s. 15-18 [online] </t>
  </si>
  <si>
    <t xml:space="preserve">Szórakoztató formában megírt irodalomtörténet / Brutovszky, Gabriella [Autor, UKFFSSUML, 100%]. – text. – [maďarčina]. – [OV 020]. – [článok] In: Katedra [elektronický dokument] : szlovákiai magyar pedagógusok és szülők lapja. – Dunajská Streda (Slovensko) : Nadácia Katedra. – ISSN 1335-6445. – ISSN (online) 2729-9066. – Roč. 27, č. 7 (2020), s. 9-10 [tlačená forma] [online] </t>
  </si>
  <si>
    <t xml:space="preserve">Szövegértés a szövegtípusok szerint / Gergelyová, Viktória [Autor, UKFFSSUML, 100%]. – text. – [maďarčina]. – [OV 010]. – [článok] In: Katedra [elektronický dokument] : szlovákiai magyar pedagógusok és szülők lapja. – Dunajská Streda (Slovensko) : Nadácia Katedra. – ISSN 1335-6445. – ISSN (online) 2729-9066. – Roč. 27, č. 10 (2020), s. 21-23 [tlačená forma] [online] </t>
  </si>
  <si>
    <t xml:space="preserve">Szövegértés a szövegtípusok szerint (2. rész) / Gergelyová, Viktória [Autor, UKFFSSUML, 100%]. – text. – [maďarčina]. – [OV 010]. – [článok] In: Katedra [elektronický dokument] : szlovákiai magyar pedagógusok és szülők lapja. – Dunajská Streda (Slovensko) : Nadácia Katedra. – ISSN 1335-6445. – ISSN (online) 2729-9066. – Roč. 28, č. 1 (2020), s. 21-22 [tlačená forma] [online] </t>
  </si>
  <si>
    <t xml:space="preserve">Šaľa v dobách minulých / Borzová, Zuzana [Autor, UKFFFAKAR, 100%]. – [slovenčina]. – [OV 030]. – [článok] In: Náš čas [textový dokument (print)] : časopis Univerzity Konštatnína Filozofa v Nitre. – Nitra (Slovensko) : Univerzita Konštantína Filozofa v Nitre. – ISSN 1338-3272. – Roč. 22, č. 5 (2018), s. 18-18 [tlačená forma] </t>
  </si>
  <si>
    <t xml:space="preserve">Šialenec z videopožičovne holywoodskym klasikom / Malíček, Juraj [Autor, UKFFFAULK, 100%]. – text. – [slovenčina]. – [OV 010]. – [článok] In: Kultúrny život [textový dokument (print)] . – Bratislava (Slovensko) : Petit Press. – ISSN 2585-9838. – Roč. 2, č. 2 (2019), s. 6-7 [tlačená forma] </t>
  </si>
  <si>
    <t xml:space="preserve">Šikanovanie, kyberšikanovanie a ich dopad na vzdelávanie / Hollá, Katarína [Autor, UKFPFAKPE, 100%]. – text. – [slovenčina]. – [OV 010]. – [ŠO 7605]. – [článok] In: Didaktika [textový dokument (print)] : odborný časopis pre výchovu a vzdelávanie. – Bratislava (Slovensko) : Wolters Kluwer. Wolters Kluwer SR. – ISSN 1338-2845. – Roč. 2, č. 3 (2021), s. 2-11 [tlačená forma] </t>
  </si>
  <si>
    <t xml:space="preserve">Škola inkluzívnej pedagogiky / Čeretková, Soňa [Autor, UKFFPVKMA, 90%] ; Sendecká, Mária [Autor, 10%]. – text. – [slovenčina]. – [OV 010]. – [článok] In: Náš čas [textový dokument (print)] : časopis Univerzity Konštatnína Filozofa v Nitre. – Nitra (Slovensko) : Univerzita Konštantína Filozofa v Nitre. – ISSN 1338-3272. – Roč. 22, č. 4 (2018), s. 7-7 [tlačená forma] </t>
  </si>
  <si>
    <t xml:space="preserve">Školské sestry nielen počas pandémie COVID-19 / Pavelová, Ľuboslava [Autor, UKFFSVKOS, 50%] ; Krištofová, Erika [Autor, UKFFSVKOS, 50%]. – text. – [slovenčina]. – [OV 180]. – [článok] In: Ošetrovateľstvo a pôrodná asistencia [textový dokument (print)] [elektronický dokument] . – Bratislava (Slovensko) : Slovenská komora sestier a pôrodných asistentiek. – ISSN 1336-183X. – ISSN (online) 1339-5920. – č. 2 (2021), s. 18-19 [tlačená forma] [online] </t>
  </si>
  <si>
    <t xml:space="preserve">Školský manažment z pohľadu kybernetických a technologických východísk / Pisoňová, Mária [Autor, UKFPFAKPE, 100%]. – text. – [slovenčina]. – [OV 010]. – [článok] In: Pedagogické rozhľady [elektronický dokument] [textový dokument (print)] : Odborno-metodický časopis pre školy a školské zariadenia. – Banská Bystrica (Slovensko) : Metodicko-pedagogické centrum. – ISSN (online) 1335-0404. – Roč. 27, č. 1 (2018), s. 1-4 [online] [tlačená forma] </t>
  </si>
  <si>
    <t xml:space="preserve">Študenti doučia žiakov s ťažkosťami / Krajčovičová, Jana [Autor, REKTOR, 100%]. – text. – [slovenčina]. – [OV 010]. – [článok] In: Náš čas [textový dokument (print)] : časopis Univerzity Konštatnína Filozofa v Nitre. – Nitra (Slovensko) : Univerzita Konštantína Filozofa v Nitre. – ISSN 1338-3272. – Roč. 24, č. 4 (2020), s. 11-11 [tlačená forma] </t>
  </si>
  <si>
    <t xml:space="preserve">Študenti Katedry translatológie súčasťou filmového projektu / Perez, Emília [Autor, UKFFFAKTR, 100%]. – text. – [slovenčina]. – [OV 020]. – [článok] In: Náš čas [textový dokument (print)] : časopis Univerzity Konštatnína Filozofa v Nitre. – Nitra (Slovensko) : Univerzita Konštantína Filozofa v Nitre. – ISSN 1338-3272. – Roč. 24, č. 4 (2020), s. 24-25 [tlačená forma] </t>
  </si>
  <si>
    <t xml:space="preserve">Študenti translatológie prekladali o Írsku / Welnitzová, Katarína [Autor, UKFFFAKTR, 50%] ; Munková, Daša [Autor, UKFFFAKTR, 50%]. – [slovenčina]. – [OV 010, 020]. – [článok] In: Náš čas [textový dokument (print)] : časopis Univerzity Konštatnína Filozofa v Nitre. – Nitra (Slovensko) : Univerzita Konštantína Filozofa v Nitre. – ISSN 1338-3272. – Roč. 24, č. 3 (2020), s. 31-31 [tlačená forma] </t>
  </si>
  <si>
    <t xml:space="preserve">Tajný život tlačiarenských škriatkov / Baďová, Petra [Autor, UKFFFAULK, 100%]. – text. – [slovenčina]. – [OV 020]. – [článok] In: Knižná revue [textový dokument (print)] [elektronický dokument] : mesačník o nových knihách. – Bratislava (Slovensko) : Literárne informačné centrum. – ISSN 1210-1982. – ISSN (online) 1336-247X. – Roč. 29, č. 5 (2019), s. 20-21 [tlačená forma] [online] </t>
  </si>
  <si>
    <t xml:space="preserve">Talented Students / Štrbák, Marek [Autor, UKFPFAKHU, 100%]. – text. – [angličtina]. – [OV 010]. – [článok] In: Náš čas [textový dokument (print)] : časopis Univerzity Konštatnína Filozofa v Nitre. – Nitra (Slovensko) : Univerzita Konštantína Filozofa v Nitre. – ISSN 1338-3272. – Roč. 22, č. 3 (2018), s. 15-15 [tlačená forma] </t>
  </si>
  <si>
    <t xml:space="preserve">Tanka v zbierke Jána Zambora Pod jedovatým stromom / Kolesík, Milan [Autor, UKFFFASJL, 100%]. – text. – [slovenčina]. – [OV 020]. – [článok] In: Romboid [textový dokument (print)] : časopis pre literatúru a umeleckú komunikáciu. – Bratislava (Slovensko) : Zväz slovenských spisovateľov, Bratislava (Slovensko) : Asociácia organizácií spisovateľov Slovenska. – ISSN 0231-6714. – Roč. 54, č. 2 (2019), s. 44-64 [tlačená forma] </t>
  </si>
  <si>
    <t xml:space="preserve">Társadalom és névhasználat. Magyar névtani kutatások Szlovákiában / Angyal, Ladislav [Autor, UKFFSSUML, 100%]. – text. – [maďarčina]. – [OV 020]. – [článok] In: Fórum Társadalomtudományi Szemle [textový dokument (print)] . – Šamorín (Slovensko) : Fórum inštitút pre výskum menšín. – ISSN 1335-4361. – Roč. 21, č. 4 (2019), s. 171-172 [tlačená forma] </t>
  </si>
  <si>
    <t xml:space="preserve">Technické vzdelávanie v doktorandskom stupni štúdia na KTIT PF UKF v Nitre / Lukáčová, Danka [Autor, UKFPFAKTT, 60%] ; Depešová, Jana [Autor, UKFPFAKTT, 40%]. – text. – [slovenčina]. – [OV 010]. – [článok] In: Technika a vzdelávanie [textový dokument (print)] [elektronický dokument] : časopis zameraný na technické vzdelávanie v základných, stredných i na vysokých školách, na oblasť základného a aplikovaného výskumu, aplikáciu informačných technológií vo výučbe odborných predmetov. – Banská Bystrica (Slovensko) : Univerzita Mateja Bela v Banskej Bystrici. Fakulta prírodných vied. – ISSN 1338-9742. – ISSN (online) 1339-9888. – Roč. 9, č. 2 (2020), s. 6-9 [tlačená forma] [online] </t>
  </si>
  <si>
    <t xml:space="preserve">Teriológia efektívne a zaujímavo...  alebo inšpiratívne formy edukácie teriologickej problematiky / Baláž, Ivan [Autor, UKFFPVKEE, 80%] ; Červeňáková, Tatiana [Autor, 20%]. – text. – [slovenčina]. – [OV 100]. – [článok] In: Bulletin Slovenskej zoologickej spoločnosti pri SAV [elektronický dokument] . – Bratislava (Slovensko) : Slovenská akadémia vied. Slovenská zoologická spoločnosť pri SAV. – ISSN (online) 1339-178X. – Roč. 8, č. 1 (2019), s. 15-18 [online] </t>
  </si>
  <si>
    <t xml:space="preserve">Testovanie svalovej nerovnováhy - oslabené svaly / Kanásová, Janka [Autor, UKFPFAKTV, 100%]. – [slovenčina]. – [OV 210]. – [článok] In: Športový edukátor [elektronický dokument] . – Nitra (Slovensko) : Univerzita Konštantína Filozofa v Nitre. Pedagogická fakulta UKF. Katedra telesnej výchovy a športu. – ISSN (online) 1337-7809. – Roč. 11, č. 1 (2018), s. 61-64 [online] </t>
  </si>
  <si>
    <t xml:space="preserve">Testovanie svalovej nerovnováhy - pohybové stereotypy / Kanásová, Janka [Autor, UKFPFAKTV, 100%]. – text. – [slovenčina]. – [OV 210]. – [článok] In: Športový edukátor [elektronický dokument] . – Nitra (Slovensko) : Univerzita Konštantína Filozofa v Nitre. Pedagogická fakulta UKF. Katedra telesnej výchovy a športu. – ISSN (online) 1337-7809. – Roč. 13, č. 1 (2020), s. 71-75 [online] </t>
  </si>
  <si>
    <t xml:space="preserve">Testovanie znalostí v cudzom jazyku / Pavlová, Renáta [Autor, UKFFFAJZC, 100%]. – text. – [slovenčina]. – [OV 010, 020]. – [článok] In: Náš čas [textový dokument (print)] : časopis Univerzity Konštatnína Filozofa v Nitre. – Nitra (Slovensko) : Univerzita Konštantína Filozofa v Nitre. – ISSN 1338-3272. – Roč. 23, č. 8 (2019), s. 16-16 [tlačená forma] </t>
  </si>
  <si>
    <t xml:space="preserve">The Beatles a ich vplyv na vznik progresívneho rocku / Mudrák, Marcel [Autor, UKFFFAKMK, 100%]. – text. – [slovenčina]. – [OV 060]. – [článok] In: Kontexty kultúry a turizmu [textový dokument (print)] . – Nitra (Slovensko) : Univerzita Konštantína Filozofa v Nitre. Filozofická fakulta. – ISSN 1337-7760. – Roč. 13, č. 1 (2020), s. 49-57 [tlačená forma] </t>
  </si>
  <si>
    <t xml:space="preserve">The Concept of Suffering in Nathaniel Hawthorne’s ‘Young Goodman Brown’ (1835) and Fyodor Mikhailovich Dostoevsky’s ‘The Dream of a Ridiculous Man’ (1877) / Hricková, Mária [Autor, UKFFFAKAA, 100%]. – text. – [angličtina]. – [OV 020]. – [článok] In: Slavica Nitriensia [textový dokument (print)] : časopis pre výskum slovanských filológií. – Nitra (Slovensko) : Univerzita Konštantína Filozofa v Nitre. – ISSN 1338-7464. – Roč. 8, č. 2 (2019), s. 4-14 [tlačená forma] </t>
  </si>
  <si>
    <t xml:space="preserve">The Morality of Northern mythology / Juričková, Martina [Autor, UKFFFAKAA, 100%]. – text. – [angličtina]. – [OV 020]. – [článok] In: Teologický časopis [textový dokument (print)] : fórum pre kresťanský dialóg. – Trnava (Slovensko) : Vydavateľstvo Dobrá kniha, Trnava (Slovensko) : Trnavská univerzita v Trnave. Teologická fakulta. – ISSN 1336-3395. – Roč. 18, č. 2 (2020), s. 39-57 [tlačená forma] </t>
  </si>
  <si>
    <t xml:space="preserve">Tie najlepšie filmy v kine? Minulosť! / Malíček, Juraj [Autor, UKFFFAULK, 100%]. – text. – [slovenčina]. – [OV 020]. – [článok] In: Kultúrny život [textový dokument (print)] . – Bratislava (Slovensko) : Petit Press. – ISSN 2585-9838. – Roč. 2, č. 6 (2019), s. 6-7 [tlačená forma] </t>
  </si>
  <si>
    <t xml:space="preserve">Tínedžeri v nákupných centrách / Selická, Denisa [Autor, UKFFFAKSO, 100%]. – text. – [slovenčina]. – [OV 060, 010]. – [článok] In: Vychovávateľ [textový dokument (print)] : časopis pedagógov. – Bratislava (Slovensko) : Educatio. – ISSN 0139-6919. – Roč. 67, č. 5-6 (2019), s. 42-46 [tlačená forma] </t>
  </si>
  <si>
    <t xml:space="preserve">Transkulturalita / Jakubovská, Kristína [Autor, UKFFFAKKU, 100%]. – text. – [slovenčina]. – [OV 060]. – [článok] In: Culturologica Slovaca [elektronický dokument] : internetový kulturologický časopis. – Nitra (Slovensko) : Univerzita Konštantína Filozofa v Nitre. – ISSN 2453-9740. – Roč. 5, č. 2 (2020), s. 104-106 [online] </t>
  </si>
  <si>
    <t xml:space="preserve">Translatológovia partnerom filmového festivalu / Perez, Emília [Autor, UKFFFAKTR, 100%]. – text. – [slovenčina]. – [OV 020]. – [článok] In: Náš čas [textový dokument (print)] : časopis Univerzity Konštatnína Filozofa v Nitre. – Nitra (Slovensko) : Univerzita Konštantína Filozofa v Nitre. – ISSN 1338-3272. – Roč. 25, č. 1 (2021), s. 38-39 [tlačená forma] </t>
  </si>
  <si>
    <t xml:space="preserve">Transzverzális kompetenciák fejlesztése a digitális tanteremben / Radics, Rudolf [Autor, UKFFSSUML, 100%]. – text. – [maďarčina]. – [OV 010]. – [článok] In: Katedra [elektronický dokument] : szlovákiai magyar pedagógusok és szülők lapja. – Dunajská Streda (Slovensko) : Nadácia Katedra. – ISSN 1335-6445. – ISSN (online) 2729-9066. – Roč. 28, č. 9 (2021), s. 24-29 [tlačená forma] [online] </t>
  </si>
  <si>
    <t xml:space="preserve">Trávenie voľného času detí a mládeže v nákupných centrách / Selická, Denisa [Autor, UKFFFAKSO, 100%]. – text. – [slovenčina]. – [OV 010]. – [článok] In: Vychovávateľ [textový dokument (print)] : časopis pedagógov. – Bratislava (Slovensko) : Educatio. – ISSN 0139-6919. – Roč. 66, č. 7-8 (2018), s. 43-48 [tlačená forma] </t>
  </si>
  <si>
    <t xml:space="preserve">Trestanie a vzdelávanie odsúdených v Nórsku / Temiaková, Dominika [Autor, UKFPFAKPE, 100%]. – text. – [slovenčina]. – [OV 010]. – [článok] In: Sociálna prevencia [textový dokument (print)] : odborný časopis. – Bratislava (Slovensko) : Národné osvetové centrum. – ISSN 1336-9679. – TUTPR signatúra E025398. – Roč. 15, č. 2 (2020), s. 29-30 [tlačená forma] </t>
  </si>
  <si>
    <t xml:space="preserve">Tŕňový mesiac  ́68 Jána Motulka / Brunclík, Jozef [Autor, UKFFFASJL, 100%]. – [slovenčina]. – [OV 020]. – [článok] In: Knižná revue [textový dokument (print)] [elektronický dokument] : mesačník o nových knihách. – Bratislava (Slovensko) : Literárne informačné centrum. – ISSN 1210-1982. – ISSN (online) 1336-247X. – Roč. 28, č. 11 (2018), s. 30-31 [tlačená forma] [online] </t>
  </si>
  <si>
    <t xml:space="preserve">Turistika ako možnosť pohybovej aktivity na druhom stupni základných škôl / Krčmárová, Bohumila [Autor, UKFPFAKTV, 50%] ; Holjenková, Barbora [Autor, 50%]. – text. – [slovenčina]. – [OV 210]. – [článok] In: Športový edukátor [elektronický dokument] . – Nitra (Slovensko) : Univerzita Konštantína Filozofa v Nitre. Pedagogická fakulta UKF. Katedra telesnej výchovy a športu. – ISSN (online) 1337-7809. – Roč. 13, č. 2 (2020), s. 3-7 [online] </t>
  </si>
  <si>
    <t xml:space="preserve">Učenie sa o obci a utváranie si vzťahu k nej / Kollárová, Dana [Autor, UKFPFAKPE, 100%]. – text. – [slovenčina]. – [OV 010]. – [článok] In: Predškolská výchova [textový dokument (print)] . – Hliník nad Hronom (Slovensko) : Reziliencia. – ISSN 0032-7220. – Roč. 73, č. November/December (2018), s. 7-12 [tlačená forma] </t>
  </si>
  <si>
    <t xml:space="preserve">Umelá inteligencia - dialóg hodnôt / Bartal, Jana [Autor, UKFFFAKAE 06.2022, 100%]. – text. – [slovenčina]. – [OV 020]. – [článok] In: Prekroč svoj tieň [elektronický dokument] : prvý recenzovaný vedecko-odborný časopis osobného rozvoja. – Bratislava (Slovensko) : Business Intelligence Club. – ISSN (online) 2644-6707. – Roč. 2, č. január (2021), s. 1-7 [online] </t>
  </si>
  <si>
    <t xml:space="preserve">Unikátny výskum zisťuje vplyv toxických látok na zdravie človeka / Hlisníková, Henrieta [Autor, UKFFPVKZA, 20%] ; Petrovičová, Ida [Autor, UKFFPVKZA, 20%] ; Kolena, Branislav [Autor, UKFFPVKZA, 20%] ; Šidlovská, Miroslava [Autor, UKFFPVKZA, 20%] ; Foldešiová, Michaela [Autor, UKFFPVKZA, 20%]. – text. – [slovenčina]. – [OV 010]. – [článok] In: Náš čas [textový dokument (print)] : časopis Univerzity Konštatnína Filozofa v Nitre. – Nitra (Slovensko) : Univerzita Konštantína Filozofa v Nitre. – ISSN 1338-3272. – Roč. 25, č. 1 (2021), s. 10-14 [tlačená forma] </t>
  </si>
  <si>
    <t xml:space="preserve">Uplatnenie binárnych opozícií v Tatarkovej novele Pred zrkadlom / Kolesík, Milan [Autor, UKFFFASJL, 100%]. – text. – [slovenčina]. – [OV 020]. – [článok] In: Litikon [textový dokument (print)] : časopis pre výskum literatúry = journal for literature research. – Nitra (Slovensko) : Univerzita Konštantína Filozofa v Nitre. – ISSN 2453-8507. – Roč. 5, č. 1 (2020), s. 77-90 [tlačená forma] </t>
  </si>
  <si>
    <t xml:space="preserve">V divadle odovzdali Ceny Pavla Straussa / Černáková, Jana [Autor, UKFREKTOR, 100%]. – text. – [slovenčina]. – [OV 020]. – [článok] In: Náš čas [textový dokument (print)] : časopis Univerzity Konštatnína Filozofa v Nitre. – Nitra (Slovensko) : Univerzita Konštantína Filozofa v Nitre. – ISSN 1338-3272. – Roč. 24, č. 1 (2020), s. 16-17 [tlačená forma] </t>
  </si>
  <si>
    <t xml:space="preserve">V srdci francúzskych Álp : spolupráca medzi UKF v Nitre   a Savojskou univerzitou sa rozvíja   na študijnom aj na vedeckom poli / Pružinec, Tomáš [Autor, UKFFFAKFI, 100%]. – text. – [slovenčina]. – [OV 010]. – [článok] In: Náš čas [textový dokument (print)] : časopis Univerzity Konštatnína Filozofa v Nitre. – Nitra (Slovensko) : Univerzita Konštantína Filozofa v Nitre. – ISSN 1338-3272. – Roč. 22, č. 1 (2018), s. 34-35 [tlačená forma] </t>
  </si>
  <si>
    <t xml:space="preserve">Váratlanra várva / Pintes, Gábor [Autor, UKFPFAKPE, 100%]. – text. – [maďarčina]. – [OV 010]. – [článok] In: Katedra [elektronický dokument] : szlovákiai magyar pedagógusok és szülők lapja. – Dunajská Streda (Slovensko) : Nadácia Katedra. – ISSN 1335-6445. – ISSN (online) 2729-9066. – Roč. 28, č. 5 (2021), s. 3-3 [tlačená forma] [online] </t>
  </si>
  <si>
    <t xml:space="preserve">Variantnosť literárneho textu ako interpretačná výzva. Slovo editorky o vedeckom zborníku "Textologické štúdie" (vyd. UKF v Nitre, 2020) / Rácová, Veronika [Autor, UKFFFASJL, 100%]. – text. – [slovenčina]. – [OV 020]. – [článok] In: Fraktál [textový dokument (print)] : literatúra horizontálne a vertikálne. – Závod (Slovensko) : Fraktál. – ISSN 2585-8912. – Roč. 4, č. 3 (2021), s. 46-48 [tlačená forma] </t>
  </si>
  <si>
    <t xml:space="preserve">Veľká grécka kolonizácia / Jirkal, Emanuel [Autor, UKFFFAKHI, 100%]. – text. – [slovenčina]. – [OV 030]. – [článok] In: Historická revue [textový dokument (print)] : vedecko-populárny mesačník o dejinách. – Bratislava (Slovensko) : Slovenský archeologický a historický inštitút. – ISSN 1335-6550. – TUT ID E003501. – Roč. 29, č. 12 (2018), s. 14-18 [tlačená forma] </t>
  </si>
  <si>
    <t xml:space="preserve">Veľké Biele pleso - pleso veľkých zmien / Kapusta, Juraj [Autor, UKFFPVKEE, 100%]. – text. – [slovenčina]. – [OV 100]. – [článok] In: Krásy Slovenska [textový dokument (print)] : príroda, ľudia, turistika, pamiatky, cykloturistika, lyžovanie, jaskyniarstvo, tradície. – Bratislava (Slovensko) : Klub Slovenských turistov. – ISSN 0323-0643. – Roč. 95, č. 3-4 (2018), s. 38-42 [tlačená forma] </t>
  </si>
  <si>
    <t xml:space="preserve">Verzologický tím / Teplan, Dušan [Autor interview, UKFFFASJL, 100%]. – text. – [slovenčina]. – [OV 020]. – [článok] In: Litikon [textový dokument (print)] : časopis pre výskum literatúry = journal for literature research. – Nitra (Slovensko) : Univerzita Konštantína Filozofa v Nitre. – ISSN 2453-8507. – Roč. 3, č. 1 (2018), s. 243-245 [tlačená forma] </t>
  </si>
  <si>
    <t xml:space="preserve">Vlastná vetva nezávislého myslenia nitrianskej kulturológie / Fuják, Július [Autor, UKFFFAKKU, 100%]. – text. – [slovenčina]. – [OV 020]. – [článok] In: Culturologica Slovaca [elektronický dokument] : internetový kulturologický časopis. – Nitra (Slovensko) : Univerzita Konštantína Filozofa v Nitre. – ISSN 2453-9740. – Roč. 6, č. 1 (2021), s. 24-31 [online] </t>
  </si>
  <si>
    <t xml:space="preserve">Vo FN v Nitre pomáhajú naši študenti - dobrovoľníci / Černáková, Jana [Autor, UKFREKTOR, 100%]. – text. – [slovenčina]. – [OV 060, 180]. – [článok] In: Náš čas [textový dokument (print)] : časopis Univerzity Konštatnína Filozofa v Nitre. – Nitra (Slovensko) : Univerzita Konštantína Filozofa v Nitre. – ISSN 1338-3272. – Roč. 25, č. 1 (2021), s. 24-26 [tlačená forma] </t>
  </si>
  <si>
    <t xml:space="preserve">Vodná karta / Repáňová, Terézia [Autor, UKFFSSKCR, 95%] ; Sotáková, Jaroslava [Autor, 5%]. – [slovenčina]. – [OV 080]. – [článok] In: Hotelier [textový dokument (print)] : časopis, ktorý si vás nájde. – Žilina (Slovensko) : Direct Press. – ISSN 1337-0545. – Roč. 12, č. 5 (2018), s. 88-93 [tlačená forma] </t>
  </si>
  <si>
    <t xml:space="preserve">Voľný čas - podpora čitateľskej gramotnosti / Selická, Denisa [Autor, UKFFFAKSO, 25%] ; Štrbová, Monika [Autor, UKFFFAKSO, 25%] ; Šarvajcová, Marcela [Autor, UKFFFAKSO, 25%] ; Rybanský, Ľubomír [Autor, UKFFPVKMA, 25%]. – text. – [slovenčina]. – [OV 060]. – [článok] In: Vychovávateľ [textový dokument (print)] : časopis pedagógov. – Bratislava (Slovensko) : Educatio. – ISSN 0139-6919. – Roč. 67, č. 9-10 (2019), s. 52-57 [tlačená forma] </t>
  </si>
  <si>
    <t xml:space="preserve">Vplyv pandémie na pohybovú aktívnosť a zdravie mladej generácie / Šimonek, Jaromír [Autor, UKFPFAKTV, 100%]. – text. – [slovenčina]. – [OV 210]. – [článok] In: Športový edukátor [elektronický dokument] . – Nitra (Slovensko) : Univerzita Konštantína Filozofa v Nitre. Pedagogická fakulta UKF. Katedra telesnej výchovy a športu. – ISSN (online) 1337-7809. – Roč. 14, č. 1 (2021), s. 3-8 [online] </t>
  </si>
  <si>
    <t xml:space="preserve">Vplyv pohybových hier na myslenie a učenie detí (1) / Šimonek, Jaromír [Autor, UKFPFAKTV, 100%]. – text. – [slovenčina]. – [OV 210]. – [článok] In: Športový edukátor [elektronický dokument] . – Nitra (Slovensko) : Univerzita Konštantína Filozofa v Nitre. Pedagogická fakulta UKF. Katedra telesnej výchovy a športu. – ISSN (online) 1337-7809. – Roč. 11, č. 1 (2018), s. 12-17 [online] </t>
  </si>
  <si>
    <t xml:space="preserve">Vplyv rovesníckej mediácie na správanie žiaka (1.) / Vanková, Katarína [Autor, UKFFSVURS, 100%]. – text. – [slovenčina]. – [OV 020]. – [článok] In: Manažment školy v praxi [elektronický dokument] : odborný mesačník pre školy a školské zariadenia. – Bratislava (Slovensko) : Wolters Kluwer. – ISSN 1336-9849. – Roč. 15, č. 12 (2020), s. 26-29 [online] </t>
  </si>
  <si>
    <t xml:space="preserve">Vplyv rovesníckej mediácie na správanie žiaka (2.) / Vanková, Katarína [Autor, UKFFSVURS, 100%]. – text. – [slovenčina]. – [OV 020]. – [článok] In: Manažment školy v praxi [elektronický dokument] : odborný mesačník pre školy a školské zariadenia. – Bratislava (Slovensko) : Wolters Kluwer. – ISSN 1336-9849. – Roč. 16, č. 1 (2021), s. 24-28 [online] </t>
  </si>
  <si>
    <t xml:space="preserve">Vplyv sociálnych médií na mládež / Selická, Denisa [Autor, UKFFFAKSO, 34%] ; Štrbová, Monika [Autor, UKFFFAKSO, 33%] ; Weiss, Ervín [Autor, UKFFFAKGE, 33%]. – text. – [slovenčina]. – [OV 060, 010]. – [článok] In: Vychovávateľ [textový dokument (print)] : časopis pedagógov. – Bratislava (Slovensko) : Educatio. – ISSN 0139-6919. – Roč. 67, č. 5-6 (2019), s. 21-24 [tlačená forma] </t>
  </si>
  <si>
    <t xml:space="preserve">Vtedy v 89' / Malíček, Juraj [Autor, UKFFFAULK, 100%]. – text. – [slovenčina]. – [OV 020]. – [článok] In: Kultúrny život [textový dokument (print)] . – Bratislava (Slovensko) : Petit Press. – ISSN 2585-9838. – Roč. 2, č. 4 (2019), s. 6-7 [tlačená forma] </t>
  </si>
  <si>
    <t xml:space="preserve">Vybrané cvičenia so stoličkou ako náhrada náradia posilňovacej lavice / Remeňová, Frederika [Autor, 50%] ; Krčmárová, Bohumila [Autor, UKFPFAKTV, 50%]. – [slovenčina]. – [OV 210]. – [článok] In: Športový edukátor [elektronický dokument] . – Nitra (Slovensko) : Univerzita Konštantína Filozofa v Nitre. Pedagogická fakulta UKF. Katedra telesnej výchovy a športu. – ISSN (online) 1337-7809. – Roč. 14, č. 1 (2021), s. 35-43 [online] </t>
  </si>
  <si>
    <t xml:space="preserve">Vyjadrovanie posesívnych vzťahov v slovenčine / Hlavatá, Renáta [Autor, UKFFFASJL, 100%]. – [slovenčina]. – [OV 020]. – [článok] In: Náš čas [textový dokument (print)] : časopis Univerzity Konštatnína Filozofa v Nitre. – Nitra (Slovensko) : Univerzita Konštantína Filozofa v Nitre. – ISSN 1338-3272. – Roč. 22, č. 5 (2018), s. 15-15 [tlačená forma] </t>
  </si>
  <si>
    <t xml:space="preserve">Vyrobené na Slovensku / Baďová, Petra [Autor, UKFFFAULK, 100%]. – text. – [slovenčina]. – [OV 020]. – [článok] In: Knižná revue [textový dokument (print)] [elektronický dokument] : mesačník o nových knihách. – Bratislava (Slovensko) : Literárne informačné centrum. – ISSN 1210-1982. – ISSN (online) 1336-247X. – Roč. 30, č. 5 (2020), s. 21-22 [tlačená forma] [online] </t>
  </si>
  <si>
    <t xml:space="preserve">Výsledky geofyzikálnych prieskumov stredovekých sakrálnych objektov / Nipčová, Daniela [Autor, 25%] ; Paterka, Pavel [Autor, 25%] ; Tirpák, Ján [Autor, UKFFPVGMU, 50%]. – text. – [slovenčina]. – [OV 092, 030]. – [článok] In: Monument revue [textový dokument (print)] : časopis Pamiatkového úradu SR na prezentáciu vedeckého poznávania kultúrneho dedičstva. – Bratislava (Slovensko) : Pamiatkový úrad Slovenskej republiky. – ISSN 1338-807X. – Roč. 8, č. 2 (2019), s. 37-47 [tlačená forma] </t>
  </si>
  <si>
    <t xml:space="preserve">Výstupy dvoch edukačných projektov v konfrontácii s fungovaním edukačného prostredia v pandemických podmienkach / Hašková, Alena [Autor, UKFPFAKTT, 100%]. – [slovenčina]. – [OV 010]. – [článok] In: Technika a vzdelávanie [textový dokument (print)] [elektronický dokument] : časopis zameraný na technické vzdelávanie v základných, stredných i na vysokých školách, na oblasť základného a aplikovaného výskumu, aplikáciu informačných technológií vo výučbe odborných predmetov. – Banská Bystrica (Slovensko) : Univerzita Mateja Bela v Banskej Bystrici. Fakulta prírodných vied. – ISSN 1338-9742. – ISSN (online) 1339-9888. – Roč. 9, č. 1 (2020), s. 27-31 [tlačená forma] [online] </t>
  </si>
  <si>
    <t xml:space="preserve">Výtvarno - literárna súťaž "Komenský a my" oslavovala svoj 15. ročník / Pavličková, Alexandra [Autor, UKFPFAKPE, 50%] ; Turzák, Tomáš [Autor, UKFPFAKPE, 50%]. – text. – [slovenčina]. – [OV 010]. – [článok] In: Pedagogika.sk [elektronický dokument] : slovenský časopis pre pedagogické vedy = Slovak Journal for Educational Sciences. – Bratislava (Slovensko) : Slovenská akadémia vied. Slovenská pedagogická spoločnosť pri SAV. – ISSN (online) 1338-0982. – Roč. 9, č. 3 (2018), s. 174-176 [online] </t>
  </si>
  <si>
    <t xml:space="preserve">Vyučovanie TaŠV v atypických podmienkach 1 / Czaková, Natália [Autor, UKFPFAKTV, 50%] ; Domčeková, Andrea [Autor, 50%]. – text. – [slovenčina]. – [OV 210]. – [článok] In: Športový edukátor [elektronický dokument] . – Nitra (Slovensko) : Univerzita Konštantína Filozofa v Nitre. Pedagogická fakulta UKF. Katedra telesnej výchovy a športu. – ISSN (online) 1337-7809. – Roč. 13, č. 1 (2020), s. 4-8 [online] </t>
  </si>
  <si>
    <t xml:space="preserve">Využitie identifikácie prekonceptov žiakov ako nástroja potencionálneho nadania / Koleňáková, Rebeka Štefánia [Autor, UKFPFAKPE, 100%]. – text. – [slovenčina]. – [OV 010]. – [článok] In: Didaktika [textový dokument (print)] : odborný časopis pre výchovu a vzdelávanie. – Bratislava (Slovensko) : Wolters Kluwer. Wolters Kluwer SR. – ISSN 1338-2845. – Roč. 1, č. 6 (2020), s. 24-28 [tlačená forma] </t>
  </si>
  <si>
    <t xml:space="preserve">Využitie Kettlebell v športovom tréningu / Veis, Alexandra [Autor, UKFPFAKTV, 100%]. – text. – [slovenčina]. – [OV 210]. – [článok] In: Športový edukátor [elektronický dokument] . – Nitra (Slovensko) : Univerzita Konštantína Filozofa v Nitre. Pedagogická fakulta UKF. Katedra telesnej výchovy a športu. – ISSN (online) 1337-7809. – Roč. 11, č. 1 (2018), s. 53-60 [online] </t>
  </si>
  <si>
    <t xml:space="preserve">Využitie oporných SM tyčí pri prevencii a odstraňovaní bolestí chrbta vo vyššom veku (1) / Halmová, Nora [Autor, UKFPFAKTV, 100%]. – text. – [slovenčina]. – [OV 210]. – [článok] In: Športový edukátor [elektronický dokument] . – Nitra (Slovensko) : Univerzita Konštantína Filozofa v Nitre. Pedagogická fakulta UKF. Katedra telesnej výchovy a športu. – ISSN (online) 1337-7809. – Roč. 11, č. 1 (2018), s. 46-52 [online] </t>
  </si>
  <si>
    <t xml:space="preserve">Využitie pojmového mapovania v edukačnom procese / Kozárová, Nina [Autor, UKFPFAKPE, 100%]. – text. – [slovenčina]. – [OV 010]. – [článok] In: Didaktika [textový dokument (print)] : odborný časopis pre výchovu a vzdelávanie. – Bratislava (Slovensko) : Wolters Kluwer. Wolters Kluwer SR. – ISSN 1338-2845. – Roč. 1, č. 1 (2020), s. 15-20 [tlačená forma] </t>
  </si>
  <si>
    <t xml:space="preserve">Využitie tréningovej pomôcky gymstick v silovom tréningu / Krčmárová, Bohumila [Autor, UKFPFAKTV, 50%] ; Guzman, Matúš [Autor, 50%]. – [slovenčina]. – [OV 210]. – [článok] In: Športový edukátor [elektronický dokument] . – Nitra (Slovensko) : Univerzita Konštantína Filozofa v Nitre. Pedagogická fakulta UKF. Katedra telesnej výchovy a športu. – ISSN (online) 1337-7809. – Roč. 14, č. 1 (2021), s. 25-34 [online] </t>
  </si>
  <si>
    <t xml:space="preserve">Význam jogy pri celkovom rozvoji detí a mládeže / Bartal, Jana [Autor, UKFFFAKAE 06.2022, 100%]. – text. – [slovenčina]. – [OV 020]. – [článok] In: Prekroč svoj tieň [elektronický dokument] : prvý recenzovaný vedecko-odborný časopis osobného rozvoja. – Bratislava (Slovensko) : Business Intelligence Club. – ISSN (online) 2644-6707. – Roč. 1, č. september (2020), s. 1-3 [online] </t>
  </si>
  <si>
    <t xml:space="preserve">Význam jogy v súčasnosti / Bartal, Jana [Autor, UKFFFAKAE 06.2022, 100%]. – text. – [slovenčina]. – [OV 020]. – [článok] In: Prekroč svoj tieň [elektronický dokument] : prvý recenzovaný vedecko-odborný časopis osobného rozvoja. – Bratislava (Slovensko) : Business Intelligence Club. – ISSN (online) 2644-6707. – Roč. 1, č. august (2020), s. 1-3 [online] </t>
  </si>
  <si>
    <t xml:space="preserve">Významy ukryté pod hladkým povrchom vecí : spomienka na Raymonda Carvera. Sprievodný text k prekladanej poviedke Lož / Mitková, Natália [Autor, UKFFFASJL, 100%]. – text. – [slovenčina]. – [OV 020]. – [článok] In: Revue svetovej literatúry [textový dokument (print)] . – Bratislava (Slovensko) : Slovenský spisovateľ, Bratislava (Slovensko) : Slovenská spoločnosť prekladateľov umeleckej literatúry. – ISSN 0231-6269. – Roč. 54, č. 2 (2018), s. 140-142 [tlačená forma] </t>
  </si>
  <si>
    <t xml:space="preserve">Vzácne návštevy na našej univerzite : veľvyslanci niekoľkých krajín aj čelní predstavitelia viacerých univerzít potvrdili návštevami ďalšiu spoluprácu s našou univerzitou / Krajčovičová, Jana [Autor, REKTOR, 100%]. – text. – [slovenčina]. – [OV 020]. – [článok] In: Náš čas [textový dokument (print)] : časopis Univerzity Konštatnína Filozofa v Nitre. – Nitra (Slovensko) : Univerzita Konštantína Filozofa v Nitre. – ISSN 1338-3272. – Roč. 24, č. 1 (2020), s. 12-14 [tlačená forma] </t>
  </si>
  <si>
    <t xml:space="preserve">Vzdelávanie cvičných a uvádzajúcich učiteľov v kontexte medzinárodného projektu : výsledkom kooperácie je medzinárodný  projekt Erasmus+ KA201 Mentor Training (Vzdelávanie cvičných auvádzajúcich učiteľov), ktorý koordinuje naša univerzita pod vedením prof. PaedDr. Zdenky Gadušovej, CSc., zKatedry anglistiky aamerikanistiky Filozofickej fakulty arealizuje ho šesť vysokých škôl zo štyroch krajín / Lomnický, Igor [Autor, UKFFFAKAE 06.2022, 100%]. – text. – [slovenčina]. – [OV 010]. – [článok] In: Náš čas [textový dokument (print)] : časopis Univerzity Konštatnína Filozofa v Nitre. – Nitra (Slovensko) : Univerzita Konštantína Filozofa v Nitre. – ISSN 1338-3272. – Roč. 25, č. 2 (2021), s. 8-10 [tlačená forma] </t>
  </si>
  <si>
    <t xml:space="preserve">Wie geht es dir? How are you? : Two weeks with summer AustrianSlovak language school / Wrede, Oľga [Autor, UKFFFAKGE, 50%] ; Machová, Renáta [Autor, UKFFFAJZC, 50%]. – text. – [angličtina]. – [OV 020]. – [článok] In: Náš čas [textový dokument (print)] : časopis Univerzity Konštatnína Filozofa v Nitre. – Nitra (Slovensko) : Univerzita Konštantína Filozofa v Nitre. – ISSN 1338-3272. – Roč. 22, č. 3 (2018), s. 24-25 [tlačená forma] </t>
  </si>
  <si>
    <t xml:space="preserve">Z prekladu anglofónnej fantastiky na Slovensku I : Lovecraft a starí majstri nadprirodzeného hororu / Kažimír, Martin [Autor, UKFFFAKTR, 100%]. – text. – [slovenčina]. – [OV 020]. – [článok] In: Verzia [elektronický dokument] : časopis zameraný na umelecký preklad. – Bratislava (Slovensko) : DoSlov. – ISSN (online) 2729-7691. – č. 1 (2020), s. 1-4 [online] </t>
  </si>
  <si>
    <t xml:space="preserve">Za federatívne Československo : Slovenské národné povstanie / Arpáš, Róbert [Autor, UKFFFAKHI, 100%]. – text. – [slovenčina]. – [OV 030]. – [článok] In: História [textový dokument (print)] [elektronický dokument] : revue o dejinách spoločnosti. – Bratislava (Slovensko) : Slovenská akadémia vied. Pracoviská SAV. Historický ústav, Bratislava (Slovensko) : Slovenská historická spoločnosť pri SAV. – ISSN 1335-8316. – ISSN (online) 2585-9080. – ISSN (chybné) 2457-2000. – Roč. 18, č. 4 (2019), s. 18-24 [tlačená forma] [online] </t>
  </si>
  <si>
    <t xml:space="preserve">Za Zdenkom Plachým / Fuják, Július [Autor, UKFFFAKKU, 100%]. – text. – [slovenčina]. – [OV 020]. – [článok] In: Vlna [textový dokument (print)] : časopis o súčasnom umení a kultúre. – Bratislava (Slovensko) : Drewo a srd. – ISSN 1335-5341. – ISSN (chybné) ISSN 1335-969X. – Roč. 20, č. 75 (2018), s. 24-29 [tlačená forma] </t>
  </si>
  <si>
    <t xml:space="preserve">Závada Pál szlovák népmesefordításai / Tóth, Anikó [Autor, UKFFSSUML, 100%]. – text. – [maďarčina]. – [OV 020]. – [článok] In: Katedra [elektronický dokument] : szlovákiai magyar pedagógusok és szülők lapja. – Dunajská Streda (Slovensko) : Nadácia Katedra. – ISSN 1335-6445. – ISSN (online) 2729-9066. – Roč. 26, č. 2 (2018), s. 9-12 [tlačená forma] [online] </t>
  </si>
  <si>
    <t xml:space="preserve">Zázračné je to najobyčajnejšie / Baďová, Petra [Autor, UKFFFAULK, 100%]. – text. – [slovenčina]. – [OV 020]. – [článok] In: Knižná revue [textový dokument (print)] [elektronický dokument] : mesačník o nových knihách. – Bratislava (Slovensko) : Literárne informačné centrum. – ISSN 1210-1982. – ISSN (online) 1336-247X. – Roč. 29, č. 4 (2019), s. 14-15 [tlačená forma] [online] </t>
  </si>
  <si>
    <t xml:space="preserve">Zážitok - jeden z najmocnejších prostriedkov zážitkovej pedagogiky / Vanková, Katarína [Autor, UKFFSVURS, 50%] ; Rác, Ivan [Autor, UKFFSVURS, 50%]. – text. – [slovenčina]. – [OV 060]. – [článok]. – [recenzované] In: Didaktika [textový dokument (print)] : odborný časopis pre výchovu a vzdelávanie. – Bratislava (Slovensko) : Wolters Kluwer. Wolters Kluwer SR. – ISSN 1338-2845. – Roč. 2, č. 3 (2021), s. 10-13 [tlačená forma] </t>
  </si>
  <si>
    <t xml:space="preserve">Zelené Kežmarské pleso vo svetle nových batymetrických meraní / Kapusta, Juraj [Autor, UKFFPVKEE, 100%]. – text. – [slovenčina]. – [OV 100]. – [článok] In: Tatry [textový dokument (print)] : dvojmesačník o krásach tatranskej prírody, jej ochrane, starostlivosti o lesné ekosystémy, turistike, športe a cestovnom ruchu v TANAPe. – Tatranská Lomnica (Slovensko) : Štátne lesy TANAP-u. – ISSN 1335-6828. – Roč. 57, č. 3 (2018), s. 22-25 [tlačená forma] </t>
  </si>
  <si>
    <t xml:space="preserve">Zima je tu / Malíček, Juraj [Autor, UKFFFAULK, 100%]. – text. – [slovenčina]. – [OV 020]. – [článok] In: Kultúrny život [textový dokument (print)] . – Bratislava (Slovensko) : Petit Press. – ISSN 2585-9838. – Roč. 2, č. 9 (2019), s. 6-7 [tlačená forma] </t>
  </si>
  <si>
    <t xml:space="preserve">Zločiny komunizmu / Manda, Vladimír [Autor, UKFFFAKFI, 100%]. – [slovenčina]. – [OV 060]. – [článok] In: Dav Dva [elektronický dokument] [textový dokument (print)] : kultúrno-politický magazín. – Bratislava (Slovensko) : Občianska iniciatíva DAV DVA. – ISSN 2453-9864. – Roč. 2, č. 3 (2018), s. 20-21 [online] </t>
  </si>
  <si>
    <t xml:space="preserve">Zmeny voľného času v priebehu posledných desaťročí / Selická, Denisa [Autor, UKFFFAKSO, 100%]. – text. – [slovenčina]. – [OV 060]. – [článok] In: Vychovávateľ [textový dokument (print)] : časopis pedagógov. – Bratislava (Slovensko) : Educatio. – ISSN 0139-6919. – Roč. 66, č. 3-4 (2018), s. 38-43 [tlačená forma] </t>
  </si>
  <si>
    <t xml:space="preserve">Zoči-voči drakovi / Baďová, Petra [Autor, UKFFFAULK, 100%]. – text. – [slovenčina]. – [OV 020]. – [článok] In: Knižná revue [textový dokument (print)] [elektronický dokument] : mesačník o nových knihách. – Bratislava (Slovensko) : Literárne informačné centrum. – ISSN 1210-1982. – ISSN (online) 1336-247X. – Roč. 30, č. 4 (2020), s. 20-21 [tlačená forma] [online] </t>
  </si>
  <si>
    <t xml:space="preserve">Žiaci s poruchou pozornosti a vybrané intervenčné techniky / Hvozdíková, Silvia [Autor, UKFFFAKAA, 100%]. – text. – [slovenčina]. – [OV 020]. – [článok] In: Didaktika [textový dokument (print)] : odborný časopis pre výchovu a vzdelávanie. – Bratislava (Slovensko) : Wolters Kluwer. Wolters Kluwer SR. – ISSN 1338-2845. – Roč. 2, č. 6 (2021), s. 5-10 [tlačená forma] </t>
  </si>
  <si>
    <t xml:space="preserve">Život s palatínom : dvakrát "pochlapčená" nevesta / Molnárová, Mária [Autor, UKFFFAKHI, 100%]. – text. – [slovenčina]. – [OV 030]. – [článok] In: História [textový dokument (print)] [elektronický dokument] : revue o dejinách spoločnosti. – Bratislava (Slovensko) : Slovenská akadémia vied. Pracoviská SAV. Historický ústav, Bratislava (Slovensko) : Slovenská historická spoločnosť pri SAV. – ISSN 1335-8316. – ISSN (online) 2585-9080. – ISSN (chybné) 2457-2000. – Roč. 18, č. 5 (2019), s. 19-23 [tlačená forma] [online] </t>
  </si>
  <si>
    <t>BDM - Odborné práce v zahraničných časopisoch registrovaných v databázach Web of Science alebo SCOPUS</t>
  </si>
  <si>
    <t xml:space="preserve">Decision-making gap Either/Or in the life of a man : Editorial / Králik, Roman [Autor, UKFFFAKAE 06.2022, 100%]. – text. – [angličtina]. – [OV 020]. – [článok]. – WOS CC ; SCO In: European Journal of Science and Theology [textový dokument (print)] [elektronický dokument] . – Jasy (Rumunsko) : Academic organisation for environmental engineering and sustainable development. – ISSN 1841-0464. – ISSN (online) 1842-8517. – Roč. 15, č. 5 (2019), 1-2 [tlačená forma] [online] . – SNIP: 0,697 ; SJR: 0,35 ; CiteScore: 1,6 Scimago - Engineering (miscellaneous) - Q2, History and philosophy of science - Q2, Multidisciplinary - Q1, Religious studies - Q1 </t>
  </si>
  <si>
    <t xml:space="preserve">New Faces of World Cinema: The 47th International Film Festival Rotterdam, 2018 / Kudláč, Martin [Autor, UKFFFAULK, 100%]. – text. – [angličtina]. – [OV 020]. – [článok]. – WOS CC ; SCO In: Film International [textový dokument (print)] . – ISSN 1651-6826. – ISSN (online) 2040-3801. – Roč. 16, č. 4 (2018), 97-100 [tlačená forma] . – SJR: 0,1 ; CiteScore: 0,1 Scimago - Communication - Q4, Cultural studies - Q4, Visual arts and performing arts - Q4 </t>
  </si>
  <si>
    <t xml:space="preserve">Our world needs poets … / Králik, Roman [Autor, UKFFFAKAE 06.2022, 100%]. – text. – [angličtina]. – [OV 020]. – [článok]. – WOS CC ; SCO In: European Journal of Science and Theology [textový dokument (print)] [elektronický dokument] . – Jasy (Rumunsko) : Academic organisation for environmental engineering and sustainable development. – ISSN 1841-0464. – ISSN (online) 1842-8517. – Roč. 16, č. 2 (2020), 1-2 [tlačená forma] [online] . – SJR: 0,493 ; CiteScore: 1,5 ; SNIP: 0,826 ; AIS: 0.111 AIS - Religion - Q3 Scimago - Engineering (miscellaneous) - Q2, History and philosophy of science - Q1, Multidisciplinary - Q1, Religious studies - Q1 </t>
  </si>
  <si>
    <t>BDN - Odborné práce v domácich časopisoch registrovaných v databázach Web of Science alebo SCOPUS</t>
  </si>
  <si>
    <t xml:space="preserve">„Tužme se!“ - zúčastnené pozorovanie oslavy storočnice Československa na všesokolskom zlete / Beňušková, Zuzana [Autor, UKFFFAKEF, 100%]. – text. – [slovenčina]. – [OV 030]. – [článok]. – DOI 10.2478/SE-2019-0020. – WOS CC In: Slovenský národopis [textový dokument (print)] [elektronický dokument] : časopis Ústavu etnológie Slovenskej akadémie vied = journal of the Institute of Ethnology of the Slovak Academy of Sciences = Zeitschrift des Ethnologischen Institutes der Slowakischen Akademie der Wissenschaften = revue de l'Institut d'ethnologie de l'Académie slovaque des sciences. – Bratislava (Slovensko) : Slovenská akadémia vied. Pracoviská SAV. Ústav etnológie. – ISSN 1335-1303. – ISSN (online) 1339-9357. – Roč. 67, č. 3 (2019), s. 351-363 [tlačená forma] [online] </t>
  </si>
  <si>
    <t xml:space="preserve">Digital Humanities, literary science and quantitative versology (Lectures and workshop on quantitative versology) / Debnár, Marek [Autor, UKFFFAKAE 06.2022, 100%]. – [slovenčina]. – [OV 020]. – [článok]. – WOS CC In: Slovenská literatúra [textový dokument (print)] [elektronický dokument] : revue pre literárnu vedu : časopis Ústavu slovenskej literatúry Slovenskej akadémie vied. – Bratislava (Slovensko) : Slovenská akadémia vied. Pracoviská SAV. Ústav slovenskej literatúry. – ISSN 0037-6973. – Roč. 66, č. 2 (2019), 163-164 [tlačená forma] [online] . – SJR: 0.112 Scimago - Literature and literary theory - Q2 </t>
  </si>
  <si>
    <t xml:space="preserve">Necrology for professor Michalov / Hetényi, Martin [Autor, UKFFFAUKD, 50%] ; Ivanič, Peter [Autor, UKFFFAUKD, 50%]. – text. – [angličtina]. – [OV 020]. – [článok]. – WOS CC In: Konštantínove listy [textový dokument (print)] [elektronický dokument] . – Nitra (Slovensko) : Univerzita Konštantína Filozofa v Nitre. Filozofická fakulta. Ústav pre výskum kultúrneho dedičstva Konštantína a Metoda. – ISSN 1337-8740. – ISSN (online) 2453-7675. – Roč. 11, č. 1 (2018), 164-165 [tlačená forma] [online] . – SNIP: 0,941 ; SJR: 0,542 ; CiteScore: 1,1 Scimago - History - Q1, Philosophy - Q1, Religious studies - Q1 </t>
  </si>
  <si>
    <t xml:space="preserve">Participatory Observation of the Celebration of Czechoslovakia's Centenary at the All-Sokol Rally ("Let's Get Stronger!") / Beňušková, Zuzana [Autor, UKFFFAKEF, 100%]. – text. – [angličtina]. – [OV 030]. – [článok]. – DOI 10.2478/se-2019-0020. – WOS CC ; SCO In: Slovenský národopis [textový dokument (print)] [elektronický dokument] : časopis Ústavu etnológie Slovenskej akadémie vied = journal of the Institute of Ethnology of the Slovak Academy of Sciences = Zeitschrift des Ethnologischen Institutes der Slowakischen Akademie der Wissenschaften = revue de l'Institut d'ethnologie de l'Académie slovaque des sciences. – Bratislava (Slovensko) : Slovenská akadémia vied. Pracoviská SAV. Ústav etnológie. – ISSN 1335-1303. – ISSN (online) 1339-9357. – Roč. 67, č. 3 (2019), s. 351-363 [tlačená forma] [online] </t>
  </si>
  <si>
    <t xml:space="preserve">The Middle Ages in Europe interactively / Ivanič, Peter [Autor, UKFFFAUKD, 100%]. – text. – [angličtina]. – [OV 020]. – [článok]. – WOS CC In: Konštantínove listy [textový dokument (print)] [elektronický dokument] . – Nitra (Slovensko) : Univerzita Konštantína Filozofa v Nitre. Filozofická fakulta. Ústav pre výskum kultúrneho dedičstva Konštantína a Metoda. – ISSN 1337-8740. – ISSN (online) 2453-7675. – Roč. 11, č. 2 (2018), 211-211 [tlačená forma] [online] . – SNIP: 0,941 ; SJR: 0,542 ; CiteScore: 1,1 Scimago - History - Q1, Philosophy - Q1, Religious studies - Q1 </t>
  </si>
  <si>
    <t xml:space="preserve">Za Zuzanou Profantovou (25. 2. 1953 - 1. 7. 2018) / Beňušková, Zuzana [Autor, UKFFFAKEF, 100%]. – text. – [slovenčina]. – [OV 030]. – [článok]. – SCO In: Národopisná revue [textový dokument (print)] [elektronický dokument] . – Strážnice (Česko) : Národní ústav lidové kultury. – ISSN 0862-8351. – ISSN (online) 2570-9437. – Roč. 28, č. 3 (2018), 242-243 [tlačená forma] [online] . – SNIP: 0,251 ; SJR: 0,15 ; CiteScore: 0,2 Scimago - Anthropology - Q3, Cultural studies - Q2 </t>
  </si>
  <si>
    <t>BEE - Odborné práce v zahraničných zborníkoch (konferenčných aj nekonferenčných)</t>
  </si>
  <si>
    <t xml:space="preserve">A case study on professionalisation: Pespective of a teacher / Grofčíková, Soňa [Autor, UKFPFAKPE, 50%] ; Klimentová, Anna [Autor, UKFPFAKPE, 50%] ; EECERA 2019 [20.08.2019-23.08.2019, Thessaloniki, Grécko]. – text. – [angličtina]. – [OV 010]. – [príspevok z podujatia] In: EECERA 2019 [textový dokument (print)] : Early years: making it count. Book of Abstracts Proceedings from 29th Annual Conference, Thessaloniki, 20th-23th August 2019 / [bez zostavovateľa] [Zostavovateľ, editor]. – 1. vyd. – Thessaloniki (Grécko) : KEOEA, 2019, s. 106-106 [tlačená forma] </t>
  </si>
  <si>
    <t xml:space="preserve">A Nyitra-vidéki magyar nyelvjárásokról / Sándorová, Anna [Autor, UKFFSSUML, 100%]. – text. – [maďarčina]. – [OV 020]. – [príspevok] In: Zoboralja Kollégium [textový dokument (print)] / Horváth, Zoltán [Zostavovateľ, editor] ; Tóth, Klára [Zostavovateľ, editor]. – 1. vyd. – Lakitelek (Maďarsko) : Lakitelek, 2019. – ISBN 978-615-5862-44-1, s. 274-282 </t>
  </si>
  <si>
    <t xml:space="preserve">Akademične vykladanna dyscyplin istoryko-lingvistyčnoho cyklu u vyščij školi / Kumeda, Olena [Autor, UKFFFAKRU, 100%] ; Akademična kuľtura doslidnyka v osvitnomu prostori [17.10.2018, Sumy, Ukrajina]. – [ukrajinčina]. – [OV 020]. – [príspevok z podujatia] In: Akademična kul’tura doslidnyka v osvitnomu prostori [textový dokument (print)] : zbirnyk materialiv mižnarodnoji naukovo-praktyčnoji konferencji (Sumy, 17 travna 2018 roku) / Semenoh, Oleg M. [Zostavovateľ, editor]. – 1. vyd. – Sumy (Ukrajina) : SumDPU, 2018, s. 100-105 [tlačená forma] </t>
  </si>
  <si>
    <t xml:space="preserve">Cestná sieť a výber cestného mýta v oblasti Ponitria v stredoveku v kontexte písomných prameňov = Road network and road-toll collection in the Nitra region in the Middle Ages in the context of written sources / Ivanič, Peter [Autor, UKFFFAUKD, 45%] ; Labanc, Peter [Autor, TUTFFHIS, 45%] ; Hetényi, Martin [Autor, UKFFFAUKD, 10%]. – text. – [slovenčina]. – [OV 030]. – [príspevok]. – TUT ID E082160 In: Výzkum historických cest v interdisciplinárním kontextu 2019 [textový dokument (print)] / Martínek, Jan [Zostavovateľ, editor]. – 1. vyd. – Brno (Česko) : Centrum dopravního výzkumu, 2020. – ISBN 978-80-88074-72-4, s. 71-80 </t>
  </si>
  <si>
    <t xml:space="preserve">Hic sunt leones? Die Marchregion während des frühen Mittelalters / Eichert, Stefan [Autor, 25%] ; Brundke, Nina [Autor, 15%] ; Hajnalová, Mária [Autor, UKFFFAKAR, 15%] ; Tamaškovič, Jakub [Autor, UKFFFAKAR, 15%] ; Beljak Pažinová, Noémi [Autor, UKFFFAKAR, 15%] ; Repka, Dominik [Autor, UKFFFAKAR, 15%]. – text. – [nemčina]. – [OV 030]. – [príspevok] In: Archäologie Österreichs [textový dokument (print)] / David, Wolfgang [Zostavovateľ, editor]. – 1. vyd. – Roč. 21, č. 29-30. – Wiedeň (Rakúsko) : Österreichische Gesellschaft für Ur- und Frühgeschichte, 2021, s. 52-57 [tlačená forma] </t>
  </si>
  <si>
    <t xml:space="preserve">Historický hajduch / Krausová, Agáta [Autor, UKFFFAKEF, 100%]. – [slovenčina]. – [OV 030]. – [príspevok] In: Mužský sólový taneční projev  v Karpatech [textový dokument (print)] : seminář 7. červenec 2017, Rožnov pod Radhoštěm / Navrátilová, Lucie [Zostavovateľ, editor]. – 1. vyd. – Rožnov pod Radhoštěm (Česko) : Valašské muzeum v přírodě, 2018. – ISBN 978-80-87210-64-2, s. 15-32 [tlačená forma] </t>
  </si>
  <si>
    <t xml:space="preserve">Hlinkova slovenská ľudová strana : vláda jednej strany / Arpáš, Róbert [Autor, UKFFFAKHI, 100%]. – [slovenčina]. – [OV 030]. – [príspevok] In: Slovenský štát 1939-1945 [textový dokument (print)] : Vojna, spoločnosť, život / Vítko, Martin [Zostavovateľ, editor]. – 1. vyd. – Brno (Česko) : Extra Publishing, 2019. – ISBN 978-80-7525-225-8, s. 36-37 [tlačená forma] </t>
  </si>
  <si>
    <t xml:space="preserve">Improvisationstheater im Fremdsprachenunterricht / Vergeiner, Elisabeth [Autor, UKFFFAKGE, 100%]. – text. – [nemčina]. – [OV 010]. – [príspevok] In: Razvitie sociaľno-ustojčivoj innovacionnoj sredy nepreryvnogo pedagogičeskogo obrazovanija [textový dokument (print)] / [bez zostavovateľa] [Zostavovateľ, editor]. – 1. vyd. – Abakan (Ruská federácia) : Izdateľstvo, 2020. – ISBN 978-5-7810-2035-5, s. 172-174 </t>
  </si>
  <si>
    <t xml:space="preserve">Iskolai arcélek / Benyovszky, Kristian [Autor, UKFFSSUML, 100%]. – text. – [maďarčina]. – [OV 020]. – [príspevok] In: A mindenség ernyőjére kivetítve [textový dokument (print)] / [bez zostavovateľa] [Zostavovateľ, editor]. – 1. vyd. – Budapešť (Maďarsko) : Kortárs Kiadó, 2021. – ISBN 9789634350828, s. 193-211 [tlačená forma] </t>
  </si>
  <si>
    <t xml:space="preserve">Ki vezet bennünket-az anyag / Szalai, Daniel [Autor, UKFPFAKVV, 100%] ; Muveszeti nevelés, muvészetre nevelés a felsooktatásban [04.11.2018, Szeged, Maďarsko]. – text. – [maďarčina]. – [OV 010, 020]. – [príspevok z podujatia] In: Muveszeti nevelés, muvészetre nevelés a felsooktatásban [textový dokument (print)] : konferenciakötét SZTE JGYPK rajz-muveszettörténet tanszék , Szeged, 2018 november 4 / Marosi, Katalin [Zostavovateľ, editor]. – 1. vyd. – Szeged (Maďarsko) : Szegedi Tudományegyetem, 2019. – ISBN 978-963-306-700-0, s. 83-94 </t>
  </si>
  <si>
    <t xml:space="preserve">Komunikačný potenciál knihy ako masového média v dobe nových komunikačných technológií / Rožňová, Jitka [Autor, UKFFFAKZU, 100%] ; Kniha jako dobrodružství poznání [05.11.2020, Praha, Česko]. – text. – [slovenčina]. – [OV 060]. – [príspevok z podujatia]. – PEVŠ ID-313966 In: Kniha jako dobrodružství poznání : Sborník z mezinárodní literární konference / Kubec, Daniel [Zostavovateľ, editor] ; Krištof, Václav [Zostavovateľ, editor]. – 1. vyd. – Praha (Česko) : Vysoká škola kreativní komunikace, 2021. – ISBN 978-80-908049-1-3, s. 78-95 [tlačená forma] </t>
  </si>
  <si>
    <t xml:space="preserve">Komunitné centrum - sociálna služba alebo priestor pre sebarealizáciu členov komunity? / Rusnáková, Jurina [Autor, UKFFSVURS, 100%]. – [slovenčina]. – [OV 060]. – [príspevok] In: Dobrá praxe sociální práce na obci [textový dokument (print)] / [bez zostavovateľa] [Zostavovateľ, editor]. – 1. vyd. – Olomouc (Česko) : CARITAS - Vyšší odborná škola sociální, 2018. – ISBN 978-80-87623-13-8, s. 141-153 [tlačená forma] </t>
  </si>
  <si>
    <t xml:space="preserve">Kráska a zviera : literárne premeny starobylej romance / Danišová, Nikola [Autor, UKFFFAULK, 100%]. – text. – [slovenčina]. – [OV 020]. – [príspevok] In: Kráska a zvíře : divadelní sezona 2021-2022. Premiéry: 2. a 3. prosince 2021 v Národním divadle / Hrubín, František [Zostavovateľ, editor]. – 1. vyd. – Praha (Česko) : Národní divadlo Praha, 2021. – ISBN 978-80-7258-788-9, s. 39-45 [tlačená forma] </t>
  </si>
  <si>
    <t xml:space="preserve">Manipuláció és szerepjátszás Edgar Allan Poe Te vagy az! című bűnügyi történetében / Benyovszky, Kristian [Autor, UKFFSSUML, 100%] ; Hogyan olvasunk krimit? [23.11.2017-24.11.2017, Budapest, Maďarsko]. – text. – [maďarčina]. – [OV 020]. – [príspevok z podujatia] In: Hogyan olvasunk krimit? [textový dokument (print)] : új perspektívák a detektívtörténetet kutatásában, Budapest, 23. - 24. november 2017 / [bez zostavovateľa] [Zostavovateľ, editor]. – Budapest (Maďarsko) : Ráció Kiadó, 2019, s. 220-242 </t>
  </si>
  <si>
    <t xml:space="preserve">Osoblyvosti vikorystaňňa dialohu-rozpytuvaňňa na zaňaťach z ukrajinskoji movy jak inozemnoji / Rudakova, Tetyana [Autor, UKFFFAKRU, 100%] ; Movna osvita v sučasnich ZVO: tendenciji, vikliki, perspektivi, 2 [20.05.2021-21.05.2021, Bila Cerkva, Ukrajina]. – text. – [ruština]. – [OV 020]. – [príspevok z podujatia] In: Movna osvita v sučasnich ZVO: tendenciji, vikliki, perspektivi [elektronický dokument] : zbirnik dopovidej 2. mižnarodnoj naukovo-praktičnej konferenciji, Bila Cerkva 20-21 tvarnija 2021 roku / Mikolaivna Rudakova, Tetjana [Zostavovateľ, editor] ; Matušek, Olena [Recenzent] ; Berežan, Larisa [Recenzent]. – 1. vyd. – Bila Cerkva (Ukrajina) : Bilocerkivskij Nacionaľnij agrarnij universitet, 2021, s. 67-69 [online] </t>
  </si>
  <si>
    <t xml:space="preserve">Podpora školní zralosti z pohledu terapie / Hegarová, Eva [Autor, UKFPFAKPE, 100%]. – text. – [čeština]. – [OV 010]. – [príspevok] In: Umělecké terapie [elektronický dokument] / [bez zostavovateľa] [Zostavovateľ, editor]. – 1. vyd. – č. 6. – Brno (Česko) : Mezinárodní asociace uměleckých terapií, 2021. – ISSN (online) 2533-3399, s. 8-16 [online] </t>
  </si>
  <si>
    <t xml:space="preserve">Poklad, ktorý každý chcel strážiť / Molnárová, Mária [Autor, UKFFFAKHI, 100%]. – text. – [slovenčina]. – [OV 030]. – [príspevok] In: Obscura [textový dokument (print)] : naše historie / Černý, Jan K. [Zostavovateľ, editor]. – 1. vyd. – Roč. 5, č. 6. – Praha (Česko) : Spolek studentů historie FF UK, 2019. – ISSN 2571-1687, s. 39-45 </t>
  </si>
  <si>
    <t xml:space="preserve">Profil žiaka vo vzťahu k učiteľovi / Dudová, Katarína [Autor, UKFFFASJL, 100%]. – text. – [slovenčina]. – [OV 020]. – [príspevok] In: Paidia i Literatura [textový dokument (print)] / [bez zostavovateľa] [Zostavovateľ, editor]. – 1. vyd. – Katowice (Poľsko) : Uniwersytet Ślaski w Katowicach, 2019, s. 117-127 </t>
  </si>
  <si>
    <t xml:space="preserve">Revitalizácia tradícií v kontexte rozvíjania ženskej spirituality / Jakubovská, Kristína [Autor, UKFFFAKKU, 100%] ; Duchovnisť. Kuľtura. Hlobalizacija [28.10.2019, Ľvov, Ukrajina]. – text. – [ukrajinčina]. – [OV 060]. – [príspevok z podujatia] In: Duchovnisť. Kuľtura. Hlobalizacija [textový dokument (print)] : Materialy Mižnarodnoji naukovoji konferenciji, Ľvov 28. októbra 2019 / [bez zostavovateľa] [Zostavovateľ, editor]. – 1. vyd. – Lviv (Ukrajina) : Univerzity Ivana Franka, 2019, s. 97-108 </t>
  </si>
  <si>
    <t xml:space="preserve">Scientific cooperation of the higher educational institutions of  Russia and Slovakia / Chumarov, Sergey [Autor, 50%] ; Ďuriš, Viliam [Autor, UKFFPVKMA, 50%] ; 12 [29.10.2020, Cheboksary, Ruská federácia]. – text. – [angličtina]. – [OV 010, 240]. – [príspevok z podujatia] In: Higher education in the context of globalization - trends and development prospects [textový dokument (print)] : proceedings 12. international academic online conference, Cheboksary, October 29, 2020 / Nikolaev, E. L. [Zostavovateľ, editor]. – 1. vyd. – Cheboksary (Ruská federácia) : Chuvash State University, 2020. – ISBN 978-5-7677-3160-2, s. 80-83 </t>
  </si>
  <si>
    <t xml:space="preserve">Some important differences in intercultural communication / Welnitzová, Katarína [Autor, UKFFFAKTR, 100%] ; The role of language and literature in intercultural communication context [23.04.2021-24.04.2021, Qarshi, Uzbekistan]. – [angličtina]. – [OV 020]. – [príspevok z podujatia] In: "Madaniyaltararo kommunikatsiya matnida til va adabiyotning roli" [textový dokument (print)] / Rahmatov, J. [Zostavovateľ, editor] ; Qarshibayeva, U.D. [Recenzent] ; Jo'rayeva, M.M. [Recenzent]. – Qarshi (Uzbekistan) : Qarshi University, 2021, s. 278-282 [tlačená forma] </t>
  </si>
  <si>
    <t xml:space="preserve">Tematika humánnosti na Medzinárodnom festivale Divadelná Nitra 2017 / Ballay, Miroslav [Autor, UKFFFAKKU, 100%] ; Duchovnisť. Kuľtura. Hlobalizacija [28.10.2019, Ľvov, Ukrajina]. – text. – [ukrajinčina]. – [OV 060]. – [príspevok z podujatia] In: Duchovnisť. Kuľtura. Hlobalizacija [textový dokument (print)] : Materialy Mižnarodnoji naukovoji konferenciji, Ľvov 28. októbra 2019 / [bez zostavovateľa] [Zostavovateľ, editor]. – 1. vyd. – Lviv (Ukrajina) : Univerzity Ivana Franka, 2019, s. 206-210 </t>
  </si>
  <si>
    <t xml:space="preserve">Tvorčeskij podchod v obučeniji pismennoj reči slovackich studentov, izučajuščich russkij jazyk / Kalechyts, Alena [Autor, UKFFFAKRU, 100%] ; Movna osvita v sučasnich ZVO: tendenciji, vikliki, perspektivi, 2 [20.05.2021-21.05.2021, Bila Cerkva, Ukrajina]. – text. – [ruština]. – [OV 010]. – [príspevok z podujatia] In: Movna osvita v sučasnich ZVO: tendenciji, vikliki, perspektivi [elektronický dokument] : zbirnik dopovidej 2. mižnarodnoj naukovo-praktičnej konferenciji, Bila Cerkva 20-21 tvarnija 2021 roku / Mikolaivna Rudakova, Tetjana [Zostavovateľ, editor] ; Matušek, Olena [Recenzent] ; Berežan, Larisa [Recenzent]. – 1. vyd. – Bila Cerkva (Ukrajina) : Bilocerkivskij Nacionaľnij agrarnij universitet, 2021, s. 44-46 [online] </t>
  </si>
  <si>
    <t xml:space="preserve">Vokabel-Vlog: Best Practice aus dem Unterricht / Vergeiner, Elisabeth [Autor, UKFFFAKGE, 100%]. – text. – [nemčina]. – [OV 010]. – [príspevok]. – [recenzované] In: Fachlich - Digital - Regional: Perspektiven auf das Sprachenlehren und - lernen [textový dokument (print)] / [bez zostavovateľa] [Zostavovateľ, editor]. – 1. vyd. – Bwerlín (Nemecko) : Frank &amp; Timme, 2021. – ISBN 978-3-7329-0748-9, s. 287-292 </t>
  </si>
  <si>
    <t xml:space="preserve">Z dosvidu vykladanna ukrajinskoji movy jak druhoji inozemnoji v slovackomu universyteti / Kumeda, Olena [Autor, UKFFFAKRU, 100%] ; Mižnarodnoj naukovoj-praktyčnoj konferencji, 5 [25.05.2018-27.05.2018, Sumy, Ukrajina]. – [ukrajinčina]. – [OV 020]. – [príspevok z podujatia] In: Mova, istorija, kul’tura u lingvokomunikatyvnomu prostori [textový dokument (print)] : zbirnyk naukovych prac V Mižnarodnoji naukovo-praktyčnoji konferencji (Sumy, 25 – 27 kvitna 2018 roku) / Bidenko, L.V. [Zostavovateľ, editor]. – 1. vyd. – Sumy (Ukrajina) : SumDPU, 2018, s. 166-177 [tlačená forma] </t>
  </si>
  <si>
    <t>BEF - Odborné práce v domácich zborníkoch (konferenčných aj nekonferenčných)</t>
  </si>
  <si>
    <t xml:space="preserve">4 a pol stratny textu ticha Johnovi Cageovi / Fuják, Július [Autor, UKFFFAKKU, 100%]. – text. – [slovenčina]. – [OV 020]. – [príspevok] In: Variácie 1 [textový dokument (print)] / [bez zostavovateľa] [Zostavovateľ, editor]. – 1. vyd. – Prešov (Slovensko) : Vortext, 2019. – ISBN 978-80-973277-1-2, s. 59-70 [tlačená forma] </t>
  </si>
  <si>
    <t xml:space="preserve">Arcibiskupi a biskupi v strednom Uhorsku / Glejtek, Miroslav [Autor, UKFFFAKHI, 100%]. – text. – [slovenčina]. – [OV 030]. – [príspevok] In: Arcibiskupi a biskupi Uhorska [textový dokument (print)] : moc prelátov a jej prejavy v stredoveku / Glejtek, Miroslav [Zostavovateľ, editor] ; Maliniak, Pavol [Recenzent] ; Šedivý, Juraj [Recenzent]. – 1. vyd. – Bratislava (Slovensko) : Post Scriptum, 2020. – ISBN 978-80-8218-016-2, s. 11-21 [tlačená forma] </t>
  </si>
  <si>
    <t xml:space="preserve">Asociácia medzi používaním kozmetických výrobkov a koncentráciou ftalátov v moči probandov / Hlisníková, Henrieta [Autor, UKFFPVKZA, 25%] ; Šidlovská, Miroslava [Autor, UKFFPVKZA, 25%] ; Kolena, Branislav [Autor, UKFFPVKZA, 25%] ; Petrovičová, Ida [Autor, UKFFPVKZA, 25%] ; Mladí vedci - bezpečnosť potravinového reťazca, 11 [21.11.2018-22.11.2018, Nitra, Slovensko]. – text. – [slovenčina]. – [OV 130]. – [príspevok z podujatia] In: Mladí vedci - bezpečnosť potravinového reťazca [textový dokument (print)] : zborník príspevkov z XI. vedeckej konferencie, Nitra, 21.-22. november 2018 / [bez zostavovateľa] [Zostavovateľ, editor]. – 1. vyd. – Bratislava (Slovensko) : Ministerstvo pôdohospodárstva a rozvoja vidieka Slovenskej republiky, 2018. – ISBN 978-80-89738-18-2, s. 145-152 [tlačená forma] </t>
  </si>
  <si>
    <t xml:space="preserve">Culturologos kontinuálne prináša cyklus podnetných vedeckých prednášok / Kočiš, Michal [Autor, UKFFFAKKU, 100%]. – [slovenčina]. – [OV 060]. – [príspevok] In: Culturologica Slovaca [elektronický dokument] / Palitefka, Jozef [Zostavovateľ, editor]. – 1. vyd. – Roč. 4. – Nitra (Slovensko) : Univerzita Konštantína Filozofa v Nitre, 2019. – ISSN 2453-9740, s. 210-212 [online] </t>
  </si>
  <si>
    <t xml:space="preserve">Dejiny archeologického bádania v Úľanoch nad Žitavou / Šteiner, Pavol [Autor, UKFFFAKMU, 100%]. – text. – [slovenčina]. – [OV 030]. – [príspevok] In: Úľany nad Žitavou [textový dokument (print)] / Maduch, Marián [Zostavovateľ, editor]. – 1. vyd. – Úľany nad Žitavou (Slovensko) : Obecný úrad Úľany nad Žitavou, 2018. – ISBN 978-80-570-0340-3, s. 14-19 [tlačená forma] </t>
  </si>
  <si>
    <t xml:space="preserve">Diplom 2021 / Récka, Adriana [Autor, UKFPFAKVV, 100%]. – [slovenčina]. – [OV 010]. – [príspevok] In: DIPLOM 2021. Absolventi Katedry Výtvarnej tvorby a výchovy  PF UKF v Nitre v akademickom roku 2020/2021 [textový dokument (print)] : zborník vydaný pri príležitosti 23. ročníka prezentácie tvorby absolventov katedry DIPLOM 2021, z dôvodu opatrení v súvislosti s pandémiou COVID-19 realizovanej online / Récka, Adriana [Zostavovateľ, editor]. – 1. vyd. – Nitra (Slovensko) : Univerzita Konštantína Filozofa v Nitre, 2021. – ISBN 978-80-558-1804-7, s. 7-8 [tlačená forma] </t>
  </si>
  <si>
    <t xml:space="preserve">Diskusia k problematike vzdelávania novinárov / Cillingová, Veronika [Autor, UKFFFAKZU, 50%] ; Račeková, Ľubica [Autor, UKFFFAKZU, 50%] ; Vzdelávanie novinárov [24.10.2019, Nitra, Slovensko]. – text. – [slovenčina]. – [OV 060]. – [príspevok z podujatia] In: Vzdelávanie novinárov [textový dokument (print)] : otázky, problémy a výzvy. Zborník z odborného seminára, Nitra 24.10. 2019 / Cillingová, Veronika [Zostavovateľ, editor] ; Hudíková, Zora [Zostavovateľ, editor] ; Dobrotková, Miroslava [Recenzent] ; Moravčíková, Erika [Recenzent]. – 1. vyd. – Nitra (Slovensko) : Univerzita Konštantína Filozofa v Nitre, 2020. – ISBN 978-80-558-1571-8, s. 128-137 [tlačená forma] </t>
  </si>
  <si>
    <t xml:space="preserve">Doc. Ing. Ivan Herčko CSc. - významná osobnosť slovenskej muzeológie / Hegyi, Elena [Autor, UKFFFAKHI, 100%]. – text. – [slovenčina]. – [OV 030]. – [príspevok] In: Zborník Múzea vo Svätom Antone (24) [textový dokument (print)] [elektronický dokument] / Číž, Marián [Recenzent] ; Ďurianová, Mária [Recenzent]. – 1 vyd. – Roč. 24. – Svätý Anton (Slovensko) : Múzeum vo Svätom Antone, 2020. – ISBN 978-80-973113-2-2, s. 168-180 [tlačená forma] [online] </t>
  </si>
  <si>
    <t xml:space="preserve">Etické  aspekty  v praxi inštitúcií  vzdelávania dospelých / Flikingerová, Lenka [Autor, UKFPFAKPE, 100%]. – text. – [slovenčina]. – [OV 010]. – [príspevok] In: Edukácia [elektronický dokument] / [bez zostavovateľa] [Zostavovateľ, editor]. – 1. vyd. – Roč. 4, č. 1. – Košice (Slovensko) : Univerzita Pavla Jozefa Šafárika v Košiciach, 2021. – ISSN (online) 1339-8725, s. 40-47 [online] </t>
  </si>
  <si>
    <t xml:space="preserve">Eugen Kalix (1898 - 1950), zabudnutá osobnosť klavírneho umenia / Kručayová, Alena [Autor, UKFPFAKHU, 100%] ; Malé osobnosti veľkých dejín - veľké osobnosti malých dejín, 5 [28.11.2018-29.11.2018, Bratislava, Slovensko]. – text. – [slovenčina]. – [OV 010]. – [príspevok z podujatia] In: Malé osobnosti veľkých dejín - veľké osobnosti malých dejín [textový dokument (print)] [elektronický dokument] : príspevky k hudobnej regionalistike / Bugalová, Edita [Zostavovateľ, editor]. – 1. vyd. – Roč. 5. – Bratislava (Slovensko) : Slovenská muzikologická asociácia pri Slovenskej hudobnej únii, 2019. – ISBN 978-80-8060-467-7. – ISBN 978-80-8060-466-0, s. 227-242 [tlačená forma] [Blu-ray] </t>
  </si>
  <si>
    <t xml:space="preserve">Existenciálna semiotika Eera Tarastiho (nielen) v kontexte jeho pobytu v Nitre / Fuják, Július [Autor, UKFFFAKKU, 100%]. – text. – [slovenčina]. – [OV 020]. – [príspevok] In: Culturologica Slovaca [elektronický dokument] / Palitefka, Jozef [Zostavovateľ, editor]. – 1. vyd. – Roč. 4. – Nitra (Slovensko) : Univerzita Konštantína Filozofa v Nitre, 2019. – ISSN 2453-9740, s. 79-87 [online] </t>
  </si>
  <si>
    <t xml:space="preserve">Fortifikácie na sútoku Hrona a Slatiny / Beljak Pažinová, Noémi [Autor, UKFFFAKAR, 80%] ; Beljak, Ján [Autor, 20%] ; Turčan, Vladimír [Recenzent] ; Mácelová, Marta [Recenzent]. – text. – [slovenčina]. – [OV 030]. – [príspevok] In: Hradiská - svedkovia dávnych čias (2) [textový dokument (print)] : zborník odborných príspevkov o hradiskách a ich obyvateľoch / Jenčík, Peter [Zostavovateľ, editor] ; Staneková, Zuzana [Zostavovateľ, editor]. – 1. vyd. – Dolná Mariková (Slovensko) : Občianske združenie Hradiská, 2019. – ISBN 978-80-973032-2-8, s. 7-26 [tlačená forma] </t>
  </si>
  <si>
    <t xml:space="preserve">Geometrické myslenie žiakov končiacich nižšie stredné vzdelávanie / Bočková, Veronika [Autor, UKFFPVKMA, 50%] ; Pavlovičová, Gabriela [Autor, UKFFPVKMA, 50%] ; Dva dni s didaktikou matematiky 2021, 6 [09.09.2021-10.09.2021, Bratislava, Slovensko]. – text. – [slovenčina]. – [OV 010]. – [príspevok z podujatia] In: Dva dni s didaktikou matematiky 2021 [elektronický dokument] : zborník príspevkov / Slavíčková, Mária [Zostavovateľ, editor]. – 1. vyd. – Bratislava (Slovensko) : Univerzita Komenského v Bratislave. Fakulta matematiky, fyziky a informatiky UK, 2021. – ISBN 978-80-8147-108-7. – SIGN-UKO MF21-0513, s. 12-15 [online] </t>
  </si>
  <si>
    <t xml:space="preserve">Heda Melicherová / Krausová, Agáta [Autor, UKFFFAKEF, 100%]. – text. – [slovenčina]. – [OV 030]. – [príspevok] In: Profily tanečných umelcov [textový dokument (print)] : zborník príspevkov osobností tanečného umenia, ktorým sme venovali pozornosť v rokoch 2017-2019 / Liszkayová, Ivica [Zostavovateľ, editor] ; Vadilová, Mária [Zostavovateľ, editor]. – 1. vyd. – Bratislava (Slovensko) : Vysoká škola múzických umení v Bratislave, 2019. – ISBN 978-80-8195-066-7, s. 59-68 </t>
  </si>
  <si>
    <t xml:space="preserve">Charakter a vývoj nezávislej kultúry a umenia na Slovensku po roku 1989 /zaostrené na nezávislú literatúru po roku 1989/ / Kočiš, Michal [Autor, UKFFFAKKU, 100%]. – [slovenčina]. – [OV 060]. – [príspevok] In: Culturologica Slovaca [elektronický dokument] / Palitefka, Jozef [Zostavovateľ, editor]. – 1. vyd. – Roč. 4. – Nitra (Slovensko) : Univerzita Konštantína Filozofa v Nitre, 2019. – ISSN 2453-9740, s. 208-210 [online] </t>
  </si>
  <si>
    <t xml:space="preserve">Inakosť v hotelierskom svete / Štosel, Marek [Autor, UKFFFAKMR, 100%]. – text. – [slovenčina]. – [OV 020]. – [príspevok] In: Top hoteliérstvo/hotelnictví 2020 (jar, leto) [textový dokument (print)] / [bez zostavovateľa] [Zostavovateľ, editor]. – 1. vyd. – Žilina (Slovensko) : Media/ST, 2020. – ISBN 978-80-8953-249-0, s. 94-99 </t>
  </si>
  <si>
    <t xml:space="preserve">Kulinárne tradície dolnozemských Slovákov - vybrané aspekty / Kontriková Šusteková, Ivana [Autor, UKFFFAKEF, 100%] ; Etnológ a múzeum, 22 [18.09.2018-20.09.2018, Stará Ľubovňa, Slovensko]. – text. – [slovenčina]. – [OV 030]. – [príspevok z podujatia] In: Tradičná strava a stravovanie [textový dokument (print)] : zborník z XXII. konferencie Etnológ a múzeum / Stoličná, Rastislava [Zostavovateľ, editor] ; Kłodnicki, Zygmunt [Recenzent]. – [Bratislava] (Slovensko) : Zväz múzeí na Slovensku ; Stará Ľubovňa (Slovensko) : Ľubovnianske múzeum - hrad v Starej Ľubovni, 2018. – ISBN 978-80-971748-6-6, s. 50-65 [tlačená forma] </t>
  </si>
  <si>
    <t xml:space="preserve">Lesná pedagogika / Chlpošová, Dana [Autor, UKFFPVKEE, 100%]. – text. – [slovenčina]. – [OV 010]. – [príspevok] In: Učenie o lese / Chlpošová, Dana [Zostavovateľ, editor]. – 1. vyd. – Zvolen (Slovensko) : Národné lesnícke centrum, 2019. – ISBN 978-80-8093-278-7, s. 11-16 [tlačená forma] </t>
  </si>
  <si>
    <t xml:space="preserve">Lesný ekosystém / Chlpošová, Dana [Autor, UKFFPVKEE, 100%]. – text. – [slovenčina]. – [OV 010]. – [príspevok] In: Učenie o lese / Chlpošová, Dana [Zostavovateľ, editor]. – 1. vyd. – Zvolen (Slovensko) : Národné lesnícke centrum, 2019. – ISBN 978-80-8093-278-7, s. 5-7 [tlačená forma] </t>
  </si>
  <si>
    <t xml:space="preserve">Lyrická autobiografia Teofila Klasa / Gallik, Ján [Autor, UKFFSSUSJ, 100%]. – text. – [slovenčina]. – [OV 020]. – [príspevok] In: Pútnikova kapsa [textový dokument (print)] / Klas, Teofil [Autor]. – 1. vyd. – Bratislava (Slovensko) : Post Scriptum, 2020. – ISBN 978-80-8218-018-6, s. 536-539 [tlačená forma] </t>
  </si>
  <si>
    <t xml:space="preserve">Matematické prechádzky / Haringová, Silvia [Autor, UKFFPVKIN, 50%] ; Bočková, Veronika [Autor, UKFFPVKMA, 50%] ; Dva dni s didaktikou matematiky 2021, 6 [09.09.2021-10.09.2021, Bratislava, Slovensko]. – text. – [slovenčina]. – [OV 010]. – [príspevok z podujatia] In: Dva dni s didaktikou matematiky 2021 [elektronický dokument] : zborník príspevkov / Slavíčková, Mária [Zostavovateľ, editor]. – 1. vyd. – Bratislava (Slovensko) : Univerzita Komenského v Bratislave. Fakulta matematiky, fyziky a informatiky UK, 2021. – ISBN 978-80-8147-108-7. – SIGN-UKO MF21-0513, s. 34-39 [online] </t>
  </si>
  <si>
    <t xml:space="preserve">Metagenomic analysis of Amaranthus cruentus, L. Pribina / Kyseľ, Matúš [Autor, SPUFAP04, 25%] ; Žiarovská, Jana [Autor, SPUFAP04, 25%] ; Medo, Juraj [Autor, SPUFBP06, 25%] ; Medová, Janka [Autor, UKFFPVKMA, 25%] ; Aplikované prírodné vedy 2018 [11.04.2018, Trnava, Slovensko]. – [slovenčina]. – [OV 190]. – [príspevok z podujatia]. – [recenzované] In: Aplikované prírodné vedy 2018 [textový dokument (print)] [elektronický dokument] : zborník prác z celoslovenskej študentskej vedeckej konferencie študentov 1., 2. a 3. stupňa vysokoškolského štúdia, konanej v Trnave 11. apríla 2018 / Horník, Miroslav [Zostavovateľ, editor]. – 1. vyd. – Trnava (Slovensko) : Univerzita sv. Cyrila a Metoda v Trnave, 2018. – ISBN 978-80-8105-925-4, s. 171-175 [tlačená forma] [CD-ROM] </t>
  </si>
  <si>
    <t xml:space="preserve">Metódy riešenia a hodnotenia otvorených matematických problémov / Bulková, Kristína [Autor, UKFFPVKMA, 50%] ; Čeretková, Soňa [Autor, UKFFPVKMA, 50%] ; Dva dni s didaktikou matematiky 2018, 3 [06.09.2018-07.09.2018, Bratislava, Slovensko]. – text. – [slovenčina]. – [OV 240]. – [príspevok z podujatia] In: Dva dni s didaktikou matematiky 2018 [elektronický dokument] : Zborník príspevkov / Slavíčková, Mária [Zostavovateľ, editor]. – 1. vyd. – Bratislava (Slovensko) : Univerzita Komenského v Bratislave. Fakulta matematiky, fyziky a informatiky UK, 2018. – ISBN 978-80-8147-087-5. – SIGN-UKO MF18-0483, s. 13-20 [online] </t>
  </si>
  <si>
    <t xml:space="preserve">Migrácia usídlená v médiách / Račeková, Ľubica [Autor, UKFFFAKZU, 100%] ; Vzdelávanie novinárov [24.10.2019, Nitra, Slovensko]. – text. – [slovenčina]. – [OV 060]. – [príspevok z podujatia] In: Vzdelávanie novinárov [textový dokument (print)] : otázky, problémy a výzvy. Zborník z odborného seminára, Nitra 24.10. 2019 / Cillingová, Veronika [Zostavovateľ, editor] ; Hudíková, Zora [Zostavovateľ, editor] ; Dobrotková, Miroslava [Recenzent] ; Moravčíková, Erika [Recenzent]. – 1. vyd. – Nitra (Slovensko) : Univerzita Konštantína Filozofa v Nitre, 2020. – ISBN 978-80-558-1571-8, s. 13-22 [tlačená forma] </t>
  </si>
  <si>
    <t xml:space="preserve">Nestor ľudového tanca - Štefan Tóth / Krausová, Agáta [Autor, UKFFFAKEF, 100%]. – text. – [slovenčina]. – [OV 030]. – [príspevok] In: Profily tanečných umelcov [textový dokument (print)] : zborník príspevkov osobností tanečného umenia, ktorým sme venovali pozornosť v rokoch 2017-2019 / Liszkayová, Ivica [Zostavovateľ, editor] ; Vadilová, Mária [Zostavovateľ, editor]. – 1. vyd. – Bratislava (Slovensko) : Vysoká škola múzických umení v Bratislave, 2019. – ISBN 978-80-8195-066-7, s. 19-31 </t>
  </si>
  <si>
    <t xml:space="preserve">Neznámy hostinec, známa mliekareň / Kramáreková, Hilda [Autor, UKFFPVKGR, 100%]. – text. – [slovenčina]. – [OV 092]. – [príspevok] In: Nitra a Nitrania (1) [textový dokument (print)] / Bárta, Vladimír [Zostavovateľ, editor]. – 1. vyd. – Slovenská Ľupča (Slovensko) : AB ART Press, 2019. – ISBN 978-80-89850-76-1, s. 70-73 [tlačená forma] </t>
  </si>
  <si>
    <t xml:space="preserve">Nitrianska katedra žurnalistiky / Nováčiková, Daša [Autor, UKFFFAKZU, 100%] ; Vzdelávanie novinárov [24.10.2019, Nitra, Slovensko]. – text. – [slovenčina]. – [OV 060]. – [príspevok z podujatia] In: Vzdelávanie novinárov [textový dokument (print)] : otázky, problémy a výzvy. Zborník z odborného seminára, Nitra 24.10. 2019 / Cillingová, Veronika [Zostavovateľ, editor] ; Hudíková, Zora [Zostavovateľ, editor] ; Dobrotková, Miroslava [Recenzent] ; Moravčíková, Erika [Recenzent]. – 1. vyd. – Nitra (Slovensko) : Univerzita Konštantína Filozofa v Nitre, 2020. – ISBN 978-80-558-1571-8, s. 28-37 [tlačená forma] </t>
  </si>
  <si>
    <t xml:space="preserve">No budget - no film? / Mináriková, Jana [Autor, UKFPFAKVV, 100%] ; Minulosť pre budúcnosť, 2 [10.06.2018, Nitra, Slovensko]. – text. – [angličtina]. – [OV 020]. – [príspevok z podujatia] In: Minulosť pre budúcnosť [textový dokument (print)] : zborník k 2. medzinárodnej konferencii pri príležitosti 26. ročníka postupovej súťaže a prehliadky amatérskej filmovej tvorby Cineama 2018 / Smrečková, Zdenka [Zostavovateľ, editor] ; Vitézová, Eva [Recenzent]. – 1. vyd. – Nitra (Slovensko) : Krajské osvetové stredisko v Nitre, 2018. – ISBN 978-80-216-0138-3, s. 41-43 [tlačená forma] </t>
  </si>
  <si>
    <t xml:space="preserve">Nové informácie o stredovekej dedine Baratka získané geofyzikálnym prieskumom / Tirpák, Ján [Autor, UKFFPVGMU, 60%] ; Bešina, Daniel [Autor, UKFFFAKAR, 40%]. – [slovenčina]. – [OV 030]. – [príspevok] In: Acta Musei Tekovensis Levice 11 [textový dokument (print)] : zborník Tekovského Múzea v Leviciach / Smetana, Vladimír [Zostavovateľ, editor]. – 1. vyd. – Levice (Slovensko) : Tekovské múzeum, 2018. – ISBN 978-80-88831-22-8, s. 75-91 </t>
  </si>
  <si>
    <t xml:space="preserve">O budúcej podobe Európy rozhodne migrácia a klimatické zmeny / Sťahel, Richard [Autor, UKFFFAKFI, 100%]. – [slovenčina]. – [OV 020]. – [príspevok] In: Budúcnosť Európy [textový dokument (print)] : cesta k post-kapitalizmu? / Daubner, Peter [Zostavovateľ, editor]. – 1. vyd. – Bratislava (Slovensko) : Občianske združenie POLE, 2018. – ISBN 978-80-570-0356-4, s. 87-98 </t>
  </si>
  <si>
    <t xml:space="preserve">O Modrých Hruškách / Baus, Jozef [Autor, UKFPFAKVV, 100%] ; Revival. Modré hrušky [02.06.2018-02.09.2018, Dolný Kubín, Slovensko]. – [slovenčina]. – [OV 010]. – [príspevok z podujatia] In: Revival. Modré Hrušky [textový dokument (print)] : katalóg k výstave, Oravská galéria, Dolný Kubín, 21. jún - 2. september 2018 / Baus, Jozef [Zostavovateľ, editor]. – 1. vyd. – Dolný Kubín (Slovensko) : Voľné združenie Modré hrušky, 2018. – ISBN 978-80-88918-36-3, s. 1-3 [tlačená forma] </t>
  </si>
  <si>
    <t xml:space="preserve">O potrebe jazykových kurzov slovenčiny pre učiteľov neslovenčinárov / Glovňa, Juraj [Autor, UKFFFASJL, 100%] ; Sto rokov od prvého oficiálneho vyhlásenia slovenského jazyka ako vyučovacieho jazyka na Slovensku [14.02.2018-15.02.2018, Revúca, Slovensko]. – [slovenčina]. – [OV 020]. – [príspevok z podujatia] In: Sto rokov od prvého oficiálneho vyhlásenia slovenského jazyka ako vyučovacieho jazyka na Slovensku [textový dokument (print)] : zborník z odbornej konferencie s medzinárodnou účasťou / Peciarová, Terézia [Zostavovateľ, editor]. – 1. vyd. – Bratislava (Slovensko) : Metodicko-pedagogické centrum, 2018. – ISBN 978-80-565-1435-1, s. 36-41 [tlačená forma] </t>
  </si>
  <si>
    <t xml:space="preserve">O študentke a archeologičke Martine Kušnírovej / Beljak Pažinová, Noémi [Autor, UKFFFAKAR, 100%]. – text. – [slovenčina]. – [OV 060]. – [príspevok] In: Čriepky [textový dokument (print)] : zborník Martine Kušnírovej in memoriam / Jelínek, Pavol [Zostavovateľ, editor] ; Bartík, Juraj [Recenzent] ; Kozubová, Anita [Recenzent]. – 1. vyd. – Bratislava (Slovensko) : [vlastným nákladom], 2020. – ISBN 978-80-570-1700-4, s. 220-223 [tlačená forma] </t>
  </si>
  <si>
    <t xml:space="preserve">Očistou stíšený introvert : k storočnici narodenia Jána Motulka / Zumríková Kekeliaková, Monika [Autor, UKFFFASJL, 100%]. – text. – [slovenčina]. – [OV 020]. – [príspevok] In: Pútnik svätovojtešský. Kalendár na rok 2020 [textový dokument (print)] : 1870-2020, 150 rokov Spolku Svätého Vojtecha / Zumríková Kekeliaková, Monika [Zostavovateľ, editor]. – 1. vyd. – Roč. 148. – Trnava  (Slovensko) : Spolok svätého Vojtecha, 2019. – ISBN 978-80-8161-388-3, s. 88-93 [tlačená forma] </t>
  </si>
  <si>
    <t xml:space="preserve">Originálny prínos k prepojeniu teórie s praxou (na margo odborného semináru o V. Tokarevovej) / Zahorák, Andrej [Autor, UKFFFAKTR, 100%]. – text. – [slovenčina]. – [OV 020]. – [príspevok] In: Ruská poviedkárka Viktória Tokarevová v slovenskej kultúre (translačné reflexie) [textový dokument (print)] / Muránska, Natália [Zostavovateľ, editor] ; Pulčár, Vlastimil [Zostavovateľ, editor] ; Müglová, Daniela [Recenzent] ; Golikova, Larisa [Recenzent]. – 1. vyd. – Nitra (Slovensko) : Univerzita Konštantína Filozofa v Nitre, 2019. – ISBN 978-80-558-1446-9, s. 50-62 [tlačená forma] </t>
  </si>
  <si>
    <t xml:space="preserve">Otvorené matematické problémy;metódy riešenia a ich hodnotenie / Bulková, Kristína [Autor, UKFFPVKMA, 50%] ; Čeretková, Soňa [Autor, UKFFPVKMA, 50%] ; Dva dni s didaktikou matematiky 2018, 3 [06.09.2018-07.09.2018, Bratislava, Slovensko]. – [slovenčina]. – [OV 010]. – [príspevok z podujatia] In: Dva dny s didaktikou matematiky 2018 [textový dokument (print)] : sborník příspěvků / Vondrová, Naďa [Zostavovateľ, editor]. – 1. vyd. – Praha (Česko) : Univerzita Karlova v Praze, 2018. – ISBN 978-80-7603-012-1, s. 78-83 [tlačená forma] </t>
  </si>
  <si>
    <t xml:space="preserve">Pavol Ondrík - básnik uprostred priesečníka Božej horizontály a vertikály / Gallik, Ján [Autor, UKFFSSUSJ, 100%]. – text. – [slovenčina]. – [OV 020]. – [príspevok] In: Básne [textový dokument (print)] / Ondrík, Pavol [Autor]. – 1. vyd. – Liptovský Mikuláš (Slovensko) : G-Ateliér, 2021. – ISBN 978-80-89739-23-3, s. 189-191 [tlačená forma] </t>
  </si>
  <si>
    <t xml:space="preserve">Poďme si čítať Vansovej Dennicu / Zumríková Kekeliaková, Monika [Autor, UKFFFASJL, 100%]. – text. – [slovenčina]. – [OV 020]. – [príspevok] In: Pútnik svätovojtešský 2021 [textový dokument (print)] / Zumríková Kekeliaková, Monika [Zostavovateľ, editor]. – 1. vyd. – Roč. 149. – Trnava (Slovensko) : Spolok svätého Vojtecha, 2020. – ISBN 978-80-8161-425-5, s. 103-108 [tlačená forma] </t>
  </si>
  <si>
    <t xml:space="preserve">Postava Milana Rastislava Štefánika v slovenskej a českej dramatickej tvorbe / Inštitorisová, Dagmar [Autor, UKFFFAKMR, 100%] ; Muž Slnka [24.04.2019-26.04.2019, Piešťany, Slovensko]. – text. – [slovenčina]. – [OV 020]. – [príspevok z podujatia] In: Muž Slnka [textový dokument (print)] : zborník z medzinárodnej konferencie venovaný Milanovi Rastislavovi Štefánikovi, 24. - 26. 4. 2019, Piešťany / Gallová, Mária [Zostavovateľ, editor]. – 1. vyd. – Hurbanovo (Slovensko) : Slovenská ústredná hvezdáreň, 2019. – ISBN 978-80-89998-08-1, s. 75-85 </t>
  </si>
  <si>
    <t xml:space="preserve">Potenciál využití srážkových vod z pozemních komunikací ke zlepšení vodního režimu v krajině / Hejkal, Zdeněk [Autor, 25%] ; Anděl, Petr [Autor, 25%] ; Dostál, Ivo [Autor, UKFFPVKEE, 25%] ; Gorčicová, Ivana [Autor, 25%]. – text. – [slovenčina]. – [OV 100]. – [príspevok] In: Traffic Forum [textový dokument (print)] [elektronický dokument] : odborný časopis výskumného ústavu dopravného / [bez zostavovateľa] [Zostavovateľ, editor]. – 1. vyd. – Roč. 4, č. 1. – Žilina (Slovensko) : Výskumný ústav dopravný, 2020. – ISSN 2454-101X, s. 74-86 [online] </t>
  </si>
  <si>
    <t xml:space="preserve">Predstavenie pomôcok environmentálnej výchovy a ich uplatnenie v edukačnom procese / Chlpošová, Dana [Autor, UKFFPVKEE, 100%]. – text. – [slovenčina]. – [OV 010]. – [príspevok] In: Učenie o lese / Chlpošová, Dana [Zostavovateľ, editor]. – 1. vyd. – Zvolen (Slovensko) : Národné lesnícke centrum, 2019. – ISBN 978-80-8093-278-7, s. 80-80 [tlačená forma] </t>
  </si>
  <si>
    <t xml:space="preserve">Prepojenie prvkov tvorivej dramatiky a lesnej pedagogiky v predprimárnom vzdelávaní / Kollárová, Dana [Autor, UKFPFAKPE, 100%]. – text. – [slovenčina]. – [OV 010]. – [príspevok] In: Učenie o lese / Chlpošová, Dana [Zostavovateľ, editor]. – 1. vyd. – Zvolen (Slovensko) : Národné lesnícke centrum, 2019. – ISBN 978-80-8093-278-7, s. 55-62 [tlačená forma] </t>
  </si>
  <si>
    <t xml:space="preserve">Priamy a nepriamy rozvoj tvorivosti výtvarnou tvorbou / Satková, Janka [Autor, UKFPFAKVV, 100%] ; Inovatívne trendy v odborových didaktikách [21.11.2018, Nitra, Slovensko]. – text. – [slovenčina]. – [OV 010]. – [príspevok z podujatia] In: Inovatívne trendy v odborových didaktikách [textový dokument (print)] : prepojenie teórie a praxe výučbových stratégií kritického a tvorivého myslenia : zborník štúdií z medzinárodnej vedeckej konferencie, Nitra 21. november 2018 / Duchovičová, Jana [Zostavovateľ, editor] ; Hošová, Dominika [Zostavovateľ, editor] ; Koleňáková, Rebeka Štefánia [Zostavovateľ, editor] ; Bílek, Martin [Recenzent] ; Komora, Juraj [Recenzent]. – 1. vyd. – Nitra (Slovensko) : Univerzita Konštantína Filozofa v Nitre, 2019. – ISBN 978-80-558-1408-7, s. 697-700 [tlačená forma] </t>
  </si>
  <si>
    <t xml:space="preserve">Priebeh Nežnej revolúcie v Československu / Kralovič, Tomáš [Autor, UKFFFAKHI, 100%]. – text. – [slovenčina]. – [OV 030]. – [príspevok] In: November  ́89 v dokumentoch Štátneho archívu v Nitre [textový dokument (print)] / Keresteš, Peter [Zostavovateľ, editor]. – 1. vyd. – Nitra (Slovensko) : Štátny archív v Nitre, 2019, s. 9-17 </t>
  </si>
  <si>
    <t xml:space="preserve">Prieniky dynamickej psychoterapie do teórie a praxe sociálnej práce / Gabura, Ján [Autor, UKFFSVKSP, 100%] ; Labor Socialis - "Sociálna práca v súčasnosti - objavovanie rozmanitosti" [26.09.2019, Nitra, Slovensko]. – text. – [slovenčina]. – [OV 060]. – [príspevok z podujatia] In: Labor Socialis "Sociálna práca v súčasnosti - objavovanie rozmanitosti" [textový dokument (print)] : zborník príspevkov z vedeckej konferencie s medzinárodnou účasťou, Nitra 26. septembra 2019 / Gažiková, Elena [Zostavovateľ, editor] ; Minarovičová, Katarína [Zostavovateľ, editor] ; Gabura, Ján [Recenzent] ; Kozubík, Michal [Recenzent]. – 1. vyd. – Nitra (Slovensko) : Univerzita Konštantína Filozofa v Nitre, 2020. – ISBN 978-80-558-1492-6, s. 13-25 [tlačená forma] </t>
  </si>
  <si>
    <t xml:space="preserve">Rozvoj tvorivosti a kritického myslenia prostredníctvom tvorby diplomovej práce v rámci projektu APVV-15-0368 Prax v centre odborovej didaktiky, odborová didaktika v Centre praktickej prípravy = Developing creativity and critical thinking through the creation of a diploma thesis within the project APVV-15-0368 Practice in the centre of the subject field didactics, subject field didactics in the centre of preparation for practice / Satková, Janka [Autor, UKFPFAKVV, 100%]. – text. – [slovenčina]. – [OV 010]. – [príspevok] In: Diplom 2019/2020 [textový dokument (print)] : absolventi Katedry výtvarnej tvorby a výchovy Pedagogickej fakulty UKF v Nitre v Akademickom roku 2018/2019 a 2019/2020 / Récka, Adriana [Zostavovateľ, editor]. – 1. vyd. – Nitra (Slovensko) : Univerzita Konštantína Filozofa v Nitre, 2020. – ISBN 978-80-558-1624-1, s. 61-63 [tlačená forma] </t>
  </si>
  <si>
    <t xml:space="preserve">Rôzne interpretácie pojmu zlomok a ich vplyv na vedomosti žiakov / Vargová, Lucia [Autor, UKFFPVKMA, 50%] ; Pavlovičová, Gabriela [Autor, UKFFPVKMA, 50%] ; Dva dni s didaktikou matematiky 2020, 5 [10.09.2020-11.09.2020, Bratislava, Slovensko]. – text. – [slovenčina]. – [OV 010]. – [príspevok z podujatia] In: Dva dni s didaktikou matematiky 2020 [elektronický dokument] : Zborník príspevkov / Slavíčková, Mária [Zostavovateľ, editor]. – 1. vyd. – Bratislava (Slovensko) : Univerzita Komenského v Bratislave. Fakulta matematiky, fyziky a informatiky UK, 2020. – ISBN 978-80-8147-095-0. – SIGN-UKO MF20-0391, s. 145-148 [online] </t>
  </si>
  <si>
    <t xml:space="preserve">Rudolf Sloboda: Armagedon na Grbe / Inštitorisová, Dagmar [Autor, UKFFFAKMR, 100%]. – text. – [slovenčina]. – [OV 020]. – [príspevok] In: Archív divadelnej minulosti [elektronický dokument] / Kopas, Lukáš [Zostavovateľ, editor]. – 1. vyd. – Bratislava (Slovensko) : Divadelný ústav, 2020. – ISBN 978-80-8190-075-4, s. 1-7 [online] </t>
  </si>
  <si>
    <t xml:space="preserve">Skialpinizmus - skialpinistická a lyžiarska klasifikácia / Krajčovič, Jaroslav [Autor, UKFPFAKTV, 50%] ; Paška, Ľubomír [Autor, UKFPFAKTV, 50%]. – [slovenčina]. – [OV 210]. – [príspevok] In: Technika a metodika zimných a letných športov v prírode 2018 [elektronický dokument] : zborník vedeckých a odborných prác / Chovanec, Lukáš [Zostavovateľ, editor] ; Pach, Martin [Recenzent] ; Žídek, Jaroslav [Recenzent]. – 1. vyd. – Bratislava (Slovensko) : Univerzita Komenského v Bratislave. Fakulta telesnej výchovy a športu UK, 2018. – ISBN 978-80-223-4643-6. – SIGN-UKO TV ak19/257, s. 182-190 [online] </t>
  </si>
  <si>
    <t xml:space="preserve">Sociálny pracovník a dôležitosť medziľudských vzťahov / Selická, Denisa [Autor, UKFFFAKSO, 100%] ; Svetový deň sociálnej práce, 6 [17.03.2020, Sládkovičovo, Slovensko]. – text. – [slovenčina]. – [OV 060]. – [príspevok z podujatia] In: Svetový deň sociálnej práce 6 [elektronický dokument] : Podpora dôležitosti medziľudských vzťahov / Mareková, Hermína [Zostavovateľ, editor] ; Šebestová, Petronela [Zostavovateľ, editor] ; Mühlpachr, Pavel [Recenzent]. – 1. vyd. – Sládkovičovo (Slovensko) : Vysoká škola Danubius, 2020. – ISBN 978-80-8167-075-6, s. 203-208 [CD-ROM] </t>
  </si>
  <si>
    <t xml:space="preserve">Spomienka na nitriansku éru Jána Botíka / Beňušková, Zuzana [Autor, UKFFFAKEF, 100%]. – [slovenčina]. – [OV 030]. – [príspevok] In: Cesty Jána Botíka [textový dokument (print)] : zborník venovaný životným cestám etnografa Jána Botíka pri príležitosti životného jubilea / Maráky, Peter [Zostavovateľ, editor] ; Hlôšková, Hana [Zostavovateľ, editor] ; Botiková, Marta [Zostavovateľ, editor]. – 1. vyd. – Bratislava (Slovensko) : Národopisná spoločnosť Slovenska ; Lúč, 2018. – ISBN 978-80-8179-128-4, s. 87-93 [tlačená forma] </t>
  </si>
  <si>
    <t xml:space="preserve">Stavba na Kramárskom vrchu v kontexte protitureckých vartoviek na území Tekova a Hontu = Building on the Kramársky vrch hill in the context of anti-Turkish Vartovka watchtowers in the territory of Tekov and Hont / Martinák, Matúš [Autor, UKFFFAKMU, 100%]. – text. – [slovenčina]. – [OV 020, 030]. – [príspevok] In: Acta Musei Tekovensis Levice 12 [elektronický dokument] [textový dokument (print)] : Zborník Tekovského múzea v Leviciach / Smetana, Vladimír [Zostavovateľ, editor] ; Belej, Milan [Recenzent] ; Bešinová, Eva [Recenzent]. – 1. vyd. – Levice (Slovensko) : Tekovské múzeum, 2020. – ISBN 9788088831242, s. 142-159 [tlačená forma] [CD-ROM] </t>
  </si>
  <si>
    <t xml:space="preserve">Szerkesztői előszó / Vančo, Ildikó [Autor, UKFFSSUML, 100%]. – text. – [maďarčina]. – [OV 020]. – [príspevok] In: A nyelv politikája [textový dokument (print)] : nyelvi antropológiai tanulmányok / Vančo, Ildikó [Zostavovateľ, editor] ; Kozmács, István [Zostavovateľ, editor]. – 1. vyd. – Nitra (Slovensko) : Univerzita Konštantína Filozofa v Nitre. Fakulta stredoeurópskych štúdií, 2018. – (Europica varietas ; 122). – ISBN 978-80-558-1322-6, s. 23-25 [tlačená forma] </t>
  </si>
  <si>
    <t xml:space="preserve">Študijný program - inovácia - umelecká prax - výsledky / Krausová, Agáta [Autor, UKFFFAKEF, 100%] ; Tanečný kongres – Tanec. SK 2019, 6 [22.11.2019-23.11.2019, Bratislava, Slovensko]. – text. – [slovenčina]. – [OV 060]. – [príspevok z podujatia] In: Tanečný kongres – Tanec. SK 2019 [textový dokument (print)] [elektronický dokument] : tanečné umenie – prepojenie vzdelávania a umeleckej praxe na Slovensku = zborník príspevkov zo šiesteho slovenského tanečného kongresu / Liszkayová, Ivica [Zostavovateľ, editor] ; Čierniková, Irina [Recenzent] ; Gajdošová, Eva [Recenzent]. – 1. vyd. – Bratislava (Slovensko) : Vysoká škola múzických umení v Bratislave. Hudobná a tanečná fakulta VŠMU, 2020. – ISBN 978-80-8195-080-3, s. 68-74 [tlačená forma] [online] </t>
  </si>
  <si>
    <t xml:space="preserve">Štvrtý ročník časopisu Culturologica Slovaca / Palitefka, Jozef [Autor, UKFFFAKKU, 100%]. – [slovenčina]. – [OV 020]. – [príspevok] In: Culturologica Slovaca [elektronický dokument] / Palitefka, Jozef [Zostavovateľ, editor]. – 1. vyd. – Roč. 4. – Nitra (Slovensko) : Univerzita Konštantína Filozofa v Nitre, 2019. – ISSN 2453-9740, s. 3-4 [online] </t>
  </si>
  <si>
    <t xml:space="preserve">Teologický komentár / Hlad, Ľubomír [Autor, UKFFFAKNS, 100%]. – [slovenčina]. – [OV 020]. – [príspevok] In: Panna Mária v Božom pláne spásy [textový dokument (print)] : dejinný vývoj a teologický význam mariánskeho titulu "Spoluvykupiteľka" / Čaja, Andrej [Zostavovateľ, editor]. – 1. vyd. – Nitra (Slovensko) : Publica, 2018. – ISBN 978-80-89471-20-1, s. 277-281 [tlačená forma] </t>
  </si>
  <si>
    <t xml:space="preserve">Teória divadla v časopise Javisko / Inštitorisová, Dagmar [Autor, UKFFFAKMR, 100%] ; 50 rokov Javiska [05.04.2018, Bratislava, Slovensko]. – text. – [slovenčina]. – [OV 020]. – [príspevok z podujatia] In: 50 rokov Javiska [elektronický dokument] : zborník odborných referátov z kolokvia venovaného jubilejnému výročiu vydávania časopisu Javisko, Bratislava 5.apríl 2018 / Čajková, Jaroslava [Zostavovateľ, editor]. – 1. vyd. – Bratislava (Slovensko) : Národné osvetové centrum, 2019. – ISBN 978-80-7121-361-1, s. 59-76 </t>
  </si>
  <si>
    <t xml:space="preserve">Translačné variácie v preklade Tokarevovej poviedok Brat a sestra a Krištáľová črievička / Štangová, Kristína [Autor, 50%] ; Pulčár, Vlastimil [Autor, UKFFFAKRU, 50%]. – text. – [slovenčina]. – [OV 020]. – [príspevok] In: Ruská poviedkárka Viktória Tokarevová v slovenskej kultúre (translačné reflexie) [textový dokument (print)] / Muránska, Natália [Zostavovateľ, editor] ; Pulčár, Vlastimil [Zostavovateľ, editor] ; Müglová, Daniela [Recenzent] ; Golikova, Larisa [Recenzent]. – 1. vyd. – Nitra (Slovensko) : Univerzita Konštantína Filozofa v Nitre, 2019. – ISBN 978-80-558-1446-9, s. 30-49 [tlačená forma] </t>
  </si>
  <si>
    <t xml:space="preserve">Trienále KAZKAR vo Ľvove / Ballay, Miroslav [Autor, UKFFFAKKU, 100%]. – text. – [slovenčina]. – [OV 060]. – [príspevok] In: Culturologica Slovaca [elektronický dokument] / Palitefka, Jozef [Zostavovateľ, editor]. – 1. vyd. – Roč. 4. – Nitra (Slovensko) : Univerzita Konštantína Filozofa v Nitre, 2019. – ISSN 2453-9740, s. 217-218 [online] </t>
  </si>
  <si>
    <t xml:space="preserve">Účinok skrmovania ľanového semena na zdravie experimentálne intoxikovaných myší / Andrejčáková, Zuzana [Autor, UVLFKAHF, 40%] ; Sopková, Drahomíra [Autor, UVLFKAHF, 20%] ; Vlčková, Radoslava [Autor, UVLFKAHF, 20%] ; Petrilla, Vladimír [Autor, UVLFKAHF, 5%] ; Ondrašovičová, Silvia [Autor, UVLFKAHF, 5%] ; Sirotkin, Alexander [Autor, UKFFPVKZA, 10%] ; Mladí vedci - bezpečnosť potravinového reťazca 2019, 12 [21.11.2019-22.11.2019, Bratislava, Slovensko]. – [slovenčina]. – [OV 200]. – [príspevok z podujatia] In: Mladí vedci - bezpečnosť potravinového reťazca 2019 [textový dokument (print)] [elektronický dokument] : zborník príspevkov z vedeckej konferencie / [bez zostavovateľa] [Zostavovateľ, editor]. – 1. vyd. – Bratislava (Slovensko) : Ministerstvo pôdohospodárstva a rozvoja vidieka Slovenskej republiky, 2019. – ISBN 978-80-89738-19-9, s. 21-23 [tlačená forma] [online] </t>
  </si>
  <si>
    <t xml:space="preserve">Úloha koordinátorov environmentálnej výchovy na základných školách / Bilčíková, Jana [Autor, UKFPFAKTT, 50%] ; Tureková, Ivana [Autor, UKFPFAKTT, 50%] ; Kuchárska kniha pre život, VII [19.10.2020, Dubnica nad Váhom, Slovensko]. – text. – [slovenčina]. – [OV 010]. – [príspevok z podujatia] In: Edukačné súvislosti pravidiel v škole : Zborník z odbornej konferencia Kuchárska kniha pre život VII.  konanej 19. októbra 2020 / Hanuliaková, Jana [Zostavovateľ, editor] ; Hasajová, Lívia [Zostavovateľ, editor] ; Porubčanová, Dáša [Zostavovateľ, editor] ; Veteška, Jaroslav [Recenzent] ; Zapletal, Ladislav [Recenzent] ; Pasternáková, Lenka [Recenzent]. – 1. vyd. – Dubnica nad Váhom (Slovensko) : Vysoká škola DTI, 2020. – ISBN 978-80-8222-012-7, s. 143-148 </t>
  </si>
  <si>
    <t xml:space="preserve">Varíme a pečieme s Annou Shirleyovou / Zumríková Kekeliaková, Monika [Autor, UKFFFASJL, 100%]. – text. – [slovenčina]. – [OV 020]. – [príspevok] In: Pútnik svätovojtešský 2021 [textový dokument (print)] / Zumríková Kekeliaková, Monika [Zostavovateľ, editor]. – 1. vyd. – Roč. 149. – Trnava (Slovensko) : Spolok svätého Vojtecha, 2020. – ISBN 978-80-8161-425-5, s. 111-115 [tlačená forma] </t>
  </si>
  <si>
    <t xml:space="preserve">Využitie divadla fórum vo výchovno-vzdelávacom procese / Tischler, Ladislav [Autor, UKFPFAKHU, 100%] ; Inovatívne trendy v odborových didaktikách [21.11.2018, Nitra, Slovensko]. – text. – [slovenčina]. – [OV 010]. – [príspevok z podujatia] In: Inovatívne trendy v odborových didaktikách [textový dokument (print)] : prepojenie teórie a praxe výučbových stratégií kritického a tvorivého myslenia : zborník štúdií z medzinárodnej vedeckej konferencie, Nitra 21. november 2018 / Duchovičová, Jana [Zostavovateľ, editor] ; Hošová, Dominika [Zostavovateľ, editor] ; Koleňáková, Rebeka Štefánia [Zostavovateľ, editor] ; Bílek, Martin [Recenzent] ; Komora, Juraj [Recenzent]. – 1. vyd. – Nitra (Slovensko) : Univerzita Konštantína Filozofa v Nitre, 2019. – ISBN 978-80-558-1408-7, s. 701-707 [tlačená forma] </t>
  </si>
  <si>
    <t xml:space="preserve">Význam výučby výtvarného umenia pre študentov žurnalistiky / Petrová, Elena [Autor, UKFFFAKZU, 100%] ; Vzdelávanie novinárov [24.10.2019, Nitra, Slovensko]. – text. – [slovenčina]. – [OV 060]. – [príspevok z podujatia] In: Vzdelávanie novinárov [textový dokument (print)] : otázky, problémy a výzvy. Zborník z odborného seminára, Nitra 24.10. 2019 / Cillingová, Veronika [Zostavovateľ, editor] ; Hudíková, Zora [Zostavovateľ, editor] ; Dobrotková, Miroslava [Recenzent] ; Moravčíková, Erika [Recenzent]. – 1. vyd. – Nitra (Slovensko) : Univerzita Konštantína Filozofa v Nitre, 2020. – ISBN 978-80-558-1571-8, s. 25-31 [tlačená forma] </t>
  </si>
  <si>
    <t xml:space="preserve">Z mozaiky pracovných a osobných kontaktov : spolupráca oddelenia translatológie ÚSvL SAV v Bratislave a Katedry translatológie FF UKF v Nitre / Gromová, Edita [Autor, UKFFFAKTR, 100%]. – [slovenčina]. – [OV 020]. – [príspevok] In: Inšpiratívnosť pomedzných pohľadov [textový dokument (print)] : personálna bibliografia Márie Kusej / Pašteková, Soňa [Zostavovateľ, editor]. – 1. vyd. – Bratislava (Slovensko) : Slovenská akadémia vied, 2018. – ISBN 978-80-88815-21-1, s. 17-22 [tlačená forma] </t>
  </si>
  <si>
    <t xml:space="preserve">Zaniknutá komunita Židov v Bardejove : doplňujúce informácie [metodika] / Košťálová, Miroslava [Autor, 50%] ; Kičková, Adriana [Autor, UKFFFAKHI, 50%]. – [slovenčina]. – [OV 030]. – [príspevok] In: (Ne)zabudnuté tragédie. Deportácie [textový dokument (print)] : (z histórie dnešného Prešovského kraja) / Petrík Nagyová, Anna [Autor]. – 1. vyd. – Bratislava (Slovensko) : Slovenské národné múzeum, 2019. – ISBN 978-80-8060-453-0, s. 28-33 </t>
  </si>
  <si>
    <t xml:space="preserve">Život a tvorba V. Tokarevovej (kalendárium a bibliografia) / Pulčár, Vlastimil [Autor, UKFFFAKRU, 100%]. – text. – [slovenčina]. – [OV 020]. – [príspevok] In: Ruská poviedkárka Viktória Tokarevová v slovenskej kultúre (translačné reflexie) [textový dokument (print)] / Muránska, Natália [Zostavovateľ, editor] ; Pulčár, Vlastimil [Zostavovateľ, editor] ; Müglová, Daniela [Recenzent] ; Golikova, Larisa [Recenzent]. – 1. vyd. – Nitra (Slovensko) : Univerzita Konštantína Filozofa v Nitre, 2019. – ISBN 978-80-558-1446-9, s. 80-92 [tlačená forma] </t>
  </si>
  <si>
    <t>BFA - Abstrakty odborných prác zo zahraničných podujatí (konferencie...)</t>
  </si>
  <si>
    <t xml:space="preserve">Aplication of aldefluor assay for the microscopic assessment of rabbit / Vašíček, Jaromír [Autor, 17%] ; Baláži, Andrej [Autor, 17%] ; Svoradová, Andrea [Autor, UKFFPVKZA, 17%] ; Tomková, Mária [Autor, SPUFBP01, 17%] ; Makarevich, Alexander V. [Autor, 17%] ; Chrenek, Peter [Autor, SPUFBP01, 15%] ; Microscopy 2019 [13.05.2019-15.05.2019, Lednice, Česko]. – [angličtina]. – [OV 120, 190]. – [abstrakt z podujatia - KP] In: Microscopy 2019 [textový dokument (print)] / [bez zostavovateľa] [Zostavovateľ, editor]. – 1. vyd. – Praha (Česko) : Československá mikroskopická společnost, 2019, s. 92-92 [tlačená forma] </t>
  </si>
  <si>
    <t xml:space="preserve">Assessing sustainability of slovak cities with the ecosystem services approach / Mederly, Peter [Autor, 50%] ; Vaňo, Simeon [Autor, UKFFPVKEE, 15%] ; Michalina, Denis [Autor, UKFFPVKEE, 15%] ; Ševčík, Michal [Autor, UKFFPVKEE, 20%] ; Third World Conference of the Society for Urban Ecology, 4 [07.07.2021-09.07.2021, Poznaň, Poľsko]. – text. – [angličtina]. – [OV 100]. – [abstrakt z podujatia - KP] In: Third World Conference of the Society for Urban Ecology [elektronický dokument] / [bez zostavovateľa] [Zostavovateľ, editor]. – 1. vyd. – Poznaň (Poľsko) : Uniwersytet im. Adama Mickiewicza w Poznaniu, 2021, s. 202-202 [online] </t>
  </si>
  <si>
    <t xml:space="preserve">Association between cardiorespiratory fitness and selected health-related behaviour among adolescents [Vzťah medzi kardiorespiračnou zdatnosťou a vybraným správaním súvisiacim so zdravím u dospievajúcich] / Kopčáková, Jaroslava [Autor, UPS51582, 20%] ; Bakalár, Peter [Autor, UPS99110, 20%] ; Michal, Jiří [Autor, UMBFF09, 20%] ; Halmová, Nora [Autor, UKFPFAKTV, 20%] ; Kolarčik, Peter [Autor, UPS51582, 20%] ; HEPA 2019 [28.08.2019-30.08.2019, Odense, Dánsko]. – text. – [angličtina]. – [OV 180, 210]. – [abstrakt z podujatia - KP]. – sign UPJS MSEP 031495 In: HEPA 2019 [textový dokument (print)] [elektronický dokument] / [bez zostavovateľa] [Zostavovateľ, editor]. – Odense (Dánsko) : Syddansk Universitet, 2019, s. 170-170 [tlačená forma] [online] </t>
  </si>
  <si>
    <t xml:space="preserve">Green infrastructure operationalisation: A systematic review on the procedural aspects from a decade of research / Vaňo, Simeon [Autor, UKFFPVKEE, 40%] ; van Lierop, Martina [Autor, 30%] ; Pauleit, Stephan [Autor, 15%] ; Mederly, Peter [Autor, UKFFPVKEE, 15%] ; Third World Conference of the Society for Urban Ecology, 4 [07.07.2021-09.07.2021, Poznaň, Poľsko]. – text. – [angličtina]. – [OV 100]. – [abstrakt z podujatia - KP] In: Third World Conference of the Society for Urban Ecology [elektronický dokument] / [bez zostavovateľa] [Zostavovateľ, editor]. – 1. vyd. – Poznaň (Poľsko) : Uniwersytet im. Adama Mickiewicza w Poznaniu, 2021, s. 27-27 [online] </t>
  </si>
  <si>
    <t xml:space="preserve">Impact of the individual disciplines in norseman xtreme triathlon according to the performance level / Kováčová, Natália [Autor, UKFPFAKTV, 80%] ; Czaková, Monika [Autor, 20%] ; Physical Activity and Health in Interdisciplinary Approach, 3 [11.05.2018, Czestochowa, Poľsko]. – text. – [angličtina]. – [OV 020]. – [abstrakt z podujatia - KP] In: Physical Activity and Health in Interdisciplinary Approach : Book of abstracts / Wasik, Jacek [Zostavovateľ, editor]. – Czestochowa (Poľsko) : Publisher Projack, 2019, s. 45-45 </t>
  </si>
  <si>
    <t xml:space="preserve">Independent Theatres and Cultural Centres as a result of Public Engagement in Democratic Slovakia / Timčíková, Zuzana [Autor, UKFFFAULK, 100%] ; isaScience 2018 [10.08.2018-14.08.2018, Viedeň, Rakúsko]. – text. – [angličtina]. – [OV 020]. – [abstrakt z podujatia - KP] In: isaScience 2018 [textový dokument (print)] : book of absctracts from international conference Participatory Approaches to Music &amp; Democracy / Feyertag, Karoline [Zostavovateľ, editor] ; Raditsch, Ferdinand [Zostavovateľ, editor]. – 1. vyd. – Viedeň (Rakúsko) : University of Music and Performing Arts, 2018, s. 54-54 [tlačená forma] </t>
  </si>
  <si>
    <t xml:space="preserve">Mentálna a fyzická príprava operatérov / Mlynček, Miloš [Autor, UKFFSVKOS, 100%] ; Společný kongres ČGPS ČLS JEP a SGPS SLS, 7 [16.09.2021-16.09.2021, Karlovy Vary, Česko]. – text. – [slovenčina]. – [OV 180]. – [abstrakt z podujatia - KP] In: 7. Společný kongres ČGPS ČLS JEP a SGPS SLS [elektronický dokument] : odborný program = sborník abstrakt / [bez zostavovateľa] [Zostavovateľ, editor]. – 1. vyd. – Karlovy Vary (Česko) : Česká gynekologická a porodnická společnost ČLS JEP, 2021, s. 49-49 [online] </t>
  </si>
  <si>
    <t xml:space="preserve">Recent changes and processes of Carpathian agricultural areas with particular focus to Slovakia / Halada, Ľuboš [Autor, 30%] ; Lieskovský, Juraj [Autor, 25%] ; Mederly, Peter [Autor, UKFFPVKEE, 25%] ; Petrovič, František [Autor, UKFFPVKEE, 10%] ; Mojses, Matej [Autor, 10%] ; 6th Forum Carpaticum - Linking the Environmental, Political and Societal Aspects for Carpathian Sustainability, 6 [21.06.2021-25.06.2021, Brno, Česko]. – text. – [angličtina]. – [OV 100]. – [abstrakt z podujatia - KP]. – [recenzované] In: 6th Forum Carpaticum - Linking the Environmental, Political and Societal Aspects for Carpathian Sustainability [elektronický dokument] : Book of  Abstracts, 21st June to 25th June, 2021, Brno Czech Repubic / Cudlín, Pavel [Zostavovateľ, editor] ; Plch, Radek [Zostavovateľ, editor]. – 1. vyd. – Brno (Česko) : Mendelova univerzita v Brně, 2021, s. 28-29 [online] </t>
  </si>
  <si>
    <t xml:space="preserve">Sports talent search : genes versus motor tests / Židek, Radoslav [Autor, SPUFBP05, 50%] ; Šimonek, Jaromír [Autor, UKFPFAKTV, 50%] ; Quality of Life in Interdisiplinary Approach, 1 [22.11.2018-24.11.2018, Kochcice, Poľsko]. – text. – [angličtina]. – [OV 210]. – [abstrakt z podujatia - KP] In: Quality of Life in Interdisciplinary Approach [elektronický dokument] : Book of Abstracts, 2nd World Congress, 5.-7.11.2019 Kochcice / Wasik, Jacek [Zostavovateľ, editor] ; Szopa, Janusz [Zostavovateľ, editor]. – 1. vyd. – Roč. 1. – Czestochowa (Poľsko) : PPHU Projack, 2019. – ISBN 978-83-934596-5-0, s. 27-27 [online] </t>
  </si>
  <si>
    <t xml:space="preserve">Statistical analysis of the influence of traction exercises on postural parameter changes in university students / Liptáková, Erika [Autor, 107006, 20%] ; Barcalová, Miroslava [Autor, 190110, 20%] ; Buková, Alena [Autor, UPS99110, 20%] ; Živčák, Jozef [Autor, 103404, 10%] ; Šimonek, Jaromír [Autor, UKFPFAKTV, 20%] ; Harčarik, Vladimír [Autor, 190110, 10%] ; Quality of Life in Interdisiplinary Approach, 1 [22.11.2018-24.11.2018, Kochcice, Poľsko]. – text. – [angličtina]. – [OV 080, 180, 170, 210]. – [abstrakt z podujatia - KP]. – sign UPJS FSEP 010159. – SIGN-TUKE 202249 In: Quality of Life in Interdisciplinary Approach [elektronický dokument] : Book of Abstracts, 2nd World Congress, 5.-7.11.2019 Kochcice / Wasik, Jacek [Zostavovateľ, editor] ; Szopa, Janusz [Zostavovateľ, editor]. – 1. vyd. – Roč. 1. – Czestochowa (Poľsko) : PPHU Projack, 2019. – ISBN 978-83-934596-5-0, s. 53-53 [online] </t>
  </si>
  <si>
    <t xml:space="preserve">The correlations of early maladaptive schemas and psychophysiological response to stress / Šlepecký, Miloš [Autor, UKFFSVKPV, 12.5%] ; Kotianová, Antónia [Autor, 12.5%] ; Praško Pavlov, Ján [Autor, UKFFSVKPV, 12.5%] ; Majerčák, Ivan [Autor, UPS51260, 12.5%] ; Kotian, Michal [Autor, 12.5%] ; Chupáčová, Michaela [Autor, 12.5%] ; Zaťková, Marta [Autor, UKFFSVKPV, 12.5%] ; Popelková, Marta [Autor, UKFFSVKPV, 12.5%] ; 19th WPA World Congress of Psychiatry, 19 [21.08.2019-24.08.2019, Lisabon, Portugalsko]. – [angličtina]. – [OV 180]. – [abstrakt z podujatia - KP]. – sign UPJS MSEP 032420 In: 19th WPA2019 World Congress of Psychiatry [elektronický dokument] / [bez zostavovateľa] [Zostavovateľ, editor]. – 1. vyd. – Lisabon (Portugalsko) : World psychiatric association, 2019, s. 1-1 </t>
  </si>
  <si>
    <t xml:space="preserve">Ultrastructure of chicken embryonic stem cells / Svoradová, Andrea [Autor, UKFFPVKZA, 25%] ; Vašíček, Jaromír [Autor, 25%] ; Olexíková, Lucia [Autor, 25%] ; Chrenek, Peter [Autor, SPUFBP01, 25%] ; Visegrád group society for developmental biology [07.09.2018-09.09.2018, Brno, Česko]. – [angličtina]. – [OV 130]. – [abstrakt z podujatia - KP] In: V4 Society for Developmental Biology [elektronický dokument] : book of abstracts, Brno, 7th-8th September 2018 / Buchtová, Mária [Zostavovateľ, editor] ; Bruce, Alexander W. [Zostavovateľ, editor] ; Bryja, Vítězslav [Zostavovateľ, editor] ; Piliszek, Anna [Zostavovateľ, editor] ; Fabian, Dušan [Zostavovateľ, editor] ; Varga, Máté [Zostavovateľ, editor] ; Vilmos, Peter [Zostavovateľ, editor]. – 1. vyd. – Liběchov (Česko) : Akademie věd České republiky. Ústav živočišné fyziologie a genetiky, 2018, s. 160-160 [online] </t>
  </si>
  <si>
    <t xml:space="preserve">Uplatnenie žiakov zo špeciálnych škôl na trhu práce = participation of students from special needs schools in the labour market / Havírová, Zuzana [Autor, UKFFSVURS, 50%] ; Šatara, Erik [Autor, UKFFSVURS, 50%] ; Studentská vědecká konference, 7 [24.03.2021, České Budějovice, Česko]. – text. – [slovenčina]. – [OV 060]. – [abstrakt z podujatia - KP] In: Sborník abstraktů ze 7. ročníku Studenstké vědecké konference [elektronický dokument] : zdravotně sociální fakulta JU 24. března 2021, České Budějovice / Červený, Martin [Zostavovateľ, editor]. – 1. vyd. – České Budějovice (Česko) : Jihočeská univerzita v Českých Budějovicích, 2021. – ISBN 978-80-7394-860-3, s. 15-15 [online] </t>
  </si>
  <si>
    <t xml:space="preserve">What is utility to measure the psychophysiological reaction to stress in relationship to psychological characteristic? / Šlepecký, Miloš [Autor, UKFFSVKPV, 10%] ; Praško Pavlov, Ján [Autor, UKFFSVKPV, 10%] ; Majerčák, Ivan [Autor, UPS51260, 10%] ; Sollár, Tomáš [Autor, UKFFSVUAP, 10%] ; Kotianová, Antónia [Autor, 10%] ; Zaťková, Marta [Autor, UKFFSVKPV, 10%] ; Popelková, Marta [Autor, UKFFSVKPV, 10%] ; Kotian, Michal [Autor, 10%] ; Chupáčová, Michaela [Autor, 10%] ; Györgyová, Erika [Autor, 10%] ; 19th WPA World Congress of Psychiatry, 19 [21.08.2019-24.08.2019, Lisabon, Portugalsko]. – [angličtina]. – [OV 180]. – [abstrakt z podujatia - KP]. – sign UPJS MSEP 032419 In: 19th WPA2019 World Congress of Psychiatry [elektronický dokument] / [bez zostavovateľa] [Zostavovateľ, editor]. – 1. vyd. – Lisabon (Portugalsko) : World psychiatric association, 2019, s. 1-1 </t>
  </si>
  <si>
    <t>BFB - Abstrakty odborných prác z domácich podujatí (konferencie...)</t>
  </si>
  <si>
    <t xml:space="preserve">Diversity of the Epigeic Spider Communities in the Typical Habitats of Sand Dunes in Záhorie / Gajdoš, Peter [Autor, 50%] ; Purgat, Pavol [Autor, UKFFPVKEE, 25%] ; Purkart, Adrián [Autor, UKOPRBZO, 25%] ; Landscape diversity and biodiversity, 18 [23.04.2019-27.04.2019, Smolenice, Slovensko]. – text. – [angličtina]. – [OV 100, 130]. – [abstrakt z podujatia - KP]. – SIGN-UKO PR 504/19 In: Landscape diversity and biodiversity [elektronický dokument] : 18th International Symposium on Problems of Landscape Ecological Research / Kalivodová, Michaela [Zostavovateľ, editor] ; Laco, Ivan [Zostavovateľ, editor] ; Raniak, Andrej [Zostavovateľ, editor]. – 1. vyd. – Bratislava (Slovensko) : Slovenská akadémia vied, 2019, s. 28-28 [online] </t>
  </si>
  <si>
    <t xml:space="preserve">Mosaic landscape structures in relation to the land use of Nitra district / Bugár, Gabriel [Autor, UKFFPVKEE, 35%] ; Pucherová, Zuzana [Autor, UKFFPVKEE, 35%] ; Veselovská, Katarína [Autor, UKFFPVKEE, 30%] ; Landscape diversity and biodiversity, 18 [23.04.2019-27.04.2019, Smolenice, Slovensko]. – [angličtina]. – [OV 100]. – [abstrakt z podujatia - KP] In: Landscape diversity and biodiversity [elektronický dokument] : 18th International Symposium on Problems of Landscape Ecological Research / Kalivodová, Michaela [Zostavovateľ, editor] ; Laco, Ivan [Zostavovateľ, editor] ; Raniak, Andrej [Zostavovateľ, editor]. – 1. vyd. – Bratislava (Slovensko) : Slovenská akadémia vied, 2019, s. 85-85 [online] </t>
  </si>
  <si>
    <t xml:space="preserve">Obohacovanie slovnej zásoby pomocou modifikovaných cvičení / Švecová, Natália [Autor, UKFFFASJL, 100%] ; 7. Medzinárodná konferencia doktorandov [12.10.2021, Bratislava, Slovensko]. – text. – [slovenčina]. – [OV 020]. – [abstrakt z podujatia - KP] In: 7. Medzinárodná konferencia doktorandov [elektronický dokument] : kniha abstraktov / [bez zostavovateľa] [Zostavovateľ, editor]. – 1. vyd. – Bratislava (Slovensko) : Univerzita Komenského v Bratislave, 2021, s. 5-5 [online] </t>
  </si>
  <si>
    <t xml:space="preserve">Overview of sustainable cities indicators / Michalina, Denis [Autor, UKFFPVKGR, 50%] ; Mederly, Peter [Autor, UKFFPVKEE, 50%] ; Landscape diversity and biodiversity, 18 [23.04.2019-27.04.2019, Smolenice, Slovensko]. – text. – [angličtina]. – [OV 092, 100]. – [abstrakt z podujatia - KP] In: Landscape diversity and biodiversity [elektronický dokument] : 18th International Symposium on Problems of Landscape Ecological Research / Kalivodová, Michaela [Zostavovateľ, editor] ; Laco, Ivan [Zostavovateľ, editor] ; Raniak, Andrej [Zostavovateľ, editor]. – 1. vyd. – Bratislava (Slovensko) : Slovenská akadémia vied, 2019, s. 91-91 [online] </t>
  </si>
  <si>
    <t xml:space="preserve">The impact of viticultural landscape structures on the diversity of ground-living spider assemblages (model area Modra) / Purgat, Pavol [Autor, UKFFPVKEE, 50%] ; Gajdoš, Peter [Autor, 50%] ; Landscape diversity and biodiversity, 18 [23.04.2019-27.04.2019, Smolenice, Slovensko]. – [angličtina]. – [OV 100]. – [abstrakt z podujatia - KP] In: Landscape diversity and biodiversity [elektronický dokument] : 18th International Symposium on Problems of Landscape Ecological Research / Kalivodová, Michaela [Zostavovateľ, editor] ; Laco, Ivan [Zostavovateľ, editor] ; Raniak, Andrej [Zostavovateľ, editor]. – 1. vyd. – Bratislava (Slovensko) : Slovenská akadémia vied, 2019, s. 21-21 [online] </t>
  </si>
  <si>
    <t xml:space="preserve">Umelá inteligencia ako výzva pre budúcnosť? / Bartal, Jana [Autor, UKFFFAKAE 06.2022, 100%] ; Etické myslenie minulosti a súčasnosti. Etika v 19. a 20. storočí, 23 [27.05.2021-28.05.2021, [Prešov], Slovensko]. – text. – [slovenčina]. – [OV 020]. – [abstrakt z podujatia - KP] In: Etické myslenie minulosti a súčasnosti (ETPP 2021/23) (2) [textový dokument (print)] : etika v 19. a 20. storočí / [bez zostavovateľa] [Zostavovateľ, editor]. – 1. vyd. – Prešov (Slovensko) : Prešovská univerzita v Prešove. Filozofická fakulta, 2021, s. 17-17 [tlačená forma] </t>
  </si>
  <si>
    <t>CAA - Umelecké monografie, dramatické diela, scenáre, umelecké preklady publikácií, autorské katalógy vydané v zahraničných vydavateľstvách</t>
  </si>
  <si>
    <t xml:space="preserve">Právo svobody [textový dokument (print)]  [knižná publikácia - umelecká (do 2021)] : nárys demokratické mravnosti / Honneth, Axel [Autor] ; Horyna, Břetislav [Prekladateľ, UKFFFAKFI, 100%]. – 1. vyd. – Praha (Česko) : Nakladatelství Filosofia :  Filosofického ústavu Akademie věd ČR, v. v. i., 2018. – 614 s. [tlačená forma] : text. – [čeština]. – [OV 020]. – ISBN 978-80-7007-544-9 </t>
  </si>
  <si>
    <t xml:space="preserve">Šestmina slovački poeti [textový dokument (print)]  [knižná publikácia - umelecká (do 2021)] : "struška antologija" / Laučík, Ivan [Autor, 16.67%] ; Dudok, Miroslav [Autor, UKOFISF, 16.666%] ; Hochel, Igor [Autor, UKFFFASJL, 16.666%] ; Groch, Erik Jakub [Autor, 16.666%] ; Habaj, Michal [Autor, 16.666%] ; Bili, Peter [Autor, 16.666%] ; Taneski, Zvonko [Prekladateľ] ; Taneski, Zvonko [Zostavovateľ, editor, 100%] ; Gruevska-Macoska, Simona [Recenzent]. – 1. vyd. – Skopje (Macedónsko) : Vezilka, 2018. – 85 s. [tlačená forma] : text. – (Biblioteka Poezija ; 37). – [macedónčina]. – [OV 020]. – ISBN 978-608-4738-25-1. – SIGN-UKO FI 3/18 SF </t>
  </si>
  <si>
    <t xml:space="preserve">Ženy, které potřebují muže [textový dokument (print)]  [knižná publikácia - umelecká (do 2021)] / Doležalová, Jana [Autor, UKFFFAULK, 100%]. – 1. vyd. – Praha (Česko) : Labyrint, 2021. – 115 s. [tlačená forma] : text. – [čeština]. – [OV 020]. – ISBN 978-80-88378-11-2 </t>
  </si>
  <si>
    <t>CAB - Umelecké monografie, dramatické diela, scenáre, umelecké preklady publikácií, autorské katalógy vydané v domácich vydavateľstvách</t>
  </si>
  <si>
    <t xml:space="preserve">12 pravidiel pre život [textový dokument (print)]  [knižná publikácia - umelecká (do 2021)] : liek na chaos / Peterson, Jordan [Autor] ; Klimková, Simona [Prekladateľ, UKFFFAKAA, 100%]. – 1. vyd. – Bratislava (Slovensko) : Tatran, 2018. – 380 s. [tlačená forma] : text. – [slovenčina]. – [OV 020]. – ISBN 978-80-2220-948-9 </t>
  </si>
  <si>
    <t xml:space="preserve">Druhá tvár [textový dokument (print)]  [knižná publikácia - umelecká (do 2021)] : Matka. Dcéra. Anjel. Netvor? / Audrain, Ashley [Autor] ; Klimková, Simona [Prekladateľ, UKFFFAKAA, 100%]. – 1. vyd. – Bratislava (Slovensko) : Tatran, 2021. – 288 s. [tlačená forma]. – [slovenčina]. – [OV 020]. – ISBN 9788022212090 </t>
  </si>
  <si>
    <t xml:space="preserve">Dvetisíc kilometrov od Železných vrát po Devín [textový dokument (print)]  [knižná publikácia - umelecká (do 2021)] / Krno, Svetozár [Autor, UKFFFAKPO, 100%]. – 1. vyd. – Bratislava (Slovensko) : Karpaty-Infopress, 2018. – 272 s. [tlačená forma] : text. – [slovenčina]. – [OV 060]. – ISBN 978-80-971256-9-1 </t>
  </si>
  <si>
    <t xml:space="preserve">Farby, ľudia a báje [textový dokument (print)]  [knižná publikácia - umelecká (do 2021)] / Krno, Svetozár [Autor, UKFFFAKPO, 100%]. – 1. vyd. – Bratislava (Slovensko) : Karpaty-Infopress, 2018. – 199 s. [tlačená forma] : text. – [slovenčina]. – [OV 060]. – ISBN 978-80-89985-00-5 </t>
  </si>
  <si>
    <t xml:space="preserve">Frekvencia smrti [textový dokument (print)]  [knižná publikácia - umelecká (do 2021)] : auris / Kliesch, Vincent [Autor, 100%] ; Kováčiková, Zuzana [Prekladateľ, 40%] ; Zahorák, Andrej [Prekladateľ, UKFFFAKTR, 60%]. – 1. vyd. – Bratislava (Slovensko) : Tatran, 2021. – 255 s. [tlačená forma]. – [slovenčina]. – [OV 020]. – [recenzované]. – ISBN 978-80-222-1252-6 </t>
  </si>
  <si>
    <t xml:space="preserve">Hýb sa [textový dokument (print)]  [knižná publikácia - umelecká (do 2021)] : ako ma beh postavil na nohy / Mackie, Bella [Autor] ; Klimková, Simona [Prekladateľ, UKFFFAKAA, 100%]. – 1. vyd. – Bratislava (Slovensko) : Tatran, 2019. – 246 s. [tlačená forma] : text. – [slovenčina]. – [OV 020]. – ISBN 978-80-222-1025-6 </t>
  </si>
  <si>
    <t xml:space="preserve">Izolovaní [textový dokument (print)]  [knižná publikácia - umelecká (do 2021)] / Fitzek, Sebastian [Autor] ; Tsokos, Michael [Autor] ; Zahorák, Andrej [Prekladateľ, UKFFFAKTR, 100%]. – 1. vyd. – Bratislava (Slovensko) : Tatran, 2019. – 288 s. [tlačená forma]. – [slovenčina]. – [OV 020]. – ISBN 978-80-222-1043-0 </t>
  </si>
  <si>
    <t xml:space="preserve">Jaroslav Kyša : Fifth force [textový dokument (print)]  [knižná publikácia - umelecká (do 2021)] / Hall, Lily [Autor, 25%] ; Keratová, Mira [Autor, 25%] ; Kralovič, Ján [Autor, VŠVU VSVKTD, 25%] ; Vilím, Erik [Autor, UKFFFAULK, 25%]. – 1. vyd. – Bratislava (Slovensko) : Zahorian &amp; Van Espen, 2018. – 72 s. [3,21 AH] : text, fotogr. – [angličtina]. – [OV 040]. – ISBN 978-80-970832-4-3 </t>
  </si>
  <si>
    <t xml:space="preserve">Jednoducho zmizla [textový dokument (print)]  [knižná publikácia - umelecká (do 2021)] / Jewellová, Lisa [Autor] ; Klimková, Simona [Prekladateľ, UKFFFAKAA, 100%]. – 1. vyd. – Bratislava (Slovensko) : Tatran, 2019. – 304 s. [tlačená forma] : text. – [slovenčina]. – [OV 020]. – ISBN 978-80-22210-11-9 </t>
  </si>
  <si>
    <t xml:space="preserve">Kde sa les dotýka hviezd [knižná publikácia - umelecká (do 2021)] / Vanderahová, Glendy [Autor] ; Klimková, Simona [Prekladateľ, UKFFFAKAA, 100%]. – 1. vyd. – Bratislava (Slovensko) : Tatran, 2019. – 324 s. [tlačená forma]. – [slovenčina]. – [OV 020]. – ISBN 978-80-222-1047-8 </t>
  </si>
  <si>
    <t xml:space="preserve">Lov na baziliška [textový dokument (print)]  [knižná publikácia - umelecká (do 2021)] : musí dôjsť k nešťastiu, aby sme otvorili oči? / Žvalevskij, Andrej [Autor] ; Pasternaková, Jevgenija Borisovna [Autor] ; Zahorák, Andrej [Prekladateľ, UKFFFAKTR, 100%]. – 1. vyd. – Bratislava (Slovensko) : Ikar, 2020. – 200 s. [tlačená forma]. – [slovenčina]. – [OV 020]. – ISBN 978-80-551-7377-1 </t>
  </si>
  <si>
    <t xml:space="preserve">Naše filmové storočie (druhé rozšírené vydanie) [textový dokument (print)]  [knižná publikácia - umelecká (do 2021)] / Gyarfaš, František [Autor, 50%] ; Malíček, Juraj [Autor, UKFFFAULK, 50%]. – 2. rozš. vyd. – Bratislava (Slovensko) : Slovenský filmový ústav, 2019. – 496 s. [tlačená forma] : text. – [slovenčina]. – [OV 020]. – ISBN 978-80-85187-80-9 </t>
  </si>
  <si>
    <t xml:space="preserve">Nespútaná [textový dokument (print)]  [knižná publikácia - umelecká (do 2021)] / Doylová, Glennon [Autor] ; Klimková, Simona [Prekladateľ, UKFFFAKAA, 100%]. – 1. vyd. – Bratislava (Slovensko) : Tatran, 2020. – 320 s. [tlačená forma] : text. – [slovenčina]. – [OV 020]. – ISBN 978-80-2221-143-7 </t>
  </si>
  <si>
    <t xml:space="preserve">O dievčatku, ktoré kráča Domov... [knižná publikácia - umelecká (do 2021)] / Baďová, Petra [Autor, UKFFFAULK, 100%]. – 1. vyd. – Bratislava (Slovensko) : Asociácia Corpus, 2018. – 60 s. [tlačená forma]. – [slovenčina]. – [OV 020]. – ISBN 978-80-99904-00-3 </t>
  </si>
  <si>
    <t xml:space="preserve">Očistec [textový dokument (print)]  [knižná publikácia - umelecká (do 2021)] / Juráňová, Jana [Autor, 14.29%] ; Malíček, Juraj [Autor, UKFFFAULK, 14.285%] ; Michalovič, Peter [Autor, UKOFIES, 14.285%] ; Ondreička, Boris [Autor, 14.285%] ; Šikulová, Veronika [Autor, 14.285%] ; Gindl-Tatárová, Zuzana [Autor, 14.285%] ; Uhlová, Saša [Autor, 14.285%]. – 1. vyd. – Banská Bystrica (Slovensko) : Literárna bašta, 2020. – 110 s. [tlačená forma] : text. – [slovenčina]. – [OV 020]. – ISBN 978-80-99944-01-6 </t>
  </si>
  <si>
    <t xml:space="preserve">Od Hokkaida po Južnú Kóreu [textový dokument (print)]  [knižná publikácia - umelecká (do 2021)] / Krno, Svetozár [Autor, UKFFFAKPO, 100%] ; Lysý, Jozef [Recenzent] ; Čáky, Milan [Recenzent]. – 1. vyd. – Bratislava (Slovensko) : Karpaty-Infopress, 2019. – 160 s. [tlačená forma] : text + 16. far. príl. – [slovenčina]. – [OV 060, 092]. – ISBN 978-80-89985-01-2 </t>
  </si>
  <si>
    <t xml:space="preserve">Odvaha byť neobľúbený [textový dokument (print)]  [knižná publikácia - umelecká (do 2021)] / Koga, Ičiró Kišimi Fumitake [Autor] ; Klimková, Simona [Prekladateľ, UKFFFAKAA, 100%]. – 1. vyd. – Bratislava (Slovensko) : Tatran, 2021. – 284 s. [tlačená forma]. – [slovenčina]. – [OV 020]. – ISBN 978-80-222-1242-7 </t>
  </si>
  <si>
    <t xml:space="preserve">Oheň a síra [textový dokument (print)]  [knižná publikácia - umelecká (do 2021)] : za dverami Trumpovej pracovne = Fire and fury. Inside the Trump White House / Wolff, Michael [Autor] ; Djovčoš, Martin [Prekladateľ, UMBFF06, 34%] ; Laš, Matej [Prekladateľ, UMBFF14, 33%] ; Tyšš, Igor [Prekladateľ, UKFFFAKTR, 33%]. – 1. vyd. – Bratislava (Slovensko) : Ikar, 2018. – 360 s. [18 AH] [tlačená forma] : text. – [slovenčina]. – [OV 020]. – ISBN 978-80-551-6094-8 </t>
  </si>
  <si>
    <t xml:space="preserve">Počkajte si na happy end [textový dokument (print)]  [knižná publikácia - umelecká (do 2021)] / Lucasová, Charlotte [Autor] ; Zahorák, Andrej [Prekladateľ, UKFFFAKTR, 100%]. – 1. vyd. – Bratislava (Slovensko) : Ikar, 2019. – 398 s. [tlačená forma] : text. – [slovenčina]. – [OV 020]. – ISBN 978-80-551-6529-5 </t>
  </si>
  <si>
    <t xml:space="preserve">Rudo Dička - Nepokoj vzdoru [textový dokument (print)]  [knižná publikácia - umelecká (do 2021)] / Haľák, Miroslav [Autor, 60%] ; Fuják, Július [Autor, UKFFFAKKU, 40%]. – 1. vyd. – Čadca (Slovensko) : Vydavateľstvo Magma, 2018. – 120 s. [tlačená forma] : text. – [slovenčina]. – [OV 020]. – ISBN 978-80-89172-45-0 </t>
  </si>
  <si>
    <t xml:space="preserve">Stratený muž [textový dokument (print)]  [knižná publikácia - umelecká (do 2021)] / Harperová, Jane [Autor] ; Klimková, Simona [Prekladateľ, UKFFFAKAA, 100%]. – 1. vyd. – Bratislava (Slovensko) : Tatran, 2020. – 280 s. [tlačená forma]. – [slovenčina]. – [OV 020]. – ISBN 978-80-2221-088-1 </t>
  </si>
  <si>
    <t xml:space="preserve">Terapia [textový dokument (print)]  [knižná publikácia - umelecká (do 2021)] / Fitzek, Sebastian [Autor] ; Zahorák, Andrej [Prekladateľ, UKFFFAKTR, 100%]. – 1. vyd. – Bratislava (Slovensko) : Tatran, 2018. – 224 s. [tlačená forma] : text. – [slovenčina]. – [OV 020]. – ISBN 978-80-222-0931-1 </t>
  </si>
  <si>
    <t xml:space="preserve">Vidéki lyányok énekeskönyve [textový dokument (print)]  [knižná publikácia - umelecká (do 2021)] / Bárcziová, Žofia [Autor, UKFFSSUML, 100%]. – 1. vyd. – Bratislava (Slovensko) : Phoenix Library, 2018. – 144 s. [tlačená forma] : text. – [maďarčina]. – [OV 020]. – ISBN 9788089748211 </t>
  </si>
  <si>
    <t xml:space="preserve">Všetko je poézia [textový dokument (print)]  [knižná publikácia - umelecká (do 2021)] : antológia súčasnej maďarskej poézie v prekladoch do slovenčiny / Rožňová, Jitka [Prekladateľ, UKFFFAKZU, 100%] ; Erős, Kinga [Zostavovateľ, editor] ; Bielik, Miroslav [Zostavovateľ, editor]. – 1. vyd. – Bratislava (Slovensko) : Spolok Slovenských spisovateľov, 2019. – 122 s. [tlačená forma] : text. – [slovenčina]. – [OV 020]. – ISBN 978-80-8194-117-7 </t>
  </si>
  <si>
    <t xml:space="preserve">Zlodej duší [textový dokument (print)]  [knižná publikácia - umelecká (do 2021)] / Fitzek, Sebastian [Autor] ; Zahorák, Andrej [Prekladateľ, UKFFFAKTR, 100%]. – 1. vyd. – Bratislava (Slovensko) : Tatran, 2020. – 224 s. [tlačená forma]. – [slovenčina]. – [OV 020]. – ISBN 978-80-222-1084-3 </t>
  </si>
  <si>
    <t xml:space="preserve">Zradný príliv [knižná publikácia - umelecká (do 2021)] / Harperová, Jane [Autor] ; Klimková, Simona [Prekladateľ, UKFFFAKAA, 100%]. – 1. vyd. – Bratislava (Slovensko) : Tatran, 2021. – 288 s. [tlačená forma] : text. – [slovenčina]. – [OV 020]. – ISBN 978-80-222-1180-2 </t>
  </si>
  <si>
    <t>CBB - Kapitoly v umeleckých monografiách, kapitoly umeleckých prekladov publikácií vydaných v domácich vydavateľstvách</t>
  </si>
  <si>
    <t xml:space="preserve">Utószó = Doslov / Bárcziová, Žofia [Autor, UKFFSSUML, 100%]. – text. – [slovenčina]. – [OV 020]. – [kapitola] In: Tragédia človeka [textový dokument (print)] / Madách, Imré [Autor]. – 1. vyd. – Bratislava (Slovensko) : Madách-Posonium, 2019. – ISBN 978-80-89833-10-8, s. 191-197 [1,05 AH] </t>
  </si>
  <si>
    <t>CDD - Umelecké práce a preklady v domácich karentovaných časopisoch</t>
  </si>
  <si>
    <t xml:space="preserve">Histories of translation(s): On reading the "Histoire des traductions en langue francaise. XXe siecle" / Tyšš, Igor [Autor, UKFFFAKTR, 50%] ; Rondziková, Natália [Autor, 50%]. – [angličtina]. – [OV 020]. – [článok]. – CCC In: World Literature Studies [textový dokument (print)] [elektronický dokument] . – Bratislava (Slovensko) : Slovenská akadémia vied. Pracoviská SAV. Ústav svetovej literatúry. – ISSN 1337-9275. – ISSN (online) 1337-9690. – Roč. 12, č. 1 (2020), 115-126 [tlačená forma] [online] . – SJR: 0,116 ; CiteScore: 0,1 ; SNIP: 0,077 ; AIS: 0.082 AIS - Literature - Q4 Scimago - Literature and literary theory - Q2 </t>
  </si>
  <si>
    <t>CDE - Umelecké práce a preklady v zahraničných nekarentovaných časopisoch</t>
  </si>
  <si>
    <t xml:space="preserve">A mozgás vonalai. Minden dologban / Brezňan, Peter [Autor, UKFFFAULK, 100%]. – text. – [maďarčina]. – [OV 020]. – [článok] In: Tiszatáj [textový dokument (print)] [elektronický dokument] : irodalmi folyóirat. – Szeged (Maďarsko) : Szegedi Szabadművelődési Tanács. – ISSN 0133-1167. – ISSN (online) 1786-2140. – Roč. 73, č. 7-8 (2019), s. 189-189 [tlačená forma] </t>
  </si>
  <si>
    <t xml:space="preserve">Ajándék Mamukának - a selmeci különös hölgy legendáriumából = Darček Mamuke - z legendáriuma štiavnickej divnej pane / Tóth, Anikó [Autor, UKFFSSUML, 100%]. – text. – [maďarčina]. – [OV 020]. – [článok] In: Pannon Tükör [textový dokument (print)] . – Zalaegerszeg (Maďarsko) : Pannon Írók Társasága. – ISSN 1219-6886. – Roč. 26, č. 4 (2021), s. 57-64 [tlačená forma] </t>
  </si>
  <si>
    <t xml:space="preserve">Fehérhajú : A selmeci különös hölgy legendáriumából = Bielovláska : z legendáriuma štiavnickej divnej pane / Tóth, Anikó [Autor, UKFFSSUML, 100%]. – [maďarčina]. – [OV 010]. – [článok] In: Alföld [textový dokument (print)] [elektronický dokument] : irodalmi, művészeti és kritikai folyóirat = Journal of Literature, Art and Criticism. – Debrecín (Maďarsko) : Alfold Alapitvany. – ISSN 0401-3174. – ISSN (online) 1586-698X. – Roč. 71, č. 9 (2020), s. 21-27 [tlačená forma] [online] </t>
  </si>
  <si>
    <t xml:space="preserve">Látlat : a selmeci különös hölgy legendáriumából = Krajinomaľba : z legendáriuma štiavnickej divnej pane / Tóth, Anikó [Autor, UKFFSSUML, 100%]. – text. – [maďarčina]. – [OV 020]. – [článok] In: Jelenkor [textový dokument (print)] [elektronický dokument] : irodalmi és művészeti folyóirat. – Pécs (Maďarsko) : Jelenkor Alapítvány. – ISSN 0447-6425. – ISSN (online) 1588-0885. – Roč. 64, č. 10 (2021), s. 1087-1098 [tlačená forma] [online] </t>
  </si>
  <si>
    <t xml:space="preserve">Leslie Sklair: Námesačne antropocénom / Skačan, Juraj [Prekladateľ, UKFFFAKFI, 50%] ; Sťahelová, Andrea [Prekladateľ, 50%]. – [slovenčina]. – [OV 020]. – [článok] In: Philosophica critica [textový dokument (print)] : medzinárodný vedecký filozofický časopis = international scientific journal of philosophy. – Nitra (Slovensko) : Univerzita Konštantína Filozofa v Nitre. Filozofická fakulta. Katedra filozofie. – ISSN 1339-8970. – ISSN (online) 2585-7479. – Roč. 4, č. 2 (2018), s. 61-72 [tlačená forma] </t>
  </si>
  <si>
    <t xml:space="preserve">Päťdesiat pravidiel stolovania. De quinquaginta curialitatibus ad mensam / Šavelová, Monika [Autor, UKFFFAKRO, 100%]. – text. – [slovenčina]. – [OV 020]. – [článok] In: Proudy [elektronický dokument] : středoevropský časopis pro vědu a literaturu : literární časopis středoevropského centra slovanských studií a ústavu slavistiky FF MU. – Brno (Česko) : Středoevropské centrum slovanských studií. – ISSN (online) 1804-7246. – Roč. 12, č. 1 (2021), s. 1-3 [online] </t>
  </si>
  <si>
    <t xml:space="preserve">Perücke : a selmeci különös hölgy legendáriumából = Perücke : z legendáriuma štiavnickej divnej pane / Tóth, Anikó [Autor, UKFFSSUML, 100%]. – text. – [maďarčina]. – [OV 020]. – [článok] In: Tiszatáj [textový dokument (print)] [elektronický dokument] : irodalmi folyóirat. – Szeged (Maďarsko) : Szegedi Szabadművelődési Tanács. – ISSN 0133-1167. – ISSN (online) 1786-2140. – Roč. 75, č. 10 (2021), s. 7-15 [tlačená forma] </t>
  </si>
  <si>
    <t xml:space="preserve">Spe et sapientia / Tóth, Anikó [Autor, UKFFSSUML, 100%]. – text. – [maďarčina]. – [OV 020]. – [článok] In: Műhely [textový dokument (print)] : kulturális folyóirat = cultural journal. – Győr (Maďarsko) : Műhely Kulturális Folyó Irat. – ISSN 0138-922X. – Roč. 44, č. 3 (2021), s. 35-40 [tlačená forma] </t>
  </si>
  <si>
    <t>CDF - Umelecké práce a preklady v domácich nekarentovaných časopisoch</t>
  </si>
  <si>
    <t xml:space="preserve">Ako sa Hopovi nič nechcelo, Ako sa Hop s každým pohádal, Ako Hop nechcel spať / Inštitorisová, Dagmar [Autor, UKFFFAKMR, 100%]. – text. – [slovenčina]. – [OV 020]. – [článok] In: Romboid [textový dokument (print)] : časopis pre literatúru a umeleckú komunikáciu. – Bratislava (Slovensko) : Zväz slovenských spisovateľov, Bratislava (Slovensko) : Asociácia organizácií spisovateľov Slovenska. – ISSN 0231-6714. – Roč. 53, č. 9-10 (2018), s. 97-102 [tlačená forma] </t>
  </si>
  <si>
    <t xml:space="preserve">Ametyst / Tóth, Anikó [Autor, UKFFSSUML, 100%]. – text. – [maďarčina]. – [OV 020]. – [článok] In: Irodalmi Szemle [textový dokument (print)] [elektronický dokument] : irodalom, kritika, társadalomtudomány. – Bratislava (Slovensko) : Madách-Posonium. – ISSN 1336-5088. – Roč. 62, č. 12 (2019), s. 19-23 [tlačená forma] [online] </t>
  </si>
  <si>
    <t xml:space="preserve">Anglický jazyk a africký spisovateľ / Achebe, Chinua [Autor, 100%] ; Perez, Emília [Prekladateľ, UKFFFAKTR, 100%]. – text. – [slovenčina]. – [OV 020]. – [článok] In: Verzia [elektronický dokument] : časopis zameraný na umelecký preklad. – Bratislava (Slovensko) : DoSlov. – ISSN (online) 2729-7691. – č. 3 (2021), s. 1-4 [online] </t>
  </si>
  <si>
    <t xml:space="preserve">Anketa: Literárne (a kultúrne) časopisy (1. časť) : Básne / Hochel, Igor [Autor, UKFFFASJL, 100%]. – text. – [slovenčina]. – [OV 020]. – [článok] In: Fraktál [textový dokument (print)] : literatúra horizontálne a vertikálne. – Závod (Slovensko) : Fraktál. – ISSN 2585-8912. – Roč. 1, č. 1 (2018), s. 54-57 [tlačená forma] </t>
  </si>
  <si>
    <t xml:space="preserve">Bonyolult kapcsolatban egy hydrochoerus hydrochaerIsszel / Radics, Rudolf [Autor, UKFFSSUML, 100%]. – text. – [maďarčina]. – [OV 020]. – [článok] In: Irodalmi Szemle [textový dokument (print)] [elektronický dokument] : irodalom, kritika, társadalomtudomány. – Bratislava (Slovensko) : Madách-Posonium. – ISSN 1336-5088. – Roč. 63, č. 7-8 (2020), s. 35-36 [tlačená forma] [online] </t>
  </si>
  <si>
    <t xml:space="preserve">Cesta do neznámeho literárneho priestoru / Taneski, Martina [Autor, UKFFFASJL, 100%]. – text. – [slovenčina]. – [OV 020]. – [článok] In: Slovenské pohľady [textový dokument (print)] : na literatúru, umenie a vedu. – Bratislava (Slovensko) : Slovenský spisovateľ, Martin (Slovensko) : Matica slovenská, Bratislava (Slovensko) : Zväz slovenských spisovateľov. – ISSN 1335-7786. – Roč. 4+135, č. 1 (2019), s. 141-142 [tlačená forma] </t>
  </si>
  <si>
    <t xml:space="preserve">Coitusz; A Streptococcus pyogenes szeretetéhsége / Radics, Rudolf [Autor, UKFFSSUML, 100%]. – text. – [maďarčina]. – [OV 010]. – [článok] In: Irodalmi Szemle [textový dokument (print)] [elektronický dokument] : irodalom, kritika, társadalomtudomány. – Bratislava (Slovensko) : Madách-Posonium. – ISSN 1336-5088. – Roč. 62, č. 2 (2019), s. 62-63 [tlačená forma] [online] </t>
  </si>
  <si>
    <t xml:space="preserve">Emlékek városa / Tóth, Anikó [Autor, UKFFSSUML, 100%]. – text. – [maďarčina]. – [OV 020]. – [článok] In: Kalligram [textový dokument (print)] : müvészet és gondolat. – Bratislava (Slovensko) : Kalligram. – ISSN 1335-1826. – Roč. 30, č. 6 (2021), s. 30-38 [tlačená forma] </t>
  </si>
  <si>
    <t xml:space="preserve">Fragmenty / Florková, Janka [Autor, UKFFFASJL, 100%]. – text. – [slovenčina]. – [OV 020]. – [článok] In: Romboid [textový dokument (print)] : časopis pre literatúru a umeleckú komunikáciu. – Bratislava (Slovensko) : Zväz slovenských spisovateľov, Bratislava (Slovensko) : Asociácia organizácií spisovateľov Slovenska. – ISSN 0231-6714. – Roč. 54, č. 7 (2019), s. 17-19 [tlačená forma] </t>
  </si>
  <si>
    <t xml:space="preserve">Je to boj : rozhovor so Susan Hawthorne / Mitková, Natália [Autor, UKFFFASJL, 100%]. – text. – [slovenčina]. – [OV 020]. – [článok] In: Fraktál [textový dokument (print)] : literatúra horizontálne a vertikálne. – Závod (Slovensko) : Fraktál. – ISSN 2585-8912. – Roč. 2, č. 1 (2019), s. 192-192 [tlačená forma] </t>
  </si>
  <si>
    <t xml:space="preserve">Katarína Sienska: List bratovi Raimondovi z Capuy / Šavelová, Monika [Autor, UKFFFAKRO, 100%]. – text. – [slovenčina]. – [OV 020]. – [článok] In: Studi italo-slovacchi [textový dokument (print)] . – Nitra (Slovensko) : Univerzita Konštantína Filozofa v Nitre. Filozofická fakulta, Bratislava (Slovensko) : Slovenská akadémia vied. – ISSN 1338-6778. – Roč. 9, č. 2 (2020), s. 87-90 [tlačená forma] </t>
  </si>
  <si>
    <t xml:space="preserve">Kolibrik Brisighellában / Borkovec, Petr [Autor] ; Száz, Pavol [Prekladateľ, UKFFSSUML, 100%]. – text. – [maďarčina]. – [OV 020]. – [článok] In: Kalligram [textový dokument (print)] : müvészet és gondolat. – Bratislava (Slovensko) : Kalligram. – ISSN 1335-1826. – Roč. 27, č. 3 (2018), s. 33-35 [tlačená forma] </t>
  </si>
  <si>
    <t xml:space="preserve">Kreslo / Brezňan, Peter [Autor, UKFFFAULK, 100%]. – text. – [slovenčina]. – [OV 020]. – [článok] In: Vlna [textový dokument (print)] : časopis o súčasnom umení a kultúre. – Bratislava (Slovensko) : Drewo a srd. – ISSN 1335-5341. – ISSN (chybné) ISSN 1335-969X. – Roč. 22, č. 82 (2020), s. 88-91 [tlačená forma] </t>
  </si>
  <si>
    <t xml:space="preserve">Morris Zapp východnej Európy / Debnár, Marek [Autor, UKFFFAKAE 06.2022, 100%]. – text. – [slovenčina]. – [OV 020]. – [článok] In: Fraktál [textový dokument (print)] : literatúra horizontálne a vertikálne. – Závod (Slovensko) : Fraktál. – ISSN 2585-8912. – Roč. 1, č. 2 (2018), s. 176-177 [tlačená forma] </t>
  </si>
  <si>
    <t xml:space="preserve">Olyan = Olyan / Tóth, Anikó [Autor, UKFFSSUML, 100%]. – text. – [maďarčina]. – [OV 020]. – [článok] In: Irodalmi Szemle [textový dokument (print)] [elektronický dokument] : irodalom, kritika, társadalomtudomány. – Bratislava (Slovensko) : Madách-Posonium. – ISSN 1336-5088. – Roč. 62, č. 9 (2019), s. 37-42 [tlačená forma] [online] </t>
  </si>
  <si>
    <t xml:space="preserve">Prieskum pohybu : rozhľadňa / Debnár, Marek [Autor, UKFFFAKAE 06.2022, 100%]. – text. – [slovenčina]. – [OV 020]. – [článok] In: Fraktál [textový dokument (print)] : literatúra horizontálne a vertikálne. – Závod (Slovensko) : Fraktál. – ISSN 2585-8912. – Roč. 1, č. 1 (2018), s. 148-148 [tlačená forma] </t>
  </si>
  <si>
    <t xml:space="preserve">Raymond Carver: Lož / Carver, Raymond [Autor] ; Mitková, Natália [Prekladateľ, UKFFFASJL, 100%]. – text. – [slovenčina]. – [OV 020]. – [článok] In: Revue svetovej literatúry [textový dokument (print)] . – Bratislava (Slovensko) : Slovenský spisovateľ, Bratislava (Slovensko) : Slovenská spoločnosť prekladateľov umeleckej literatúry. – ISSN 0231-6269. – Roč. 54, č. 2 (2018), s. 142-144 [tlačená forma] </t>
  </si>
  <si>
    <t xml:space="preserve">Stanica / Tóth, Anikó [Autor, UKFFSSUML, 100%]. – text. – [slovenčina]. – [OV 020]. – [článok] In: Kalligram [textový dokument (print)] : müvészet és gondolat. – Bratislava (Slovensko) : Kalligram. – ISSN 1335-1826. – Roč. 29, č. 12 (2020), s. 17-31 [tlačená forma] </t>
  </si>
  <si>
    <t xml:space="preserve">Umberto Eco: Dante a islam / Šavelová, Monika [Autor, UKFFFAKRO, 100%]. – text. – [slovenčina]. – [OV 020]. – [článok] In: Studi italo-slovacchi [textový dokument (print)] . – Nitra (Slovensko) : Univerzita Konštantína Filozofa v Nitre. Filozofická fakulta, Bratislava (Slovensko) : Slovenská akadémia vied. – ISSN 1338-6778. – Roč. 7, č. 2 (2018), s. 67-68 [tlačená forma] </t>
  </si>
  <si>
    <t>CEC - Umelecké práce, dramatické diela, scenáre a preklady v zborníkoch, knižných publikáciách a skupinových katalógoch vydaných v zahraničných vydavateľstvách</t>
  </si>
  <si>
    <t xml:space="preserve">Valahol az Egy és a Végtelen között / Radics, Rudolf [Autor, UKFFSSUML, 100%]. – [maďarčina]. – [OV 020]. – [kapitola] In: Kortárs hangon '19 [textový dokument (print)] : Válogatás az Esterházy Károly Egyetem, és a Miskolci Egyetem nemzetközi hallgatói irodalmi pályázatából / [bez zostavovateľa] [Zostavovateľ, editor]. – 1. vyd. – Eger (Maďarsko) : Eszterházy Károly Egyetem, 2019. – ISSN 1789-9095, s. 49-50 </t>
  </si>
  <si>
    <t>CED - Umelecké práce, dramatické diela, scenáre a preklady v zborníkoch, knižných publikáciách a skupinových katalógoch vydaných v domácich vydavateľstvách</t>
  </si>
  <si>
    <t xml:space="preserve">Jan Antonín Pitínský v Nitre / Ballay, Miroslav [Autor, UKFFFAKKU, 100%]. – text. – [slovenčina]. – [OV 020]. – [kapitola] In: Divadlo Andreja Bagara - 70 [textový dokument (print)] / Civáňová, Slavka [Zostavovateľ, editor]. – 1. vyd. – Nitra (Slovensko) : DAB, 2019. – ISBN 978-80-8190-059-4, s. 217-223 </t>
  </si>
  <si>
    <t xml:space="preserve">Nikola Madžirov : básne / Taneski, Martina [Autor, UKFFFASJL, 90%] ; Taneski, Zvonko [Autor, UKOFISF, 10%]. – text. – [slovenčina]. – [OV 020]. – [kapitola] In: Ars poetica 19 [textový dokument (print)] : antológia z tvorby účastníkov 17. ročníka medzinárodného festivalu poézie Ars Poetica / Solotruk, Martin [Zostavovateľ, editor]. – 1. vyd. – Bratislava (Slovensko) : Ars Poetica, 2019. – ISBN 978-80-89963-13-3, s. 277-285 [tlačená forma] </t>
  </si>
  <si>
    <t xml:space="preserve">Svetozár Sprušanský - dramaturg a režisér DAB / Ballay, Miroslav [Autor, UKFFFAKKU, 100%]. – text. – [slovenčina]. – [OV 020]. – [kapitola] In: Divadlo Andreja Bagara - 70 [textový dokument (print)] / Civáňová, Slavka [Zostavovateľ, editor]. – 1. vyd. – Nitra (Slovensko) : DAB, 2019. – ISBN 978-80-8190-059-4, s. 185-207 </t>
  </si>
  <si>
    <t xml:space="preserve">Vietor bolo počuť už tisíckrát / Vilím, Erik [Autor, UKFFFAULK, 100%]. – [slovenčina]. – [OV 020]. – [kapitola] In: Salón Bunker Galéria mladých [textový dokument (print)] : súhrnný katalóg k výstavám z výzvy za rok 2017 / Mirza, Omar [Zostavovateľ, editor]. – 1. vyd. – Nitra (Slovensko) : Nitrianska galéria, 2018. – ISBN 978-80-85746-78-5, s. 78-82 [tlačená forma] </t>
  </si>
  <si>
    <t xml:space="preserve">Výnimočné inscenácie zahraničných režisérov / Ballay, Miroslav [Autor, UKFFFAKKU, 100%]. – text. – [slovenčina]. – [OV 020]. – [kapitola] In: Divadlo Andreja Bagara - 70 [textový dokument (print)] / Civáňová, Slavka [Zostavovateľ, editor]. – 1. vyd. – Nitra (Slovensko) : DAB, 2019. – ISBN 978-80-8190-059-4, s. 207-217 </t>
  </si>
  <si>
    <t>CKB - Katalóg k výstave (viac ako 1 AH alebo aspoň 20 normostrán) vydaný doma</t>
  </si>
  <si>
    <t xml:space="preserve">Šesťdesiatka [textový dokument (print)]  [iný] = Sixty / Récka, Adriana [Autor, UKFPFAKVV, 100%]. – 1. vyd. – Nitra (Slovensko) : Univerzita Konštantína Filozofa v Nitre, 2020. – 83 s. [tlačená forma] : text. – [slovenčina]. – [OV 010]. – ISBN 978-80-558-1500-8 </t>
  </si>
  <si>
    <t>DAI - Dizertačné a habilitačné práce</t>
  </si>
  <si>
    <t xml:space="preserve">Association Potential of Precedent Character Lexical Units (Slovak-Russian Aspect) [textový dokument (print)]  [iný] / Bilčíková, Miriama [Autor, UKFFFAKRU, 100%] ; Korina, Natália [Recenzent] ; Iermachkova, Olga [Recenzent]. – 1. vyd. – Brno (Česko) : Tribun EU, 2021. – 126 s. [tlačená forma] : text. – [angličtina]. – [OV 020]. – ISBN 978-80-263-1669-5 </t>
  </si>
  <si>
    <t xml:space="preserve">Československo - národný štát Čechoslovákov? [textový dokument (print)]  [iný] : Úloha slovenskej otázky v československej medzivojnovej politike / Arpáš, Róbert [Autor, UKFFFAKHI, 100%]. – 1. vyd. – Nitra (Slovensko) : Univerzita Konštantína Filozofa v Nitre, 2020. – 39 s. [3,11 AH] [tlačená forma] : text. – [slovenčina]. – [OV 030]. – ISBN 978-80-558-1537-4 </t>
  </si>
  <si>
    <t xml:space="preserve">Funkcia nádob v pohrebných zvyklostiach v dobe laténskej [textový dokument (print)]  [iný] : habilitačná práca / Repka, Dominik [Autor, UKFFFAKAR, 100%]. – 1. vyd. – Nitra (Slovensko) : Univerzita Konštantína Filozofa v Nitre, 2021. – 256 s. [tlačená forma] : text, ilustr., fotogr., mapy. – [slovenčina]. – [OV 030] </t>
  </si>
  <si>
    <t xml:space="preserve">Kyberzombie [textový dokument (print)]  [iný] : metamorfózy digitálnych domorodcov / Reiser, Michal [Autor, UKFFFAKKU, 100%] ; Soukup, Václav [Recenzent] ; Sucharek, Pavol [Recenzent]. – 1. vyd. – Nitra (Slovensko) : Univerzita Konštantína Filozofa v Nitre, 2018. – 158 s. [tlačená forma] : text. – [slovenčina]. – [OV 060]. – ISBN 978-80-558-1371-4 </t>
  </si>
  <si>
    <t xml:space="preserve">Meranie čítania s porozumením v druhom cudzom jazyku [textový dokument (print)]  [iný] / Lalinská, Mária [Autor, UKFFFAKRO, 100%] ; Gadušová, Zdenka [Recenzent] ; Butašová, Anna [Recenzent]. – 1. vyd. – Praha (Česko) : Verbum, 2020. – 128 s. [tlačená forma]. – [slovenčina]. – [OV 010]. – ISBN 978-80-87800-66-9 </t>
  </si>
  <si>
    <t xml:space="preserve">Pojem krízy v environmentálnom myslení [textový dokument (print)]  [iný] / Sťahel, Richard [Autor, UKFFFAKFI, 100%] ; Šlosiar, Ján [Recenzent] ; Špirko, Dušan [Recenzent]. – 1. vyd. – Bratislava (Slovensko) : IRIS - Vydavateľstvo a tlač, 2019. – 192 s. [tlačená forma] : text. – [slovenčina]. – [OV 020]. – ISBN 978-80-8200-038-5 </t>
  </si>
  <si>
    <t xml:space="preserve">Poľnohospodárstvo Slovenska po vstupe do Európskej únie - vybrané problémy [textový dokument (print)]  [iný] / Némethová, Jana [Autor, UKFFPVKGR, 100%]. – 1. vyd. – Prešov (Slovensko) : Prešovská univerzita v Prešove, 2021. – 344 s. [tlačená forma]. – [slovenčina]. – [OV 092]. – [recenzované] </t>
  </si>
  <si>
    <t xml:space="preserve">Práca sociálneho pedagóga a školského špeciálneho pedagóga so žiakmi s problémovým správaním [textový dokument (print)]  [iný] / Jedličková, Petra [Autor, UKFPFAKPE, 100%] ; Hroncová, Jolana [Recenzent] ; Seidler, Peter [Recenzent]. – 1. vyd. – Nitra (Slovensko) : Univerzita Konštantína Filozofa v Nitre, 2019. – 169 s. [tlačená forma] : text. – [slovenčina]. – [OV 010]. – ISBN 978-80-558-1473-5 </t>
  </si>
  <si>
    <t xml:space="preserve">Právny preklad a jeho translačné modely - teória a prax [textový dokument (print)]  [iný] = Legal translation and its translation models - theory and practice / Wrede, Oľga [Autor, UKFFFAKGE, 100%]. – 1. vyd. – Nitra (Slovensko) : Univerzita Konštantína Filozofa v Nitre, 2021. – 34 s. [tlačená forma] : text. – [slovenčina]. – [OV 020]. – ISBN 978-80-558-1691-3 </t>
  </si>
  <si>
    <t xml:space="preserve">Priestorovo-štatistické analýzy a modelovanie vo výskume krajiny a jej procesov [textový dokument (print)]  [iný] / Vojteková, Jana [Autor, UKFFPVKGR, 100%] ; Kolejka, Jaromír [Recenzent] ; Hronček, Pavel [Recenzent] ; Michaeli, Eva [Recenzent]. – 1. vyd. – Prešov (Slovensko) : Prešovská univerzita v Prešove, 2021. – 285 s. [tlačená forma]. – [slovenčina]. – [OV 092] </t>
  </si>
  <si>
    <t xml:space="preserve">Rozkoš zdania a poznania [textový dokument (print)]  [iný] : popkultúra ako skúsenosť / Malíček, Juraj [Autor, UKFFFAULK, 100%] ; Mistrík, Erich [Recenzent] ; Rusnák, Juraj [Recenzent]. – 1. vyd. – Nitra (Slovensko) : Univerzita Konštantína Filozofa v Nitre, 2021. – 145 s. [tlačená forma] : text. – [slovenčina]. – [OV 020]. – ISBN 978-80-558-1659-3 </t>
  </si>
  <si>
    <t xml:space="preserve">Syndróm vyhorenia u pracovníkov sociálnoprávnej ochrany detí a sociálnej kurately [iný] : habilitačná práca / Gažiková, Elena [Autor, UKFFSVKSP, 100%]. – 1. vyd. – Nitra (Slovensko) : [vlastným nákladom], 2018. – 137 s. [tlačená forma]. – [slovenčina]. – [OV 060] </t>
  </si>
  <si>
    <t xml:space="preserve">Štýl výchovy a osobnostné charakteristiky vo vzťahu k motivácii voľby učiteľského povolania [textový dokument (print)]  [iný] / Tomšik, Robert [Autor, UKFPFAKPE, 100%]. – 1. vyd. – Nitra (Slovensko) : Univerzita Konštantína Filozofa v Nitre, 2018. – 142 s. [tlačená forma]. – [slovenčina]. – [OV 010] </t>
  </si>
  <si>
    <t>EAI - Prehľadové práce</t>
  </si>
  <si>
    <t xml:space="preserve">Viviparia ruskej personalistickej filozofie [textový dokument (print)]  [prehľadová práca (do 2021)] / Pružinec, Tomáš [Autor, UKFFFAKFI, 100%] ; Vašek, Martin [Recenzent] ; Rusnák, Petar [Recenzent]. – 1. vyd. – Prešov (Slovensko) : Vydavateľstvo Michala Vaška, 2018. – 107 s. [tlačená forma] : text. – [slovenčina]. – [OV 020]. – ISBN 978-80-8198-024-4 </t>
  </si>
  <si>
    <t>EAJ - Odborné preklady publikácií</t>
  </si>
  <si>
    <t xml:space="preserve">Camillo Bortolato: Učím sa lietať. Tvorím, premýšľam, počítam [textový dokument (print)] : Kompletná predškolská príprava jednoducho a prirodzene / Kučerková, Magda [Prekladateľ, UKFFFAKRO, 100%]. – 1. vyd. – Nitra (Slovensko) : Enigma Publishing, 2019. – 62 s. [tlačená forma]. – [slovenčina]. – [OV 020]. – ISBN 978-80-8133-078-0 </t>
  </si>
  <si>
    <t xml:space="preserve">Dejiny Sedmohradska [textový dokument (print)] / Pop, Ioan-Aurel [Autor, 50%] ; Bolovan, Ioan [Autor, 50%] ; Páleníková, Jana [Prekladateľ, UKOFIRO, 40%] ; Kopecký, Peter [Prekladateľ, UKFFFAKTR, 27%] ; Dorko, Martin [Prekladateľ, UKOFIRO, 33%]. – 1. vyd. – Bratislava (Slovensko) : Anapress, 2018. – 374 s. [tlačená forma] : text. – [slovenčina]. – [OV 020]. – ISBN 978-80-89137-99-2. – SIGN-UKO FI 15/18 RO </t>
  </si>
  <si>
    <t xml:space="preserve">Finding my Virginity [textový dokument (print)] : môj druhý životopis / Branson, Richard [Autor] ; Ďuračková, Beáta [Prekladateľ, UKFFFAKTR, 100%]. – 1. vyd. – Bratislava (Slovensko) : Eastone Group, 2018. – 536 s. [tlačená forma] : text. – [slovenčina]. – [OV 020]. – ISBN 978-80-81093-61-6 </t>
  </si>
  <si>
    <t xml:space="preserve">Megismerjük a reményt [textový dokument (print)] : katolikus hittankönyv az alapiskolák negyedik osztályos tanulói számára / Bacigál, Patrik [Autor, 50%] ; Štibraná, Ivana [Autor, 50%] ; Petres Csizmadia, Gabriela [Prekladateľ, UKFFSSUML, 100%]. – 1. vyd. – Trnava (Slovensko) : Spolok svätého Vojtecha, 2018. – 176 s. [tlačená forma] : text. – [maďarčina]. – [OV 010]. – ISBN 978-80-8161-331-9. – SIGN-UKO 127/18 </t>
  </si>
  <si>
    <t xml:space="preserve">Nemzeti kisebbségek - ismerkedjünk meg [textový dokument (print)] / Hrbáček, Magdaléna [Prekladateľ, UKFFSSUSJ, 100%]. – 1. vyd. – Bratislava (Slovensko) : Štátny pedagogický ústav, 2020. – 132 s. [tlačená forma] : text. – [maďarčina]. – [OV 060]. – ISBN 978-80-8118-245-7 </t>
  </si>
  <si>
    <t xml:space="preserve">Nové Zámky 2 [textový dokument (print)] : (od zbúrania hradu po koniec II. svetovej vojny) 1724 - 1945 / Strba, Sándor [Autor] ; Rožňová, Jitka [Prekladateľ, UKFFFAKZU, 80%] ; Kapitáňová, Daniela [Prekladateľ, 20%]. – 1. vyd. – Nové Zámky (Slovensko) : [vlastným nákladom], 2018. – 334 s. [tlačená forma] : text. – [slovenčina]. – [OV 020]. – ISBN 978-80-570-0108-9 </t>
  </si>
  <si>
    <t xml:space="preserve">Novozámocký turistický sprievodca [textový dokument (print)] = Tourist Guidebook of Nové Zámky / Rožňová, Jitka [Prekladateľ, UKFFFAKZU, 100%]. – 1. vyd. – Bratislava (Slovensko) : Letterpress, 2019. – 80 s. [tlačená forma] : text. – [slovenčina]. – [OV 092, 020]. – ISBN 978-80-570-1004-3 </t>
  </si>
  <si>
    <t xml:space="preserve">Pénzügyek a gyakorlatban B [textový dokument (print)] : ajánlott az alapiskola 8. és a nyolcosztályos gimnáziumok 3. évfolyamától / Tóth, Peter [Autor, 50%] ; Dillingerová, Monika [Autor, 50%] ; Szekeres, Ladislav [Prekladateľ, UKFFSSUVP, 100%] ; Bočkayová, Anna [Recenzent] ; Matoušková, Ľudmila [Recenzent]. – 1. vyd. – Bratislava (Slovensko) : ABCedu, 2021. – 80 s. [tlačená forma] : text. – [maďarčina]. – [OV 010, 240]. – ISBN 978-80-99973-42-9. – SIGN-UKO MF21-0755 </t>
  </si>
  <si>
    <t xml:space="preserve">Pénzügyek a gyakorlatban B [textový dokument (print)] : ajánlott az alapiskola 8. és a nyolcosztályos gimnáziumok 3. évfolyamától / Tóth, Peter [Autor, 50%] ; Dillingerová, Monika [Autor, 50%] ; Szekeres, Ladislav [Prekladateľ, UKFFSSUVP, 100%] ; Bočkayová, Anna [Recenzent] ; Matoušková, Ľudmila [Recenzent]. – 1. vyd. – Bratislava (Slovensko) : ABCedu, 2021. – 80 s. [tlačená forma] : text. – [maďarčina]. – [OV 010, 240]. – ISBN 978-80-99973-41-2. – SIGN-UKO MF21-0756 </t>
  </si>
  <si>
    <t xml:space="preserve">Veľký pán Dunaj [textový dokument (print)] : antológia poézie klasikov národných literatúr podunajských štátov / Rožňová, Jitka [Prekladateľ, UKFFFAKZU, 100%] ; Bielik, Miroslav [Zostavovateľ, editor, 100%]. – 1 vyd. – Bratislava (Slovensko) : Spolok Slovenských spisovateľov, 2019. – 378 s. [tlačená forma] : text. – [slovenčina]. – [OV 020]. – ISBN 978-80-8194-098-9 </t>
  </si>
  <si>
    <t xml:space="preserve">Život starca Paisija Svätohorského - 2. diel [textový dokument (print)] / Isaak, Jeromních [Autor, 100%] ; Zozuľak, Ján [Prekladateľ, UKFFFAKFI, 100%]. – 1. vyd. – Bratislava (Slovensko) : Futurum primum, 2020. – 344 s. [tlačená forma] : text. – [slovenčina]. – [OV 020]. – ISBN 978-80-971806-3-8 </t>
  </si>
  <si>
    <t>EDI - Recenzie v časopisoch a zborníkoch</t>
  </si>
  <si>
    <t xml:space="preserve">​Henčová, K. - Javorská, A. - Špirko,D. - Sťahel, R.: Kapitoly z dejín environmentálneho myslenia / Jančiar, Peter [Autor, UKFFFAKFI, 100%]. – text. – [slovenčina]. – [OV 020]. – [recenzia - ČL] In: Philosophica critica [textový dokument (print)] : medzinárodný vedecký filozofický časopis = international scientific journal of philosophy. – Nitra (Slovensko) : Univerzita Konštantína Filozofa v Nitre. Filozofická fakulta. Katedra filozofie. – ISSN 1339-8970. – ISSN (online) 2585-7479. – Roč. 5, č. 1 (2019), s. 69-72 [tlačená forma] </t>
  </si>
  <si>
    <t xml:space="preserve">(Meta)philosophy - Practice / Skačan, Juraj [Autor, UKFFFAKFI, 100%]. – text. – [angličtina]. – [OV 020]. – [recenzia - ČL]. – WOS CC In: Filozofia [textový dokument (print)] [elektronický dokument] . – Bratislava (Slovensko) : Slovenská akadémia vied. Pracoviská SAV. Filozofický ústav. – ISSN 0046-385X. – ISSN (online) 2585-7061. – Roč. 73, č. 4 (2018), s. 79-83 [tlačená forma] [online] . – SJR: 0,201 ; CiteScore: 0,4 ; SNIP: 0,808 Scimago - Religious studies - Q1 </t>
  </si>
  <si>
    <t xml:space="preserve">,,Keď sa dotkneš lipicana, dotýkaš sa dejín" / Smiešková, Lucia [Autor, UKFFFASJL, 100%]. – text. – [slovenčina]. – [OV 020]. – [recenzia - ČL] In: Knižná revue [textový dokument (print)] [elektronický dokument] : mesačník o nových knihách. – Bratislava (Slovensko) : Literárne informačné centrum. – ISSN 1210-1982. – ISSN (online) 1336-247X. – Roč. 29, č. 10 (2019), s. 26-27 [tlačená forma] [online] Rec: Čistá biela rasa [textový dokument (print)] / Westerman, Frank [Autor]. – 1. vyd. – Žilina (Slovensko) : Absynt, 2019. – 281 s. [tlačená forma]. – ISBN 978-80-8203-087-0 </t>
  </si>
  <si>
    <t xml:space="preserve">... na jeden človečí dotyk / Inštitorisová, Dagmar [Autor, UKFFFAKMR, 100%]. – text. – [slovenčina]. – [OV 020]. – [recenzia - KP] In: Radošinské naivné divadlo [textový dokument (print)] : divadelná ročenka / Hubáček, Ladislav [Zostavovateľ, editor]. – 1. vyd. – Bratislava (Slovensko) : Agentúra RND, 2021. – ISBN 978-80-973114-5-2, s. 31-32 [tlačená forma] Rec: Mužské oddelenie / Štepka, Stanislav [Autor]. – vyd. – Bratislava (Slovensko) : Radošinske naivné divadlo, 2019 </t>
  </si>
  <si>
    <t xml:space="preserve">“Sussidiario” - la parte integrante per gli studi di italianistica / Kováčová, Katarína [Autor, UKFFFAKRO, 100%]. – text. – [taliančina]. – [OV 020]. – [recenzia - ČL] In: Studi italo-slovacchi [textový dokument (print)] . – Nitra (Slovensko) : Univerzita Konštantína Filozofa v Nitre. Filozofická fakulta, Bratislava (Slovensko) : Slovenská akadémia vied. – ISSN 1338-6778. – Roč. 9, č. 2 (2020), s. 84-86 [tlačená forma] </t>
  </si>
  <si>
    <t xml:space="preserve">„Pohyb v kruhu možno nie je nezmyselný. Možno je to rovnováha“ : Rudolf Jurolek: Pán Ó / Lietavec, Tomáš [Autor, UKFFFAULK, 100%]. – text. – [slovenčina]. – [OV 020]. – [recenzia - ČL] In: Fraktál [textový dokument (print)] : literatúra horizontálne a vertikálne. – Závod (Slovensko) : Fraktál. – ISSN 2585-8912. – Roč. 1, č. 4 (2018), s. 137-139 [tlačená forma] Rec: Pán Ó [textový dokument (print)] / Jurolek, Rudolf [Autor]. – Ivanka pri Dunaji (Slovensko) : F. R. &amp; G., 2017. – 136 s. [tlačená forma]. – ISBN 978-80-8949-947-2 </t>
  </si>
  <si>
    <t xml:space="preserve">44 dopisu z tekutého moderního světa / Jakubovská, Viera [Autor, UKFFFAKFI, 100%]. – text. – [slovenčina]. – [OV 010]. – [recenzia - ČL] In: Mládež a spoločnosť [textový dokument (print)] : slovenský časopis pre štátnu politiku a výskum mládeže = Slovak journal for state policy and youth research. – Bratislava (Slovensko) : Centrum vedecko-technických informácií SR. – ISSN 1335-1109. – Roč. 26, č. 2 (2020), s. 69-74 [tlačená forma] Rec: 44 dopisů z tekutého moderního světa [textový dokument (print)] / Bauman, Zygmunt [Autor]. – 1. vyd. – Praha (Česko) : Sociologické nakladatelství, 2019. – 239 s. [tlačená forma]. – ISBN 978-80-7419-276-0 </t>
  </si>
  <si>
    <t xml:space="preserve">A few comments on disciplinary differences in academic publishing / Kozáčiková, Zuzana [Autor, UKFFFAKAA, 100%]. – text. – [angličtina]. – [OV 020]. – [recenzia - KP]. – [recenzované] In: New Horizons in English Studies [elektronický dokument] / Bendrat, Anna [Zostavovateľ, editor]. – 1. vyd. – Roč. 6. – Lublin (Poľsko) : Uniwersytet Marii Curie-Skłodowskiej. Wydawnictwo Uniwersytetu Marii Curie-Skłodowskiej, 2021. – ISSN (online) 2543-8980, s. 242-244 [online] </t>
  </si>
  <si>
    <t xml:space="preserve">Abbasová, Veronika: Fanfikce. Ženská literatura nového věku / Boszorád, Martin [Autor, UKFFFAULK, 100%]. – text. – [slovenčina]. – [OV 020]. – [recenzia - ČL] In: Litikon [textový dokument (print)] : časopis pre výskum literatúry = journal for literature research. – Nitra (Slovensko) : Univerzita Konštantína Filozofa v Nitre. – ISSN 2453-8507. – Roč. 4, č. 1 (2019), s. 305-307 [tlačená forma] Rec: Fanfikce : ženská literatura nového věku / Abbasová, Veronika [Autor]. – 1. – Praha (Česko) : Univerzita Karlova v Praze, 2018. – 174 s. [tlačená forma] </t>
  </si>
  <si>
    <t xml:space="preserve">Abeceda identity / Búry, Juraj [Autor, UKFFFAULK, 100%]. – text. – [slovenčina]. – [OV 020]. – [recenzia - ČL] In: Knižná revue [textový dokument (print)] [elektronický dokument] : mesačník o nových knihách. – Bratislava (Slovensko) : Literárne informačné centrum. – ISSN 1210-1982. – ISSN (online) 1336-247X. – Roč. 28, č. 6 (2018), s. 32-32 [tlačená forma] [online] Rec: Chymeros - Stopy vedú do temnoty / Hevier, Daniel [Autor]. – 1. vyd. – Bratislava (Slovensko) : Trio Publishing, 2018. – 208 s. [tlačená forma]. – ISBN 9788081700439 </t>
  </si>
  <si>
    <t xml:space="preserve">Acta onomastica 59. (2018) / Bauko, Ján [Autor, UKFFSSUML, 100%]. – text. – [maďarčina]. – [OV 020]. – [recenzia - ČL] In: Névtani Értesítő [textový dokument (print)] [elektronický dokument] . – Budapešť (Maďarsko) : Magyar nyelvtudományi társaság, Budapešť (Maďarsko) : Eötvös Loránd Tudományegyetem. ELTE Bölcsészettudományi Kar. Magyar Nyelvtudományi és Finnugor Intézet. – ISSN 0139-2190. – ISSN (online) 2064-7484. – Roč. 41, č. 1 (2019), s. 264-266 [tlačená forma] . – SJR: 0,1 ; CiteScore: 0,4 Scimago - Language and linguistics - Q4, Linguistics and language - Q4 </t>
  </si>
  <si>
    <t xml:space="preserve">Acta onomastica 60. (2019) / Bauko, Ján [Autor, UKFFSSUML, 100%]. – text. – [maďarčina]. – [OV 020]. – [recenzia - ČL] In: Névtani Értesítő [textový dokument (print)] [elektronický dokument] . – Budapešť (Maďarsko) : Magyar nyelvtudományi társaság, Budapešť (Maďarsko) : Eötvös Loránd Tudományegyetem. ELTE Bölcsészettudományi Kar. Magyar Nyelvtudományi és Finnugor Intézet. – ISSN 0139-2190. – ISSN (online) 2064-7484. – Roč. 42, č. 3 (2020), s. 299-301 [tlačená forma] . – SJR: 0,244 ; CiteScore: 0,4 ; SNIP: 0,409 Scimago - Language and linguistics - Q2, Linguistics and language - Q2 </t>
  </si>
  <si>
    <t xml:space="preserve">Adrián Demoč: Žiadba / Fuják, Július [Autor, UKFFFAKKU, 100%]. – text. – [slovenčina]. – [OV 020]. – [recenzia - ČL] In: Vlna [textový dokument (print)] : časopis o súčasnom umení a kultúre. – Bratislava (Slovensko) : Drewo a srd. – ISSN 1335-5341. – ISSN (chybné) ISSN 1335-969X. – Roč. 22, č. 82 (2020), s. 138-139 [tlačená forma] </t>
  </si>
  <si>
    <t xml:space="preserve">Agnieszka Janiec-Nyitrai: V labyrintu možností. Dvanáct literárněvědných studií o próze Karla Čapka / Timko, Štefan [Autor, UKFFSSUSJ, 100%]. – text. – [slovenčina]. – [OV 020]. – [recenzia - ČL] In: World Literature Studies [textový dokument (print)] [elektronický dokument] . – Bratislava (Slovensko) : Slovenská akadémia vied. Pracoviská SAV. Ústav svetovej literatúry. – ISSN 1337-9275. – ISSN (online) 1337-9690. – Roč. 10, č. 2 (2018), s. 130-131 [tlačená forma] [online] . – SNIP: 0,292 ; SJR: 0,214 ; CiteScore: 0,2 Rec: V labyrintu možností [textový dokument (print)] : dvanáct literárněvědných studií o próze Karla Čapka / Janiec Nyitrai, Agnieszka [Autor]. – vyd. – Budapešť (Maďarsko) : ELTE Eötvös Kiadó, 2016. – 200 s. [tlačená forma]. – ISBN 978-963-284-783-2 Scimago - Literature and literary theory - Q1 </t>
  </si>
  <si>
    <t xml:space="preserve">Aké čítanie? Veľmi dobré! / Búry, Juraj [Autor, UKFFFAULK, 100%]. – [slovenčina]. – [OV 020]. – [recenzia - ČL] In: Knižná revue [textový dokument (print)] [elektronický dokument] : mesačník o nových knihách. – Bratislava (Slovensko) : Literárne informačné centrum. – ISSN 1210-1982. – ISSN (online) 1336-247X. – Roč. 28, č. 2 (2018), s. 39-39 [tlačená forma] [online] Rec: Fantázia 2017 [textový dokument (print)] / Aľakša, Ivan [Autor] ; Lackovičová, Lucia [Autor]. – 1. vyd. – Šaľa (Slovensko) : Fantázia, 2017. – 432 s. [tlačená forma]. – ISBN 978-80-89823-06-2 </t>
  </si>
  <si>
    <t xml:space="preserve">Alain de Benoist: Být pohanem / Vašek, Martin [Autor, UKFFFAKFI, 100%]. – text. – [slovenčina]. – [OV 020]. – [recenzia - ČL] In: Philosophica critica [textový dokument (print)] : medzinárodný vedecký filozofický časopis = international scientific journal of philosophy. – Nitra (Slovensko) : Univerzita Konštantína Filozofa v Nitre. Filozofická fakulta. Katedra filozofie. – ISSN 1339-8970. – ISSN (online) 2585-7479. – Roč. 6, č. 1 (2020), s. 78-80 [tlačená forma] Rec: Být pohanem [textový dokument (print)] / de Benoist, Alain [Autor]. – 1. vyd. – Zvolen (Slovensko) : SOL NOCTIS, 2019. – 280 s. [tlačená forma]. – ISBN 978-80-9732-920-4 </t>
  </si>
  <si>
    <t xml:space="preserve">Alapok : Keserű József: Bevezetés az irodalomtudományba / Hegedüs, Orsolya [Autor, UKFFSSUVP, 100%]. – text. – [maďarčina]. – [OV 020]. – [recenzia - ČL] In: Opus [textový dokument (print)] : szlovákiai magyar írók folyóirata. – Dunajská Streda (Slovensko) : Szlovákiai Magyar Írók Társasága. – ISSN 1338-0265. – Roč. 10, č. 2 (2018), s. 91-93 [tlačená forma] Rec: Bevezetés az irodalomtudományba [učebnica pre vysoké školy (do 2021)] / Keserű, József [Autor, 100%] ; Andruška, Peter [Recenzent] ; Nagy, Péter [Recenzent]. – 1. vyd. – Komárno (Slovensko) : Univerzita J. Selyeho, 2016. – 91 s. [5,29 AH]. – ISBN 978-80-8122-174-3 </t>
  </si>
  <si>
    <t xml:space="preserve">Alejí snů a reflexí / Mikulášek, Alexej [Autor, UKFFSSUSJ, 100%]. – [slovenčina]. – [OV 020]. – [recenzia - ČL] In: Stredoeurópske pohľady [textový dokument (print)] [elektronický dokument] : časopis pre jazyk, literatúru, kultúru a médiá. – Nitra (Slovensko) : Univerzita Konštantína Filozofa v Nitre. Fakulta stredoeurópskych štúdií. Ústav stredoeurópskych jazykov a kultúr. – ISSN 2644-6367. – ISSN (online) 2644-6472. – Roč. 1, č. 2 (2019), s. 67-69 [tlačená forma] [online] Rec: Osmičky galaxie / Leikert, Jozef [Autor]. – 1. vyd. – Praha (Česko) : Bona  fide, 2018. – 62 s. [tlačená forma]. – ISBN 9788096965496 </t>
  </si>
  <si>
    <t xml:space="preserve">Alla scoperta delle origini della letteratura italiana / Jaščurová, Jana [Autor, UKFFFAKRO, 100%]. – text. – [taliančina]. – [OV 020]. – [recenzia - ČL] In: Studi italo-slovacchi [textový dokument (print)] . – Nitra (Slovensko) : Univerzita Konštantína Filozofa v Nitre. Filozofická fakulta, Bratislava (Slovensko) : Slovenská akadémia vied. – ISSN 1338-6778. – Roč. 9, č. 2 (2020), s. 82-83 [tlačená forma] </t>
  </si>
  <si>
    <t xml:space="preserve">Andragogické aspekty využívania voľného času / Koricina, Michal [Autor, UKFPFAKPE, 100%]. – text. – [slovenčina]. – [OV 010]. – [recenzia - ČL] In: Lifelong learning [textový dokument (print)] [elektronický dokument] : celoživotní vzdělávání. – Brno (Česko) : Mendelova univerzita v Brně. Institut celoživotního vzdělávání. – ISSN 1804-526X. – ISSN (online) 1805-8868. – Roč. 10, č. 1 (2020), s. 107-109 [tlačená forma] [online] Rec: Andragogické aspekty využívania voľného času [knižná publikácia - odborná (do 2021)] / Krystoň, Miroslav [Autor, 100%] ; Kratochvílová, Emília [Recenzent] ; Čornaničová, Rozália [Recenzent]. – 1. vyd. – Banská Bystrica (Slovensko) : Univerzita Mateja Bela v Banskej Bystrici, 2011. – 144 s. – ISBN 978-80-557-0240-7 </t>
  </si>
  <si>
    <t xml:space="preserve">Ani tak, ani tak / Ballay, Miroslav [Autor, UKFFFAKKU, 100%]. – text. – [slovenčina]. – [OV 060]. – [recenzia - ČL] In: Monitoring divadiel na Slovensku [elektronický dokument] . – Bratislava (Slovensko) : Slovenské centrum AICT. – ISSN (online) 2454-0129. – 2020, s. 1-5 [online] Rec: AniMak [textový dokument (print)] / [bez zostavovateľa] [Zostavovateľ, editor]. – 1. vyd. – Banská Bystraca (Slovensko) : Akadémia umení, 2018 </t>
  </si>
  <si>
    <t xml:space="preserve">Antoni Dębiński a kol. (red.): Encyklopedia 100-lecia KUL / Štefaňak, Ondrej [Autor, UKFFFAKSO, 100%]. – text. – [slovenčina]. – [OV 020]. – [recenzia - ČL] In: Sociológia a spoločnosť [textový dokument (print)] [elektronický dokument] : medzinárodný vedecký sociologický časopis. – Nitra (Slovensko) : Univerzita Konštantína Filozofa v Nitre. – ISSN 2453-8086. – ISSN (online) 2644-5980. – Roč. 4, č. 1 (2019), s. 80-82 [tlačená forma] [online] Rec: Encyklopedia 100-lecia KUL [textový dokument (print)] / [bez zostavovateľa] [Zostavovateľ, editor]. – Lublin (Poľsko) : Katolicki Uniwersytet Lubelski Jana Pawła II.. Wydawnictwo KUL, 2018. – ISBN 978-83-8061-612-7 </t>
  </si>
  <si>
    <t xml:space="preserve">Antropocentrizmus ako určujúci faktor vedeckého bádania o texte v monografii J. Sokolovej Texty - zobrazenia - komunikáty / Kováčová, Zuzana [Autor, UKFFFASJL, 100%]. – text. – [slovenčina]. – [OV 020]. – [recenzia - ČL] In: Slavica Nitriensia [textový dokument (print)] : časopis pre výskum slovanských filológií. – Nitra (Slovensko) : Univerzita Konštantína Filozofa v Nitre. – ISSN 1338-7464. – Roč. 7, č. 1 (2018), s. 63-72 [tlačená forma] Rec: Texty - zobrazenia - komunikáty [textový dokument (print)]  [monografia (do 2021)] / Sokolová, Jana [Autor, 100%] ; Fichnová, Katarína [Recenzent] ; Kralčák, Ľubomír [Recenzent]. – 1. vyd. – Nitra (Slovensko) : Univerzita Konštantína Filozofa v Nitre, 2017. – 330 s. [tlačená forma]. – ISBN 978-80-558-1221-2 </t>
  </si>
  <si>
    <t xml:space="preserve">Aplikácia nástrojov hodnotenia kompetencií učiteľa / Lesková, Andrea [Autor, UKFFFAKAE 06.2022, 100%]. – text. – [slovenčina]. – [OV 010]. – [recenzia - ČL] In: Mládež a spoločnosť [textový dokument (print)] : slovenský časopis pre štátnu politiku a výskum mládeže = Slovak journal for state policy and youth research. – Bratislava (Slovensko) : Centrum vedecko-technických informácií SR. – ISSN 1335-1109. – Roč. 25, č. 1 (2019), s. 80-81 [tlačená forma] </t>
  </si>
  <si>
    <t xml:space="preserve">Arizace optikou vědy a umění / Mikulášek, Alexej [Autor, UKFFSSUSJ, 100%]. – text. – [čeština]. – [OV 020]. – [recenzia - ČL] In: Opera Slavica [textový dokument (print)] [elektronický dokument] : slavistické rozhledy. – Brno (Česko) : Masarykova univerzita. Filozofická fakulta. Ústav slavistiky. – ISSN 1211-7676. – ISSN (online) 2336-4459. – Roč. 29, č. 1 (2019), s. 65-72 [tlačená forma] [online] </t>
  </si>
  <si>
    <t xml:space="preserve">Assmann, Jan: Achsenzeit. Eine Archeologie der Moderne / Horyna, Břetislav [Autor, UKFFFAKFI, 100%]. – text. – [čeština]. – [OV 020]. – [recenzia - ČL] In: Filozofia [textový dokument (print)] [elektronický dokument] . – Bratislava (Slovensko) : Slovenská akadémia vied. Pracoviská SAV. Filozofický ústav. – ISSN 0046-385X. – ISSN (online) 2585-7061. – Roč. 74, č. 4 (2019), s. 343-347 [tlačená forma] [online] . – SNIP: 0,73 ; SJR: 0,199 ; CiteScore: 0,6 Rec: Achsenzeit. Eine Archeologie der Moderne [textový dokument (print)] / Assmann, Jan [Autor]. – Mníchov (Nemecko) : C.H. Beck, [s.a.]. – 352 s. [tlačená forma]. – ISBN 9783406729881 Scimago - Philosophy - Q2, Religious studies - Q1 </t>
  </si>
  <si>
    <t xml:space="preserve">Attention aux bananes / Boszorád, Martin [Autor, UKFFFAULK, 100%]. – text. – [slovenčina]. – [OV 020]. – [recenzia - ČL] In: Kapitál [textový dokument (print)] [elektronický dokument] : angažovaný mesačník. – Bratislava (Slovensko) : Občianske združenie Literárny klub, Bratislava (Slovensko) : KPTL občianske združenie. – ISSN 2585-7851. – Roč. 3, č. 5 (2020), s. 33-33 [tlačená forma] </t>
  </si>
  <si>
    <t xml:space="preserve">Audiovisual Translation and the Deaf and Hard of Hearing Audience: Subtitling for the Deaf and Hard of Hearing / Jánošíková, Zuzana [Autor, UKFFFAKTR, 100%]. – text. – [angličtina]. – [OV 020]. – [recenzia - ČL] In: XLinguae [textový dokument (print)] [elektronický dokument] : European scientific language journal. – Nitra (Slovensko) : Vzdelávanie Don Bosca, Nitra (Slovensko) : Slovenská Vzdelávacia a Obstarávacia. – ISSN 1337-8384. – ISSN (online) 2453-711X. – Roč. 11, č. 3 (2018), s. 197-198 [tlačená forma] [online] . – SNIP: 1,517 ; SJR: 0,676 ; CiteScore: 1,8 Rec: Audiovizuálny preklad a nepočujúci divák [textový dokument (print)]  [monografia (do 2021)] : problematika titulkovania pre nepočujúcich / Perez, Emília [Autor, 25%] ; Gromová, Edita [Autor, 25%] ; Zahorák, Andrej [Autor, 25%] ; Hodáková, Soňa [Autor, 25%] ; Inštitorisová, Dagmar [Recenzent] ; Müglová, Daniela [Recenzent]. – 1. vyd. – Nitra (Slovensko) : Univerzita Konštantína Filozofa v Nitre, 2016. – 98 s. [tlačená forma]. – ISBN 978-80-558-1119-2 Scimago - Language and linguistics - Q1, Linguistics and language - Q1, Philosophy - Q1 </t>
  </si>
  <si>
    <t xml:space="preserve">Axial Age. An Archeology of Modernity / Horyna, Břetislav [Autor, UKFFFAKFI, 100%]. – text. – [angličtina]. – [OV 020]. – [recenzia - ČL]. – CCC In: Filozofia [textový dokument (print)] [elektronický dokument] . – Bratislava (Slovensko) : Slovenská akadémia vied. Pracoviská SAV. Filozofický ústav. – ISSN 0046-385X. – ISSN (online) 2585-7061. – Roč. 74, č. 4 (2019), 343-347 [tlačená forma] [online] . – SNIP: 0,73 ; SJR: 0,199 ; CiteScore: 0,6 Scimago - Philosophy - Q2, Religious studies - Q1 </t>
  </si>
  <si>
    <t xml:space="preserve">Az első szlovákiai magyar helyi tájszótár / Presinszky, Károly [Autor, UKFFSSUML, 100%]. – [maďarčina]. – [OV 020]. – [recenzia - ČL]. – DOI 10.21030/anyp.2021.1.9 In: Anyanyelv-pedagógia [elektronický dokument] . – ISSN 2060-0623. – Roč. 14, č. 1 (2021), s. 90-93 [online] </t>
  </si>
  <si>
    <t xml:space="preserve">Balciová, G. Y.: Arabboy. Jak se žije arabským chlapcům v Europě aneb krátky život Rašída. Brno, 2017, 200 s. / Letavajová, Silvia [Autor, UKFFFAKMK, 100%]. – [slovenčina]. – [OV 030]. – [recenzia - ČL] In: Kontexty kultúry a turizmu [textový dokument (print)] . – Nitra (Slovensko) : Univerzita Konštantína Filozofa v Nitre. Filozofická fakulta. – ISSN 1337-7760. – Roč. 11, č. 2 (2018), s. 143-145 [tlačená forma] Rec: Arabboy. Jak se žije arabským chlapcům v Europě aneb krátky život Rašída [textový dokument (print)] / Balciová, Güner Yasemin [Autor]. – 1. vyd. – Brno (Česko) : Barrister and principal, 2008. – 200 s. [tlačená forma]. – ISBN 978-80-7485-123-0 </t>
  </si>
  <si>
    <t xml:space="preserve">Básnik - filozof / Smiešková, Lucia [Autor, UKFFFASJL, 100%]. – text. – [slovenčina]. – [OV 020]. – [recenzia - ČL] In: Romboid [textový dokument (print)] : časopis pre literatúru a umeleckú komunikáciu. – Bratislava (Slovensko) : Zväz slovenských spisovateľov, Bratislava (Slovensko) : Asociácia organizácií spisovateľov Slovenska. – ISSN 0231-6714. – Roč. 53, č. 8 (2018), s. 90-93 [tlačená forma] Rec: Od „poézie vecí“ k „poetike vecnosti“ [textový dokument (print)]  [prehľadová práca (do 2021)] : lyrika Štefana Strážaya / Rédey, Zoltán [Autor, 100%] ; Mikula, Valér [Recenzent] ; Šrank, Jaroslav [Recenzent]. – 1. vyd. – Levoča (Slovensko) : Vydavateľstvo Modrý Peter, 2017. – 224 s. [tlačená forma]. – ISBN 978-80-89545-63-6 </t>
  </si>
  <si>
    <t xml:space="preserve">Bauko János: Társadalom és névhasználat. Magyar névtani kutatások Szlovákiban. Magyar Névtani Értekezések 8 / Angyal, Ladislav [Autor, UKFFSSUML, 100%]. – text. – [maďarčina]. – [OV 020]. – [recenzia - ČL] In: Fórum Társadalomtudományi Szemle [textový dokument (print)] . – Šamorín (Slovensko) : Fórum inštitút pre výskum menšín. – ISSN 1335-4361. – Roč. 21, č. 4 (2019), s. 171-172 [tlačená forma] Rec: Társadalom és névhasználat [textový dokument (print)]  [monografia (do 2021)] : Magyar névtani kutatások Szlovákiában / Bauko, Ján [Autor, 100%] ; Juhász, Dezső [Recenzent] ; Sándorová, Anna [Recenzent]. – 1. vyd. – Budapešť (Maďarsko) : Magyar Nyelvtudományi Társaságot, 2019. – 230 s. [tlačená forma]. – ISBN 978-963-489-109-3 </t>
  </si>
  <si>
    <t xml:space="preserve">Beauneová, Colette. Jana z Arku / Jakubej, Ján [Autor, UKFFFAKHI, 100%]. – text. – [slovenčina]. – [OV 020]. – [recenzia - ČL] In: Studia Historica Nitriensia [textový dokument (print)] [elektronický dokument] . – Nitra (Slovensko) : Univerzita Konštantína Filozofa v Nitre. – ISSN 1338-7219. – ISSN (online) 2585-8661. – Roč. 23, č. 1 (2019), s. 226-235 [tlačená forma] [online] . – SNIP: 0,629 ; SJR: 0,187 ; CiteScore: 0,2 Rec: Jana z Arku [textový dokument (print)] / Beauneová, Colette [Autor]. – 1. – Praha (Česko) : Univerzita Karlova v Praze. Nakladatelství Karolinum, 2018. – 413 s. [tlačená forma]. – ISBN 9788024631837 Scimago - Cultural studies - Q2, History - Q2, Museology - Q2 </t>
  </si>
  <si>
    <t xml:space="preserve">Besame mucho je inak iné / Inštitorisová, Dagmar [Autor, UKFFFAKMR, 100%]. – [slovenčina]. – [OV 020]. – [recenzia - KP] In: Radošinské naivné divadlo [textový dokument (print)] : divadelná ročenka / Hubáček, Ladislav [Zostavovateľ, editor]. – 1. vyd. – Bratislava (Slovensko) : Agentúra RND, 2018. – ISBN 978-80-973114-0-7, s. 22-22 Rec: Besame mucho je inak iné / Štepka, Stanislav [Autor]. – Bratislava (Slovensko) : Agentúra RND, 2017 </t>
  </si>
  <si>
    <t xml:space="preserve">Between invariant and idiolect / Benyovszky, Kristian [Autor, UKFFSSUML, 100%]. – text. – [angličtina]. – [OV 020]. – [recenzia - ČL]. – DOI 10.31577/slovlit.2021.68.1.7. – WOS CC In: Slovenská literatúra [textový dokument (print)] [elektronický dokument] : revue pre literárnu vedu : časopis Ústavu slovenskej literatúry Slovenskej akadémie vied. – Bratislava (Slovensko) : Slovenská akadémia vied. Pracoviská SAV. Ústav slovenskej literatúry. – ISSN 0037-6973. – Roč. 68, č. 1 (2021), 81-83 [tlačená forma] [online] . – CiteScore: 0,1 ; SJR: 0,14 ; SNIP: 0,201 Scimago - Literature and literary theory - Q2 </t>
  </si>
  <si>
    <t xml:space="preserve">Bez hrán a na ostro / Inštitorisová, Dagmar [Autor, UKFFFAKMR, 100%]. – text. – [slovenčina]. – [OV 020]. – [recenzia - ČL] In: Konkrétne o divadle [textový dokument (print)] [elektronický dokument] : mesačník o divadle na Slovensku. – Bratislava (Slovensko) : Divadelný ústav. – ISSN 1337-1800. – ISSN (online) 2336-4548. – Roč. 12, č. 6 (2018), s. 16-19 [tlačená forma] [online] Rec: Sofokles: Antigona : [premiéra: 14 a 15. 4. 2018] / Inštitorisová, Dagmar [Autor, 100%]. – Bratislava (Slovensko) : Slovenské národné divadlo, 2018 </t>
  </si>
  <si>
    <t xml:space="preserve">Boj s Klubom bitkárov 2 / Búry, Juraj [Autor, UKFFFAULK, 100%]. – text. – [slovenčina]. – [OV 020]. – [recenzia - ČL] In: Kultúrny život [textový dokument (print)] . – Bratislava (Slovensko) : Petit Press. – ISSN 2585-9838. – Roč. 2, č. 1 (2019), s. 16-16 [tlačená forma] Rec: Klub rváčů 2 [textový dokument (print)] / Palahniuk, Chuck [Autor]. – Praha (Česko) : Crew, 2016. – 276 s. [tlačená forma]. – ISBN 978-80-7449-427-7 </t>
  </si>
  <si>
    <t xml:space="preserve">Brigita Schmögnerová: Vieme odkiaľ, nevieme kam / Brhlíková, Radoslava [Autor, UKFFFAKPO, 100%]. – text. – [slovenčina]. – [OV 060]. – [recenzia - ČL] In: Civitas [textový dokument (print)] : časopis pre politické a sociálne vedy. – Nitra (Slovensko) : Univerzita Konštantína Filozofa v Nitre. Filozofická fakulta. Katedra politológie a euroázijských štúdií. – ISSN 1335-2652. – Roč. 25, č. 57 - 2 (2019), s. 12-13 [tlačená forma] Rec: Vieme odkiaľ, nevieme kam / Schmögnerová, Brigita [Autor]. – Bratislava (Slovensko) : Marenčin PT, [s.a.]. – 480 s. [tlačená forma]. – ISBN 978-80-569-0335-3 </t>
  </si>
  <si>
    <t xml:space="preserve">Brtáňová, Erika: Slovo Pánovo zostáva naveky : Z kázňovej tvorby slovenských spisovateľov 18. - 19. storočia / Sokol, Peter [Autor, UKFFFAKRU, 100%]. – [slovenčina]. – [OV 020]. – [recenzia - ČL] In: Slavica Slovaca [textový dokument (print)] [elektronický dokument] : orgán Slavistického ústavu Jána Stanislava SAV a Slovenského komitétu slavistov. – Bratislava (Slovensko) : Slovenská akadémia vied. Slavistický ústav Jána Stanislava. – ISSN 0037-6787. – ISSN (online) 1336-2364. – Roč. 55, č. 2 (2020), s. 318-320 [tlačená forma] [online] . – SJR: 0,104 ; CiteScore: 0,1 ; SNIP: 0,171 Rec: Slovo Pánovo zostáva naveky [textový dokument (print)] : Z kázňovej tvorby slovenských spisovateľov 18.–19. storočia / Brtáňová, Erika [Autor, 100%]. – BratislAVA (Slovensko) : Slovenská akadémia vied. Veda, vydavateľstvo Slovenskej akadémie vied, [s.a.]. – 216 s. [tlačená forma]. – ISBN 978-80-224-1683-2 Scimago - Anthropology - Q4, Cultural studies - Q4, History - Q3, Language and linguistics - Q4, Linguistics and language - Q4 </t>
  </si>
  <si>
    <t xml:space="preserve">Brtáňová, Erika-Soukup, Daniel a kol. Z dejín kázňovej prózy I. (Gabriela Tobiašová) / Tobiašová, Gabriela [Autor, UKFFFASJL, 100%]. – text. – [slovenčina]. – [OV 020]. – [recenzia - ČL] In: Litikon [textový dokument (print)] : časopis pre výskum literatúry = journal for literature research. – Nitra (Slovensko) : Univerzita Konštantína Filozofa v Nitre. – ISSN 2453-8507. – Roč. 5, č. 2 (2020), s. 133-135 [tlačená forma] Rec: Z dejín kázňovej prózy (1) [textový dokument (print)] / Brtáňová, Erika [Autor, 7.154%] ; Soukup, Daniel [Autor, 7.142%] ; Malura, Jan [Recenzent] ; Tkáčiková, Eva [Recenzent]. – 1. vyd. – Bratislava (Slovensko) : Slovenská akadémia vied. Veda, vydavateľstvo Slovenskej akadémie vied, 2019. – 284 s. [tlačená forma]. – ISBN 978-80-224-1781-5 Rec: Deixa v rečiach Jozefa Ignáca Bajzu na konci 18. storočia / Mihalková, Gabriela [Autor, 100%] In: Z dejín kázňovej prózy (1) [textový dokument (print)] / Brtáňová, Erika [Autor] ; Soukup, Daniel [Autor] ; Malura, Jan [Recenzent] ; Tkáčiková, Eva [Recenzent]. – 1. vyd. – Bratislava (Slovensko) : Slovenská akadémia vied. Veda, vydavateľstvo Slovenskej akadémie vied, 2019. – ISBN 978-80-224-1781-5, s. 183-199 [tlačená forma] </t>
  </si>
  <si>
    <t xml:space="preserve">Budoucnost jiné časové linie - Annalee Newitz / Pevčíková, Jozefa [Autor, UKFFFAULK, 100%]. – text. – [čeština]. – [OV 020]. – [recenzia - ČL] In: Multiverzum [elektronický dokument] . – Bratislava (Slovensko) : Multiverzum - Centrum popkultúrneho vzdelávania. – ISSN (online) 2644-657X. – č. 2. november (2021), s. 1-2 [online] Rec: Budoucnost jiné časové linie [textový dokument (print)] / Newitz, Annalee [Autor]. – 1. vyd. – Praha (Česko) : Host, 2021. – 351 s. [tlačená forma]. – ISBN 978-80-275-0532-6 </t>
  </si>
  <si>
    <t xml:space="preserve">Bystrzak, Magdalena - Passia, Radoslav - Taranenková, Ivana. Kontakty literatúry (modely, identity, reprezentácie) / Kolesík, Milan [Autor, UKFFFASJL, 100%]. – text. – [slovenčina]. – [OV 020]. – [recenzia - ČL] In: Litikon [textový dokument (print)] : časopis pre výskum literatúry = journal for literature research. – Nitra (Slovensko) : Univerzita Konštantína Filozofa v Nitre. – ISSN 2453-8507. – Roč. 6, č. 1-2 (2021), s. 103-105 [tlačená forma] Rec: Kontakty literatúry [textový dokument (print)] : (modely, identity, reprezentácie) / Bystrzak, Magdalena [Zostavovateľ, editor] ; Passia, Radoslav [Zostavovateľ, editor] ; Taranenková, Ivana [Zostavovateľ, editor] ; Mikulová, Marcela [Recenzent] ; Kiss Szemán, Róbert [Recenzent] ; Hollý, Karol [Recenzent] ; Kontakty literatúry [11.04.2019-12.04.2019, Bratislava, Slovensko]. – 1. vyd. – Bratislava (Slovensko) : Slovenská akadémia vied. Veda, vydavateľstvo Slovenskej akadémie vied, 2020. – 351 s. [tlačená forma]. – ISBN 978-80-224-1856-0 </t>
  </si>
  <si>
    <t xml:space="preserve">Byť „kôstkou uväznenou smermi...“ / Florková, Janka [Autor, UKFFFASJL, 100%]. – text. – [slovenčina]. – [OV 020]. – [recenzia - ČL] In: Romboid [textový dokument (print)] : časopis pre literatúru a umeleckú komunikáciu. – Bratislava (Slovensko) : Zväz slovenských spisovateľov, Bratislava (Slovensko) : Asociácia organizácií spisovateľov Slovenska. – ISSN 0231-6714. – Roč. 54, č. 1 (2019), s. 92-94 [tlačená forma] Rec: Život vrazený do chrbta [textový dokument (print)] / Prokopec, Peter [Autor]. – 1. vyd. – Kordíky (Slovensko) : Skalná ruža, 2018. – 59 s. [tlačená forma]. – ISBN 978-80-89816-16-3 </t>
  </si>
  <si>
    <t xml:space="preserve">Cesta do Compostely - hľadanie pravdy o sebe / Brezováková, Monika [Autor, UKFFFAKRO, 100%]. – [slovenčina]. – [OV 020, 010]. – [recenzia - ČL] In: Immaculata [textový dokument (print)] : křesťanský časopis pro život z víry. – Brno (Česko) : Konvent minoritů v Brně. – ISSN 1210-5732. – Roč. 28, č. 3 (2019), s. 22-23 [tlačená forma] Rec: Cesta do Compostely [textový dokument (print)]  [monografia (do 2021)] : legendy, história, skúsenosti / Kučerková, Magda [Autor, 50%] ; Knapík, Ján [Autor, 50%] ; Černotová, Marta [Recenzent] ; Gritti, Fabiano [Recenzent]. – 1. vyd. – Košice (Slovensko) : Zachej.sk, 2018. – 304 s. [tlačená forma]. – ISBN 978-80-89866-27-4 </t>
  </si>
  <si>
    <t xml:space="preserve">Cinefília a diggerstvo v zmesi telesných tekutín / Boszorád, Martin [Autor, UKFFFAULK, 100%]. – text. – [slovenčina]. – [OV 020]. – [recenzia - ČL] In: Kino-Ikon [textový dokument (print)] : časopis pre vedu o filme a pohyblivom obraze = a journal for the sciences of the moving image and cinema. – Bratislava (Slovensko) : Asociácia slovenských filmových klubov, Bratislava (Slovensko) : Vysoká škola múzických umení v Bratislave. – ISSN 1335-1893. – Roč. 24, č. 2 (2020), s. 188-190 [tlačená forma] </t>
  </si>
  <si>
    <t xml:space="preserve">Csaba Szaló: Paměť míst. Kulturní sociologie vzpomínání / Vašek, Martin [Autor, UKFFFAKFI, 100%]. – text. – [slovenčina]. – [OV 020]. – [recenzia - ČL] In: Sociologický časopis [textový dokument (print)] [elektronický dokument] . – Praha (Česko) : Akademie věd České republiky. Sociologický ústav AV ČR. – ISSN 0038-0288. – ISSN (online) 2336-128X. – Roč. 55, č. 1 (2019), s. 114-116 [tlačená forma] [online] . – IF: 0,412 ; SNIP: 0,465 ; SJR: 0,192 ; CiteScore: 0,9 Rec: Paměť míst. Kulturní sociologie vzpomínání [textový dokument (print)] / Szaló, Csaba [Autor]. – Praha (Česko) : Sociologické nakladatelství, 2017. – 184 s. [tlačená forma]. – ISBN 978-80-7419-181-7 JIF - Sociology - Q4 Scimago - Sociology and political science - Q3 </t>
  </si>
  <si>
    <t xml:space="preserve">Češi a Slováci na Jadranu. Vztahy s Terstem a severním Jadranem v letech 1848-1948 / Mikulášová, Alena [Autor, UKFFFAKHI, 100%]. – text. – [slovenčina]. – [OV 030]. – [recenzia - ČL] In: Vojenská história [textový dokument (print)] [elektronický dokument] : časopis pre vojenskú históriu, múzejníctvo a archívnictvo. – Bratislava (Slovensko) : Vojenský historický ústav. – ISSN 1335-3314. – ISSN (online) 1338-7154. – Roč. 22, č. 1 (2018), s. 163-167 [tlačená forma] [online] Rec: Češi a Slováci na Jadranu. Vztahy s Terstem a severním Jadranem v letech 1848-1948 / Klabjan, Borut [Autor]. – Praha (Česko) : Univerzita Karlova v Praze, [s.a.]. – 239 s. [tlačená forma]. – ISBN 978-80-7308-470-7 </t>
  </si>
  <si>
    <t xml:space="preserve">Čierny tanec smrti / Inštitorisová, Dagmar [Autor, UKFFFAKMR, 100%]. – text. – [slovenčina]. – [OV 020]. – [recenzia - ČL] In: Monitoring divadiel na Slovensku [elektronický dokument] . – Bratislava (Slovensko) : Slovenské centrum AICT. – ISSN (online) 2454-0129. – č. 18.6. (2021), s. 1-7 [online] </t>
  </si>
  <si>
    <t xml:space="preserve">Čo nám povie strach o svete, v ktorom žijeme / Olejárová, Andrea [Autor, UKFFFAKKU, 100%]. – text. – [slovenčina]. – [OV 020]. – [recenzia - ČL] In: Knižná revue [textový dokument (print)] [elektronický dokument] : mesačník o nových knihách. – Bratislava (Slovensko) : Literárne informačné centrum. – ISSN 1210-1982. – ISSN (online) 1336-247X. – Roč. 30, č. 5 (2020), s. 33-34 [tlačená forma] [online] Rec: Spoločnosť strachu [textový dokument (print)] / Bude, Heinz [Autor]. – 1. vyd. – Krásno nad Kysucou (Slovensko) : Absynt, 2019. – 128 s. [tlačená forma]. – ISBN 9788089916832 </t>
  </si>
  <si>
    <t xml:space="preserve">Čokoľvek podstúpiš, neuchopíš celok / Rácová, Veronika [Autor, UKFFFASJL, 100%]. – text. – [slovenčina]. – [OV 020]. – [recenzia - ČL] In: Romboid [textový dokument (print)] : časopis pre literatúru a umeleckú komunikáciu. – Bratislava (Slovensko) : Zväz slovenských spisovateľov, Bratislava (Slovensko) : Asociácia organizácií spisovateľov Slovenska. – ISSN 0231-6714. – Roč. 54, č. 1 (2019), s. 84-87 [tlačená forma] </t>
  </si>
  <si>
    <t xml:space="preserve">Dá sa prežiť šťastné detstvo v nešťastnej krajine? / Malíček, Juraj [Autor, UKFFFAULK, 100%]. – text. – [slovenčina]. – [OV 020]. – [recenzia - ČL] In: Art communication &amp; popculture [textový dokument (print)] : časopis pre umeleckú komunikáciu a popkultúru. – Nitra (Slovensko) : Univerzita Konštantína Filozofa v Nitre. – ISSN 1339-9284. – Roč. 4, č. 1 (2018), s. 169-172 [tlačená forma] Rec: Válek [video/film] / Lančarič, Patrik [Autor]. – vyd. – Bratislava (Slovensko) : Asociácia slovenských filmových klubov, 2018. – [DVD] </t>
  </si>
  <si>
    <t xml:space="preserve">Ďalší zaujímavý knižný kúsok do fanúšikovskej zbierky? / Juričková, Martina [Autor, UKFFFAKAA, 100%]. – text. – [slovenčina]. – [OV 060]. – [recenzia - ČL] In: Art communication &amp; popculture [textový dokument (print)] : časopis pre umeleckú komunikáciu a popkultúru. – Nitra (Slovensko) : Univerzita Konštantína Filozofa v Nitre. – ISSN 1339-9284. – Roč. 5, č. 1-2 (2019), s. 229-233 [tlačená forma] Rec: Tolkienovi hrdinové [textový dokument (print)] / Day, David [Autor]. – 1. vyd. – Praha (Česko) : Fobos, 2019. – 256 s. [tlačená forma]. – ISBN 978-80-7585-171-0 </t>
  </si>
  <si>
    <t xml:space="preserve">Darkness Positive: ? / Fuják, Július [Autor, UKFFFAKKU, 100%]. – text. – [slovenčina]. – [OV 020]. – [recenzia - ČL] In: Vlna [textový dokument (print)] : časopis o súčasnom umení a kultúre. – Bratislava (Slovensko) : Drewo a srd. – ISSN 1335-5341. – ISSN (chybné) ISSN 1335-969X. – Roč. 23, č. 87 (2021), s. 119-119 [tlačená forma] </t>
  </si>
  <si>
    <t xml:space="preserve">Deje, metafory a postavy / Búry, Juraj [Autor, UKFFFAULK, 100%]. – text. – [slovenčina]. – [OV 020]. – [recenzia - ČL] In: Knižná revue [textový dokument (print)] [elektronický dokument] : mesačník o nových knihách. – Bratislava (Slovensko) : Literárne informačné centrum. – ISSN 1210-1982. – ISSN (online) 1336-247X. – Roč. 28, č. 9 (2018), s. 32-32 [tlačená forma] [online] Rec: Whisky, krv a striebro / Hatala, Martin [Autor]. – 1. vyd. – Žilina (Slovensko) : Artemis Omnis, 2018. – 432 s. [tlačená forma]. – ISBN 978-80-82010-09-4 </t>
  </si>
  <si>
    <t xml:space="preserve">Denisa Fulmeková: Doktor Mráz / Žilka, Tibor [Autor, UKFFSSUSJ, 100%]. – text. – [slovenčina]. – [OV 020]. – [recenzia - ČL] In: Romboid [textový dokument (print)] : časopis pre literatúru a umeleckú komunikáciu. – Bratislava (Slovensko) : Zväz slovenských spisovateľov, Bratislava (Slovensko) : Asociácia organizácií spisovateľov Slovenska. – ISSN 0231-6714. – Roč. 54, č. 4-5 (2019), s. 90-92 [tlačená forma] Rec: Doktor Mráz [textový dokument (print)] / Fulmeková, Denisa [Autor]. – 1. vyd. – Bratislava (Slovensko) : Slovart, 2018. – 184 s. [tlačená forma]. – ISBN 978-80-556-3565-1 </t>
  </si>
  <si>
    <t xml:space="preserve">Depiction of India in Slovak literature / Zelenka, Miloš [Autor, UKFFSSUSJ, 100%]. – [angličtina]. – [OV 020]. – [recenzia - ČL]. – TRUNI ohlasy E074588. – CCC In: World Literature Studies [textový dokument (print)] [elektronický dokument] . – Bratislava (Slovensko) : Slovenská akadémia vied. Pracoviská SAV. Ústav svetovej literatúry. – ISSN 1337-9275. – ISSN (online) 1337-9690. – Roč. 10, č. 4 (2018), s. 123-128 [tlačená forma] [online] . – SNIP: 0,292 ; SJR: 0,214 ; CiteScore: 0,2 Scimago - Literature and literary theory - Q1 </t>
  </si>
  <si>
    <t xml:space="preserve">Deti cti a pomsty - Tomi Adeyemi / Pevčíková, Jozefa [Autor, UKFFFAULK, 100%]. – text. – [slovenčina]. – [OV 020]. – [recenzia - ČL] In: Multiverzum [elektronický dokument] . – Bratislava (Slovensko) : Multiverzum - Centrum popkultúrneho vzdelávania. – ISSN (online) 2644-657X. – č. 20. január 2021 (2021), s. 1-2 [online] Rec: Deti cti a pomsty [textový dokument (print)] / Adeyemi, Tomi [Autor]. – 1. vyd. – Bratislava (Slovensko) : Tatran, 2020. – 352 s. [tlačená forma]. – ISBN 9788022210942 </t>
  </si>
  <si>
    <t xml:space="preserve">Dielemans, J.: Vitajte v raji. Reportáž o turistickom priemysle. Bratislava 2016, 224 s. / Válek, Ján [Autor, UKFFFAKMK, 100%]. – text. – [slovenčina]. – [OV 020]. – [recenzia - ČL] In: Kontexty kultúry a turizmu [textový dokument (print)] . – Nitra (Slovensko) : Univerzita Konštantína Filozofa v Nitre. Filozofická fakulta. – ISSN 1337-7760. – Roč. 14, č. 2 (2021), s. 104-105 [tlačená forma] Rec: Vitajte v raji [textový dokument (print)]  [knižná publikácia - umelecká (do 2021)] : reportáž o turistickom priemysle / Dielemans, Jennie [Autor] ; Debnárová, Alexandra [Prekladateľ, 100%]. – 1. vyd. – Krásno nad Kysucou (Slovensko) : Absynt, 2016. – 218 s. [tlačená forma]. – ISBN 978-80-89845-58-3 </t>
  </si>
  <si>
    <t xml:space="preserve">Diet of interwar Slovakia. Public social care for children and youth in Slovakia and its institutional base / Rigová, Viktória [Autor, UKFFFAKHI, 100%]. – text. – [slovenčina]. – [OV 020]. – [recenzia - ČL]. – CCC In: Historický časopis [textový dokument (print)] [elektronický dokument] : vedecký časopis o dejinách Slovenska a strednej Európy = an academic journal on the history of Slovakia and Central Europe. – Bratislava (Slovensko) : Slovenská akadémia vied. Pracoviská SAV. Historický ústav. – ISSN 0018-2575. – ISSN (online) 2585-9099. – Roč. 68, č. 2 (2020), s. 375-377 [tlačená forma] [online] . – SJR: 0,114 ; CiteScore: 0,1 ; SNIP: 0,243 ; AIS: 0.126 Rec: Dieťa medzivojnového Slovenska [textový dokument (print)]  [monografia (do 2021)] : verejná sociálna starostlivosť o deti a mládež na Slovensku a jej inštitucionálna základňa / Laclavíková, Miriam [Autor, 50%] ; Švecová, Adriana [Autor, 50%] ; Dudeková Kováčová, Gabriela [Recenzent] ; Fasora, Lukáš [Recenzent] ; Gábriš, Tomáš [Recenzent] ; Kudláčová, Blanka [Recenzent]. – 1. vyd. – Praha (Česko) : Nakladatelství Leges, 2019. – 246 s. [tlačená forma]. – (Teoretik). – ISBN 978-80-7502-377-3 AIS - History - Q4 Scimago - History - Q3 </t>
  </si>
  <si>
    <t xml:space="preserve">Dievčenský Eragon / Búry, Juraj [Autor, UKFFFAULK, 100%]. – text. – [slovenčina]. – [OV 020]. – [recenzia - ČL] In: Knižná revue [textový dokument (print)] [elektronický dokument] : mesačník o nových knihách. – Bratislava (Slovensko) : Literárne informačné centrum. – ISSN 1210-1982. – ISSN (online) 1336-247X. – Roč. 28, č. 4 (2018), s. 32-32 [tlačená forma] [online] Rec: Eragon [textový dokument (print)] / Paolini, Christopher [Autor]. – 1. – Bratislava (Slovensko) : Albatros Media Slovakia. Vydavateľstvo Fragment, 2007. – 512 s. [tlačená forma]. – ISBN 9788089210183 </t>
  </si>
  <si>
    <t xml:space="preserve">Digitálny svet a čítanie / Borisová, Simona [Autor, UKFPFAKPE, 100%]. – text. – [slovenčina]. – [OV 010]. – [recenzia - ČL] In: Dobrá škola [textový dokument (print)] [elektronický dokument] : časopis o vzdelávaní v 21. storočí : inšpirácia pre učiteľov, ktorí chcú byť lepší. – Bratislava (Slovensko) : Dobrá škola. – ISSN 1338-0338. – ISSN (online) 1338-8444. – Roč. 11, č. 17-18 (2020), s. 22-22 [tlačená forma] [online] Rec: Čtenáři, vrať se [textový dokument (print)] / Wolfová, Maryanne [Autor]. – 1. vyd. – Brno (Česko) : Host, 2020. – 262 s. [tlačená forma]. – ISBN 978-80-275-0011-6 </t>
  </si>
  <si>
    <t xml:space="preserve">Dilong v "záhrade avantgardy" / Gallik, Ján [Autor, UKFFSSUSJ, 100%]. – text. – [slovenčina]. – [OV 020]. – [recenzia - ČL] In: Romboid [textový dokument (print)] : časopis pre literatúru a umeleckú komunikáciu. – Bratislava (Slovensko) : Zväz slovenských spisovateľov, Bratislava (Slovensko) : Asociácia organizácií spisovateľov Slovenska. – ISSN 0231-6714. – Roč. 54, č. 4-5 (2019), s. 117-119 [tlačená forma] Rec: Z Hlohovca do Honolulu a späť [textový dokument (print)]  [monografia (do 2021)] : Rudolf Dilong a hlohovská literárna avantgarda / Kamenčík, Marián [Autor, 100%] ; Brunclík, Jozef [Recenzent] ; Hladký, Juraj [Recenzent] ; Gallik, Ján [Recenzent]. – 1. vyd. – Hlohovec (Slovensko) : Ex libris ad personam, 2019. – 400 s. [tlačená forma]. – ISBN 978-80-971313-6-4 </t>
  </si>
  <si>
    <t xml:space="preserve">Dilong v záhrade avantgardy / Gallik, Ján [Autor, UKFFSSUSJ, 100%]. – [slovenčina]. – [OV 020]. – [recenzia - ČL] In: Romboid [textový dokument (print)] : časopis pre literatúru a umeleckú komunikáciu. – Bratislava (Slovensko) : Zväz slovenských spisovateľov, Bratislava (Slovensko) : Asociácia organizácií spisovateľov Slovenska. – ISSN 0231-6714. – Roč. 54, č. 4-5 (2019), s. 97-98 [tlačená forma] Rec: Z Hlohovca do Honolulu a späť [textový dokument (print)]  [monografia (do 2021)] : Rudolf Dilong a hlohovská literárna avantgarda / Kamenčík, Marián [Autor, 100%] ; Brunclík, Jozef [Recenzent] ; Hladký, Juraj [Recenzent] ; Gallik, Ján [Recenzent]. – 1. vyd. – Hlohovec (Slovensko) : Ex libris ad personam, 2019. – 400 s. [tlačená forma]. – ISBN 978-80-971313-6-4 </t>
  </si>
  <si>
    <t xml:space="preserve">Dínómérget vehetsz rá... : M. Kácsor Zoltán: Acsargó-mocsarak, illusztrálta: Kecskés Judit. Kolibri Kiadó, Budapest, 2019 / Petres Csizmadia, Gabriela [Autor, UKFFSSUML, 100%]. – [maďarčina]. – [OV 020]. – [recenzia - ČL] In: Ambroozia [elektronický dokument] : irodalmi folyóirat évente hatszor. – Győr (Maďarsko) : Hermaion Irodalmi Társaság. – ISSN (online) 2064-3314. – Roč. 9, č. 4 (2019), s. 1-2 [online] Rec: Acsargó-mocsarak [textový dokument (print)] / Kácsor, Zoltán M. [Autor]. – 1. vyd. – Budapest (Maďarsko) : Kolibri Kiadó, 2019. – 244 s. [tlačená forma]. – ISBN 9789634376422 </t>
  </si>
  <si>
    <t xml:space="preserve">Dinuš, P. a kol.: Svet v bode obratu. O protirečivosti vývoja civilizácie v 20. a na začiatku 21. storočia / Horyna, Břetislav [Autor, UKFFFAKFI, 100%]. – text. – [čeština]. – [OV 020]. – [recenzia - ČL] In: Studia Politica Slovaca [textový dokument (print)] [elektronický dokument] : časopis pre politické vedy, najnovšie politické dejiny a medzinárodné vzťahy. – Bratislava (Slovensko) : Slovenská akadémia vied. – ISSN 1337-8163. – ISSN (online) 2585-8459. – Roč. 13, č. 2 (2020), s. 96-102 [tlačená forma] [online] Rec: Svet v bode obratu [textový dokument (print)] : o protirečivosti vývoja civilizácie v 20. a na začiatku 21. storočia / Dinuš, Peter [Autor] ; Novosád, František [Recenzent] ; Sťahel, Richard [Recenzent]. – Bratislava (Slovensko) : Slovenská akadémia vied. Veda, vydavateľstvo Slovenskej akadémie vied, 2019. – ISBN 978-80-224-1768-6 </t>
  </si>
  <si>
    <t xml:space="preserve">Dinušová, Dominika: Za hlasom revolúcie / Krno, Svetozár [Autor, UKFFFAKPO, 100%]. – text. – [slovenčina]. – [OV 060]. – [recenzia - ČL] In: Civitas [textový dokument (print)] : časopis pre politické a sociálne vedy. – Nitra (Slovensko) : Univerzita Konštantína Filozofa v Nitre. Filozofická fakulta. Katedra politológie a euroázijských štúdií. – ISSN 1335-2652. – Roč. 25, č. 56 - 1 (2019), s. 15-15 [tlačená forma] Rec: Za hlasom revolúcie [textový dokument (print)]  [monografia (do 2021)] / Dinušová, Dominika [Autor, 100%] ; Kiczko, Ladislav [Recenzent] ; Malíček, Vladimír [Recenzent]. – 1. vyd. – Bratislava (Slovensko) : Slovenská akadémia vied. Veda, vydavateľstvo Slovenskej akadémie vied, 2018. – 187 s. [tlačená forma]. – ISBN 978-80-224-1676-4 </t>
  </si>
  <si>
    <t xml:space="preserve">Divadelná Nitra 2020 / Ballay, Miroslav [Autor, UKFFFAKKU, 100%]. – text. – [slovenčina]. – [OV 020]. – [recenzia - ČL] In: Culturologica Slovaca [elektronický dokument] : internetový kulturologický časopis. – Nitra (Slovensko) : Univerzita Konštantína Filozofa v Nitre. – ISSN 2453-9740. – Roč. 5, č. 2 (2020), s. 150-153 [online] </t>
  </si>
  <si>
    <t xml:space="preserve">Dotyk zlej literatúry / Búry, Juraj [Autor, UKFFFAULK, 100%]. – text. – [slovenčina]. – [OV 020]. – [recenzia - ČL] In: Knižná revue [textový dokument (print)] [elektronický dokument] : mesačník o nových knihách. – Bratislava (Slovensko) : Literárne informačné centrum. – ISSN 1210-1982. – ISSN (online) 1336-247X. – Roč. 28, č. 12 (2018), s. 32-32 [tlačená forma] [online] Rec: Dotyk Draka [textový dokument (print)] / Fatul, Stano [Autor]. – Bratislava (Slovensko) : [vlastným nákladom], 2018. – ISBN 978-80-972644-1-3 </t>
  </si>
  <si>
    <t xml:space="preserve">Duna je neskrývane druhým postrockovým albumom skupiny Flash the Readies : agresívnejší, prieraznejší (Flash the Readies) / Lakoštik, Radoslav [Autor, UKFFFAULK, 100%]. – [slovenčina]. – [OV 020]. – [recenzia - ČL] In: Fullmoonzine.cz [elektronický dokument] : původní český multižánrový hudební magazín. – Praha (Česko) : Smile Music. – ISSN 1804-3208. – Roč. 10, č. 1 (2020), s. 1-2 [tlačená forma] Rec: Bál - Duna [zvukový dokument] : Black Metal Catalogue / Flash the Readies [Autor hudby]. – 1. vyd. – Brussel (Belgicko) : Dunk!records, 2018 </t>
  </si>
  <si>
    <t xml:space="preserve">Dušekove vábničky / Mitková, Natália [Autor, UKFFFASJL, 100%]. – text. – [slovenčina]. – [OV 020]. – [recenzia - ČL] In: Knižná revue [textový dokument (print)] [elektronický dokument] : mesačník o nových knihách. – Bratislava (Slovensko) : Literárne informačné centrum. – ISSN 1210-1982. – ISSN (online) 1336-247X. – Roč. 29, č. 3 (2019), s. 22-22 [tlačená forma] [online] Rec: Veľká potreba lampášov [textový dokument (print)] / Dušek, Dušan [Autor]. – vyd. – Levoča (Slovensko) : Vydavateľstvo Modrý Peter, 2018. – 117 s. [tlačená forma]. – ISBN 978-80-8954-571-1 </t>
  </si>
  <si>
    <t xml:space="preserve">Duševné vlastníctvo / Fuják, Július [Autor, UKFFFAKKU, 100%]. – text. – [slovenčina]. – [OV 020, 040]. – [recenzia - ČL] In: Vlna [textový dokument (print)] : časopis o súčasnom umení a kultúre. – Bratislava (Slovensko) : Drewo a srd. – ISSN 1335-5341. – ISSN (chybné) ISSN 1335-969X. – Roč. 22, č. 83 (2020), s. 132-133 [tlačená forma] Rec: Duševné vlastníctvo [hudobnina] / Mooch, Roy [Autor]. – 1. vyd. – Košice (Slovensko) : Helvetia, 2020 </t>
  </si>
  <si>
    <t xml:space="preserve">Edita Gromová - Natália Rondziková - Igor Tyšš (eds.): Archívny výskum (textov) v interdisciplinárnych súvislostiach = Archival research (of texts) in between disciplines / Martinkovič, Matej [Autor, UKFFFAKTR, 100%]. – text. – [slovenčina]. – [OV 020]. – [recenzia - ČL]. – DOI 10.31577/WLS.2021.13.3.15. – WOS CC In: World Literature Studies [textový dokument (print)] [elektronický dokument] . – Bratislava (Slovensko) : Slovenská akadémia vied. Pracoviská SAV. Ústav svetovej literatúry. – ISSN 1337-9275. – ISSN (online) 1337-9690. – Roč. 13, č. 3 (2021), 145-146 [tlačená forma] [online] . – CiteScore: 0,2 ; SJR: 0,154 ; SNIP: 0,249 ; AIS: 0.157 AIS - Literature - Q4 Scimago - Literature and literary theory - Q1 </t>
  </si>
  <si>
    <t xml:space="preserve">Édouard Louis: Skoncovat s Eddym B. / Mitková, Natália [Autor, UKFFFASJL, 100%]. – [slovenčina]. – [OV 020]. – [recenzia - ČL] In: Revue svetovej literatúry [textový dokument (print)] . – Bratislava (Slovensko) : Slovenský spisovateľ, Bratislava (Slovensko) : Slovenská spoločnosť prekladateľov umeleckej literatúry. – ISSN 0231-6269. – Roč. 54, č. 1 (2018), s. 164-164 [tlačená forma] Rec: Skoncovat s Eddym B [textový dokument (print)] / Louis, Édouard [Autor]. – 1. vyd. – Praha (Česko) : Nakladatelství Paseka, 2018. – 212 s. [tlačená forma]. – ISBN 978-80-7432-869-5 </t>
  </si>
  <si>
    <t xml:space="preserve">Ekonomika pre tlmočníkov z/do taliančiny / Šavelová, Monika [Autor, UKFFFAKRO, 100%]. – text. – [slovenčina]. – [OV 020]. – [recenzia - ČL] In: Proudy [elektronický dokument] : středoevropský časopis pro vědu a literaturu : literární časopis středoevropského centra slovanských studií a ústavu slavistiky FF MU. – Brno (Česko) : Středoevropské centrum slovanských studií. – ISSN (online) 1804-7246. – č. 1 (2018), nestr., s. 1-1 [online] Rec: Ekonomika pre tlmočníkov z/do taliančiny [textový dokument (print)]  [učebnica pre vysoké školy (do 2021)] / Štubňa, Pavol [Autor, 100%] ; Sehnal, Roman [Recenzent] ; Lenzi Kučmová, Alexandra [Recenzent]. – 1. vyd. – Bratislava (Slovensko) : Z-F LINGUA, 2018. – 146 s. [7,60 AH] [tlačená forma]. – ISBN 978-80-8177-046-3 </t>
  </si>
  <si>
    <t xml:space="preserve">Endó, Šúsaku. Mlčanie / Navrátil, Martin [Autor, UKFFFASJL, 100%]. – [slovenčina]. – [OV 020]. – [recenzia - ČL] In: Verbum [textový dokument (print)] [elektronický dokument] : časopis pre kresťanskú kultúru. – Ružomberok (Slovensko) : Katolícka univerzita v Ružomberku. VERBUM - vydavateľstvo KU. – ISSN 1210-1605. – Roč. 29, č. 1 (2018), s. 115-117 [tlačená forma] [online] Rec: Mlčení [textový dokument (print)] / Endó, Šúsaku [Autor]. – 1. vyd. – Praha (Česko) : Nakladatelství Vyšehrad, 2017. – 232 s. – ISBN 978-80-7429-822-6 </t>
  </si>
  <si>
    <t xml:space="preserve">Ensemble Spectrum a hudobné "ženy v brnení" / Fuják, Július [Autor, UKFFFAKKU, 100%]. – text. – [slovenčina]. – [OV 020]. – [recenzia - ČL] In: Vlna [textový dokument (print)] : časopis o súčasnom umení a kultúre. – Bratislava (Slovensko) : Drewo a srd. – ISSN 1335-5341. – ISSN (chybné) ISSN 1335-969X. – Roč. 23, č. 89 (2021), s. 108-111 [tlačená forma] </t>
  </si>
  <si>
    <t xml:space="preserve">Epidémie v dejinách sú dôkazom, že ľudstvo sa z histórie nepoučilo / Rigová, Viktória [Autor, UKFFFAKHI, 100%]. – text. – [slovenčina]. – [OV 030]. – [recenzia - ČL] In: HistoryWeb [elektronický dokument] : informačný portál o histórii. – Banská Bystrica (Slovensko) : [s.n.]. – ISSN (online) 1338-8789. – Roč. 9, č. 7 (2020), s. 1-3 [online] Rec: Epidémie v dejinách [textový dokument (print)] : ľudstvo v boji s neviditeľnými nepriateľmi / Kovár, Branislav [Zostavovateľ, editor] ; Zajac, Oliver [Zostavovateľ, editor] ; Benediková, Lucia [Zostavovateľ, editor] ; Březinová, Gertrúda [Recenzent] ; Hlavačková, Lívia [Recenzent] ; Lysý, Miroslav [Recenzent]. – 1. vyd. – Bratislava (Slovensko) : Premedia, 2020. – 293 s. [tlačená forma]. – ISBN 978-80-8159-836-4 </t>
  </si>
  <si>
    <t xml:space="preserve">Erich Petlák: Inovácie v edukácii / Kozárová, Nina [Autor, UKFPFAKPE, 100%]. – text. – [slovenčina]. – [OV 010]. – [recenzia - ČL] In: Manažment školy v praxi [elektronický dokument] : odborný mesačník pre školy a školské zariadenia. – Bratislava (Slovensko) : Wolters Kluwer. – ISSN 1336-9849. – Roč. 15, č. 11 (2020), s. 38-39 [online] Rec: Inovácie v edukácii [textový dokument (print)] [elektronický dokument]  [knižná publikácia - odborná (do 2021)] / Petlák, Erich [Autor, 100%] ; Danek, Ján [Recenzent] ; Petrová, Gabriela [Recenzent]. – 1. vyd. – Bratislava (Slovensko) : Wolters Kluwer. Wolters Kluwer SR, 2020. – 193 s. [tlačená forma] [online]. – ISBN 978-80-571-0267-0. – ISBN (online) 978-80-571-0268-7 </t>
  </si>
  <si>
    <t xml:space="preserve">Everett, S.: Food and Drink Tourism. Principles and Practice [Gastronomický cestovný ruch. Princípy a prax]. Singapure: SAGE Publications, 2016. / Mazúchová, Ľudmila [Autor, UKFFSSKCR, 100%]. – text. – [slovenčina]. – [OV 080]. – [recenzia - ČL] In: Ekonomika a spoločnosť [textový dokument (print)] [elektronický dokument] : vedecký časopis Ekonomickej fakulty UMB v Banskej Bystrici. – Banská Bystrica (Slovensko) : Univerzita Mateja Bela v Banskej Bystrici. Ekonomická fakulta. – ISSN 1335-7069. – ISSN 2729-8213. – Roč. 19, č. 1 (2018), s. 90-92 [tlačená forma] [online] Rec: Food and Drink Tourism. Principles and Practice [textový dokument (print)] / Everett, Sally [Autor]. – 1. – Singapur : SAGE Publications, 2016. – 447 s. [tlačená forma]. – ISBN 978-1-4462-6773-8 </t>
  </si>
  <si>
    <t xml:space="preserve">Fear Street Part 1 : 1994 / Pevčíková, Jozefa [Autor, UKFFFAULK, 100%]. – text. – [slovenčina]. – [OV 020]. – [recenzia - ČL] In: Multiverzum [elektronický dokument] . – Bratislava (Slovensko) : Multiverzum - Centrum popkultúrneho vzdelávania. – ISSN (online) 2644-657X. – č. 6. júla 2021 (2021), s. 1-2 [online] </t>
  </si>
  <si>
    <t xml:space="preserve">Fear Street Part 2 : 1978 / Pevčíková, Jozefa [Autor, UKFFFAULK, 100%]. – text. – [slovenčina]. – [OV 020]. – [recenzia - ČL] In: Multiverzum [elektronický dokument] . – Bratislava (Slovensko) : Multiverzum - Centrum popkultúrneho vzdelávania. – ISSN (online) 2644-657X. – č. 13. júl 2021 (2021), s. 1-2 [online] </t>
  </si>
  <si>
    <t xml:space="preserve">Fear Street Part 3 : 1666 / Pevčíková, Jozefa [Autor, UKFFFAULK, 100%]. – text. – [slovenčina]. – [OV 020]. – [recenzia - ČL] In: Multiverzum [elektronický dokument] . – Bratislava (Slovensko) : Multiverzum - Centrum popkultúrneho vzdelávania. – ISSN (online) 2644-657X. – č. 22. júl. 2021 (2021), s. 1-2 [online] </t>
  </si>
  <si>
    <t xml:space="preserve">Feber, Jaromír – Rusnák, Peter (eds.). Reflexia človeka v slovanskom filozofickom prostredí / Pružinec, Tomáš [Autor, UKFFFAKFI, 100%]. – [slovenčina]. – [OV 020]. – [recenzia - ČL] In: Konštantínove listy [textový dokument (print)] [elektronický dokument] . – Nitra (Slovensko) : Univerzita Konštantína Filozofa v Nitre. Filozofická fakulta. Ústav pre výskum kultúrneho dedičstva Konštantína a Metoda. – ISSN 1337-8740. – ISSN (online) 2453-7675. – Roč. 11, č. 1 (2018), s. 159-160 [tlačená forma] [online] . – SNIP: 0,941 ; SJR: 0,542 ; CiteScore: 1,1 Scimago - History - Q1, Philosophy - Q1, Religious studies - Q1 </t>
  </si>
  <si>
    <t xml:space="preserve">Fercsik Erzsébet - Raátz Judit: Örök névnaptár. A mai magyar keresztnevek legteljesebb gyűjteménye / Bauko, Ján [Autor, UKFFSSUML, 100%]. – text. – [angličtina]. – [OV 020]. – [recenzia - ČL] In: Névtani Értesítő [textový dokument (print)] [elektronický dokument] . – Budapešť (Maďarsko) : Magyar nyelvtudományi társaság, Budapešť (Maďarsko) : Eötvös Loránd Tudományegyetem. ELTE Bölcsészettudományi Kar. Magyar Nyelvtudományi és Finnugor Intézet. – ISSN 0139-2190. – ISSN (online) 2064-7484. – Roč. 40, č. 2 (2018), s. 209-211 [tlačená forma] . – SJR: 0,316 ; CiteScore: 0,5 ; SNIP: 0,671 Rec: Örök névnaptár [textový dokument (print)] : a mai magyar keresztnevek legteljesebb gyűjteménye / Fercsik, Erzsébet [Autor] ; Raátz, Judit [Autor]. – 1. vyd. – Budapest (Maďarsko) : Műszaki Könyvkiadó, 2017. – 240 s. [tlačená forma]. – ISBN 0359001182087 Scimago - Language and linguistics - Q1, Linguistics and language - Q2 </t>
  </si>
  <si>
    <t xml:space="preserve">Fernand Braudel. Dynamika kapitalismu / Jakubej, Ján [Autor, UKFFFAKHI, 100%]. – text. – [slovenčina]. – [OV 030]. – [recenzia - ČL] In: Studia Historica Nitriensia [textový dokument (print)] [elektronický dokument] . – Nitra (Slovensko) : Univerzita Konštantína Filozofa v Nitre. – ISSN 1338-7219. – ISSN (online) 2585-8661. – Roč. 25, č. 1 (2021), s. 294-296 [tlačená forma] [online] . – CiteScore: 0,4 ; SJR: 0,209 ; SNIP: 1,036 Scimago - Cultural studies - Q2, History - Q1, Museology - Q2 </t>
  </si>
  <si>
    <t xml:space="preserve">FIFTY : I. Šiller, F. Király, D. Matej, B. Dugovič: Music 2017 / Veselý, Ondrej [Autor, UKFFFAULK, 100%]. – text. – [slovenčina]. – [OV 010]. – [recenzia - ČL] In: Hudobný život [textový dokument (print)] [elektronický dokument] : jediný odborný mesačník pre klasickú hudbu a jazz na Slovensku. – Bratislava (Slovensko) : Hudobné centrum. – ISSN 1335-4140. – ISSN (online) 2729-7586. – ISSN (zrušené) 0323-133X. – Roč. 51, č. 7-8 (2019), s. 56-56 [tlačená forma] [online] Rec: Fifty [zvukový dokument] / Šiller, Ivan [Autor]. – Bratislava (Slovensko) : Hudobné centrum, [s.a.]. – [CD-ROM] </t>
  </si>
  <si>
    <t xml:space="preserve">Fixovanie už mnohokrát "premletého" aktuálnym uhlom pohľadu : Horká chuť storočia / Mitková, Natália [Autor, UKFFFASJL, 100%]. – text. – [slovenčina]. – [OV 020]. – [recenzia - ČL] In: Knižná revue [textový dokument (print)] [elektronický dokument] : mesačník o nových knihách. – Bratislava (Slovensko) : Literárne informačné centrum. – ISSN 1210-1982. – ISSN (online) 1336-247X. – Roč. 28, č. 10 (2018), s. 24-24 [tlačená forma] [online] Rec: Horká chuť storočia [textový dokument (print)] / Mojžiš, Juraj [Autor] ; Marenčin, Albert [Autor]. – Bratislava (Slovensko) : Marenčin PT, 2018. – 158 s. [tlačená forma]. – ISBN 978-80-8114-882-8 </t>
  </si>
  <si>
    <t xml:space="preserve">František Novosád: Odkaz z Marburgu. ​Novokantovstvo od kritiky poznania k antropológii / Manda, Vladimír [Autor, UKFFFAKFI, 100%]. – text. – [slovenčina]. – [OV 020]. – [recenzia - ČL] In: Philosophica critica [textový dokument (print)] : medzinárodný vedecký filozofický časopis = international scientific journal of philosophy. – Nitra (Slovensko) : Univerzita Konštantína Filozofa v Nitre. Filozofická fakulta. Katedra filozofie. – ISSN 1339-8970. – ISSN (online) 2585-7479. – Roč. 4, č. 1 (2018), s. 61-64 [tlačená forma] Rec: Odkaz z Marburgu. Novokantovstvo od kritiky poznania k antropológii [textový dokument (print)] / Novosád, František [Autor]. – 1. vyd. – Bratislava (Slovensko) : IRIS - Vydavateľstvo a tlač, 2018. – 198 s. [tlačená forma]. – ISBN 9788082000088 </t>
  </si>
  <si>
    <t xml:space="preserve">František Všetička: Francie literární / Lietavec, Tomáš [Autor, UKFFFAULK, 100%]. – [slovenčina]. – [OV 020]. – [recenzia - ČL] In: Litikon [textový dokument (print)] : časopis pre výskum literatúry = journal for literature research. – Nitra (Slovensko) : Univerzita Konštantína Filozofa v Nitre. – ISSN 2453-8507. – Roč. 5, č. 1 (2020), s. 108-109 [tlačená forma] Rec: Francie literární [textový dokument (print)] / Všetička, František [Autor]. – 1. vyd. – Jinočany (Česko) : Nakladatelství H&amp;H, 2019. – 241 s. [tlačená forma]. – ISBN 978-80-7319-130-6 </t>
  </si>
  <si>
    <t xml:space="preserve">From the paper to the screen: The Audiovisual Translation Creation Process / Hodáková, Soňa [Autor, UKFFFAKTR, 50%] ; Mészáros, Szabolcs [Autor, UKFFFAKTR, 50%]. – text. – [angličtina]. – [OV 020]. – [recenzia - KP] In: Translatologia [elektronický dokument] / Hodáková, Soňa [Zostavovateľ, editor]. – 1. vyd. – Roč. 2, č. 1. – Nitra (Slovensko) : Univerzita Konštantína Filozofa v Nitre, 2018. – ISSN (online) 2453-9899, s. 96-97 [online] Rec: Z papiera na obraz [textový dokument (print)]  [monografia (do 2021)] : proces tvorby audiovizuálneho prekladu / Paulínyová, Lucia [Autor, 100%] ; Keníž, Alojz [Recenzent] ; Kusá, Mária [Recenzent]. – 1. vyd. – Bratislava (Slovensko) : Univerzita Komenského v Bratislave, 2017. – 266 s. [12,55 AH] [tlačená forma]. – ISBN 978-80-223-4167-7 </t>
  </si>
  <si>
    <t xml:space="preserve">Funda, O. A.: K filosofii náboženství / Vašek, Martin [Autor, UKFFFAKFI, 100%]. – text. – [slovenčina]. – [OV 020]. – [recenzia - ČL] In: Filozofia [textový dokument (print)] [elektronický dokument] . – Bratislava (Slovensko) : Slovenská akadémia vied. Pracoviská SAV. Filozofický ústav. – ISSN 0046-385X. – ISSN (online) 2585-7061. – Roč. 73, č. 9 (2018), s. 771-774 [tlačená forma] [online] . – SJR: 0,201 ; CiteScore: 0,4 ; SNIP: 0,808 Rec: K filosofii náboženství / Funda, Otakar A. [Autor]. – 1. vyd. – Praha (Česko) : Univerzita Karlova v Praze. Nakladatelství Karolinum, 2018. – 156 s. [tlačená forma]. – ISBN 978-80-2463-757-0 Scimago - Religious studies - Q1 </t>
  </si>
  <si>
    <t xml:space="preserve">Gabriel José Garcia Márquez: Oči modrého psa / Smiešková, Lucia [Autor, UKFFFASJL, 100%]. – text. – [slovenčina]. – [OV 020]. – [recenzia - ČL] In: Slnečník [textový dokument (print)] : kultúrno-literárny časopis. – ISSN 1336-4499. – Roč. 3, č. 10 (2018), s. 30-30 [tlačená forma] Rec: Oči modrého psa [textový dokument (print)] / García Márquez, Gabriel [Autor]. – Bratislava (Slovensko) : Slovart, 2016. – 120 s. [tlačená forma]. – ISBN 978-80-207-1734-4 </t>
  </si>
  <si>
    <t xml:space="preserve">Gabriela Spustová-Izakovičová : Rytier a pevec Viliam Turčány / Florková, Janka [Autor, UKFFFASJL, 100%]. – text. – [slovenčina]. – [OV 020]. – [recenzia - ČL] In: Dotyky [textový dokument (print)] : časopis pre mladú literatúru a umenie. – ISSN 1210-2210. – Roč. 31, č. 1 (2019), s. 62-62 [tlačená forma] Rec: Rytier a pevec Viliam Turčány [textový dokument (print)] / Spustová Izakovičová, Gabriela [Zostavovateľ, editor]. – 1. vyd. – Suchá nad Parnou (Slovensko) : Vydavateľstvo RUAH, 2018. – 239 s. [tlačená forma]. – ISBN 978-80-89604-37-1 </t>
  </si>
  <si>
    <t xml:space="preserve">Gadušová, Zdenka a kol. : Nástroje hodnotenia kompetencií učiteľa / Jakubovská, Viera [Autor, UKFFFAKFI, 100%]. – text. – [slovenčina]. – [OV 020]. – [recenzia - ČL] In: Mládež a spoločnosť [textový dokument (print)] : slovenský časopis pre štátnu politiku a výskum mládeže = Slovak journal for state policy and youth research. – Bratislava (Slovensko) : Centrum vedecko-technických informácií SR. – ISSN 1335-1109. – Roč. 25, č. 2 (2019), s. 69-71 [tlačená forma] </t>
  </si>
  <si>
    <t xml:space="preserve">Gideon Devátá - Tamsyn Muir / Pevčíková, Jozefa [Autor, UKFFFAULK, 100%]. – text. – [slovenčina]. – [OV 020]. – [recenzia - ČL] In: Multiverzum [elektronický dokument] . – Bratislava (Slovensko) : Multiverzum - Centrum popkultúrneho vzdelávania. – ISSN (online) 2644-657X. – č. 14. august 2021 (2021), s. 1-2 [online] Rec: Gideon Devátá [textový dokument (print)] / Muirová, Tamsyn [Autor]. – 1. vyd. – Praha (Česko) : Host, 2021. – 450 s. [tlačená forma]. – ISBN 9788027505814 </t>
  </si>
  <si>
    <t xml:space="preserve">Győrffy Erzsébet: Helynév-szociológia / Bauko, Ján [Autor, UKFFSSUML, 100%]. – text. – [maďarčina]. – [OV 020]. – [recenzia - ČL]. – DOI 10.30790/mnyj/2019/17 In: Magyar Nyelvjárások [elektronický dokument] . – Debrecen (Maďarsko) : Debreceni Egyetem. – ISSN 0541-9298. – ISSN (online) 1588-7162. – Roč. 57, č. 1 (2019), s. 217-220 [tlačená forma] [online] </t>
  </si>
  <si>
    <t xml:space="preserve">H. Nagy Péter: Karanténkultúra és járványvilág. Feljegyzések a korona idején / Hegedüs, Orsolya [Autor, UKFFSSUVP, 100%]. – text. – [maďarčina]. – [OV 020]. – [recenzia - ČL] In: Eruditio - Educatio [textový dokument (print)] : vedecký časopis Pedagogickej fakulty Univerzity J. Selyeho v Komárne = A Selye János Egyetem Tanárképző Kara tudományos folyóirata = Research Journal of the Faculty of education of J. Selye university. – Komárno (Slovensko) : Univerzita J. Selyeho. Pedagogická fakulta. – ISSN 1336-8893. – Roč. 15, č. 4 (2020), s. 119-120 [tlačená forma] Rec: Karanténkultúra és járványvilág [textový dokument (print)]  [knižná publikácia - odborná (do 2021)] : Feljegyzések a korona idején / Nagy, Péter [Autor, 100%]. – 1. vyd. – Budapest (Maďarsko) : Prae, 2020. – 212 s. [tlačená forma]. – ISBN 978-615-6199-03-4 </t>
  </si>
  <si>
    <t xml:space="preserve">Habaj, Michal. Básnik v čase (Smrek - Lukáč - Novomeský - Poničan) / Popovicsová, Jana [Autor, UKFFFASJL, 100%]. – text. – [slovenčina]. – [OV 020]. – [recenzia - ČL] In: Litikon [textový dokument (print)] : časopis pre výskum literatúry = journal for literature research. – Nitra (Slovensko) : Univerzita Konštantína Filozofa v Nitre. – ISSN 2453-8507. – Roč. 3, č. 1 (2018), s. 258-260 [tlačená forma] Rec: Básnik v čase (Smrek - Lukáč - Novomeský - Poničan) [textový dokument (print)] / Habaj, Michal [Autor]. – 1. – Bratislava (Slovensko) : Literárne informačné centrum, 2016. – 201 s. – ISBN 978-80-8119-098-8 </t>
  </si>
  <si>
    <t xml:space="preserve">Hajko, Dalimír: On Kierkegaard in Contemporary Indian Philosophical Thinking / Gabašová, Katarína [Autor, UKFFFAKKU, 100%]. – text. – [slovenčina]. – [OV 020]. – [recenzia - KP] In: Culturologica Slovaca [elektronický dokument] : internetový kulturologický časopis / Ballay, Miroslav [Zostavovateľ, editor]. – 1. vyd. – Roč. 3. – Nitra (Slovensko) : Univerzita Konštantína Filozofa v Nitre, 2018. – ISSN 2453-9740, s. 192-194 [online] Rec: On Kierkegaard In Contemporary Indian Philosophical Thinking [textový dokument (print)] / Hajko, Dalimír [Autor]. – 1. vyd. – Toronto (Kanada) : University of Toronto, 2018. – 142 s. [tlačená forma] </t>
  </si>
  <si>
    <t xml:space="preserve">Harrow Devátá - Tamsyn Muir / Pevčíková, Jozefa [Autor, UKFFFAULK, 100%]. – text. – [slovenčina]. – [OV 020]. – [recenzia - ČL] In: Multiverzum [elektronický dokument] . – Bratislava (Slovensko) : Multiverzum - Centrum popkultúrneho vzdelávania. – ISSN (online) 2644-657X. – č. 04. december (2021), s. 1-2 [online] Rec: Harrow Devátá [textový dokument (print)] / Muir, Tamsyn [Autor]. – 1. vyd. – Brno (Česko) : Host, 2021. – 525 s. [tlačená forma]. – ISBN 978-80-275-0820-4 </t>
  </si>
  <si>
    <t xml:space="preserve">Henčová, K. - Javorská, A. - Sťahel, R. - Špirko, D.: Kapitoly z dejín enviromentálneho myslenia / Kocinová, Lenka [Autor, UKFFFAKFI, 100%]. – text. – [slovenčina]. – [OV 020]. – [recenzia - ČL] In: Filozofia [textový dokument (print)] [elektronický dokument] . – Bratislava (Slovensko) : Slovenská akadémia vied. Pracoviská SAV. Filozofický ústav. – ISSN 0046-385X. – ISSN (online) 2585-7061. – Roč. 73, č. 7 (2018), s. 584-586 [tlačená forma] [online] . – SJR: 0,201 ; CiteScore: 0,4 ; SNIP: 0,808 Rec: Kapitoly z dejín environmentálneho myslenia [textový dokument (print)]  [editovaná kniha (do 2021)] / Špirko, Dušan [Zostavovateľ, editor, 100%]. – 1. vyd. – Nitra (Slovensko) : Univerzita Konštantína Filozofa v Nitre, 2017. – 114 s. [tlačená forma]. – [recenzované]. – ISBN 978-80-558-1243-4 Scimago - Religious studies - Q1 </t>
  </si>
  <si>
    <t xml:space="preserve">History against the pagans / Jirkal, Emanuel [Autor, UKFFFAKHI, 100%]. – text. – [čeština]. – [OV 030]. – [recenzia - ČL]. – WOS CC In: Listy filologické = Folia philologica [textový dokument (print)] : časopis pro klasická, středověká a neo-latinská studia, založený r. 1874. – Praha (Česko) : Akademie věd České republiky. Filosofický ústav AV ČR. Kabinet pro klasická studia. – ISSN 0024-4457. – Roč. 144, č. 1-2 (2021), 213-219 [tlačená forma] . – CiteScore: 0,3 ; SJR: 0,101 ; AIS: 0.052 Rec: Paulus Orosius, Dějiny proti pohanům [textový dokument (print)] / Orosius, Paulus [Autor]. – 1. vyd. – Praha (Česko) : Argo, 2018. – 500 s. [tlačená forma]. – ISBN 978-80-257-2681-5 AIS - Humanities, multidisciplinary - Q4 Scimago - History - Q4, Linguistics and language - Q4, Literature and literary theory - Q4 </t>
  </si>
  <si>
    <t xml:space="preserve">Hlas volajúci k prítomnosti / Olejárová, Andrea [Autor, UKFFFAKKU, 100%]. – text. – [slovenčina]. – [OV 020]. – [recenzia - ČL] In: Knižná revue [textový dokument (print)] [elektronický dokument] : mesačník o nových knihách. – Bratislava (Slovensko) : Literárne informačné centrum. – ISSN 1210-1982. – ISSN (online) 1336-247X. – Roč. 30, č. 12 (2020), s. 35-35 [tlačená forma] [online] </t>
  </si>
  <si>
    <t xml:space="preserve">Hlboký nádych mladej literárnej vedy / Smiešková, Lucia [Autor, UKFFFASJL, 100%]. – text. – [slovenčina]. – [OV 020]. – [recenzia - ČL] In: Romboid [textový dokument (print)] : časopis pre literatúru a umeleckú komunikáciu. – Bratislava (Slovensko) : Zväz slovenských spisovateľov, Bratislava (Slovensko) : Asociácia organizácií spisovateľov Slovenska. – ISSN 0231-6714. – Roč. 54, č. 3 (2019), s. 97-100 [tlačená forma] Rec: Spirituálne zlomky [textový dokument (print)]  [zborník (do 2021)] / Lučanský, Albert [Zostavovateľ, editor, 100%] ; Zambor, Ján [Recenzent] ; Rišková, Lenka [Recenzent]. – 1. vyd. – Bratislava (Slovensko) : Univerzita Komenského v Bratislave, 2018. – 119 s. [tlačená forma]. – ISBN 978-80-223-4572-9 </t>
  </si>
  <si>
    <t xml:space="preserve">Hodnoty, túžby a obavy mládeže / Šarvajcová, Marcela [Autor, UKFFFAKSO, 100%]. – [slovenčina]. – [OV 060]. – [recenzia - ČL] In: e-Pedagogium [textový dokument (print)] [elektronický dokument] : an independent scientific journal for interdisciplinary research in pedagogy = nezávislý odborný časopis určený pedagogickým pracovníkom všech typů : nezávislý vědecký časopis pro interdisciplinární výzkum v pedagogice. – Olomouc (Česko) : Univerzita Palackého v Olomouci. – ISSN 1213-7758. – ISSN (online) 1213-7499. – Roč. 20, č. 1 (2020), s. 1-3 [tlačená forma] [online] Rec: Hodnoty, túžby a obavy mládeže [monografia (do 2021)] / Štefaňak, Ondrej [Autor, 100%] ; Mariański, Janusz [Recenzent] ; Swiatkiewicz, Wojciech  Krzysztof [Recenzent]. – 1. vyd. – Nitra (Slovensko) : Univerzita Konštantína Filozofa v Nitre, 2018. – 150 s. [tlačená forma]. – ISBN 978-80-558-1357-8 </t>
  </si>
  <si>
    <t xml:space="preserve">Hodnoty,túžby a obavy mládeže / Selická, Denisa [Autor, UKFFFAKSO, 100%]. – text. – [slovenčina]. – [OV 060]. – [recenzia - ČL] In: Mládež a spoločnosť [textový dokument (print)] : slovenský časopis pre štátnu politiku a výskum mládeže = Slovak journal for state policy and youth research. – Bratislava (Slovensko) : Centrum vedecko-technických informácií SR. – ISSN 1335-1109. – Roč. 25, č. 2 (2019), s. 67-69 [tlačená forma] Rec: Hodnoty, túžby a obavy mládeže [monografia (do 2021)] / Štefaňak, Ondrej [Autor, 100%] ; Mariański, Janusz [Recenzent] ; Swiatkiewicz, Wojciech  Krzysztof [Recenzent]. – 1. vyd. – Nitra (Slovensko) : Univerzita Konštantína Filozofa v Nitre, 2018. – 150 s. [tlačená forma]. – ISBN 978-80-558-1357-8 </t>
  </si>
  <si>
    <t xml:space="preserve">Hofreiter, R. – Džambazovič R.: Zamerané na mladých ľudí: aktuálne trendy a výzvy (nielen) sociologického výskumu mládeže na Slovensku / Letavajová, Silvia [Autor, UKFFFAKMK, 100%]. – text. – [slovenčina]. – [OV 060]. – [recenzia - ČL] In: Kontexty kultúry a turizmu [textový dokument (print)] . – Nitra (Slovensko) : Univerzita Konštantína Filozofa v Nitre. Filozofická fakulta. – ISSN 1337-7760. – Roč. 14, č. 2 (2021), s. 100-103 [tlačená forma] Rec: Zamerané na mladých ľudí [textový dokument (print)]  [zborník (do 2021)] : aktuálne trendy a výzvy (nielen) sociologického výskumu mládeže na Slovensku / Hofreiter, Roman [Zostavovateľ, editor, 50%] ; Džambazovič, Roman [Zostavovateľ, editor, 50%] ; Guráň, Peter [Recenzent] ; Čavojská, Katarína [Recenzent]. – 1. vyd. – Banská Bystrica (Slovensko) : Univerzita Mateja Bela v Banskej Bystrici. Vydavateľstvo Univerzity Mateja Bela v Banskej Bystrici - Belianum, 2020. – 144 .s [7,20 AH] [tlačená forma]. – ISBN 978-80-557-1545-2 </t>
  </si>
  <si>
    <t xml:space="preserve">Holographic Entrypoint, Dot Gallery / Vilím, Erik [Autor, UKFFFAULK, 100%]. – text. – [slovenčina]. – [OV 020]. – [recenzia - ČL] In: Flash Art [textový dokument (print)] : The World's leading art magazine : Czech and Slovak Edition. – Praha (Česko) : Nadace Prague Bienale. – ISSN 1336-9644. – Roč. 13, č. 48 (2018), s. 61-61 [tlačená forma] Rec: Holographic Entrypoint [textový dokument (print)] : výstava obrazov / Stolárik, Michal [Autor]. – 1. vyd. – Bratislava (Slovensko) : DOT Gallery, 2018. – [tlačená forma] </t>
  </si>
  <si>
    <t xml:space="preserve">Hore v pekle (a iné bizarné pantomímy) / Zumríková Kekeliaková, Monika [Autor, UKFFFASJL, 100%]. – text. – [slovenčina]. – [OV 020]. – [recenzia - ČL] In: Fraktál [textový dokument (print)] : literatúra horizontálne a vertikálne. – Závod (Slovensko) : Fraktál. – ISSN 2585-8912. – Roč. 3, č. 2 (2020), s. 156-163 [tlačená forma] </t>
  </si>
  <si>
    <t xml:space="preserve">Horváth, Tomáš:  Medzi  invariantom a idiolektom / Benyovszky, Kristian [Autor, UKFFSSUML, 100%]. – text. – [slovenčina]. – [OV 020]. – [recenzia - ČL]. – DOI 10.31577/slovlit.2021.68.1.7 In: Slovenská literatúra [textový dokument (print)] [elektronický dokument] : revue pre literárnu vedu : časopis Ústavu slovenskej literatúry Slovenskej akadémie vied. – Bratislava (Slovensko) : Slovenská akadémia vied. Pracoviská SAV. Ústav slovenskej literatúry. – ISSN 0037-6973. – Roč. 68, č. 1 (2021), s. 81-83 [tlačená forma] [online] . – CiteScore: 0,1 ; SJR: 0,14 ; SNIP: 0,201 Scimago - Literature and literary theory - Q2 </t>
  </si>
  <si>
    <t xml:space="preserve">Hovoriť deťom o smrti... bez hrôzy, so smútkom, jemne / Zeleňáková, Hana [Autor, UKFFFAULK, 100%]. – text. – [slovenčina]. – [OV 020]. – [recenzia - ČL] In: Art communication &amp; popculture [textový dokument (print)] : časopis pre umeleckú komunikáciu a popkultúru. – Nitra (Slovensko) : Univerzita Konštantína Filozofa v Nitre. – ISSN 1339-9284. – Roč. 4, č. 2 (2018), s. 173-176 [tlačená forma] Rec: Chlapec, vtáčik &amp; truhlár [textový dokument (print)] / Woods, Matilda [Autor]. – Bratislava (Slovensko) : Albatros group, 2017. – 192 s. [tlačená forma]. – ISBN 978-80-566-0167-9 </t>
  </si>
  <si>
    <t xml:space="preserve">Hravá etika-pracovný zošit pre 8. ročník ZŠ / Jakubovská, Viera [Autor, UKFFFAKFI, 100%]. – text. – [slovenčina]. – [OV 010]. – [recenzia - ČL] In: Mládež a spoločnosť [textový dokument (print)] : slovenský časopis pre štátnu politiku a výskum mládeže = Slovak journal for state policy and youth research. – Bratislava (Slovensko) : Centrum vedecko-technických informácií SR. – ISSN 1335-1109. – Roč. 26, č. 2 (2020), s. 76-79 [tlačená forma] Rec: Hravá etika : pracovný zošit pre 8. ročník ŽŠ [textový dokument (print)] / Lesňák, Slavomír [Autor]. – Košice (Slovensko) : Taktik vydavateľstvo, 2019. – ISBN 978-80-8180-165-5 </t>
  </si>
  <si>
    <t xml:space="preserve">Hrdina, Martin. Mezi ideálem a nahou pravdou. Realismus v českých diskusiích o literatuře / Brunclík, Jozef [Autor, UKFFFASJL, 100%]. – text. – [slovenčina]. – [OV 020]. – [recenzia - ČL] In: Litikon [textový dokument (print)] : časopis pre výskum literatúry = journal for literature research. – Nitra (Slovensko) : Univerzita Konštantína Filozofa v Nitre. – ISSN 2453-8507. – Roč. 3, č. 1 (2018), s. 260-261 [tlačená forma] Rec: Mezi ideálem a nahou pravdou [textový dokument (print)] : realismus v českých diskusiích o literatuře / Hrdina, Martin [Autor]. – 1. vyd. – Praha (Česko) : Academia, 2015. – 527 s. [tlačená forma]. – ISBN 978-80-2002-525-8 </t>
  </si>
  <si>
    <t xml:space="preserve">Hučková, J.: Business English. Nitra, 2018, 146 s. / Záhumenská, Lucia [Autor, UKFFFAKMK, 100%]. – text. – [slovenčina]. – [OV 060]. – [recenzia - ČL] In: Kontexty kultúry a turizmu [textový dokument (print)] . – Nitra (Slovensko) : Univerzita Konštantína Filozofa v Nitre. Filozofická fakulta. – ISSN 1337-7760. – Roč. 12, č. 1 (2019), s. 110-111 [tlačená forma] </t>
  </si>
  <si>
    <t xml:space="preserve">Hudbou proti smrti / Tobiašová, Gabriela [Autor, UKFFFASJL, 100%]. – text. – [slovenčina]. – [OV 020]. – [recenzia - ČL] In: Glosolália [textový dokument (print)] [elektronický dokument] : rodovo orientovaný časopis. – Bratislava (Slovensko) : Glosolália, o.z. – ISSN 1338-7146. – ISSN (online) 1339-245X. – Roč. 10, č. 2 (2021), s. 246-247 [tlačená forma] [online] Rec: V inom čase [textový dokument (print)] : ani vojna nedokáže vziať lásku a nádej / Cantor, Jillian [Autor]. – 1. vyd. – Bratislava (Slovensko) : Fortuna Libri, 2020. – 304 s. [tlačená forma]. – ISBN 978-80-8142-982-8 </t>
  </si>
  <si>
    <t xml:space="preserve">Hudobný archív 18 / Kručayová, Alena [Autor, UKFPFAKHU, 100%]. – text. – [slovenčina]. – [OV 020]. – [recenzia - ČL] In: Slovenská hudba [textový dokument (print)] : revue pre hudobnú kultúru. – Bratislava (Slovensko) : Slovenská muzikologická asociácia pri Slovenskej hudobnej únii. – ISSN 1335-2458. – ISSN (zrušené) 0037-6965. – Roč. 47, č. 3 (2021), s. 284-287 [tlačená forma] Rec: Hudobný archív 18 [textový dokument (print)] : na poctu prof. PhDr. Ľubomíra Chalupku, PhD. (14. 8. 1945 - 17. 3. 2020) / Machutová, Dominika [Zostavovateľ, editor] ; Jánošík, Marcel [Zostavovateľ, editor] ; Bednáriková, Janka [Recenzent] ; Strenáčiková, Mária [Recenzent]. – 1. vyd. – Roč. 18. – Martin (Slovensko) : Slovenská národná knižnica, 2020. – 166 s. [tlačená forma]. – ISBN 978-80-8149-129-0 </t>
  </si>
  <si>
    <t xml:space="preserve">Christian Identity Formation across the Elbe in the Tenth and Eleventh Centuries / Hricková, Mária [Autor, UKFFFAKAA, 100%]. – text. – [angličtina]. – [OV 020]. – [recenzia - ČL]. – WOS CC In: Konštantínove listy [textový dokument (print)] [elektronický dokument] . – Nitra (Slovensko) : Univerzita Konštantína Filozofa v Nitre. Filozofická fakulta. Ústav pre výskum kultúrneho dedičstva Konštantína a Metoda. – ISSN 1337-8740. – ISSN (online) 2453-7675. – Roč. 14, č. 2 (2021), 207-210 [tlačená forma] [online] . – CiteScore: 0,5 ; SJR: 0,336 ; SNIP: 0,796 ; AIS: 0.417 AIS - Humanities, multidisciplinary - Q1 Scimago - History - Q1, Philosophy - Q1, Religious studies - Q1 </t>
  </si>
  <si>
    <t xml:space="preserve">Iba gorila je ako ja? / Inštitorisová, Dagmar [Autor, UKFFFAKMR, 100%]. – text. – [slovenčina]. – [OV 020]. – [recenzia - ČL] In: Monitoring divadiel na Slovensku [elektronický dokument] . – Bratislava (Slovensko) : Slovenské centrum AICT. – ISSN (online) 2454-0129. – 2018, s. 1-3 [online] Rec: Ja som Inna (Nie je všetko také, ako sa zdá!) : [divadelná hra] / Dušová, Petronela [Autor] ; Dąbek, Dorota-Anna [Autor]. – Budmerice (Slovensko) : Teátro Neline, 2018 </t>
  </si>
  <si>
    <t xml:space="preserve">Imagológia - etnické stereotypy krajín V4 / Adamická, Monika [Autor, UKFFSSUSJ, 100%]. – [slovenčina]. – [OV 020]. – [recenzia - ČL] In: Stredoeurópske pohľady [textový dokument (print)] [elektronický dokument] : časopis pre jazyk, literatúru, kultúru a médiá. – Nitra (Slovensko) : Univerzita Konštantína Filozofa v Nitre. Fakulta stredoeurópskych štúdií. Ústav stredoeurópskych jazykov a kultúr. – ISSN 2644-6367. – ISSN (online) 2644-6472. – Roč. 1, č. 1 (2019), s. 136-138 [tlačená forma] [online] Rec: Imagológia ako výskum obrazov kultúry [textový dokument (print)]  [zborník (do 2021)] : (k reflexii etnických stereotypov krajín V4) / Zelenka, Miloš [Zostavovateľ, editor, 50%] ; Tkáč-Zabáková, Lenka [Zostavovateľ, editor, 50%]. – 1. vyd. – Nitra (Slovensko) : Univerzita Konštantína Filozofa v Nitre, 2018. – 162 s. [tlačená forma]. – ISBN 978-80-558-1294-6 </t>
  </si>
  <si>
    <t xml:space="preserve">Imagology - Ethnic Stereotypes of th V4 Countries / Adamická, Monika [Autor, UKFFSSUSJ, 100%]. – text. – [angličtina]. – [OV 020]. – [recenzia - ČL] In: Porównania [elektronický dokument] . – Poznaň (Poľsko) : Uniwersytet im. Adama Mickiewicza w Poznaniu. – ISSN (online) 1733-165X. – Roč. 23, č. 2 (2018), s. 353-358 [online] . – SJR: 0,1 Rec: Imagológia ako výskum obrazov kultúry [textový dokument (print)]  [zborník (do 2021)] : (k reflexii etnických stereotypov krajín V4) / Zelenka, Miloš [Zostavovateľ, editor, 50%] ; Tkáč-Zabáková, Lenka [Zostavovateľ, editor, 50%]. – 1. vyd. – Nitra (Slovensko) : Univerzita Konštantína Filozofa v Nitre, 2018. – 162 s. [tlačená forma]. – ISBN 978-80-558-1294-6 Scimago - Cultural studies - Q4, Literature and literary theory - Q4 </t>
  </si>
  <si>
    <t xml:space="preserve">Iná doba, rovnaký svet / Tobiašová, Gabriela [Autor, UKFFFASJL, 100%]. – text. – [slovenčina]. – [OV 020]. – [recenzia - ČL] In: Romboid [textový dokument (print)] : časopis pre literatúru a umeleckú komunikáciu. – Bratislava (Slovensko) : Zväz slovenských spisovateľov, Bratislava (Slovensko) : Asociácia organizácií spisovateľov Slovenska. – ISSN 0231-6714. – Roč. 54, č. 7 (2019), s. 91-94 [tlačená forma] </t>
  </si>
  <si>
    <t xml:space="preserve">Iné, teda aplikované divadlo (Kuppers, Petra. Divadlo a zdravotné znevýhodnenie) / Inštitorisová, Dagmar [Autor, UKFFFAKMR, 100%]. – text. – [slovenčina]. – [OV 020]. – [recenzia - ČL] In: Slovenské divadlo [textový dokument (print)] [elektronický dokument] : revue dramatických umení. – Bratislava (Slovensko) : Slovenská akadémia vied. Pracoviská SAV. Ústav divadelnej a filmovej vedy. – ISSN 0037-699X. – ISSN (online) 1336-8605. – Roč. 68, č. 1 (2020), s. 91-93 [tlačená forma] [online] . – SJR: 0,173 ; CiteScore: 0,1 ; SNIP: 0,573 Scimago - Communication - Q3, Cultural studies - Q2, History - Q2, Literature and literary theory - Q1, Music - Q2, Visual arts and performing arts - Q1 </t>
  </si>
  <si>
    <t xml:space="preserve">Innovating Teaching and Learning (2013) / Ukušová, Jana [Autor, UKFFFAKTR, 100%]. – text. – [angličtina]. – [OV 020]. – [recenzia - KP] In: Translatologia [elektronický dokument] / Hodáková, Soňa [Zostavovateľ, editor]. – 1. vyd. – Roč. 4, č. 1. – Nitra (Slovensko) : Univerzita Konštantína Filozofa v Nitre, 2020. – ISSN (online) 2453-9899, s. 158-160 [online] Rec: Innovating Teaching and Learning [textový dokument (print)] : Reports from University Lecturers / Adamová, Ľudmila [Zostavovateľ, editor] ; Muráriková, Petra [Zostavovateľ, editor]. – Opladen (Nemecko) : Budrich UniPress, 2013. – 127 s. [tlačená forma]. – ISBN 978-3-86388-034-7 </t>
  </si>
  <si>
    <t xml:space="preserve">Inovácie v didaktike / Gunišová, Denisa [Autor, UKFPFAKPE, 100%]. – text. – [slovenčina]. – [OV 010]. – [recenzia - ČL] In: Naša škola [textový dokument (print)] : odborný metodický časopis pre učiteľov materských škôl a 1. stupňa základných škôl. – Bratislava (Slovensko) : Pamiko. – ISSN 1335-2733. – Roč. 24, č. 5-6 (2021), s. 65-65 [tlačená forma] Rec: Inovácie v edukácii [textový dokument (print)] [elektronický dokument]  [knižná publikácia - odborná (do 2021)] / Petlák, Erich [Autor, 100%] ; Danek, Ján [Recenzent] ; Petrová, Gabriela [Recenzent]. – 1. vyd. – Bratislava (Slovensko) : Wolters Kluwer. Wolters Kluwer SR, 2020. – 193 s. [tlačená forma] [online]. – ISBN 978-80-571-0267-0. – ISBN (online) 978-80-571-0268-7 </t>
  </si>
  <si>
    <t xml:space="preserve">Inštalácie vnútorných monologických prúdov / Ballay, Miroslav [Autor, UKFFFAKKU, 100%]. – text. – [slovenčina]. – [OV 060]. – [recenzia - ČL] In: Monitoring divadiel na Slovensku [elektronický dokument] . – Bratislava (Slovensko) : Slovenské centrum AICT. – ISSN (online) 2454-0129. – 2018, s. 1-4 [online] Rec: Byť mnou byť vami / Chovanec, Samuel [Autor]. – Bátovce (Slovensko) : Divadlo Pôtoň Bátovce, 2017 </t>
  </si>
  <si>
    <t xml:space="preserve">Inštinkty nás zavádzajú / Olejárová, Andrea [Autor, UKFFFAKKU, 100%]. – text. – [slovenčina]. – [OV 020]. – [recenzia - ČL] In: Knižná revue [textový dokument (print)] [elektronický dokument] : mesačník o nových knihách. – Bratislava (Slovensko) : Literárne informačné centrum. – ISSN 1210-1982. – ISSN (online) 1336-247X. – Roč. 30, č. 1 (2020), s. 14-14 [tlačená forma] [online] Rec: Moc faktov [textový dokument (print)]  [knižná publikácia - umelecká (do 2021)] : desať dôvodov, prečo máme o svete mylné predstavy - a prečo sme na tom lepšie, ako si myslíme / Rosling, Hans [Autor] ; Rosling, Ola [Autor] ; Roslingová Rönnlundová, Anna [Autor] ; Bachledová, Marianna [Prekladateľ, 100%]. – 1 vyd. – Bratislava (Slovensko) : Tatran, 2019. – 335 s. [tlačená forma]. – ISBN 978-80-222-0993-9 </t>
  </si>
  <si>
    <t xml:space="preserve">Intercultural Aspect in Translation and Reception of Precedent Phenomena / Gromová, Edita [Autor, UKFFFAKTR, 100%] ; Martinkovič, Matej [Prekladateľ, UKFFFAKTR, 100%]. – text. – [angličtina]. – [OV 010]. – [recenzia - ČL]. – CCC In: World Literature Studies [textový dokument (print)] [elektronický dokument] . – Bratislava (Slovensko) : Slovenská akadémia vied. Pracoviská SAV. Ústav svetovej literatúry. – ISSN 1337-9275. – ISSN (online) 1337-9690. – Roč. 12, č. 1 (2020), 135-137 [tlačená forma] [online] . – SJR: 0,116 ; CiteScore: 0,1 ; SNIP: 0,077 ; AIS: 0.082 AIS - Literature - Q4 Scimago - Literature and literary theory - Q2 </t>
  </si>
  <si>
    <t xml:space="preserve">Iný pohľad (aj) na divadelnosť / Inštitorisová, Dagmar [Autor, UKFFFAKMR, 100%]. – text. – [slovenčina]. – [OV 020]. – [recenzia - ČL] In: Slovenské divadlo [textový dokument (print)] [elektronický dokument] : revue dramatických umení. – Bratislava (Slovensko) : Slovenská akadémia vied. Pracoviská SAV. Ústav divadelnej a filmovej vedy. – ISSN 0037-699X. – ISSN (online) 1336-8605. – Roč. 69, č. 4 (2021), s. 422-424 [tlačená forma] [online] . – CiteScore: 0,2 ; SJR: 0,158 ; SNIP: 0,208 Scimago - Communication - Q3, Cultural studies - Q2, History - Q2, Literature and literary theory - Q1, Music - Q2, Visual arts and performing arts - Q1 </t>
  </si>
  <si>
    <t xml:space="preserve">Irina Dulebová - Nina Cingerová: Ruské lingvoreálie / Adamka, Pavol [Autor, UKFFFAJZC, 20%] ; Charfaoui, Emília [Autor, UKOMAKMN, 80%]. – text. – [slovenčina]. – [OV 020, 080]. – [recenzia - KP] In: Jazykovedné, literárnovedné a didaktické kolokvium [elektronický dokument] / Lančarič, Daniel [Zostavovateľ, editor] ; Repka, Richard [Recenzent] ; Šipošová, Martina [Recenzent] ; Lagerová, Viera [Recenzent]. – 1. vyd. – Roč. 46. – Bratislava (Slovensko) : Z-F LINGUA, 2018. – ISBN 978-80-8177-044-9, s. 112-113 [CD-ROM] Rec: Ruské lingvoreálie [textový dokument (print)]  [učebnica pre vysoké školy (do 2021)] / Dulebová, Irina [Autor, 50%] ; Cingerová, Nina [Autor, 50%] ; Adamka, Pavol [Recenzent] ; Charfaoui, Emília [Recenzent]. – 1. vyd. – Bratislava (Slovensko) : Univerzita Komenského v Bratislave, 2017. – 276 s. [14,19 AH] [tlačená forma]. – ISBN 978-80-223-4431-9 </t>
  </si>
  <si>
    <t xml:space="preserve">Ivančík, Radoslav, Nečas, Pavel: Privatizácia vojenstva. Súkromné vojenské spoločnosti / Brhlíková, Radoslava [Autor, UKFFFAKPO, 100%]. – text. – [slovenčina]. – [OV 060]. – [recenzia - ČL] In: Civitas [textový dokument (print)] : časopis pre politické a sociálne vedy. – Nitra (Slovensko) : Univerzita Konštantína Filozofa v Nitre. Filozofická fakulta. Katedra politológie a euroázijských štúdií. – ISSN 1335-2652. – Roč. 24, č. 55 - 2 (2018), s. 12-13 [tlačená forma] Rec: Privatizácia vojenstva [monografia (do 2021)] : súkromné vojenské spoločnosti / Ivančík, Radoslav [Autor, 50%] ; Nečas, Pavel [Autor, 50%] ; Jurčák, Vojtech [Recenzent] ; Terem, Peter [Recenzent] ; Stieranka, Jozef [Recenzent] ; Rožňák, Petr [Recenzent]. – 1. vyd. – Ostrava (Česko) : KEY Publishing, 2017. – 140 s. [7,10 AH]. – ISBN 978-80-7418-269-3 </t>
  </si>
  <si>
    <t xml:space="preserve">Iwańczak, Wojciech: Jan Lucemburský. Dějiny bouřlivého života a hrdinné smrti českého krále a lucemburského hraběte v jedenadvaceti obrazech / Jakubej, Ján [Autor, UKFFFAKHI, 100%]. – text. – [slovenčina]. – [OV 030]. – [recenzia - ČL] In: Studia Historica Nitriensia [textový dokument (print)] [elektronický dokument] . – Nitra (Slovensko) : Univerzita Konštantína Filozofa v Nitre. – ISSN 1338-7219. – ISSN (online) 2585-8661. – Roč. 24, č. 1 (2020), s. 221-230 [tlačená forma] [online] . – CiteScore: 0.4 ; SJR: 0.193 ; SNIP: 0.591 Rec: Jan Lucemburský [textový dokument (print)] : dějiny bouřlivého života a hrdinné smrti českého krále a lucemburského hraběte v jedenadvaceti obrazech / Iwańczak, Wojciech [Autor]. – 1. vyd. – Praha (Česko) : Argo, 2018. – 294 s. [tlačená forma]. – ISBN 978-80-2572-561-0 Scimago - Cultural studies - Q2, History - Q1, Museology - Q2 </t>
  </si>
  <si>
    <t xml:space="preserve">Jágerová M. a kol. Kalendárna obyčajová kultúra vo vidieckom prostredí na začiatku 21. storočia (vybrané problémy) / Letavajová, Silvia [Autor, UKFFFAKMK, 100%]. – text. – [slovenčina]. – [OV 030]. – [recenzia - ČL] In: Kontexty kultúry a turizmu [textový dokument (print)] . – Nitra (Slovensko) : Univerzita Konštantína Filozofa v Nitre. Filozofická fakulta. – ISSN 1337-7760. – Roč. 11, č. 1 (2018), s. 81-83 [tlačená forma] </t>
  </si>
  <si>
    <t xml:space="preserve">Jágerová, M. - Krausová, A. - Voľanská, S.: Etnológia v regiónoch. Osobnosti slovenskej etnológie I. Univerzita Konštantína Filozofa v Nitre, 2019, 195 s. / Čukan, Jaroslav [Autor, UKFFFAKMK, 100%]. – text. – [slovenčina]. – [OV 030]. – [recenzia - ČL] In: Kontexty kultúry a turizmu [textový dokument (print)] . – Nitra (Slovensko) : Univerzita Konštantína Filozofa v Nitre. Filozofická fakulta. – ISSN 1337-7760. – Roč. 13, č. 1 (2020), s. 91-91 [tlačená forma] </t>
  </si>
  <si>
    <t xml:space="preserve">Jakubovská, K.: Vybrané kapitoly z regionálnej kultúry (Pre kulturológiu a príbuzné disciplíny). Nitra, 2021, 98 s. / Kompasová, Katarína [Autor, UKFFFAKMK, 100%]. – text. – [slovenčina]. – [OV 030]. – [recenzia - ČL] In: Kontexty kultúry a turizmu [textový dokument (print)] . – Nitra (Slovensko) : Univerzita Konštantína Filozofa v Nitre. Filozofická fakulta. – ISSN 1337-7760. – Roč. 14, č. 1 (2021), s. 104-105 [tlačená forma] </t>
  </si>
  <si>
    <t xml:space="preserve">James Garvey: Etika klimatické změny. Co je a co není správné ve světě, který se otepluje / Horyna, Břetislav [Autor, UKFFFAKFI, 100%]. – text. – [čeština]. – [OV 020]. – [recenzia - ČL] In: Filozofia [textový dokument (print)] [elektronický dokument] . – Bratislava (Slovensko) : Slovenská akadémia vied. Pracoviská SAV. Filozofický ústav. – ISSN 0046-385X. – ISSN (online) 2585-7061. – Roč. 74, č. 4 (2019), s. 419-424 [tlačená forma] [online] . – SNIP: 0,73 ; SJR: 0,199 ; CiteScore: 0,6 Scimago - Philosophy - Q2, Religious studies - Q1 </t>
  </si>
  <si>
    <t xml:space="preserve">Jan Keller: Společnost věčného mládí / Mészárosová, Zuzana [Autor, UKFFFAKPO, 100%]. – text. – [maďarčina]. – [OV 060]. – [recenzia - ČL] In: Fórum Társadalomtudományi Szemle [textový dokument (print)] . – Šamorín (Slovensko) : Fórum inštitút pre výskum menšín. – ISSN 1335-4361. – Roč. 23, č. 2 (2021), s. 165-167 [tlačená forma] Rec: Společnost věčného mládí [textový dokument (print)] / Keller, Jan [Autor]. – 1. vyd. – Praha (Česko) : Sociologické nakladatelství, 2019. – 264 s. [tlačená forma] </t>
  </si>
  <si>
    <t xml:space="preserve">Ján Štrasser: Žiť svoju báseň (Rozhovory s Ivanom Štrpkom) / Lietavec, Tomáš [Autor, UKFFFAULK, 100%]. – text. – [slovenčina]. – [OV 020]. – [recenzia - ČL] In: Litikon [textový dokument (print)] : časopis pre výskum literatúry = journal for literature research. – Nitra (Slovensko) : Univerzita Konštantína Filozofa v Nitre. – ISSN 2453-8507. – Roč. 4, č. 1 (2019), s. 323-328 [tlačená forma] Rec: Žiť svoju báseň [textový dokument (print)] : Rozhovory s Ivanom Štrpkom / Štrasser, Ján [Autor]. – 1. vyd. – Bratislava (Slovensko) : Literárne informačné centrum, 2019. – 328 s. [tlačená forma]. – ISBN 978-80-8119-111-4 </t>
  </si>
  <si>
    <t xml:space="preserve">Ján Zozuľak: Byzantská filozofia/Filosofia bizantina / Pružinec, Tomáš [Autor, UKFFFAKFI, 100%]. – text. – [slovenčina]. – [OV 020]. – [recenzia - ČL] In: Orientalia Christiana Periodica [textový dokument (print)] . – Roma (Taliansko) : Edizioni Orientalia Christiana. – ISSN 0030-5375. – Roč. 84, č. 2 (2018), s. 538-540 [tlačená forma] . – SJR: 0,1 ; CiteScore: 0,2 ; SNIP: 0,173 Rec: Byzantská filozofia [textový dokument (print)]  [monografia (do 2021)] / Zozuľak, Ján [Autor, 100%] ; Blandzi, Seweryn [Recenzent] ; Milko, Pavel [Recenzent]. – 1. vyd. – Plzeň (Česko) : Vydavatelství a nakladatelství Aleš Čeněk, 2016. – 218 s. [tlačená forma]. – ISBN 978-80-7380-640-8 Scimago - Archeology - Q4, Archeology (arts and humanities) - Q4, History - Q4, Religious studies - Q4 </t>
  </si>
  <si>
    <t xml:space="preserve">Jana Kalinayová-Bartová a kolektív: Hudobné dejiny Bratislavy : od stredoveku po rok 1918 / Kručayová, Alena [Autor, UKFPFAKHU, 100%]. – text. – [slovenčina]. – [OV 020]. – [recenzia - ČL] In: Slovenská hudba [textový dokument (print)] : revue pre hudobnú kultúru. – Bratislava (Slovensko) : Slovenská muzikologická asociácia pri Slovenskej hudobnej únii. – ISSN 1335-2458. – ISSN (zrušené) 0037-6965. – Roč. 47, č. 2 (2021), s. 189-191 [tlačená forma] </t>
  </si>
  <si>
    <t xml:space="preserve">Janusz Mariański: Godność ludzka w kontekście społecznym. Szkice ze społecznego nauczania Kościoła katolickiego / Štefaňak, Ondrej [Autor, UKFFFAKSO, 100%]. – text. – [slovenčina]. – [OV 060]. – [recenzia - ČL] In: Sociológia a spoločnosť [textový dokument (print)] [elektronický dokument] : medzinárodný vedecký sociologický časopis. – Nitra (Slovensko) : Univerzita Konštantína Filozofa v Nitre. – ISSN 2453-8086. – ISSN (online) 2644-5980. – Roč. 3, č. 1 (2018), s. 87-91 [tlačená forma] [online] Rec: Godność ludzka w kontekście społecznym [textový dokument (print)] : Szkice ze społecznego nauczania Kościoła katolickiego / Mariański, Janusz [Autor]. – 1. vyd. – Lublin (Poľsko) : Gaudium, 2017. – 468 s. [tlačená forma]. – ISBN 978-83-7548-231-7 </t>
  </si>
  <si>
    <t xml:space="preserve">Janusz Mariański: Kondycja religijna i moralna młodzieży szkół średnich w latach 1988 – 1998 – 2005 – 2017 / Štefaňak, Ondrej [Autor, UKFFFAKSO, 100%]. – [slovenčina]. – [OV 020]. – [recenzia - ČL] In: Sociológia a spoločnosť [textový dokument (print)] [elektronický dokument] : medzinárodný vedecký sociologický časopis. – Nitra (Slovensko) : Univerzita Konštantína Filozofa v Nitre. – ISSN 2453-8086. – ISSN (online) 2644-5980. – Roč. 5, č. 2 (2020), s. 120-123 [tlačená forma] [online] Rec: Kondycja religijna i moralna młodzieży szkół średnich w latach 1988 - 1998 - 2005 - 2017 [textový dokument (print)] / Mariański, Janusz [Autor]. – 1. vyd. – Waršava (Poľsko) : Bogucki Wydawnictwo Naukowe, 2017. – [tlačená forma]. – ISBN 978-83-8019-919-4 </t>
  </si>
  <si>
    <t xml:space="preserve">Janusz Mariański: Kościół katolicki w Polsce w kontekście społecznym. Studium socjologiczne / Štefaňak, Ondrej [Autor, UKFFFAKSO, 100%]. – text. – [slovenčina]. – [OV 020]. – [recenzia - ČL] In: Sociológia a spoločnosť [textový dokument (print)] [elektronický dokument] : medzinárodný vedecký sociologický časopis. – Nitra (Slovensko) : Univerzita Konštantína Filozofa v Nitre. – ISSN 2453-8086. – ISSN (online) 2644-5980. – Roč. 4, č. 2 (2019), s. 80-83 [tlačená forma] [online] Rec: Kościół katolicki w Polsce w kontekście społecz-nym. Studium socjologiczne [textový dokument (print)] / Mariański, Janusz [Autor]. – 1. vyd. – Warszawa (Poľsko) : Wydawnictwo Naukowe PWN SA, 2018. – 282 s. [tlačená forma]. – ISBN 978-83-01-19701-8 </t>
  </si>
  <si>
    <t xml:space="preserve">Janusz Mariański: Kościół katolicki w Polsce w kontekście społecznym. Studium socjologiczne (Katolícka cirkev v Poľsku v sociálnom kontexte. Sociologická štúdia) / Štefaňak, Ondrej [Autor, UKFFFAKSO, 100%]. – text. – [slovenčina]. – [OV 020]. – [recenzia - ČL] In: Sociológia a spoločnosť [textový dokument (print)] [elektronický dokument] : medzinárodný vedecký sociologický časopis. – Nitra (Slovensko) : Univerzita Konštantína Filozofa v Nitre. – ISSN 2453-8086. – ISSN (online) 2644-5980. – Roč. 4, č. 2 (2019), s. 80-84 [tlačená forma] [online] Rec: Kościół katolicki w Polsce w kontekście społecz-nym. Studium socjologiczne [textový dokument (print)] / Mariański, Janusz [Autor]. – 1. vyd. – Warszawa (Poľsko) : Wydawnictwo Naukowe PWN SA, 2018. – 282 s. [tlačená forma]. – ISBN 978-83-01-19701-8 </t>
  </si>
  <si>
    <t xml:space="preserve">Janusz Mariański: Nowa religijność i duchowość – mit czy rzeczywistość? / Štefaňak, Ondrej [Autor, UKFFFAKSO, 100%]. – text. – [poľština]. – [OV 020]. – [recenzia - KP] In: Ecumeny and Law (5. Youth - Church - Evangelism) [textový dokument (print)] [elektronický dokument] / [bez zostavovateľa] [Zostavovateľ, editor]. – 1. vyd. – Katovice (Poľsko) : Uniwersytet Ślaski w Katowicach. Wydawnictwo Uniwersytetu Ślaskiego, 2020. – ISSN 2353-4877. – ISSN (online) 2391-4327, s. 103-105 [tlačená forma] Rec: Nowa religijność i duchowość – mit czy rzeczywistość? [textový dokument (print)] / [bez zostavovateľa] [Zostavovateľ, editor]. – 1. vyd. – Varšava (Poľsko) : Nauka, Edukacja, Rozwój, 2020. – 250 s. [tlačená forma]. – ISBN 978-83-66223-10-3 </t>
  </si>
  <si>
    <t xml:space="preserve">Javorská, A. - Kocinová, L. - Wagnerová, S. (eds.): (Meta)filozofia - prax / Skačan, Juraj [Autor, UKFFFAKFI, 100%]. – [slovenčina]. – [OV 020]. – [recenzia - ČL] In: Filozofia [textový dokument (print)] [elektronický dokument] . – Bratislava (Slovensko) : Slovenská akadémia vied. Pracoviská SAV. Filozofický ústav. – ISSN 0046-385X. – ISSN (online) 2585-7061. – Roč. 73, č. 1 (2018), s. 79-83 [tlačená forma] [online] . – SJR: 0,201 ; CiteScore: 0,4 ; SNIP: 0,808 Rec: (Meta)filozofia - prax [textový dokument (print)]  [zborník (do 2021)] : zborník vedeckých príspevkov / Javorská, Andrea [Zostavovateľ, editor, 34%] ; Wagnerová, Simona [Zostavovateľ, editor, 33%] ; Kocinová, Lenka [Zostavovateľ, editor, 33%] ; Pichler, Tibor [Recenzent] ; Gáliková, Silvia [Recenzent]. – 1. vyd. – Bratislava (Slovensko) : Slovenská akadémia vied, 2016. – 408 s. [tlačená forma]. – ISBN 978-80-970303-7-7 Scimago - Religious studies - Q1 </t>
  </si>
  <si>
    <t xml:space="preserve">Jedno obyčejný léto - Ranotínedžerská letná melanchólia / Pevčíková, Jozefa [Autor, UKFFFAULK, 100%]. – text. – [slovenčina]. – [OV 020]. – [recenzia - ČL] In: Multiverzum [elektronický dokument] . – Bratislava (Slovensko) : Multiverzum - Centrum popkultúrneho vzdelávania. – ISSN (online) 2644-657X. – č. 22. júl. 2021 (2021), s. 1-2 [online] Rec: Jedno obyčejný léto [textový dokument (print)] / Bukovská, Lenka [Prekladateľ]. – 1. vyd. – Praha (Česko) : Nakladatelství Paseka, 2020. – 320 s. [tlačená forma]. – ISBN 9788076370784 </t>
  </si>
  <si>
    <t xml:space="preserve">Jednorožec - Znovuzrodený duch renesancie / Pevčíková, Jozefa [Autor, UKFFFAULK, 100%]. – text. – [slovenčina]. – [OV 060]. – [recenzia - ČL] In: Multiverzum [elektronický dokument] . – Bratislava (Slovensko) : Multiverzum - Centrum popkultúrneho vzdelávania. – ISSN (online) 2644-657X. – č. 7. február 2021 (2021), s. 1-2 [online] </t>
  </si>
  <si>
    <t xml:space="preserve">John Storey: Cultural Theory and Popular Culture / Hegedüs, Orsolya [Autor, UKFFSSUVP, 50%] ; Nagy, Péter [Autor, UJSPFKMJ, 50%]. – [angličtina]. – [OV 020]. – [recenzia - ČL]. – [recenzované] In: Eruditio - Educatio [textový dokument (print)] : vedecký časopis Pedagogickej fakulty Univerzity J. Selyeho v Komárne = A Selye János Egyetem Tanárképző Kara tudományos folyóirata = Research Journal of the Faculty of education of J. Selye university. – Komárno (Slovensko) : Univerzita J. Selyeho. Pedagogická fakulta. – ISSN 1336-8893. – Roč. 13, č. 3 (2018), s. 105-106 [tlačená forma] Rec: Cultural Theory and Popular Culture [textový dokument (print)] / Storey, John [Autor]. – 1. vyd. – London (Veľká Británia) : Taylor &amp; Francis Group. Routledge, 2015. – 290 s. [tlačená forma]. – ISBN 978-1-138-81103-4 </t>
  </si>
  <si>
    <t xml:space="preserve">Jozef Tiso : kňaz, politik, kolaborant / Rigová, Viktória [Autor, UKFFFAKHI, 100%]. – text. – [angličtina]. – [OV 030]. – [recenzia - ČL] In: Studia Historica Nitriensia [textový dokument (print)] [elektronický dokument] . – Nitra (Slovensko) : Univerzita Konštantína Filozofa v Nitre. – ISSN 1338-7219. – ISSN (online) 2585-8661. – Roč. 23, č. 1 (2019), s. 235-242 [tlačená forma] [online] . – SNIP: 0,629 ; SJR: 0,187 ; CiteScore: 0,2 Rec: Jozef Tiso [textový dokument (print)] : kňaz, politik, kolaborant / Mace, James [Autor]. – 1. vyd. – Bratislava (Slovensko) : Slovart, 2018. – 424 s. [tlačená forma]. – ISBN 978-80-556-1159-4 Scimago - Cultural studies - Q2, History - Q2, Museology - Q2 </t>
  </si>
  <si>
    <t xml:space="preserve">Kam? / Rédey, Zoltán [Autor, UKFFFAULK, 100%]. – text. – [slovenčina]. – [OV 020]. – [recenzia - ČL] In: Fraktál [textový dokument (print)] : literatúra horizontálne a vertikálne. – Závod (Slovensko) : Fraktál. – ISSN 2585-8912. – Roč. 1, č. 4 (2018), s. 124-131 [tlačená forma] Rec: Kam plášť, tam vietor [textový dokument (print)] / Štrpka, Ivan [Autor]. – Bratislava (Slovensko) : Vydavateľstvo Artforum, 2018. – 136 s. [tlačená forma]. – ISBN 978-80-8150-209-5 </t>
  </si>
  <si>
    <t xml:space="preserve">Kapitoly z dějin česko - španělských styků a vztahů / Jakubej, Ján [Autor, UKFFFAKHI, 100%]. – text. – [slovenčina]. – [OV 030]. – [recenzia - ČL] In: Studia Historica Nitriensia [textový dokument (print)] [elektronický dokument] . – Nitra (Slovensko) : Univerzita Konštantína Filozofa v Nitre. – ISSN 1338-7219. – ISSN (online) 2585-8661. – Roč. 23, č. 2 (2019), s. 508-512 [tlačená forma] [online] . – SNIP: 0,629 ; SJR: 0,187 ; CiteScore: 0,2 Scimago - Cultural studies - Q2, History - Q2, Museology - Q2 </t>
  </si>
  <si>
    <t xml:space="preserve">Kde je srdce zemegule? / Inštitorisová, Dagmar [Autor, UKFFFAKMR, 100%]. – text. – [slovenčina]. – [OV 020]. – [recenzia - ČL] In: Monitoring divadiel na Slovensku [elektronický dokument] . – Bratislava (Slovensko) : Slovenské centrum AICT. – ISSN (online) 2454-0129. – č. 12.10. (2021), s. 1-7 [online] </t>
  </si>
  <si>
    <t xml:space="preserve">Keď chýba cit / Guzmická, Hana [Autor, UKFFSSUSJ, 100%]. – text. – [slovenčina]. – [OV 020]. – [recenzia - ČL] In: Romboid [textový dokument (print)] : časopis pre literatúru a umeleckú komunikáciu. – Bratislava (Slovensko) : Zväz slovenských spisovateľov, Bratislava (Slovensko) : Asociácia organizácií spisovateľov Slovenska. – ISSN 0231-6714. – Roč. 53, č. 3-4 (2018), s. 151-153 [tlačená forma] Rec: Lenka a sedem psychopatov [textový dokument (print)] : neuveriteľné a kruté poviedky / Stiffel, Harald [Autor]. – 1. vyd. – Bratislava (Slovensko) : Vydavateľstvo Spolku slovenských spisovateľov, 2018. – 112 s. [tlačená forma]. – ISBN 978-80-8061-960-2 </t>
  </si>
  <si>
    <t xml:space="preserve">Keď pierkom vtáka smrti oči zakryješ / Tobiašová, Gabriela [Autor, UKFFFASJL, 100%]. – text. – [slovenčina]. – [OV 020]. – [recenzia - ČL] In: Glosolália [textový dokument (print)] [elektronický dokument] : rodovo orientovaný časopis. – Bratislava (Slovensko) : Glosolália, o.z. – ISSN 1338-7146. – ISSN (online) 1339-245X. – Roč. 10, č. 1 (2021), s. 245-247 [tlačená forma] [online] Rec: Kde raky spievajú [textový dokument (print)]  [knižná publikácia - umelecká (do 2021)] / Owens, Delia [Autor] ; Bachledová, Marianna [Prekladateľ, 100%]. – 1 vyd. – Bratislava (Slovensko) : Tatran, 2019. – 298 s. [15,00 AH] [tlačená forma]. – ISBN 978-80-222-1023-2 </t>
  </si>
  <si>
    <t xml:space="preserve">Keď život kladie otázky / Florková, Janka [Autor, UKFFFASJL, 100%]. – text. – [slovenčina]. – [OV 020]. – [recenzia - ČL] In: Vertigo [textový dokument (print)] : časopis o poézii a básnikoch. – Fintice (Slovensko) : FACE - Fórum alternatívnej kultúry a vzdelávania. – ISSN 1339-3820. – Roč. 6, č. 3 (2018), s. 76-77 [tlačená forma] Rec: Muž na peróne [textový dokument (print)]  [knižná publikácia - umelecká (do 2021)] / Hochel, Igor [Autor, 100%]. – 1. vyd. – Kordíky (Slovensko) : Skalná ruža, 2017. – 84 s. [tlačená forma]. – ISBN 978-80-89816-08-8 </t>
  </si>
  <si>
    <t xml:space="preserve">Kentauri v malom meste / Hochel, Igor [Autor, UKFFFASJL, 100%]. – text. – [slovenčina]. – [OV 020]. – [recenzia - ČL] In: Fraktál [textový dokument (print)] : literatúra horizontálne a vertikálne. – Závod (Slovensko) : Fraktál. – ISSN 2585-8912. – Roč. 1, č. 4 (2018), s. 134-137 [tlačená forma] Rec: Pascalov tieň / Špaček, Jozef [Autor]. – 1. vyd. – Bratislava (Slovensko) : Spolok Slovenských spisovateľov, 2017. – 166 s. [tlačená forma] </t>
  </si>
  <si>
    <t xml:space="preserve">KioX 2017 v znamení nečakanej interaktivity a akčnosti diváka / Ballay, Miroslav [Autor, UKFFFAKKU, 100%]. – text. – [slovenčina]. – [OV 020]. – [recenzia - ČL] In: Tanec [textový dokument (print)] : časopis o tanci a pohybe. – Bratislava (Slovensko) : Verbunk. – ISSN 1339-7699. – Roč. 5, č. 2 (2018), s. 1-6 [tlačená forma] Rec: KioSK - festival nezávislého divadla a tanca [objekt] : Žilina-Záriečie, 27-30.7.2017 / Holinová, Lucia [Zostavovateľ, editor]. – [s.l.] : [s.n.], 2017 </t>
  </si>
  <si>
    <t xml:space="preserve">Kiss Szemán, Róbert. „S oporou i bez opory...“ Středoevropské tvaře katolické literatury / Gallik, Ján [Autor, UKFFSSUSJ, 100%]. – text. – [slovenčina]. – [OV 020]. – [recenzia - ČL] In: Litikon [textový dokument (print)] : časopis pre výskum literatúry = journal for literature research. – Nitra (Slovensko) : Univerzita Konštantína Filozofa v Nitre. – ISSN 2453-8507. – Roč. 3, č. 2 (2018), s. 393-396 [tlačená forma] Rec: „S oporou i bez opory...“ Středoevropské tvaře katolické literatury [textový dokument (print)] / Kiss Szemán, Róbert [Autor]. – Praha (Česko) : Akropolis, 2017. – 126 s. [tlačená forma]. – ISBN 978-80-7304-206-6 </t>
  </si>
  <si>
    <t xml:space="preserve">Klaus Vieweg: Hegel. Der Philosoph der Freiheit. Biographie / Horyna, Břetislav [Autor, UKFFFAKFI, 100%]. – text. – [nemčina]. – [OV 020]. – [recenzia - ČL] In: Filozofia [textový dokument (print)] [elektronický dokument] . – Bratislava (Slovensko) : Slovenská akadémia vied. Pracoviská SAV. Filozofický ústav. – ISSN 0046-385X. – ISSN (online) 2585-7061. – Roč. 76, č. 5 (2021), s. 418-423 [tlačená forma] [online] . – SNIP: 0.482 ; SJR: 0.227 ; CiteScore: 0.6 ; AIS: 0.059 AIS - Philosophy - Q4 Scimago - Philosophy - Q2, Religious studies - Q1 </t>
  </si>
  <si>
    <t xml:space="preserve">Klavírna suita v 20. storočí : M. Bajuszová VŠMU 2018 / Veselý, Ondrej [Autor, UKFFFAULK, 100%]. – text. – [slovenčina]. – [OV 010]. – [recenzia - ČL] In: Hudobný život [textový dokument (print)] [elektronický dokument] : jediný odborný mesačník pre klasickú hudbu a jazz na Slovensku. – Bratislava (Slovensko) : Hudobné centrum. – ISSN 1335-4140. – ISSN (online) 2729-7586. – ISSN (zrušené) 0323-133X. – Roč. 51, č. 4 (2019), s. 37-38 [tlačená forma] [online] Rec: Klavírna suita v 20. storočí / Bajuszová, Magdaléna [Autor]. – 1. vyd. – Bratislava (Slovensko) : Vysoká škola múzických umení v Bratislave, 2018 </t>
  </si>
  <si>
    <t xml:space="preserve">Koliová, Marianna. Cestopisné obrazy v premenách času. Reprezentácia Tatier a Váhu v cestopisoch prvej polovice 19.storočia / Tobiašová, Gabriela [Autor, UKFFFASJL, 100%]. – text. – [slovenčina]. – [OV 020]. – [recenzia - ČL] In: Litikon [textový dokument (print)] : časopis pre výskum literatúry = journal for literature research. – Nitra (Slovensko) : Univerzita Konštantína Filozofa v Nitre. – ISSN 2453-8507. – Roč. 5, č. 1 (2020), s. 101-103 [tlačená forma] Rec: Cestopisné obrazy v premenách času [textový dokument (print)]  [monografia (do 2021)] : reprezentácia Tatier a Váhu v cestopisoch prvej polovice 19. storočia / Koliová, Marianna [Autor, 100%] ; Bočková, Hana [Recenzent] ; Golema, Martin [Recenzent]. – 1. vyd. – Bratislava (Slovensko) : Univerzita Komenského v Bratislave, 2019. – 248 s. [13,83 AH] [tlačená forma]. – ISBN 978-80-223-4775-4 </t>
  </si>
  <si>
    <t xml:space="preserve">Koniec francúzskych intelektuálov? / Žiak, Peter [Autor, UKFFFAULK, 100%]. – text. – [slovenčina]. – [OV 060]. – [recenzia - ČL] In: Kapitál [textový dokument (print)] [elektronický dokument] : angažovaný mesačník. – Bratislava (Slovensko) : Občianske združenie Literárny klub, Bratislava (Slovensko) : KPTL občianske združenie. – ISSN 2585-7851. – Roč. 2, č. 12 (2018), s. 46-46 [tlačená forma] Rec: The End of the French Intellectual [textový dokument (print)] : From Zola to Houellebecq / Sand, Shlomo [Autor]. – Londýn (Veľká Británia) : Verso, [s.a.]. – 278 s. [tlačená forma]. – ISBN 978-1-78663-508-2 </t>
  </si>
  <si>
    <t xml:space="preserve">Konstrukcii sociaľnoj samoidentifikacii i samoprezentacii govorjaščego : očerki ob egocentričeskich sredstvach slovackogo jazyka / Gallo, Ján [Autor, UKFFFAKRU, 100%]. – text. – [ruština]. – [OV 020, 010]. – [recenzia - ČL] In: Slavica Slovaca [textový dokument (print)] [elektronický dokument] : orgán Slavistického ústavu Jána Stanislava SAV a Slovenského komitétu slavistov. – Bratislava (Slovensko) : Slovenská akadémia vied. Slavistický ústav Jána Stanislava. – ISSN 0037-6787. – ISSN (online) 1336-2364. – Roč. 55, č. 1 (2020), s. 138-141 [tlačená forma] [online] . – SJR: 0,104 ; CiteScore: 0,1 ; SNIP: 0,171 Rec: Konstrukcii sociaľnoj samoidentifikacii i samoprezentacii govoriaščego [textový dokument (print)]  [monografia (do 2021)] : Očerki ob egocentričeskich sredstvach slovackogo jazyka / Sokolová, Jana [Autor, 100%] ; Kesselová, Jana [Recenzent] ; Kováčová, Zuzana [Recenzent]. – 1. vyd. – Saarbrücken (Nemecko) : Palmarium Academic Publishing, 2019. – 130 s. [tlačená forma]. – ISBN 978-620-2-38404-9 Scimago - Anthropology - Q4, Cultural studies - Q4, History - Q3, Language and linguistics - Q4, Linguistics and language - Q4 </t>
  </si>
  <si>
    <t xml:space="preserve">Korzá, gestá, melanchólie a ešte čosi navyše / Smiešková, Lucia [Autor, UKFFFASJL, 100%]. – text. – [slovenčina]. – [OV 020]. – [recenzia - ČL] In: Fraktál [textový dokument (print)] : literatúra horizontálne a vertikálne. – Závod (Slovensko) : Fraktál. – ISSN 2585-8912. – Roč. 3, č. 2 (2020), s. 182-184 [tlačená forma] </t>
  </si>
  <si>
    <t xml:space="preserve">Krásovská, Eva: S hlediska smyslu ... Émile Benveniste a zrod strukturalismu. Praha: Univerzita Karlova, Filozofická fakulta / Dudová, Katarína [Autor, UKFFFASJL, 100%]. – text. – [slovenčina]. – [OV 020]. – [recenzia - ČL] In: Litikon [textový dokument (print)] : časopis pre výskum literatúry = journal for literature research. – Nitra (Slovensko) : Univerzita Konštantína Filozofa v Nitre. – ISSN 2453-8507. – Roč. 4, č. 1 (2019), s. 307-309 [tlačená forma] Rec: S hlediska smyslu ... [textový dokument (print)] : Émile Benveniste a zrod strukturalismu / Krásovská, Eva [Autor]. – 1. vyd. – Praha (Česko) : Univerzita Karlova v Praze, 2018. – 412 s. [tlačená forma]. – ISBN 978-80-7308-769-2 </t>
  </si>
  <si>
    <t xml:space="preserve">Krejčík feat. Skylla: román, čo má "flow" : (P. Krejčík: Malej NY) / Boszorád, Martin [Autor, UKFFFAULK, 100%]. – text. – [slovenčina]. – [OV 020]. – [recenzia - ČL] In: Fraktál [textový dokument (print)] : literatúra horizontálne a vertikálne. – Závod (Slovensko) : Fraktál. – ISSN 2585-8912. – Roč. 3, č. 3 (2020), s. 143-145 [tlačená forma] Rec: Malej NY [textový dokument (print)] / Krejčík, Přemysl [Autor]. – 1. vyd. – Brno (Česko) : Host, 2019. – 280 s. [tlačená forma]. – ISBN 978-80-7577-964-9 </t>
  </si>
  <si>
    <t xml:space="preserve">Kristus prichádza / Gallik, Ján [Autor, UKFFSSUSJ, 100%]. – text. – [slovenčina]. – [OV 020]. – [recenzia - ČL] In: Vox [elektronický dokument] : mesačník o náboženstve a kultúre. – Bratislava (Slovensko) : rád Konferencie biskupov Slovenska. Rada KBS pre vedu, vzdelanie a kultúru. – ISSN (online) 1339-3634. – Roč. 6, č. 13 (2018), s. 16-17 [online] Rec: Kristus prichádza [textový dokument (print)] / Maršálek, Ján [Autor]. – Bratislava (Slovensko) : Post Scriptum, 2018. – 160 s. [tlačená forma]. – ISBN 978-80-89567-83-6 </t>
  </si>
  <si>
    <t xml:space="preserve">Krištúfkovský svet po márquezovsky / Smiešková, Lucia [Autor, UKFFFASJL, 100%]. – text. – [slovenčina]. – [OV 020]. – [recenzia - ČL] In: Knižná revue [textový dokument (print)] [elektronický dokument] : mesačník o nových knihách. – Bratislava (Slovensko) : Literárne informačné centrum. – ISSN 1210-1982. – ISSN (online) 1336-247X. – Roč. 29, č. 6 (2019), s. 24-25 [tlačená forma] [online] Rec: 3x Peter Krištúfek - Nepresné miesto, Voľným okom, Hviezda vystrihnutého záberu [textový dokument (print)] / Krištúfek, Peter [Autor]. – vyd. – Levice (Slovensko) : Koloman Kertész Bagala, 2018. – 363 s. [tlačená forma]. – ISBN 978-80-89973-11-8 </t>
  </si>
  <si>
    <t xml:space="preserve">Kriticko - reflexívne sondy do siedmich inscenácií okruhu STRED / Ballay, Miroslav [Autor, UKFFFAKKU, 100%]. – text. – [slovenčina]. – [OV 060]. – [recenzia - ČL] In: Art communication &amp; popculture [textový dokument (print)] : časopis pre umeleckú komunikáciu a popkultúru. – Nitra (Slovensko) : Univerzita Konštantína Filozofa v Nitre. – ISSN 1339-9284. – Roč. 5, č. 1-2 (2019), s. 223-227 [tlačená forma] Rec: Okruh STRED / [bez zostavovateľa] [Zostavovateľ, editor]. – 1. vyd. – Bratislava (Slovensko) : Akadémia divadelných tvorcov, 2019 </t>
  </si>
  <si>
    <t xml:space="preserve">Kučerková Magda – Knapík Ján. Cesta do Compostely. Legendy, história, skúsenosti / Civáňová, Zuzana [Autor, UKFFFAKRO, 100%]. – text. – [slovenčina]. – [OV 020]. – [recenzia - ČL] In: Konštantínove listy [textový dokument (print)] [elektronický dokument] . – Nitra (Slovensko) : Univerzita Konštantína Filozofa v Nitre. Filozofická fakulta. Ústav pre výskum kultúrneho dedičstva Konštantína a Metoda. – ISSN 1337-8740. – ISSN (online) 2453-7675. – Roč. 12, č. 1 (2019), s. 172-173 [tlačená forma] [online] . – SNIP: 0,608 ; SJR: 0,342 ; CiteScore: 1,1 Rec: Cesta do Compostely [textový dokument (print)]  [monografia (do 2021)] : legendy, história, skúsenosti / Kučerková, Magda [Autor, 50%] ; Knapík, Ján [Autor, 50%] ; Černotová, Marta [Recenzent] ; Gritti, Fabiano [Recenzent]. – 1. vyd. – Košice (Slovensko) : Zachej.sk, 2018. – 304 s. [tlačená forma]. – ISBN 978-80-89866-27-4 Scimago - History - Q1, Philosophy - Q1, Religious studies - Q1 </t>
  </si>
  <si>
    <t xml:space="preserve">Kulturálne štúdiá o nezávislom umení a kultúre : (perspektívy výskumu na prelome 20. a 21. storočia) / Albuerne Gayo, Angélica [Autor, UKFFFAKKU, 100%]. – text. – [slovenčina]. – [OV 020]. – [recenzia - ČL] In: Culturologica Slovaca [elektronický dokument] : internetový kulturologický časopis. – Nitra (Slovensko) : Univerzita Konštantína Filozofa v Nitre. – ISSN 2453-9740. – Roč. 6, č. 1 (2021), s. 169-171 [online] Rec: Los estudios culturales sobre el arte independiente y la cultura [textový dokument (print)]  [editovaná kniha (do 2021)] : (Las perspectivas de investigación entre los siglos xx y xxi) / Fuják, Július [Zostavovateľ, editor, 100%] ; Štúr, Martin [Recenzent] ; Malíček, Juraj [Recenzent]. – 1. vyd. – Sevilla (Španielsko) : Ediciones Alfar, 2020. – 160 s. [tlačená forma]. – ISBN 978-84-7898-875-4 </t>
  </si>
  <si>
    <t xml:space="preserve">Kvalitatívne skúmanie nielen v predprimárnom vzdelávaní / Pupíková, Eva [Autor, UKFPFAKPE, 100%]. – text. – [slovenčina]. – [OV 010]. – [recenzia - ČL] In: Pedagogické rozhľady [elektronický dokument] [textový dokument (print)] : Odborno-metodický časopis pre školy a školské zariadenia. – Banská Bystrica (Slovensko) : Metodicko-pedagogické centrum. – ISSN (online) 1335-0404. – Roč. 29, č. 2 (2020), s. 31-31 [online] [tlačená forma] </t>
  </si>
  <si>
    <t xml:space="preserve">La proposta della "psicologia della letteratura" come scienza interdisciplinare / Gritti, Fabiano [Autor, UKFFFAKRO, 100%]. – text. – [taliančina]. – [OV 020]. – [recenzia - ČL] In: Studi italo-slovacchi [textový dokument (print)] . – Nitra (Slovensko) : Univerzita Konštantína Filozofa v Nitre. Filozofická fakulta, Bratislava (Slovensko) : Slovenská akadémia vied. – ISSN 1338-6778. – Roč. 9, č. 1 (2020), s. 74-77 [tlačená forma] </t>
  </si>
  <si>
    <t xml:space="preserve">Ladislav Burlas a slovenská hudobná kultúra / Beličová, Renáta [Autor, UKFFFAULK, 100%]. – text. – [slovenčina]. – [OV 020]. – [recenzia - ČL] In: Acta Universitatis Carolinae [textový dokument (print)] : Philosophica et Historica. – Praha (Česko) : Univerzita Karlova v Praze. Nakladatelství Karolinum. – ISSN 0567-8293. – Roč. 60, č. 1 (2018), s. 113-115 [tlačená forma] Rec: Ladislav Burlas a slovenská hudobná kultúra [textový dokument (print)]  [editovaná kniha (do 2021)] / Kopčáková, Slávka [Zostavovateľ, editor, 100%] ; Chalupka, Ľubomír [Recenzent] ; Beličová, Renáta [Recenzent]. – 1. vyd. – Prešov (Slovensko) : Prešovská univerzita v Prešove. Filozofická fakulta, 2017. – 238 s. [tlačená forma]. – (Opera theoriae artis ; 3/2017). – ISBN 978-80-555-1780-3 </t>
  </si>
  <si>
    <t xml:space="preserve">Lalula : E. Šušková, Quasars Ensemble, I. Buffa, Real Music House 2018 / Veselý, Ondrej [Autor, UKFFFAULK, 100%]. – text. – [slovenčina]. – [OV 010]. – [recenzia - ČL] In: Hudobný život [textový dokument (print)] [elektronický dokument] : jediný odborný mesačník pre klasickú hudbu a jazz na Slovensku. – Bratislava (Slovensko) : Hudobné centrum. – ISSN 1335-4140. – ISSN (online) 2729-7586. – ISSN (zrušené) 0323-133X. – Roč. 51, č. 5 (2019), s. 38-39 [tlačená forma] [online] </t>
  </si>
  <si>
    <t xml:space="preserve">Landscape without land / Vilím, Erik [Autor, UKFFFAULK, 100%]. – [angličtina]. – [OV 020]. – [recenzia - ČL] In: Fotonoviny [textový dokument (print)] : štvrťročník o fotografickom dianí na Slovensku. – Bratislava (Slovensko) : Stredoeurópsky dom fotografie. – ISSN 1337-6454. – Roč. 11, č. 41 (2018), s. 20-20 [tlačená forma] Rec: Landscape Without Land [objekt] : [recenzia výstavy výtvarných prác, 8. 6. - 27. 8. 2017] / Hudačinová, Katarína [Autor]. – 1. vyd. – Nitra (Slovensko) : Nitrianska galéria, 2017 </t>
  </si>
  <si>
    <t xml:space="preserve">Lanstyák István: Nyelvalakítás és nyelvi problémák / Vančo, Ildikó [Autor, UKFFSSUML, 100%]. – text. – [maďarčina]. – [OV 020]. – [recenzia - ČL] In: Magyar Nyelvjárások [elektronický dokument] . – Debrecen (Maďarsko) : Debreceni Egyetem. – ISSN 0541-9298. – ISSN (online) 1588-7162. – Roč. 58, č. 1 (2020), s. 252-263 [tlačená forma] [online] Rec: Nyelvalakítás és nyelvi problémák [textový dokument (print)]  [monografia (do 2021)] = Jazykový manažment a jazykové problémy / Lanstyák, István [Autor, 100%] ; Misadová, Katarína [Recenzent] ; Péntek, János [Recenzent]. – 1. vyd. – Šamorín (Slovensko) : Fórum inštitút pre výskum menšín, 2018. – 360 s. [tlačená forma]. – (Nostra Tempora ; 25). – ISBN 978-80-89978-00-7 </t>
  </si>
  <si>
    <t xml:space="preserve">Lapko, R. (ed.): Martin Luther po päťsto rokoch / Šmeringaiová, Paulína [Autor, UKFFFAKRU, 100%]. – text. – [slovenčina]. – [OV 020]. – [recenzia - ČL] In: Slavica Slovaca [textový dokument (print)] [elektronický dokument] : orgán Slavistického ústavu Jána Stanislava SAV a Slovenského komitétu slavistov. – Bratislava (Slovensko) : Slovenská akadémia vied. Slavistický ústav Jána Stanislava. – ISSN 0037-6787. – ISSN (online) 1336-2364. – Roč. 53, č. 2 (2018), s. 200-200 [tlačená forma] [online] . – SJR: 0,1 ; CiteScore: 0,2 ; SNIP: 0,159 Rec: Martin Luther po päťsto rokoch [textový dokument (print)]  [zborník (do 2021)] / Lapko, Róbert [Zostavovateľ, editor, 100%] ; Martin Luther po 500 rokoch, 1 [05.10.2017, Košice, Slovensko]. – 1. vyd. – Bratislava (Slovensko) : Slovenská akadémia vied. Veda, vydavateľstvo Slovenskej akadémie vied, 2018. – 87 s. [tlačená forma]. – ISBN 978-80-89489-35-0 Scimago - Anthropology - Q4, Cultural studies - Q4, History - Q4, Language and linguistics - Q4, Linguistics and language - Q4 </t>
  </si>
  <si>
    <t xml:space="preserve">Lear ako absurdný hotel / Inštitorisová, Dagmar [Autor, UKFFFAKMR, 100%]. – text. – [slovenčina]. – [OV 020]. – [recenzia - ČL] In: Monitoring divadiel na Slovensku [elektronický dokument] . – Bratislava (Slovensko) : Slovenské centrum AICT. – ISSN (online) 2454-0129. – 2018, s. 1-3 [online] Rec: Kráľ Lear (príbeh sveta) [textový dokument (print)] / Shakespeare, William [Autor]. – Martin (Slovensko) : Slovenské komorné divadlo, 2018 </t>
  </si>
  <si>
    <t xml:space="preserve">Letz, Róbert – Judák, Viliam (eds.). Cyrilo-metodská tradícia ako spájajúci fenomén = Cyril and Methodical tradition as a unifying phenomenon / Hlad, Ľubomír [Autor, UKFFFAKNS, 100%]. – text. – [angličtina]. – [OV 020]. – [recenzia - ČL]. – WOS CC In: Konštantínove listy [textový dokument (print)] [elektronický dokument] . – Nitra (Slovensko) : Univerzita Konštantína Filozofa v Nitre. Filozofická fakulta. Ústav pre výskum kultúrneho dedičstva Konštantína a Metoda. – ISSN 1337-8740. – ISSN (online) 2453-7675. – Roč. 14, č. 1 (2021), 214-217 [tlačená forma] [online] . – CiteScore: 0,5 ; SJR: 0,336 ; SNIP: 0,796 ; AIS: 0.417 AIS - Humanities, multidisciplinary - Q1 Scimago - History - Q1, Philosophy - Q1, Religious studies - Q1 </t>
  </si>
  <si>
    <t xml:space="preserve">Literatúra a film v českom kontexte = Literature and Film in the Czech Context / Adamická, Monika [Autor, UKFFSSUSJ, 100%]. – [slovenčina]. – [OV 020]. – [recenzia - ČL] In: Stredoeurópske pohľady [textový dokument (print)] [elektronický dokument] : časopis pre jazyk, literatúru, kultúru a médiá. – Nitra (Slovensko) : Univerzita Konštantína Filozofa v Nitre. Fakulta stredoeurópskych štúdií. Ústav stredoeurópskych jazykov a kultúr. – ISSN 2644-6367. – ISSN (online) 2644-6472. – Roč. 1, č. 2 (2019), s. 70-71 [tlačená forma] [online] Rec: Česká literatúra a film 5 [textový dokument (print)]  [zborník (do 2021)] : zborník štúdií z medzinárodnej vedeckej konferencie, konanej 17. októbra 2017 na FSŠ v Nitre / Timko, Štefan [Zostavovateľ, editor, 100%] ; Česká literatúra a film, 5 [17.10.2017, Nitra, Slovensko]. – 1. vyd. – Nitra (Slovensko) : Univerzita Konštantína Filozofa v Nitre, 2018. – 149 s. [tlačená forma]. – ISBN 978-80-558-1303-5 </t>
  </si>
  <si>
    <t xml:space="preserve">Lysý, Jozef: Bondyho Odysea na Slovensko / Krno, Svetozár [Autor, UKFFFAKPO, 100%]. – text. – [slovenčina]. – [OV 030]. – [recenzia - ČL] In: Civitas [textový dokument (print)] : časopis pre politické a sociálne vedy. – Nitra (Slovensko) : Univerzita Konštantína Filozofa v Nitre. Filozofická fakulta. Katedra politológie a euroázijských štúdií. – ISSN 1335-2652. – Roč. 26, č. 2 (2020), s. 14-15 [tlačená forma] Rec: Bondyho odysea na Slovensko [textový dokument (print)]  [knižná publikácia - odborná (do 2021)] / Lysý, Jozef [Autor, 100%] ; Gbúrová, Marcela [Recenzent] ; Goňcová, Marta [Recenzent]. – 1. vyd. – Praha (Česko) : Machiavelli Press, 2020. – 94 s. [tlačená forma]. – ISBN 978-80-88147-08-4 </t>
  </si>
  <si>
    <t xml:space="preserve">Madeleine Campbell and Ricarda Vidal (eds.) 2019. Translating across Sensory and Linguistic Borders: Intersemiotic Journeys between Media. Cham, Switzerland: Palgrave Macmillan / Ukušová, Jana [Autor, UKFFFAKTR, 100%]. – text. – [angličtina]. – [OV 020]. – [recenzia - ČL] In: Bridge [elektronický dokument] : Trends and Traditions in Translation and Interpreting Studies. – Nitra (Slovensko) : Univerzita Konštantína Filozofa v Nitre. Filozofická fakulta. Katedra translatológie. – ISSN (online) 2729-8183. – Roč. 1, č. 2 (2020), s. 134-135 [online] </t>
  </si>
  <si>
    <t xml:space="preserve">Magnetische Welle : (TJ Vjuga) / Fuják, Július [Autor, UKFFFAKKU, 100%]. – text. – [slovenčina]. – [OV 020]. – [recenzia - ČL] In: Vlna [textový dokument (print)] : časopis o súčasnom umení a kultúre. – Bratislava (Slovensko) : Drewo a srd. – ISSN 1335-5341. – ISSN (chybné) ISSN 1335-969X. – Roč. 21, č. 79 (2019), s. 144-144 [tlačená forma] Rec: Magnetische welle / Malovcová, Sofia [Autor]. – 1. vyd. – Bratislava (Slovensko) : Drewo a srd, 2018. – [CD-ROM] </t>
  </si>
  <si>
    <t xml:space="preserve">Magová, Lenka a kol.: Hodnotenie kompetencií učiteľov v európskom a slovenskom kontexte / Lomnický, Igor [Autor, UKFFFAKAE 06.2022, 100%]. – [slovenčina]. – [OV 010]. – [recenzia - ČL] In: Mládež a spoločnosť [textový dokument (print)] : slovenský časopis pre štátnu politiku a výskum mládeže = Slovak journal for state policy and youth research. – Bratislava (Slovensko) : Centrum vedecko-technických informácií SR. – ISSN 1335-1109. – Roč. 24, č. 2 (2018), s. 73-75 [tlačená forma] Rec: Hodnotenie kompetencií učiteľov v európskom a slovenskom kontexte [textový dokument (print)]  [monografia (do 2021)] / Magová, Lenka [Autor, 3.846%] ; Baďová, Petra [Autor, 3.846%] ; Boboňová, Ivana [Autor, 3.846%] ; Csáky, Antal [Autor, 3.846%] ; Čeretková, Soňa [Autor, 3.846%] ; Fandelová, Eva [Autor, 3.846%] ; Gadušová, Zdenka [Autor, 3.846%] ; Harťanská, Jana [Autor, 3.846%] ; Hašková, Alena [Autor, 3.846%] ; Hockicková, Beáta [Autor, 3.846%] ; Jakubovská, Viera [Autor, 3.846%] ; Jonášková, Gabriela [Autor, 3.846%] ; Kramáreková, Hilda [Autor, 3.846%] ; Labancová, Veronika [Autor, 3.846%] ; Lalinská, Mária [Autor, 3.846%] ; Lomnický, Igor [Autor, 3.846%] ; Malá, Eva [Autor, 3.846%] ; Miššíková, Gabriela [Autor, 3.846%] ; Müglová, Daniela [Autor, 3.846%] ; Predanocyová, Ľubica [Autor, 3.847%] ; Sandanusová, Anna [Autor, 3.846%] ; Stranovská, Eva [Autor, 3.847%] ; Szíjjártóová, Katarína [Autor, 3.846%] ; Švarbová, Eva [Autor, 3.847%] ; Valovičová, Ľubomíra [Autor, 3.846%] ; Žilová, Ružena [Autor, 3.847%] ; Tandlichová, Eva [Recenzent] ; Marková, Dagmar [Recenzent]. – 1. vyd. – Praha (Česko) : Verbum, 2016. – 302 s. [tlačená forma]. – ISBN 978-80-87800-28-7 </t>
  </si>
  <si>
    <t xml:space="preserve">Machado de Assis: Quincas Borba / Popovicsová, Jana [Autor, UKFFFASJL, 100%]. – [slovenčina]. – [OV 020]. – [recenzia - ČL] In: Revue svetovej literatúry [textový dokument (print)] . – Bratislava (Slovensko) : Slovenský spisovateľ, Bratislava (Slovensko) : Slovenská spoločnosť prekladateľov umeleckej literatúry. – ISSN 0231-6269. – Roč. 54, č. 1 (2018), s. 153-155 [tlačená forma] Rec: Quincas Borba [textový dokument (print)]  [knižná publikácia - umelecká (do 2021)] / Assis, Machado de [Autor] ; Cinková, Lenka [Prekladateľ, 100%]. – 1. vyd. – Bratislava (Slovensko) : Portugalský inštitút, 2016. – 220 s. [tlačená forma]. – ISBN 978-80-89137-93-0 </t>
  </si>
  <si>
    <t xml:space="preserve">Malý kúsok hlohovskej exotiky / Florková, Janka [Autor, UKFFFASJL, 100%]. – text. – [slovenčina]. – [OV 020]. – [recenzia - ČL] In: Vertigo [textový dokument (print)] : časopis o poézii a básnikoch. – Fintice (Slovensko) : FACE - Fórum alternatívnej kultúry a vzdelávania. – ISSN 1339-3820. – Roč. 8, č. 2 (2020), s. 60-61 [tlačená forma] Rec: Z Hlohovca do Honolulu a späť [textový dokument (print)]  [monografia (do 2021)] : Rudolf Dilong a hlohovská literárna avantgarda / Kamenčík, Marián [Autor, 100%] ; Brunclík, Jozef [Recenzent] ; Hladký, Juraj [Recenzent] ; Gallik, Ján [Recenzent]. – 1. vyd. – Hlohovec (Slovensko) : Ex libris ad personam, 2019. – 400 s. [tlačená forma]. – ISBN 978-80-971313-6-4 </t>
  </si>
  <si>
    <t xml:space="preserve">Manuel González de Ávila. Semiótica. La experiencia del sentido a través del arte y la literatura. Abada Editores, 2021 / Lampis, Mirko [Autor, UKFFFAKRO, 100%]. – text. – [španielčina]. – [OV 020]. – [recenzia - ČL] In: Revista chilena de semiótica [elektronický dokument] . – Santiago de Chile (Čile) : Universidad Central de Chile. – ISSN 0717-3075. – Roč. 26, č. 15 (2021), s. 150-153 [online] </t>
  </si>
  <si>
    <t xml:space="preserve">Marcus Zagorski: Kapitoly z estetiky seriálnej hudby / Fuják, Július [Autor, UKFFFAKKU, 100%]. – text. – [slovenčina]. – [OV 020]. – [recenzia - ČL] In: Vlna [textový dokument (print)] : časopis o súčasnom umení a kultúre. – Bratislava (Slovensko) : Drewo a srd. – ISSN 1335-5341. – ISSN (chybné) ISSN 1335-969X. – Roč. 20, č. 74 (2018), s. 143-144 [tlačená forma] Rec: Kapitoly z estetiky seriálnej hudby [textový dokument (print)]  [monografia (do 2021)] / Zagorski, Marcus [Autor, 100%] ; Zvara, Vladimír [Recenzent] ; Žabka, Marek [Recenzent]. – 1. vyd. – Bratislava (Slovensko) : Asociácia Corpus, 2017. – 92 s. [tlačená forma]. – ISBN 978-80-972585-4-2 </t>
  </si>
  <si>
    <t xml:space="preserve">Mariana Čechová: Ikonizácia pádu a vzostupu (v arcinaratívoch Popoluškinho typu) = Iconization of fall and rise in Cinderella-type arcinaratives / Danišová, Nikola [Autor, UKFFFAULK, 100%]. – text. – [slovenčina]. – [OV 020]. – [recenzia - ČL]. – CCC In: World Literature Studies [textový dokument (print)] [elektronický dokument] . – Bratislava (Slovensko) : Slovenská akadémia vied. Pracoviská SAV. Ústav svetovej literatúry. – ISSN 1337-9275. – ISSN (online) 1337-9690. – Roč. 12, č. 4 (2020), 100-102 [tlačená forma] [online] . – SJR: 0,116 ; CiteScore: 0,1 ; SNIP: 0,077 ; AIS: 0.082 AIS - Literature - Q4 Scimago - Literature and literary theory - Q2 </t>
  </si>
  <si>
    <t xml:space="preserve">Mariana Čengel Solčanská: Generál M. R. Štefánik / Žilka, Tibor [Autor, UKFFSSUSJ, 100%]. – text. – [slovenčina]. – [OV 020]. – [recenzia - ČL] In: Romboid [textový dokument (print)] : časopis pre literatúru a umeleckú komunikáciu. – Bratislava (Slovensko) : Zväz slovenských spisovateľov, Bratislava (Slovensko) : Asociácia organizácií spisovateľov Slovenska. – ISSN 0231-6714. – Roč. 54, č. 4-5 (2019), s. 92-94 [tlačená forma] Rec: Generál M. R. Štefánik [textový dokument (print)] / Čengel Solčanská, Mariana [Autor]. – 1. vyd. – Bratislava (Slovensko) : Ikar, 2018. – 368 s. [tlačená forma]. – ISBN 978-80-7617-389-7 </t>
  </si>
  <si>
    <t xml:space="preserve">Martinek, Libor: Wilhelm Przeczek / Klimková, Simona [Autor, UKFFFAKAA, 100%]. – text. – [slovenčina]. – [OV 020]. – [recenzia - ČL] In: Litikon [textový dokument (print)] : časopis pre výskum literatúry = journal for literature research. – Nitra (Slovensko) : Univerzita Konštantína Filozofa v Nitre. – ISSN 2453-8507. – Roč. 5, č. 2 (2020), s. 137-139 [tlačená forma] </t>
  </si>
  <si>
    <t xml:space="preserve">Medzi realitou a jej znakom (Interpretačné úvahy o knihách) / Mitková, Natália [Autor, UKFFFASJL, 100%]. – text. – [slovenčina]. – [OV 020]. – [recenzia - ČL] In: Litikon [textový dokument (print)] : časopis pre výskum literatúry = journal for literature research. – Nitra (Slovensko) : Univerzita Konštantína Filozofa v Nitre. – ISSN 2453-8507. – Roč. 4, č. 1 (2019), s. 15-16 [tlačená forma] Rec: Medzi realitou a jej znakom : interpretačné úvahy o knihách [textový dokument (print)] / Rakúsová, Gabriela [Autor]. – 1. vyd. – Levoča (Slovensko) : Vydavateľstvo Modrý Peter, 2018. – 191 s. [tlačená forma]. – ISBN 978-80-89545-72-8 </t>
  </si>
  <si>
    <t xml:space="preserve">Mezi demokracií a autoritářstvím : rakouská vnitřní a zahraniční politika v letech 1931-1934 / Mikulášová, Alena [Autor, UKFFFAKHI, 100%]. – text. – [čeština]. – [OV 030]. – [recenzia - ČL] In: Vojenská história [textový dokument (print)] [elektronický dokument] : časopis pre vojenskú históriu, múzejníctvo a archívnictvo. – Bratislava (Slovensko) : Vojenský historický ústav. – ISSN 1335-3314. – ISSN (online) 1338-7154. – Roč. 25, č. 4 (2021), s. 167-171 [tlačená forma] [online] </t>
  </si>
  <si>
    <t xml:space="preserve">MIchala Antalová &amp; Adrian Myhr: Zvony / Fuják, Július [Autor, UKFFFAKKU, 100%]. – text. – [slovenčina]. – [OV 020]. – [recenzia - ČL] In: Vlna [textový dokument (print)] : časopis o súčasnom umení a kultúre. – Bratislava (Slovensko) : Drewo a srd. – ISSN 1335-5341. – ISSN (chybné) ISSN 1335-969X. – Roč. 23, č. 89 (2021), s. 127-127 [tlačená forma] Rec: Zvony [elektronický dokument] : CD album / Antalová, Michaela [Autor] ; Myhr, Adrian [Autor]. – 1. vyd. – Košice (Slovensko) : Hevhetia, 2021 </t>
  </si>
  <si>
    <t xml:space="preserve">Michel Houellebecq - symptóm kolektívnej frustrácie / Žiak, Peter [Autor, UKFFFAKTR, 100%]. – [slovenčina]. – [OV 020]. – [recenzia - ČL] In: Kapitál [textový dokument (print)] [elektronický dokument] : angažovaný mesačník. – Bratislava (Slovensko) : Občianske združenie Literárny klub, Bratislava (Slovensko) : KPTL občianske združenie. – ISSN 2585-7851. – Roč. 3, č. 4 (2019), s. 1-1 [tlačená forma] Rec: Sérotonine [textový dokument (print)] / Houellebecq, Michel [Autor]. – 1. vyd. – Paris (Francúzsko) : Flammarion, 2019. – 347 s. [tlačená forma]. – ISBN 978-2-0814-7175-7 </t>
  </si>
  <si>
    <t xml:space="preserve">Mikula, Valér. Socialistický realizmus v slovenskej poézii / Hochel, Igor [Autor, UKFFFASJL, 100%]. – text. – [slovenčina]. – [OV 020]. – [recenzia - ČL] In: Litikon [textový dokument (print)] : časopis pre výskum literatúry = journal for literature research. – Nitra (Slovensko) : Univerzita Konštantína Filozofa v Nitre. – ISSN 2453-8507. – Roč. 3, č. 1 (2018), s. 265-268 [tlačená forma] Rec: Socialistický realizmus v slovenskej poézii [textový dokument (print)] / Mikula, Valér [Autor]. – 1. vyd. – Bratislava (Slovensko) : Univerzita Komenského v Bratislave, 2017. – 232 s. [tlačená forma]. – ISBN 978-80-223-4322-0 </t>
  </si>
  <si>
    <t xml:space="preserve">Miroslav Pekník a kol.: Pohľady na slovenskú politiku po roku 1989., I-II. / Mészárosová, Zuzana [Autor, UKFFFAKPO, 100%]. – text. – [slovenčina]. – [OV 020]. – [recenzia - ČL] In: Fórum Társadalomtudományi Szemle [textový dokument (print)] . – Šamorín (Slovensko) : Fórum inštitút pre výskum menšín. – ISSN 1335-4361. – Roč. 20, č. 2 (2018), s. 165-170 [tlačená forma] Rec: Pohľady na slovenskú politiku po roku 1989, I-II. časť [textový dokument (print)] / Pekník, Miroslav [Autor] ; Čáky, Milan [Recenzent] ; Goněc, Vladimír [Recenzent] ; Zelenák, Peter [Recenzent]. – 1. vyd. – Bratislava (Slovensko) : Slovenská akadémia vied. Veda, vydavateľstvo Slovenskej akadémie vied, 2016. – 1195 s. [tlačená forma]. – ISBN 978-80-224-1513-2 </t>
  </si>
  <si>
    <t xml:space="preserve">Moderné jazyky v súčasnej Európe. Zborník k 15. výročiu Európskeho konzorcia pre certifikáciu znalostí moderných jazykov na Univerzite Konštantína Filozofa v Nitre : Nitra: Filozofická fakulta Univerzity Konštantína Filozofa v Nitre 2018. 179 s. / Dudová, Katarína [Autor, UKFFFASJL, 100%]. – text. – [slovenčina]. – [OV 020, 010]. – [recenzia - ČL] In: Lingua et vita [textový dokument (print)] [elektronický dokument] : vedecký časopis pre výskum jazykov a interkultúrnej komunikácie. – Bratislava (Slovensko) : Ekonomická univerzita v Bratislave. Celouniverzitné pracovisko EUBA. Vydavateľstvo EKONÓM. – ISSN 1338-6743. – Roč. 8, č. 15 (1) (2019), s. 101-102 [tlačená forma] [online] </t>
  </si>
  <si>
    <t xml:space="preserve">Modernizmus v pohybe = Modernism on the Movie / Hochel, Igor [Autor, UKFFFASJL, 100%]. – [slovenčina]. – [OV 020]. – [recenzia - ČL]. – DOI 0.31577/slovlit.2021.68.3.15 In: Slovenská literatúra [textový dokument (print)] [elektronický dokument] : revue pre literárnu vedu : časopis Ústavu slovenskej literatúry Slovenskej akadémie vied. – Bratislava (Slovensko) : Slovenská akadémia vied. Pracoviská SAV. Ústav slovenskej literatúry. – ISSN 0037-6973. – Roč. 68, č. 3 (2021), s. 359-364 [tlačená forma] [online] . – CiteScore: 0,1 ; SJR: 0,14 ; SNIP: 0,201 Scimago - Literature and literary theory - Q2 </t>
  </si>
  <si>
    <t xml:space="preserve">Motivujúce a pútavé cudzojazyčné tituly pre študentov rusistiky / Gallo, Ján [Autor, UKFFFAKRU, 100%]. – text. – [slovenčina]. – [OV 020]. – [recenzia - ČL] In: Nová filologická revue [elektronický dokument] : časopis o súčasných problémoch lingvistiky, literárnej vedy, translatológie a kulturológie : časopis o súčasnej lingvistike, literárnej vede, translatológii a kulturológii. – Banská Bystrica (Slovensko) : Univerzita Mateja Bela v Banskej Bystrici. Fakulta humanitných vied. – ISSN (online) 1338-0583. – Roč. 12, č. 2 (2021), s. 188-191 [online] Rec: Jazykové cvičenia z ruského jazyka 2 [textový dokument (print)]  [učebnica pre vysoké školy (do 2021)] / Lizoň, Martin [Autor, 80%] ; Breusová, Elena [Autor, 20%] ; Charlamova, Marina Alexandrovna [Recenzent] ; Krajev, Andrej [Recenzent] ; Kuruľonok, Andrej Alexandrovič [Recenzent]. – 1 vyd. – Banská Bystrica (Slovensko) : Univerzita Mateja Bela v Banskej Bystrici. Vydavateľstvo Univerzity Mateja Bela v Banskej Bystrici - Belianum, 2019. – 204 s. [10,2 AH] [tlačená forma]. – ISBN 978-80-557-1549-0 Rec: Jazykové cvičenia z ruského jazyka (1) [textový dokument (print)]  [učebnica pre vysoké školy (do 2021)] / Lizoň, Martin [Autor, 80%] ; Breusová, Elena [Autor, 20%] ; Charlamova, Marina Alexandrovna [Recenzent] ; Krajev, Andrej [Recenzent] ; Kuruľonok, Andrej Alexandrovič [Recenzent]. – 1 vyd. – Banská Bystrica (Slovensko) : Univerzita Mateja Bela v Banskej Bystrici. Vydavateľstvo Univerzity Mateja Bela v Banskej Bystrici - Belianum, 2018. – 156 s. [tlačená forma]. – ISBN 978-80-557-1455-4 </t>
  </si>
  <si>
    <t xml:space="preserve">Mudrák, M.: Vybrané problémy z hudobnej kultúry. Nitra, 2018, 130 s. / Kompasová, Katarína [Autor, UKFFFAKMK, 100%]. – text. – [slovenčina]. – [OV 060]. – [recenzia - ČL] In: Kontexty kultúry a turizmu [textový dokument (print)] . – Nitra (Slovensko) : Univerzita Konštantína Filozofa v Nitre. Filozofická fakulta. – ISSN 1337-7760. – Roč. 12, č. 1 (2019), s. 106-108 [tlačená forma] Rec: Vybrané problémy z hudobnej kultúry [textový dokument (print)]  [skriptum (do 2021)] / Mudrák, Marcel [Autor, 100%]. – 1. vyd. – Nitra (Slovensko) : Univerzita Konštantína Filozofa v Nitre, 2018. – 130 s. [tlačená forma]. – ISBN 978-80-558-1352-3 </t>
  </si>
  <si>
    <t xml:space="preserve">Mýtus Lovecraft - Ako to vlastne bolo? / Pevčíková, Jozefa [Autor, UKFFFAULK, 100%]. – text. – [slovenčina]. – [OV 020]. – [recenzia - ČL] In: Multiverzum [elektronický dokument] . – Bratislava (Slovensko) : Multiverzum - Centrum popkultúrneho vzdelávania. – ISSN (online) 2644-657X. – č. 1. november 2021 (2021), s. 1-2 [online] Rec: Mýtus Cthulhu [textový dokument (print)] / Lovercraft, Howard Phillips [Autor]. – 1. vyd. – Praha (Česko) : Argo, 2020. – ISBN 978-80-257-3137-6 </t>
  </si>
  <si>
    <t xml:space="preserve">Na ceste hľadania vlastného satori : Maroš Hečko: Ďalej na Západ sa dá ísť len na Východ / Mitková, Natália [Autor, UKFFFASJL, 100%]. – text. – [slovenčina]. – [OV 020]. – [recenzia - ČL] In: Romboid [textový dokument (print)] : časopis pre literatúru a umeleckú komunikáciu. – Bratislava (Slovensko) : Zväz slovenských spisovateľov, Bratislava (Slovensko) : Asociácia organizácií spisovateľov Slovenska. – ISSN 0231-6714. – Roč. 53, č. 1-2 (2018), s. 191-191 [tlačená forma] Rec: Ďalej na Západ sa dá ísť len na Východ [textový dokument (print)] / Hečko, Maroš [Autor]. – 1. vyd. – Bratislava (Slovensko) : Tatran, 2017. – 359 s. [tlačená forma]. – ISBN 978-80-222-0853-6 </t>
  </si>
  <si>
    <t xml:space="preserve">Na kvalitnú poéziu nikdy nie je neskoro / Gallik, Ján [Autor, UKFFSSUSJ, 100%]. – text. – [slovenčina]. – [OV 020]. – [recenzia - KP] In: Kultúra a súčasnosť 17 [textový dokument (print)] / Gallik, Ján [Zostavovateľ, editor] ; Jozek, Milan [Zostavovateľ, editor] ; Magalová, Gabriela [Recenzent] ; Zelenka, Miloš [Recenzent]. – 1. vyd. – Nitra (Slovensko) : Univerzita Konštantína Filozofa v Nitre, 2018. – ISBN 978-80-558-1296-0, s. 171-172 [tlačená forma] Rec: Vŕba / Farkaš, Ľudo [Autor]. – 1. vyd. – Bratislava (Slovensko) : Spolok Slovenských spisovateľov, 2017. – 96 s. [tlačená forma]. – ISBN 978-80-8061-980-0 </t>
  </si>
  <si>
    <t xml:space="preserve">Na margo básnického debutu, ktorý netreba vynechať / Lietavec, Tomáš [Autor, UKFFFAULK, 100%]. – text. – [slovenčina]. – [OV 020]. – [recenzia - ČL] In: Fraktál [textový dokument (print)] : literatúra horizontálne a vertikálne. – Závod (Slovensko) : Fraktál. – ISSN 2585-8912. – Roč. 2, č. 3 (2019), s. 83-86 [tlačená forma] Rec: Vynechaný spoj, ktorý zanecháva silné emócie / Bukovinová, Anna [Autor, 100%] In: Romboid [textový dokument (print)] : časopis pre literatúru a umeleckú komunikáciu. – Bratislava (Slovensko) : Zväz slovenských spisovateľov, Bratislava (Slovensko) : Asociácia organizácií spisovateľov Slovenska. – ISSN 0231-6714. – Roč. 53, č. 8 (2018), s. 77-81 [tlačená forma] </t>
  </si>
  <si>
    <t xml:space="preserve">Na margo premiéry programovej kantáty Ambona v Slovenskej filharmónii / Madunická, Klára [Autor, UKFFFAULK, 100%]. – [slovenčina]. – [OV 030]. – [recenzia - ČL] In: Theatrica [elektronický dokument] : Recenzovaný internetový časopis venovaný divadelným štúdiám, muzikológii a umenovede. – Bratislava (Slovensko) : Theatrica. – ISSN 2729-9031. – 2021, s. 1-2 [online] Rec: Ambona pre koloratúrny soprán, miešaný zbor a sláčikový orchester / Bernáth, Ľuboš [Autor hudby] ; Surý, Tomáš [Autor hudby]. – 1. vyd. – Bratislava (Slovensko) : Arcibiskupský úrad, 2021 </t>
  </si>
  <si>
    <t xml:space="preserve">Na poludnie niekedy slnko nesvieti / Inštitorisová, Dagmar [Autor, UKFFFAKMR, 100%]. – text. – [slovenčina]. – [OV 020]. – [recenzia - ČL] In: Monitoring divadiel na Slovensku [elektronický dokument] . – Bratislava (Slovensko) : Slovenské centrum AICT. – ISSN (online) 2454-0129. – 2020, s. 1-6 [online] </t>
  </si>
  <si>
    <t xml:space="preserve">Nad našou digitálnou budúcnosťou / Olejárová, Andrea [Autor, UKFFFAKKU, 100%]. – text. – [slovenčina]. – [OV 020]. – [recenzia - ČL] In: Knižná revue [textový dokument (print)] [elektronický dokument] : mesačník o nových knihách. – Bratislava (Slovensko) : Literárne informačné centrum. – ISSN 1210-1982. – ISSN (online) 1336-247X. – Roč. 29, č. 10 (2019), s. 27-28 [tlačená forma] [online] Rec: Veľká štvorka [textový dokument (print)] / Scott, Galloway [Autor]. – 1. vyd. – Bratislava (Slovensko) : Premedia, 2019. – 279 s. [tlačená forma]. – ISBN 978-80-8159-651-3 </t>
  </si>
  <si>
    <t xml:space="preserve">Nájdenie postoja / Inštitorisová, Dagmar [Autor, UKFFFAKMR, 100%]. – [slovenčina]. – [OV 020]. – [recenzia - ČL] In: Monitoring divadiel na Slovensku [elektronický dokument] . – Bratislava (Slovensko) : Slovenské centrum AICT. – ISSN (online) 2454-0129. – č. 18.6. (2021), s. 1-6 [online] </t>
  </si>
  <si>
    <t xml:space="preserve">Nájdenie riešenia. Postrecenzia na postmonografiu / Inštitorisová, Dagmar [Autor, UKFFFAKMR, 100%]. – text. – [slovenčina]. – [OV 020]. – [recenzia - ČL] In: Slovenské divadlo [textový dokument (print)] [elektronický dokument] : revue dramatických umení. – Bratislava (Slovensko) : Slovenská akadémia vied. Pracoviská SAV. Ústav divadelnej a filmovej vedy. – ISSN 0037-699X. – ISSN (online) 1336-8605. – Roč. 67, č. 4 (2019), s. 386-389 [tlačená forma] [online] Rec: Hledání souřadnic a kontextů divadla [textový dokument (print)] : (příspěvky k současné německé divadelní teorii, k jejím otázkám, možným výzvám a inspiracím) / Roubal, Jan [Autor]. – 1. vyd. – Brno (Česko) : Janáčkova akademie múzických umění v Brně, 2018. – 201 s. [tlačená forma]. – ISBN 978-80-7460-134-7 </t>
  </si>
  <si>
    <t xml:space="preserve">Narúšať mýty čierno-bielej histórie / Mitková, Natália [Autor, UKFFFASJL, 100%]. – text. – [slovenčina]. – [OV 020]. – [recenzia - ČL] In: Art communication &amp; popculture [textový dokument (print)] : časopis pre umeleckú komunikáciu a popkultúru. – Nitra (Slovensko) : Univerzita Konštantína Filozofa v Nitre. – ISSN 1339-9284. – Roč. 4, č. 1 (2018), s. 183-183 [tlačená forma] Rec: Válek [film] / Lančarič, Patrik [Autor]. – [DVD] </t>
  </si>
  <si>
    <t xml:space="preserve">Nech žije Gogoľ! Ale radšej nie na večné časy! / Inštitorisová, Dagmar [Autor, UKFFFAKMR, 100%]. – [slovenčina]. – [OV 020]. – [recenzia - ČL] In: Monitoring divadiel na Slovensku [elektronický dokument] . – Bratislava (Slovensko) : Slovenské centrum AICT. – ISSN (online) 2454-0129. – 2019, s. 1-6 [online] Rec: Revízor [textový dokument (print)] : Recenzia inscenácie / Kos, Lukasz [Autor]. – 1. vyd. – Bratislava (Slovensko) : Astorka, 2019 </t>
  </si>
  <si>
    <t xml:space="preserve">Nepoznaná tvorba Miroslava Válka / Gallik, Ján [Autor, UKFFSSUSJ, 100%]. – text. – [slovenčina]. – [OV 020]. – [recenzia - ČL] In: Romboid [textový dokument (print)] : časopis pre literatúru a umeleckú komunikáciu. – Bratislava (Slovensko) : Zväz slovenských spisovateľov, Bratislava (Slovensko) : Asociácia organizácií spisovateľov Slovenska. – ISSN 0231-6714. – Roč. 53, č. 5-6 (2018), s. 166-167 [tlačená forma] Rec: Drobnosť a iné básne [textový dokument (print)]  [iný] / Válek, Miroslav [Autor, 100%] ; Tollarovič, Peter [Zostavovateľ, editor, 100%]. – 1. vyd. – Trnava (Slovensko) : KON-PRESS, 2017. – 28 s. [tlačená forma]. – ISBN 978-80-85413-97-7 </t>
  </si>
  <si>
    <t xml:space="preserve">Nestratiť správny kompas / Gallik, Ján [Autor, UKFFSSUSJ, 100%]. – text. – [slovenčina]. – [OV 020]. – [recenzia - ČL] In: Romboid [textový dokument (print)] : časopis pre literatúru a umeleckú komunikáciu. – Bratislava (Slovensko) : Zväz slovenských spisovateľov, Bratislava (Slovensko) : Asociácia organizácií spisovateľov Slovenska. – ISSN 0231-6714. – Roč. 55, č. 1 (2020), s. 88-90 [tlačená forma] Rec: Zlatá kysucká kniha Pavla Hrtusa Jurinu [textový dokument (print)] / Holeštiak, Pavel [Autor]. – 1. vyd. – Bratislava (Slovensko) : Spolok Slovenských spisovateľov, 2019. – 343 s. [tlačená forma]. – ISBN 978-80-8202-102-1 </t>
  </si>
  <si>
    <t xml:space="preserve">Neznesiteľná prítomnosť / Ballay, Miroslav [Autor, UKFFFAKKU, 100%]. – text. – [slovenčina]. – [OV 020]. – [recenzia - ČL] In: Konkrétne o divadle [textový dokument (print)] [elektronický dokument] : mesačník o divadle na Slovensku. – Bratislava (Slovensko) : Divadelný ústav. – ISSN 1337-1800. – ISSN (online) 2336-4548. – Roč. 12, č. 1 (2018), s. 25-29 [tlačená forma] [online] </t>
  </si>
  <si>
    <t xml:space="preserve">Nie je list ako list... / Inštitorisová, Dagmar [Autor, UKFFFAKMR, 100%]. – text. – [slovenčina]. – [OV 020]. – [recenzia - ČL] In: Monitoring divadiel na Slovensku [elektronický dokument] . – Bratislava (Slovensko) : Slovenské centrum AICT. – ISSN (online) 2454-0129. – 2020, s. 1-5 [online] </t>
  </si>
  <si>
    <t xml:space="preserve">Nie nula, nie dve nuly... / Zumríková Kekeliaková, Monika [Autor, UKFFFASJL, 100%]. – text. – [slovenčina]. – [OV 020]. – [recenzia - ČL] In: Litikon [textový dokument (print)] : časopis pre výskum literatúry = journal for literature research. – Nitra (Slovensko) : Univerzita Konštantína Filozofa v Nitre. – ISSN 2453-8507. – Roč. 4, č. 2 (2019), s. 125-128 [tlačená forma] Rec: Krátka správa o dlhej trase osamelého bežca [textový dokument (print)]  [monografia (do 2021)] : (poézia Ivana Štrpku) / Rédey, Zoltán [Autor, 100%] ; Šrank, Jaroslav [Recenzent] ; Mikula, Valér [Recenzent]. – 1. vyd. – Levoča (Slovensko) : Vydavateľstvo Modrý Peter, 2019. – 264 s. [tlačená forma]. – ISBN 978-80-89545-75-9 </t>
  </si>
  <si>
    <t xml:space="preserve">Nielen o divadle / Inštitorisová, Dagmar [Autor, UKFFFAKMR, 100%]. – text. – [slovenčina]. – [OV 020]. – [recenzia - ČL] In: Monitoring divadiel na Slovensku [elektronický dokument] . – Bratislava (Slovensko) : Slovenské centrum AICT. – ISSN (online) 2454-0129. – č. 12.10. (2021), s. 1-8 [online] Rec: Horák - Polák [textový dokument (print)]  [knižná publikácia - odborná (do 2021)] : Hovory o divadle / Horák, Karol [Autor, 50%] ; Polák, Roman [Autor, 50%] ; Lindovská, Nadežda [Recenzent]. – 1. vyd. – Bratislava (Slovensko) : Slovart, 2020. – 288 s. – ISBN 978-80-556456-4-3 </t>
  </si>
  <si>
    <t xml:space="preserve">Novela, ktorá kladie (potrebný) odpor / Hochel, Igor [Autor, UKFFFASJL, 100%]. – text. – [slovenčina]. – [OV 020]. – [recenzia - ČL] In: Fraktál [textový dokument (print)] : literatúra horizontálne a vertikálne. – Závod (Slovensko) : Fraktál. – ISSN 2585-8912. – Roč. 1, č. 2 (2018), s. 146-153 [tlačená forma] Rec: Krásna strojvodkyňa, krutá vojvodkyňa / Vilikovský, Pavel [Autor, 100%]. – Bratislava (Slovensko) : Slovart, 2017 </t>
  </si>
  <si>
    <t xml:space="preserve">Nový výskum starých príbehov / Baďová, Petra [Autor, UKFFFAULK, 100%]. – [slovenčina]. – [OV 020]. – [recenzia - ČL] In: Ostium [elektronický dokument] : internetový časopis pre humanitné vedy. – Trnava (Slovensko) : Schola Philosophica. – ISSN 1339-942X. – ISSN (online) 1336-6556. – Roč. 14, č. 1 (2018), s. 1-2 [online] </t>
  </si>
  <si>
    <t xml:space="preserve">Nyelvhasználat–Nyelvtudomány–Nyelvművelés / Angyal, Ladislav [Autor, UKFFSSUML, 100%]. – text. – [maďarčina]. – [OV 020]. – [recenzia - ČL] In: Édes anyanyelvünk [textový dokument (print)] : Az Anyanyelvápolók Szövetsége évente ötször megjelenő folyóirata. – Budapešť (Maďarsko) : Lapkiadó, Budapešť (Maďarsko) : Anyanyelvápolók Szövetsége. – ISSN 0139-0457. – ISSN (online) 1588-0311. – Roč. 30, č. 4 (2019), s. 58-60 [tlačená forma] Rec: Nyelvhasználat-Nyelvtudomány-Nyelvművelés / Jakab, István [Autor]. – 1. vyd. – Bratislava (Slovensko) : Madách-Posonium, 2011. – 218 s. [tlačená forma]. – ISBN 9788070895191 </t>
  </si>
  <si>
    <t xml:space="preserve">O cudzojazyčnom vyučovaní (nielen ruštiny) komunikačne a efektívne / Gallo, Ján [Autor, UKFFFAKRU, 100%]. – text. – [slovenčina]. – [OV 020]. – [recenzia - ČL] In: Jazyk a kultúra [elektronický dokument] : internetový časopis Lingvokulturologického a prekladateľsko-tlmočníckeho centra excelentnosti pri Filozofickej fakulte Prešovskej univerzity. – Prešov (Slovensko) : Prešovská univerzita v Prešove. Lingvokulturologické a prekladateľsko-tlmočnícke centrum excelentnosti. – ISSN (online) 1338-1148. – Roč. 9, č. 36 (2018), s. 74-76 [online] Rec: Inojazyčnoje obščenije v aspekte problemnogo obučenija : teorija i praktika [textový dokument (print)] = Cudzojazyčná komunikácia z pohľadu problémového vyučovania : teória a prax / Petríková, Anna [Autor] ; Kuľkovová, Raisa [Autor]. – Prešov (Slovensko) : Prešovská univerzita v Prešove. Vydavateľstvo Prešovskej univerzity, 2017. – [tlačená forma]. – ISBN 978-80-555-1917-3 </t>
  </si>
  <si>
    <t xml:space="preserve">O diskurse, dvuch osnovnych školach diskurs-analiza i vozmožnosťjach diskurs-analiza v novom učebnike N. Cingerovoj i K. Motykovoj Úvod do diskurznej analýzy / Gallo, Ján [Autor, UKFFFAKRU, 100%]. – text. – [slovenčina]. – [OV 020]. – [recenzia - ČL] In: Opera Slavica [textový dokument (print)] [elektronický dokument] : slavistické rozhledy. – Brno (Česko) : Masarykova univerzita. Filozofická fakulta. Ústav slavistiky. – ISSN 1211-7676. – ISSN (online) 2336-4459. – Roč. 29, č. 4 (2019), s. 60-69 [tlačená forma] [online] Rec: Úvod do diskurznej analýzy [textový dokument (print)] / Cingerová, Nina [Autor] ; Motyková, Katarína [Autor]. – 1. vyd. – Bratislava (Slovensko) : Univerzita Komenského v Bratislave, 2017. – 174 s. [tlačená forma]. – ISBN 978-80-223-4385-5 </t>
  </si>
  <si>
    <t xml:space="preserve">O duchovnej literatúre pohľadom imagológie / Hricková, Mária [Autor, UKFFFAKAA, 100%]. – text. – [slovenčina]. – [OV 020]. – [recenzia - ČL] In: Slavica Nitriensia [textový dokument (print)] : časopis pre výskum slovanských filológií. – Nitra (Slovensko) : Univerzita Konštantína Filozofa v Nitre. – ISSN 1338-7464. – Roč. 9, č. 2 (2020), s. 45-46 [tlačená forma] Rec: Spiritual-Religious Literature Through the Lens of Comparative Imagology [textový dokument (print)]  [monografia (do 2021)] / Bárcziová, Žofia [Autor, 25%] ; Gallik, Ján [Autor, 25%] ; Hlavinová Tekeliová, Dominika [Autor, 25%] ; Tkáč-Zabáková, Lenka [Autor, 25%] ; Hricková, Mária [Recenzent] ; Pokrivčák, Anton [Recenzent]. – 1. vyd. – Brno (Česko) : Masaryk University Press, 2020. – 112 s. [tlačená forma]. – ISBN 978-80-210-9764-3. – SCO </t>
  </si>
  <si>
    <t xml:space="preserve">O funkcionirovanii, semantičeskom i pragmatičeskom ispoľzovanii frazem v zagolovkach mediatekstov / Gallo, Ján [Autor, UKFFFAKRU, 100%]. – text. – [ruština]. – [OV 020]. – [recenzia - ČL]. – DOI org/10.5817/OS2020-4-8 In: Opera Slavica [textový dokument (print)] [elektronický dokument] : slavistické rozhledy. – Brno (Česko) : Masarykova univerzita. Filozofická fakulta. Ústav slavistiky. – ISSN 1211-7676. – ISSN (online) 2336-4459. – Roč. 30, č. 4 (2020), s. 75-85 [tlačená forma] [online] </t>
  </si>
  <si>
    <t xml:space="preserve">O hudbe, ktorá hýbala obrázkami (z) východnej Európy / Boszorád, Martin [Autor, UKFFFAULK, 100%]. – text. – [slovenčina]. – [OV 020]. – [recenzia - ČL] In: Kino-Ikon [textový dokument (print)] : časopis pre vedu o filme a pohyblivom obraze = a journal for the sciences of the moving image and cinema. – Bratislava (Slovensko) : Asociácia slovenských filmových klubov, Bratislava (Slovensko) : Vysoká škola múzických umení v Bratislave. – ISSN 1335-1893. – Roč. 23, č. 2 (2019), s. 201-205 [tlačená forma] Rec: Popular Music and the Moving Image in Eastern Europe [textový dokument (print)] / Mazierska, Ewa [Zostavovateľ, editor] ; Győri, Zsolt [Zostavovateľ, editor]. – 1. vyd. – New York (USA) : Bloomsbury Publishing. Bloomsbury Academic, 2019. – 256 s. [tlačená forma]. – ISBN 978-150-1337-19-2 </t>
  </si>
  <si>
    <t xml:space="preserve">O myšiach a Židoch / Búry, Juraj [Autor, UKFFFAULK, 100%]. – text. – [slovenčina]. – [OV 020]. – [recenzia - ČL] In: Kultúrny život [textový dokument (print)] . – Bratislava (Slovensko) : Petit Press. – ISSN 2585-9838. – Roč. 2, č. 3 (2019), s. 16-16 [tlačená forma] Rec: Maus [textový dokument (print)] / Spiegelman, Art [Autor]. – 1. – Bratislava (Slovensko) : OZ Brak, 2018. – 296 s. [tlačená forma]. – ISBN 9788089921119 </t>
  </si>
  <si>
    <t xml:space="preserve">O nás bez idealizácie a predsudkov : Martin M. Šimečka: Medzi Slovákmi. Stručné dejiny ľahostajnosti od Dubčeka k Ficovi alebo Ako som sa stal vlastencom / Mitková, Natália [Autor, UKFFFASJL, 100%]. – text. – [slovenčina]. – [OV 020]. – [recenzia - ČL] In: Romboid [textový dokument (print)] : časopis pre literatúru a umeleckú komunikáciu. – Bratislava (Slovensko) : Zväz slovenských spisovateľov, Bratislava (Slovensko) : Asociácia organizácií spisovateľov Slovenska. – ISSN 0231-6714. – Roč. 53, č. 9-10 (2018), s. 122-124 [tlačená forma] Rec: Medzi Slovákmi : stručné dejiny ľahostajnosti od Dubčeka k Ficovi alebo Ako som sa stal vlastencom [textový dokument (print)] / Šimečka, Martin M. [Autor]. – 1. vyd. – Bratislava (Slovensko) : N Press, 2017. – 160 s. [tlačená forma]. – ISBN 978-80-9723-943-5 </t>
  </si>
  <si>
    <t xml:space="preserve">O novom speciaľnom slovare M. Vojtekovoj, S. Pachomovoj i A. Petrikovoj / Gallo, Ján [Autor, UKFFFAKRU, 100%]. – text. – [ruština]. – [OV 020]. – [recenzia - ČL]. – DOI 10.51762/1FK-2021-26-03-24 In: Filologičeskij klass [textový dokument (print)] [elektronický dokument] : regional'nyj žurnal učitelej- slovesnikov Urala. – Ekaterinburg (Ruská federácia) : Uraľskij gosudarstvennyj pedagogičeskij universitet. – ISSN 2071-2405. – ISSN (online) 2658-5235. – Roč. 26, č. 3 (2021), s. 279-282 [tlačená forma] [online] . – AIS: 0.061 Rec: Slovensko-poľsko-ruský slovník jazykovedných termínov (I) [textový dokument (print)]  [knižná publikácia - odborná (do 2021)] : fonetika, fonológia, morfonológia, ortoepia, ortografia / Vojteková, Marta [Autor, 67%] ; Pakhomova, Svitlana [Autor, 20%] ; Petríková, Anna [Autor, 13%] ; Vojteková, Marta [Zostavovateľ, editor, 100%] ; Papierz, Maria [Recenzent] ; Grigorjanová, Tatjana [Recenzent]. – 1. vyd. – Prešov (Slovensko) : Prešovská univerzita v Prešove. Filozofická fakulta, 2019. – 132 s. [tlačená forma]. – (Opera Linguistica ; 35/2019). – ISBN 978-80-555-2231-9 AIS - Education &amp; educational research - Q4 </t>
  </si>
  <si>
    <t xml:space="preserve">O percepcii svojstv teksta deťmi / Gallo, Ján [Autor, UKFFFAKRU, 100%]. – text. – [ruština]. – [OV 020]. – [recenzia - ČL] In: Filologičeskij klass [textový dokument (print)] [elektronický dokument] : regional'nyj žurnal učitelej- slovesnikov Urala. – Ekaterinburg (Ruská federácia) : Uraľskij gosudarstvennyj pedagogičeskij universitet. – ISSN 2071-2405. – ISSN (online) 2658-5235. – č. 3(53) (2018), s. 146-148 [tlačená forma] [online] Rec: Kultúrny text ako diskurz. K otázke ontológie percepcie textu pre deti [textový dokument (print)]  [monografia (do 2021)] / Kováčová, Zuzana [Autor, 100%] ; Korina, Natália [Recenzent] ; Tučná, Eva [Recenzent]. – 1. vyd. – Nitra (Slovensko) : Univerzita Konštantína Filozofa v Nitre, 2017. – 162 s. [tlačená forma]. – ISBN 978-80-558-1146-8 </t>
  </si>
  <si>
    <t xml:space="preserve">O ruskom pravoslávnom a slovenskom gréckokatolíckom diskurze, rečových stratégiách a taktikách v homíliách / Gallo, Ján [Autor, UKFFFAKRU, 100%]. – text. – [slovenčina]. – [OV 010]. – [recenzia - ČL] In: Jazyk a kultúra [elektronický dokument] : internetový časopis Lingvokulturologického a prekladateľsko-tlmočníckeho centra excelentnosti pri Filozofickej fakulte Prešovskej univerzity. – Prešov (Slovensko) : Prešovská univerzita v Prešove. Lingvokulturologické a prekladateľsko-tlmočnícke centrum excelentnosti. – ISSN (online) 1338-1148. – Roč. 11, č. 43-44 (2020), s. 160-165 [online] </t>
  </si>
  <si>
    <t xml:space="preserve">O unikátnej príručke o liečivých rastlinách v podobe ruskobieloruského slovníka / Bačová, Mária [Autor, UKFFFAKRU, 100%]. – [slovenčina]. – [OV 020]. – [recenzia - ČL] In: Slavica Nitriensia [textový dokument (print)] : časopis pre výskum slovanských filológií. – Nitra (Slovensko) : Univerzita Konštantína Filozofa v Nitre. – ISSN 1338-7464. – Roč. 8, č. 1 (2019), s. 46-50 [tlačená forma] </t>
  </si>
  <si>
    <t xml:space="preserve">Ob antropocentričeskom podchode k tekstu i k diskursivnomu ponimaniju teksta v monografii J. Sokolovoj Teksty - Izobraženija - Kommunikaty = On Antropocentric Approach to Text and  Discursive  Text  Perception  in  Monograph  by  J.  Sokolova Texts –  Images –  Communicates / Gallo, Ján [Autor, UKFFFAKRU, 100%]. – text. – [ruština]. – [OV 020]. – [recenzia - ČL] In: Filologičeskij klass [textový dokument (print)] [elektronický dokument] : regional'nyj žurnal učitelej- slovesnikov Urala. – Ekaterinburg (Ruská federácia) : Uraľskij gosudarstvennyj pedagogičeskij universitet. – ISSN 2071-2405. – ISSN (online) 2658-5235. – č. 2(56) (2019), s. 225-227 [tlačená forma] [online] </t>
  </si>
  <si>
    <t xml:space="preserve">Odraz človeka a kultúry v jazyku a literatúre / Rendárová, Mária [Autor, UKFFFAKSJ, 100%]. – text. – [slovenčina]. – [OV 020]. – [recenzia - ČL] In: Slovenská reč [textový dokument (print)] [elektronický dokument] : časopis pre výskum slovenského jazyka : orgán Jazykovedného ústavu Ľudovíta Štúra Slovenskej akadémie vied. – Martin (Slovensko) : Matica slovenská, Bratislava (Slovensko) : SAP - Slovak Academic Press. – ISSN 0037-6981. – ISSN (online) 1338-4279. – Roč. 84, č. 3 (2019), s. 318-323 [tlačená forma] [online] . – SNIP: 0,44 ; SJR: 0,1 ; CiteScore: 0,2 Scimago - Language and linguistics - Q4, Linguistics and language - Q4 </t>
  </si>
  <si>
    <t xml:space="preserve">On new special dictionary by m. Vojtekova, s. Pakhomovaand a. Petrikova / Gallo, Ján [Autor, UKFFFAKRU, 100%]. – text. – [angličtina]. – [OV 020]. – [recenzia - ČL]. – DOI 10.51762/1FK-2021-26-03-24. – WOS CC In: Filologičeskij klass [textový dokument (print)] [elektronický dokument] : regional'nyj žurnal učitelej- slovesnikov Urala. – Ekaterinburg (Ruská federácia) : Uraľskij gosudarstvennyj pedagogičeskij universitet. – ISSN 2071-2405. – ISSN (online) 2658-5235. – Roč. 26, č. 3 (2021), 279-282 [tlačená forma] [online] . – AIS: 0.061 Rec: Slovensko-poľsko-ruský slovník jazykovedných termínov (II) [textový dokument (print)]  [knižná publikácia - odborná (do 2021)] : morfológia / Vojteková, Marta [Autor, 29%] ; Vincejová, Dominika [Autor, 28%] ; Pakhomova, Svitlana [Autor, 12%] ; Mertová, Nikoleta [Autor, 31%] ; Vojteková, Marta [Zostavovateľ, editor, 100%] ; Papierz, Maria [Recenzent] ; Gallo, Ján [Recenzent]. – 1. vyd. – Prešov (Slovensko) : Prešovská univerzita v Prešove. Filozofická fakulta, 2019. – 231 s. [tlačená forma]. – (Opera Linguistica ; 36/2019). – ISBN 978-80-555-2237-1 AIS - Education &amp; educational research - Q4 </t>
  </si>
  <si>
    <t xml:space="preserve">On the philosophy of religion / Vašek, Martin [Autor, UKFFFAKFI, 100%]. – text. – [angličtina]. – [OV 020]. – [recenzia - ČL]. – CCC In: Filozofia [textový dokument (print)] [elektronický dokument] . – Bratislava (Slovensko) : Slovenská akadémia vied. Pracoviská SAV. Filozofický ústav. – ISSN 0046-385X. – ISSN (online) 2585-7061. – Roč. 73, č. 9 (2018), 771-774 [tlačená forma] [online] . – SJR: 0,201 ; CiteScore: 0,4 ; SNIP: 0,808 Rec: K filosofii náboženství / Funda, Otakar A. [Autor]. – 1. vyd. – Praha (Česko) : Univerzita Karlova v Praze. Nakladatelství Karolinum, 2018. – 156 s. [tlačená forma]. – ISBN 978-80-2463-757-0 Scimago - Religious studies - Q1 </t>
  </si>
  <si>
    <t xml:space="preserve">Ondrej Sliacky Turecká studnička (povesti z osmanských čias) / Gallik, Ján [Autor, UKFFSSUSJ, 100%]. – text. – [slovenčina]. – [OV 020]. – [recenzia - ČL] In: Bibiana [textový dokument (print)] : revue o umení pre deti a mládež. – Bratislava (Slovensko) : Bibiana. – ISSN 1335-7263. – Roč. 26, č. 3 (2019), s. 65-66 [tlačená forma] Rec: Turecká studnička (povesti z osmanských čias) [textový dokument (print)] / Sliacky, Ondrej [Autor]. – 1. vyd. – Martin (Slovensko) : Matica slovenská, 2019. – 160 s. [tlačená forma]. – ISBN 9788081152870 </t>
  </si>
  <si>
    <t xml:space="preserve">Opakované zjavenia ako anticipácia krízy (?) / Ballay, Miroslav [Autor, UKFFFAKKU, 100%]. – text. – [slovenčina]. – [OV 020]. – [recenzia - ČL] In: Monitoring divadiel na Slovensku [elektronický dokument] . – Bratislava (Slovensko) : Slovenské centrum AICT. – ISSN (online) 2454-0129. – 2018, s. 1-2 [online] Rec: Zjavenie (Hrobárova dcéra) : [divadelné predstavenie] / Klimáček, Viliam [Autor]. – Bratislava (Slovensko) : Slovenské národné divadlo, 2017 </t>
  </si>
  <si>
    <t xml:space="preserve">Orhan Pamuk: Červenovláska / Tobiašová, Gabriela [Autor, UKFFFASJL, 100%]. – text. – [slovenčina]. – [OV 020]. – [recenzia - ČL] In: Revue svetovej literatúry [textový dokument (print)] . – Bratislava (Slovensko) : Slovenský spisovateľ, Bratislava (Slovensko) : Slovenská spoločnosť prekladateľov umeleckej literatúry. – ISSN 0231-6269. – Roč. 54, č. 4 (2018), s. 143-145 [tlačená forma] Rec: Červenovláska [textový dokument (print)] / Pamuk, Orhan [Autor] ; Havrila, Otto [Prekladateľ]. – 1. vyd. – Bratislava (Slovensko) : Slovart, 2018. – 208 s. [tlačená forma]. – ISBN 9788055633817 </t>
  </si>
  <si>
    <t xml:space="preserve">Orientujeme sa v školskom manažmente? / Hašková, Alena [Autor, UKFPFAKTT, 100%]. – text. – [slovenčina]. – [OV 010]. – [recenzia - ČL] In: Journal of Technology and Information Education [textový dokument (print)] [elektronický dokument] . – Olomouc (Česko) : Univerzita Palackého v Olomouci. Pedagogická fakulta. Katedra technické a informační výchovy. – ISSN 1803-537X. – ISSN (online) 1803-6805. – Roč. 10, č. 1 (2018), s. 73-75 [tlačená forma] [online] Rec: Školský manažment [textový dokument (print)]  [editovaná kniha (do 2021)] : terminologický a výkladový slovník / Pisoňová, Mária [Zostavovateľ, editor, 100%] ; Gajdošová, Eva [Recenzent] ; Hašková, Alena [Recenzent] ; Mohelská, Hana [Recenzent]. – 1. vyd. – Bratislava (Slovensko) : Wolters Kluwer, 2017. – 167 s. [tlačená forma]. – ISBN 978-80-8168-660-3 </t>
  </si>
  <si>
    <t xml:space="preserve">Ostrov bez pamäti - Yoko Ogawa / Pevčíková, Jozefa [Autor, UKFFFAULK, 100%]. – text. – [slovenčina]. – [OV 020]. – [recenzia - ČL] In: Multiverzum [elektronický dokument] . – Bratislava (Slovensko) : Multiverzum - Centrum popkultúrneho vzdelávania. – ISSN (online) 2644-657X. – č. 28. október 2021 (2021), s. 1-2 [online] Rec: Ostrov bez pamäti – Yoko Ogawa [textový dokument (print)] / Gálisová, Mária [Prekladateľ]. – 1. vyd. – Bratislava (Slovensko) : Lindeni, 2021. – 264 s. [tlačená forma]. – ISBN 978-80-566-2316-9 </t>
  </si>
  <si>
    <t xml:space="preserve">Ot modaľnosti predloženija k modaľnosti teksta / Gallo, Ján [Autor, UKFFFAKRU, 100%]. – text. – [angličtina, ruština]. – [OV 010, 020]. – [recenzia - ČL] In: Cross-cultural studies [textový dokument (print)] : education and science. – Middlebury (USA) : Russian Department, Middlebury College. – ISSN 2470-1262. – Roč. 4, č. 1 (2019), s. 145-147 [tlačená forma] Rec: Od modálnosti vety k modálnosti textu [textový dokument (print)]  [monografia (do 2021)] / Dudová, Katarína [Autor, 100%] ; Vaňko, Juraj [Recenzent]. – 1. vyd. – Nitra (Slovensko) : Univerzita Konštantína Filozofa v Nitre, 2014. – 162 s. [tlačená forma]. – ISBN 978-80-558-0587-0 </t>
  </si>
  <si>
    <t xml:space="preserve">Pády a ich prevencia u hospitalizovaného pacienta / Mesárošová, Jozefína [Autor, UKFFSVKOS, 100%]. – text. – [slovenčina]. – [OV 180]. – [recenzia - ČL] In: Ošetrovateľstvo a pôrodná asistencia [textový dokument (print)] [elektronický dokument] . – Bratislava (Slovensko) : Slovenská komora sestier a pôrodných asistentiek. – ISSN 1336-183X. – ISSN (online) 1339-5920. – Roč. 17, č. 1 (2019), s. 18-18 [tlačená forma] [online] Rec: Pády a ich prevencia u hospitalizovaných pacientov [monografia (do 2021)] / Bóriková, Ivana [Autor, 63%] ; Tomagová, Martina [Autor, 32%] ; Miertová, Michaela [Autor, 5%] ; Gurková, Elena [Recenzent] ; Pokorná, Andrea [Recenzent] ; Zeleníková, Renáta [Recenzent]. – 1. vyd. – Martin (Slovensko) : Vydavateľstvo Osveta, 2018. – 125 s. [9,96 AH] [tlačená forma]. – ISBN 978-80-8063-469-8 </t>
  </si>
  <si>
    <t xml:space="preserve">Panorama kľučevych russkich lingvokuľturem v novom učebnike I. Dulebovoj i N.Cingerovoj Ruské lingvoreálie / Gallo, Ján [Autor, UKFFFAKRU, 100%]. – text. – [ruština]. – [OV 020]. – [recenzia - ČL] In: Slavica Nitriensia [textový dokument (print)] : časopis pre výskum slovanských filológií. – Nitra (Slovensko) : Univerzita Konštantína Filozofa v Nitre. – ISSN 1338-7464. – Roč. 7, č. 2 (2018), s. 112-115 [tlačená forma] Rec: Ruské lingvoreálie [textový dokument (print)]  [učebnica pre vysoké školy (do 2021)] / Dulebová, Irina [Autor, 50%] ; Cingerová, Nina [Autor, 50%] ; Adamka, Pavol [Recenzent] ; Charfaoui, Emília [Recenzent]. – 1. vyd. – Bratislava (Slovensko) : Univerzita Komenského v Bratislave, 2017. – 276 s. [14,19 AH] [tlačená forma]. – ISBN 978-80-223-4431-9 </t>
  </si>
  <si>
    <t xml:space="preserve">Passia, Radoslav(ed.). Minulosť, súčasnosť a perspektívy literárnovednej slovakistiky / Lietavec, Tomáš [Autor, UKFFFAULK, 100%]. – text. – [slovenčina]. – [OV 020]. – [recenzia - ČL] In: Litikon [textový dokument (print)] : časopis pre výskum literatúry = journal for literature research. – Nitra (Slovensko) : Univerzita Konštantína Filozofa v Nitre. – ISSN 2453-8507. – Roč. 4, č. 1 (2019), s. 139-141 [tlačená forma] Rec: Minulosť, súčasnosť a perspektívy literárnovednej slovakistiky [textový dokument (print)] / Csiba, Karol [Recenzent] ; Teplan, Dušan [Recenzent]. – 1 vyd. – Bratislava (Slovensko) : Platforma pre literatúru a výskum, 2018. – [tlačená forma]. – ISBN 978-80-973125-0-3 </t>
  </si>
  <si>
    <t xml:space="preserve">Patrik Šenkár: Próza Slovákov v Rumunsku (z rokov 1853-1953) / Mészárosová, Zuzana [Autor, UKFFFAKPO, 100%]. – [slovenčina]. – [OV 060]. – [recenzia - ČL] In: Civitas [textový dokument (print)] : časopis pre politické a sociálne vedy. – Nitra (Slovensko) : Univerzita Konštantína Filozofa v Nitre. Filozofická fakulta. Katedra politológie a euroázijských štúdií. – ISSN 1335-2652. – Roč. 25, č. 57 - 2 (2019), s. 13-13 [tlačená forma] Rec: Próza Slovákov v Rumunsku (z rokov 1853-1953) [monografia (do 2021)] / Šenkár, Patrik [Autor, 100%] ; Anoca, Dagmar Mária [Recenzent] ; Harpáň, Michal [Recenzent] ; Sabol, Ján [Recenzent] ; Zelenka, Miloš [Recenzent]. – 1. vyd. – Nadlak (Rumunsko) : Vydavateľstvo - Editura Ivan Krasko, 2018. – 233 s. – ISBN 978-973-107-129-9 </t>
  </si>
  <si>
    <t xml:space="preserve">Paulus Orosius, Dějiny proti pohanům. K vydání připravila  a předmluvu napsala Bohumila Mouchová. Z latiny přeložili  a poznámkami opatřili Bohumila Mouchová a Bořivoj Marek.  Praha, Argo 2018 / Jirkal, Emanuel [Autor, UKFFFAKHI, 100%]. – [čeština]. – [OV 030]. – [recenzia - ČL] In: Listy filologické = Folia philologica [textový dokument (print)] : časopis pro klasická, středověká a neo-latinská studia, založený r. 1874. – Praha (Česko) : Akademie věd České republiky. Filosofický ústav AV ČR. Kabinet pro klasická studia. – ISSN 0024-4457. – Roč. 144, č. 1-2 (2021), s. 213-220 [tlačená forma] . – CiteScore: 0,3 ; SJR: 0,101 ; AIS: 0.052 AIS - Humanities, multidisciplinary - Q4 Scimago - History - Q4, Linguistics and language - Q4, Literature and literary theory - Q4 </t>
  </si>
  <si>
    <t xml:space="preserve">Perzeus a Andromeda / Gallik, Ján [Autor, UKFFSSUSJ, 100%]. – text. – [slovenčina]. – [OV 020]. – [recenzia - ČL] In: Bibiana [textový dokument (print)] : revue o umení pre deti a mládež. – Bratislava (Slovensko) : Bibiana. – ISSN 1335-7263. – Roč. 28, č. 1 (2021), s. 50-52 [tlačená forma] Rec: Perzeus a Andromeda [textový dokument (print)] / Panáková, Beata [Autor]. – 1. vyd. – Bratislava (Slovensko) : Perfekt, 2020. – 56 s. [tlačená forma]. – ISBN 9788080469917 </t>
  </si>
  <si>
    <t xml:space="preserve">Péter H. Nagy: Alternatívák: A popkultúra kapcsolatrendszerei / Hegedüs, Orsolya [Autor, UKFFSSUVP, 100%]. – text. – [maďarčina]. – [OV 020]. – [recenzia - ČL] In: Eruditio - Educatio [textový dokument (print)] : vedecký časopis Pedagogickej fakulty Univerzity J. Selyeho v Komárne = A Selye János Egyetem Tanárképző Kara tudományos folyóirata = Research Journal of the Faculty of education of J. Selye university. – Komárno (Slovensko) : Univerzita J. Selyeho. Pedagogická fakulta. – ISSN 1336-8893. – Roč. 13, č. 3 (2018), s. 107-108 [tlačená forma] </t>
  </si>
  <si>
    <t xml:space="preserve">Peter Katina: Hudba inak / Fuják, Július [Autor, UKFFFAKKU, 100%]. – text. – [slovenčina]. – [OV 020]. – [recenzia - ČL] In: Vlna [textový dokument (print)] : časopis o súčasnom umení a kultúre. – Bratislava (Slovensko) : Drewo a srd. – ISSN 1335-5341. – ISSN (chybné) ISSN 1335-969X. – Roč. 22, č. 83 (2020), s. 126-127 [tlačená forma] Rec: Hudba inak [textový dokument (print)] / Katina, Peter [Autor, 100%]. – 1. vyd. – Košice (Slovensko) : Hevhetia, 2019. – ISBN 978-80-973191-1-3 </t>
  </si>
  <si>
    <t xml:space="preserve">Peter Michalovič: Ľudová nástrojová hudba na Záhorí / Ambrózová, Jana [Autor, UKFFFAKEF, 100%]. – text. – [slovenčina]. – [OV 030]. – [recenzia - ČL] In: Etnologické rozpravy [textový dokument (print)] [elektronický dokument] . – Bratislava (Slovensko) : Národopisná spoločnosť Slovenska. – ISSN 1335-5074. – ISSN (online) 2729-9759. – Roč. 25, č. 2 (2018), s. 148-154 [tlačená forma] [online] Rec: Ľudová nástrojová hudba na Záhorí [textový dokument (print)] / Michalovič, Peter [Autor]. – Skalica (Slovensko) : Záhorské múzeum Skalica, 2015. – 172 s. – ISBN 978-80-85446-85-2 </t>
  </si>
  <si>
    <t xml:space="preserve">Philosophers in the city / Horyna, Břetislav [Autor, UKFFFAKFI, 100%]. – text. – [čeština]. – [OV 020]. – [recenzia - ČL]. – DOI 10.31577/filozofia.2021.76.5.7. – WOS CC In: Filozofia [textový dokument (print)] [elektronický dokument] . – Bratislava (Slovensko) : Slovenská akadémia vied. Pracoviská SAV. Filozofický ústav. – ISSN 0046-385X. – ISSN (online) 2585-7061. – Roč. 76, č. 5 (2021), s. 384-388 [tlačená forma] [online] . – SNIP: 0.482 ; SJR: 0.227 ; CiteScore: 0.6 ; AIS: 0.059 AIS - Philosophy - Q4 Scimago - Philosophy - Q2, Religious studies - Q1 </t>
  </si>
  <si>
    <t xml:space="preserve">Pintér Beáta. Zobor-vidék története. Dejiny Podzoboria / Molnárová, Mária [Autor, UKFFFAKHI, 100%]. – text. – [slovenčina]. – [OV 030]. – [recenzia - ČL] In: Studia Historica Nitriensia [textový dokument (print)] [elektronický dokument] . – Nitra (Slovensko) : Univerzita Konštantína Filozofa v Nitre. – ISSN 1338-7219. – ISSN (online) 2585-8661. – Roč. 23, č. 2 (2019), s. 514-515 [tlačená forma] [online] . – SNIP: 0,629 ; SJR: 0,187 ; CiteScore: 0,2 Scimago - Cultural studies - Q2, History - Q2, Museology - Q2 </t>
  </si>
  <si>
    <t xml:space="preserve">Po rusky komunikačne, efektívne a zážitkovo / Gallo, Ján [Autor, UKFFFAKRU, 100%]. – text. – [slovenčina]. – [OV 020]. – [recenzia - ČL] In: Opera Slavica [textový dokument (print)] [elektronický dokument] : slavistické rozhledy. – Brno (Česko) : Masarykova univerzita. Filozofická fakulta. Ústav slavistiky. – ISSN 1211-7676. – ISSN (online) 2336-4459. – Roč. 28, č. 4 (2018), s. 67-70 [tlačená forma] [online] Rec: Nová ruština pre samoukov [textový dokument (print)]  [skriptum (do 2021)] / Matejko, Ľubor [Autor, 100%]. – 1. vyd. – Bratislava (Slovensko) : Eastone Group, 2018. – 246 s. [tlačená forma]. – ISBN 978-80-8109-352-4 </t>
  </si>
  <si>
    <t xml:space="preserve">Pocta divadelnému fotografovi / Inštitorisová, Dagmar [Autor, UKFFFAKMR, 100%]. – text. – [slovenčina]. – [OV 020]. – [recenzia - ČL] In: Javisko [textový dokument (print)] : časopis pre amatérske divadlo a umelecký prednes. – Bratislava (Slovensko) : Národné osvetové centrum. – ISSN 0323-2883. – Roč. 50, č. 3 (2018), s. 56-56 [tlačená forma] Rec: Filip Lašut (1945 - 2012) [textový dokument (print)] : pocta divadelnému fotografovi / Kováč, Mišo A. [Autor]. – Vrútky (Slovensko) : FOMI, 2017. – 167 s. [tlačená forma]. – ISBN 978-80-971832-2-6 </t>
  </si>
  <si>
    <t xml:space="preserve">Poďme do Betlehema a pokloňme sa dieťaťu / Hlad, Ľubomír [Autor, UKFFFAKNS, 100%]. – text. – [slovenčina]. – [OV 020]. – [recenzia - ČL] In: Katolícke noviny [textový dokument (print)] [elektronický dokument] . – Trnava (Slovensko) : Spolok svätého Vojtecha. – ISSN 0139-8512. – ISSN (online) 1336-2399. – Roč. 136, č. 50 (2021), s. 21-22 [tlačená forma] [online] Rec: Poďme do Betlehema a pokloňme sa dieťaťu [textový dokument (print)]  [knižná publikácia - odborná (do 2021)] : Betlehem v nitrianskom katedrálnom chráme - Bazilike svätého Emeráma / Judák, Viliam [Autor, 100%]. – 1. vyd. – Nitra (Slovensko) : Biskupský úrad v Nitre, 2021. – 176 s. [tlačená forma]. – ISBN 978-80-570-3581-7 </t>
  </si>
  <si>
    <t xml:space="preserve">Poetické dialógy s večnosťou / Gallik, Ján [Autor, UKFFSSUSJ, 100%]. – text. – [slovenčina]. – [OV 020]. – [recenzia - ČL] In: Kultúra [textový dokument (print)] [elektronický dokument] : dvojtýždenník závislý od etiky. – ISSN 1335-3470. – ISSN (online) 1336-2992. – Roč. 23, č. 9 (2020), s. 6-7 [tlačená forma] [online] Rec: Hore srdcia! [textový dokument (print)] / Fordinálová, Eva [Autor]. – 1. vyd. – Bratislava (Slovensko) : Lúč, 2020. – 80 s. [tlačená forma]. – ISBN 978-80-8179-144-4 </t>
  </si>
  <si>
    <t xml:space="preserve">Poloobydlia, polodomovy, chátrajúce hniezda : správy z nedomovov / Rácová, Veronika [Autor, UKFFFASJL, 100%]. – text. – [slovenčina]. – [OV 020]. – [recenzia - ČL] In: Knižná revue [textový dokument (print)] [elektronický dokument] : mesačník o nových knihách. – Bratislava (Slovensko) : Literárne informačné centrum. – ISSN 1210-1982. – ISSN (online) 1336-247X. – Roč. 28, č. 5 (2018), s. 24-25 [tlačená forma] [online] Rec: Správy z nedomovov [textový dokument (print)] / Dianišková, Veronika [Autor]. – Levoča (Slovensko) : Vydavateľstvo Modrý Peter, 2017. – ISBN 978-1234-567-89-7 </t>
  </si>
  <si>
    <t xml:space="preserve">Poslední nebudú svätými / Inštitorisová, Dagmar [Autor, UKFFFAKMR, 100%]. – [slovenčina]. – [OV 020]. – [recenzia - ČL] In: Monitoring divadiel na Slovensku [elektronický dokument] . – Bratislava (Slovensko) : Slovenské centrum AICT. – ISSN (online) 2454-0129. – 2019, s. 1-5 [online] Rec: (bez)mocní [video/film] : [divadelné predstavenie] / Amsler, Marián [Autor]. – 1. vyd. – Bratislava (Slovensko) : Divadlo Petra Mankoveckého, 2019 </t>
  </si>
  <si>
    <t xml:space="preserve">Pozoruhodný pohľad na dejiny i súčasnosť slovenského bábkového divadla / Timko, Štefan [Autor, UKFFSSUSJ, 100%]. – text. – [slovenčina]. – [OV 020]. – [recenzia - ČL] In: Slovenské divadlo [textový dokument (print)] [elektronický dokument] : revue dramatických umení. – Bratislava (Slovensko) : Slovenská akadémia vied. Pracoviská SAV. Ústav divadelnej a filmovej vedy. – ISSN 0037-699X. – ISSN (online) 1336-8605. – Roč. 69, č. 1 (2021), s. 110-112 [tlačená forma] [online] . – CiteScore: 0,2 ; SJR: 0,158 ; SNIP: 0,208 Rec: Dejiny slovenskej dramatiky bábkového divadla [textový dokument (print)] / Predmerský, Vladimír [Zostavovateľ, editor] ; Malíková, Nina [Recenzent] ; Sliacky, Ondrej [Recenzent]. – 1. vyd. – Bratislava (Slovensko) : Divadelný ústav, 2020. – 825 s. [tlačená forma]. – ISBN 978-80-8190-061-7 Scimago - Communication - Q3, Cultural studies - Q2, History - Q2, Literature and literary theory - Q1, Music - Q2, Visual arts and performing arts - Q1 </t>
  </si>
  <si>
    <t xml:space="preserve">Praktická knižná pomôcka / Dudová, Katarína [Autor, UKFFFASJL, 100%]. – text. – [slovenčina]. – [OV 010]. – [recenzia - ČL] In: Náš čas [textový dokument (print)] : časopis Univerzity Konštatnína Filozofa v Nitre. – Nitra (Slovensko) : Univerzita Konštantína Filozofa v Nitre. – ISSN 1338-3272. – Roč. 22, č. 5 (2018), s. 62-62 [tlačená forma] Rec: Slovak level B1, B2, C1 : ECL practice exams  [textový dokument (print)]  [knižná publikácia - odborná (do 2021)] / Zelenická, Elena [Autor, 25%] ; Machová, Renáta [Autor, 25%] ; Macho, Marián [Autor, 25%] ; Olšiak, Marcel [Autor, 25%]. – 1. vyd. – Nümbrecht (Nemecko) : Kirsch-Verlag, 2017. – 178 s. [tlačená forma]. – ISBN 978-3-943906-26-4 </t>
  </si>
  <si>
    <t xml:space="preserve">Predanocyová, Ľ.: Sociálne kompetencie žiakov / Jakubovská, Viera [Autor, UKFFFAKFI, 100%]. – text. – [slovenčina]. – [OV 010]. – [recenzia - ČL] In: Mládež a spoločnosť [textový dokument (print)] : slovenský časopis pre štátnu politiku a výskum mládeže = Slovak journal for state policy and youth research. – Bratislava (Slovensko) : Centrum vedecko-technických informácií SR. – ISSN 1335-1109. – Roč. 26, č. 1 (2020), s. 80-82 [tlačená forma] </t>
  </si>
  <si>
    <t xml:space="preserve">Preklad odborných textov v teórii a praxi I / Zahorák, Andrej [Autor, UKFFFAKTR, 100%]. – text. – [slovenčina]. – [OV 020]. – [recenzia - ČL] In: Kritika prekladu [textový dokument (print)] [elektronický dokument] . – Banská Bystrica (Slovensko) : Univerzita Mateja Bela v Banskej Bystrici. Vydavateľstvo Univerzity Mateja Bela v Banskej Bystrici - Belianum. – ISSN 1339-3405. – Roč. 6, č. 1 (2018), s. 66-67 [tlačená forma] [online] Rec: Preklad odborných textov v teórii a praxi 1 [textový dokument (print)] / Dekanová, Eva [Autor]. – 1. vyd. – Nitra (Slovensko) : Univerzita Konštantína Filozofa v Nitre, 2016. – 134 s. [tlačená forma]. – ISBN 978-80-558-0966-3 </t>
  </si>
  <si>
    <t xml:space="preserve">Prenikavé postrehy o sfejsbukovanom antropocéne v dobe plastovej / Fuják, Július [Autor, UKFFFAKKU, 100%]. – text. – [slovenčina]. – [OV 020]. – [recenzia - ČL] In: Kapitál [textový dokument (print)] [elektronický dokument] : angažovaný mesačník. – Bratislava (Slovensko) : Občianske združenie Literárny klub, Bratislava (Slovensko) : KPTL občianske združenie. – ISSN 2585-7851. – Roč. 5, č. 4 (2021), s. 32-33 [tlačená forma] </t>
  </si>
  <si>
    <t xml:space="preserve">Príliš mnoho svíň na takú malú krajinku / Smiešková, Lucia [Autor, UKFFFASJL, 100%]. – text. – [slovenčina]. – [OV 010]. – [recenzia - ČL] In: Knižná revue [textový dokument (print)] [elektronický dokument] : mesačník o nových knihách. – Bratislava (Slovensko) : Literárne informačné centrum. – ISSN 1210-1982. – ISSN (online) 1336-247X. – Roč. 29, č. 4 (2019), s. 26-27 [tlačená forma] [online] Rec: Sviňa [textový dokument (print)] / Soltész, Arpád [Autor]. – 1. vyd. – Bratislava (Slovensko) : Ikar, 2018. – 304 s. [tlačená forma]. – ISBN 978-80-551-6533-2 </t>
  </si>
  <si>
    <t xml:space="preserve">Profesijná andragogika [Temiaková, D. et al.: Profesijná andragogika. Nitra, UKF Nitra 2020. 260 s. ISBN: 978-80-558-1561-9] / Silberg, Slavka [Autor, UKFPFAKPE, 100%]. – text. – [slovenčina]. – [OV 010]. – [recenzia - ČL] In: Pedagogika.sk [elektronický dokument] : slovenský časopis pre pedagogické vedy = Slovak Journal for Educational Sciences. – Bratislava (Slovensko) : Slovenská akadémia vied. Slovenská pedagogická spoločnosť pri SAV. – ISSN (online) 1338-0982. – Roč. 12, č. 1 (2021), s. 57-60 [online] </t>
  </si>
  <si>
    <t xml:space="preserve">Protipohyb strnulosti / Debnár, Marek [Autor, UKFFFAKAE 06.2022, 100%]. – text. – [slovenčina]. – [OV 020]. – [recenzia - ČL] In: Vlna [textový dokument (print)] : časopis o súčasnom umení a kultúre. – Bratislava (Slovensko) : Drewo a srd. – ISSN 1335-5341. – ISSN (chybné) ISSN 1335-969X. – Roč. 21, č. 78 (2019), s. 138-138 [tlačená forma] Rec: Alexander Tinei [textový dokument (print)] / Gerboc, Martin [Zostavovateľ, editor]. – 1. vyd. – Trnava (Slovensko) : Vision books, 2018. – 110 s. [tlačená forma]. – ISBN 978-80-9728-921-8 </t>
  </si>
  <si>
    <t xml:space="preserve">Půtová, B.: Antropologie turismu. Praha: Kalolinum, 2019, 241 s. / Válek, Ján [Autor, UKFFFAKMK, 100%]. – text. – [slovenčina]. – [OV 020]. – [recenzia - ČL] In: Kontexty kultúry a turizmu [textový dokument (print)] . – Nitra (Slovensko) : Univerzita Konštantína Filozofa v Nitre. Filozofická fakulta. – ISSN 1337-7760. – Roč. 13, č. 2 (2020), s. 161-164 [tlačená forma] Rec: Antropologie turizmu [textový dokument (print)] / Půtová, Barbora [Autor]. – 1. vyd. – Praha (Česko) : Univerzita Karlova v Praze. Nakladatelství Karolinum, 2019. – 241 s. [tlačená forma]. – [recenzované]. – ISBN 978-80-246-4354-0 </t>
  </si>
  <si>
    <t xml:space="preserve">Pyrrhon- blessed philosopher without values / Zozuľak, Ján [Autor, UKFFFAKFI, 100%]. – text. – [angličtina]. – [OV 020]. – [recenzia - ČL]. – CCC In: Filozofia [textový dokument (print)] [elektronický dokument] . – Bratislava (Slovensko) : Slovenská akadémia vied. Pracoviská SAV. Filozofický ústav. – ISSN 0046-385X. – ISSN (online) 2585-7061. – Roč. 73, č. 10 (2018), 861-864 [tlačená forma] [online] . – SJR: 0,201 ; CiteScore: 0,4 ; SNIP: 0,808 Rec: O Pyrrhon [textový dokument (print)]  [monografia (do 2021)] : eudaimon philosophos choris aksies / Kalaš, Andrej [Autor, 100%]. – 1. vyd. – Nikózia (Cyprus) : University of Cyprus. Cyprus university press, 2017. – 223 s. [tlačená forma]. – [recenzované]. – ISBN 978-9925-553-04-4 Scimago - Religious studies - Q1 </t>
  </si>
  <si>
    <t xml:space="preserve">Radka Šustrová: Zastřené počátky sociálního státu : nacionalismus a sociální politika v Protektorátu Čechy a Morava / Rigová, Viktória [Autor, UKFFFAKHI, 100%]. – text. – [slovenčina]. – [OV 030]. – [recenzia - KP] In: Obscura [textový dokument (print)] : studentský historický časopis / Černý, Jan K. [Zostavovateľ, editor]. – 1. vyd. – Roč. 7, č. 8. – Praha (Česko) : Spolek studentů historie FF UK, 2021. – ISSN 2571-1687, s. 21-23 </t>
  </si>
  <si>
    <t xml:space="preserve">Rajský, A. - Wiesenganger, M. et al.: Pomoc druhému na ceste cnosti. K filozoficko-etickým apektom prosociálnosti / Blaščíková, Andrea [Autor, UKFFFAKNS, 100%]. – text. – [slovenčina]. – [OV 020]. – [recenzia - ČL] In: Studia Aloisiana [textový dokument (print)] : vedecké štúdie, recenzie, odborné preklady, správy o vedeckých podujatiach, kresťanská filozofia, náuka o rodine, formácia spoločenstiev, katolícka teológia : recenzovaný časopis Teologickej fakulty Trnavskej univerzity. – Trnava (Slovensko) : Vydavateľstvo Dobrá kniha. – ISSN 1338-0508. – Roč. 9, č. 4 (2018), s. 82-84 [tlačená forma] Rec: Pomoc druhému na ceste k cnosti [editovaná kniha (do 2021)] : K filozoficko-etickým aspektom prosociálnosti / Rajský, Andrej [Autor, 50%] ; Wiesenganger, Marek [Autor, 50%] ; Rajský, Andrej [Zostavovateľ, editor, 50%] ; Wiesenganger, Marek [Zostavovateľ, editor, 50%] ; Kuna, Marian [Recenzent] ; Blaščíková, Andrea [Recenzent]. – 1. vyd. – Trnava (Slovensko) : Trnavská univerzita v Trnave. Typi Universitatis Tyrnaviensis, spoločné pracovisko Trnavskej univerzity v Trnave a Vedy, vydavateľstva Slovenskej akadémie vied, 2018. – 199 s. [tlačená forma]. – ISBN 978-80-568-0103-1 Rec: Dobrý vzťah k druhému a druhým uprostred komunity / Rajský, Andrej [Autor, 100%] In: Pomoc druhému na ceste k cnosti : K filozoficko-etickým aspektom prosociálnosti / Rajský, Andrej [Autor] ; Wiesenganger, Marek [Autor] ; Rajský, Andrej [Zostavovateľ, editor] ; Wiesenganger, Marek [Zostavovateľ, editor] ; Kuna, Marian [Recenzent] ; Blaščíková, Andrea [Recenzent]. – 1. vyd. – Trnava (Slovensko) : Trnavská univerzita v Trnave. Typi Universitatis Tyrnaviensis, spoločné pracovisko Trnavskej univerzity v Trnave a Vedy, vydavateľstva Slovenskej akadémie vied, 2018. – ISBN 978-80-568-0103-1, s. 101-123 [1,57 AH] [tlačená forma] Rec: Pomoc a cnosť v teologickej sume Tomáša Akvinského / Wiesenganger, Marek [Autor, 100%] In: Pomoc druhému na ceste k cnosti : K filozoficko-etickým aspektom prosociálnosti / Rajský, Andrej [Autor] ; Wiesenganger, Marek [Autor] ; Rajský, Andrej [Zostavovateľ, editor] ; Wiesenganger, Marek [Zostavovateľ, editor] ; Kuna, Marian [Recenzent] ; Blaščíková, Andrea [Recenzent]. – 1. vyd. – Trnava (Slovensko) : Trnavská univerzita v Trnave. Typi Universitatis Tyrnaviensis, spoločné pracovisko Trnavskej univerzity v Trnave a Vedy, vydavateľstva Slovenskej akadémie vied, 2018. – ISBN 978-80-568-0103-1, s. 39-58 [1,39 AH] [tlačená forma] </t>
  </si>
  <si>
    <t xml:space="preserve">Reading Comprehension Intervention Program for the German Language / Sokol, Augustín [Autor, UKFFFAKRO, 100%]. – [slovenčina]. – [OV 020]. – [recenzia - ČL] In: Slavica Nitriensia [textový dokument (print)] : časopis pre výskum slovanských filológií. – Nitra (Slovensko) : Univerzita Konštantína Filozofa v Nitre. – ISSN 1338-7464. – Roč. 10, č. 2 (2021), s. 58-61 [tlačená forma] </t>
  </si>
  <si>
    <t xml:space="preserve">Recenzia knihy R. Hanusa: Atlas inkluzí v českém granátu a jeho imitacích / Štubňa, Ján [Autor, UKFFPVGMU, 100%]. – text. – [slovenčina]. – [OV 110, 092]. – [recenzia - ČL] In: Esemestník [textový dokument (print)] [elektronický dokument] : spravodajca Slovenskej mineralogickej spoločnosti. – Bratislava (Slovensko) : Slovenská mineralogická spoločnosť. – ISSN 1338-6425. – ISSN (online) 1338-7189. – Roč. 9, č. 2 (2020), s. 56-56 [tlačená forma] [online] </t>
  </si>
  <si>
    <t xml:space="preserve">Recenzia monografie Kompetence ve vzdělávání dospělých / Debnáriková, Miroslava [Autor, UKFPFAKPE, 100%]. – text. – [slovenčina]. – [OV 010]. – [recenzia - ČL] In: Prohuman [elektronický dokument] : vedecko-odborný interdisciplinárny recenzovaný časopis, zameraný na oblasť spoločenských, sociálnych a humanitných vied : vedecko-odborný internetový časopis. – Bratislava (Slovensko) : Business Intelligence Club. – ISSN (online) 1338-1415. – Roč. 2020, č. 30. jún (2020), s. 1-2 [online] Rec: Kompetence ve vzdělávání dospělých [textový dokument (print)] / Veteška, Jaroslav [Autor]. – 1. vyd. – Praha (Česko) : Univerzita Jana Amose Komenského Praha, 2010. – 200 s. [tlačená forma]. – ISBN 978-80-8672-398-3 </t>
  </si>
  <si>
    <t xml:space="preserve">Recenzia publikácie: Občianske vzdelávanie dospelých / Koricina, Michal [Autor, UKFPFAKPE, 100%]. – text. – [slovenčina]. – [OV 010]. – [recenzia - ČL] In: Prohuman [elektronický dokument] : vedecko-odborný interdisciplinárny recenzovaný časopis, zameraný na oblasť spoločenských, sociálnych a humanitných vied : vedecko-odborný internetový časopis. – Bratislava (Slovensko) : Business Intelligence Club. – ISSN (online) 1338-1415. – č. 14. jún (2021), s. 1-3 [online] Rec: Občianske vzdelávanie dospelých [textový dokument (print)]  [učebnica pre vysoké školy (do 2021)] / Beran Sládkayová, Michaela [Autor, 100%] ; Korim, Vojtech [Recenzent] ; Chomová, Svetlana [Recenzent]. – 1 vyd. – Banská Bystrica (Slovensko) : Univerzita Mateja Bela v Banskej Bystrici. Vydavateľstvo Univerzity Mateja Bela v Banskej Bystrici - Belianum, 2019. – 98 s. [3,97 AH]. – ISBN 978-80-557-1535-3 </t>
  </si>
  <si>
    <t xml:space="preserve">Recenzia učebnice Vybrané kapitoly z regionálnej kultúry / Štosel, Marek [Autor, UKFFFAKMR, 100%]. – text. – [slovenčina]. – [OV 020]. – [recenzia - ČL] In: Culturologica Slovaca [elektronický dokument] : internetový kulturologický časopis. – Nitra (Slovensko) : Univerzita Konštantína Filozofa v Nitre. – ISSN 2453-9740. – Roč. 6, č. 2 (2021), s. 221-223 [online] Rec: Vybrané kapitoly z regionálnej kultúry (pre kulturológiu a príbuzné disciplíny) [textový dokument (print)]  [učebnica pre vysoké školy (do 2021)] : Vysokoškolská učebnica / Jakubovská, Kristína [Autor, 100%] ; Lenovský, Ladislav [Recenzent] ; Kompasová, Katarína [Recenzent]. – 1. vyd. – Nitra (Slovensko) : Univerzita Konštantína Filozofa v Nitre, 2021. – 98 s. [tlačená forma]. – ISBN 978-80-558-1684-5. – ISBN (online) 978-80-558-1685-2 </t>
  </si>
  <si>
    <t xml:space="preserve">Recenzia vedeckej monografie doc. Ing. Milana Fiľu, PhD. a doc. RNDr. Marty Urbaníkovej, CSc.: hodnotenie podnikateľského prostredia s akcentom na začínajúcich podnikateľov v Slovenskej republike / Levický, Michal [Autor, UKFFPVUMI, 100%]. – text. – [slovenčina]. – [OV 080]. – [recenzia - ČL] In: Verejná správa a regionálny rozvoj [textový dokument (print)] : vedecký časopis Vysokej školy ekonómie a manažmentu verejnej správy v Bratislave : Ekonómia a manažment. – Bratislava (Slovensko) : Vysoká škola ekonómie a manažmentu verejnej správy v Bratislave. – ISSN 1337-2955. – Roč. 17, č. 2 (2021), s. 123-124 [tlačená forma] Rec: Hodnotenie podnikateľského prostredia s akcentom na začínajúcich podnikateľov v Slovenskej republike [textový dokument (print)]  [knižná publikácia - odborná (do 2021)] / Fiľa, Milan [Autor, 85%] ; Urbaníková, Marta [Autor, 15%] ; Gozora, Vladimír [Recenzent] ; Papcunová, Viera [Recenzent]. – 1. vyd. – Nitra (Slovensko) : Univerzita Konštantína Filozofa v Nitre, 2020. – 143 s. [tlačená forma]. – ISBN 978-80-558-1649-4 </t>
  </si>
  <si>
    <t xml:space="preserve">Recenzia: Miššíková, Gabriela and Pánisová, Ľudmila (eds.). 2015. Slovenská literatúra v preklade. Zborník z medzinárodnej odbornej konferencie. [eng.: Slovak Literature in Translation. Collection of Papers from the International Conference]. Nitra: Univerzita Konštantína Filozofa v Nitre / Koscelníková, Mária [Autor, UKFFFAKTR, 100%]. – text. – [slovenčina]. – [OV 020]. – [recenzia - ČL] In: Bridge [elektronický dokument] : Trends and Traditions in Translation and Interpreting Studies. – Nitra (Slovensko) : Univerzita Konštantína Filozofa v Nitre. Filozofická fakulta. Katedra translatológie. – ISSN (online) 2729-8183. – Roč. 2, č. 1 (2021), s. 123-124 [online] </t>
  </si>
  <si>
    <t xml:space="preserve">Recenzja ksiazki Maturkanič, P. &amp; Tomanová Čergeťová, I. et at., "Spiritual and Social Experience in the Context of Modernism and Postmodernism" / Mojtová, Martina [Autor, UKFFSVKSP, 100%]. – [poľština]. – [OV 060]. – [recenzia - ČL] In: Pedagogika Katolicka [textový dokument (print)] : czasopismo Katedry Pedagogiki Katolickiej Wydziału Zamiejscowego Nauk o Społeczeństwie KUL w Stalowej Woli. – Stalowa Wola (Poľsko) : Uniwersytet Papieski Jana Pawła II w Krakowie. Wydział Zamiejscowy Prawa i Nauk o Społeczeństwie w Stalowej Woli. Katedra Pedagogiki Katolickiej. – ISSN 1898-3685. – Roč. 28, č. 1 (2021), s. 296-297 [tlačená forma] Rec: The Influence of Existentialism and Subjectivism on the Concept of the Human Person / Thurzo, Vladimír [Autor, 100%] In: Spiritual and Social Experience in the Context of Modernism and Postmodernism [textový dokument (print)] [elektronický dokument] : (Interdisciplinary Reading of the Phenomenon) / Maturkanič, Patrik [Zostavovateľ, editor] ; Tomanová Čergeťová, Ivana [Zostavovateľ, editor] ; Stolárik, Stanislav [Recenzent] ; Šuráb, Marian [Recenzent] ; Janáčková, Laura [Recenzent]. – 1. vyd. – Morrisville (USA) : Lulu Publishing Company, 2021. – ISBN 978-1-716-21192-8, s. 7-34 [tlačená forma] [online] Rec: Communication of Values must be based on Pillars of Truth in the Light of Conscience / Šulík, Ivan [Autor, 100%] In: Spiritual and Social Experience in the Context of Modernism and Postmodernism [textový dokument (print)] [elektronický dokument] : (Interdisciplinary Reading of the Phenomenon) / Maturkanič, Patrik [Zostavovateľ, editor] ; Tomanová Čergeťová, Ivana [Zostavovateľ, editor] ; Stolárik, Stanislav [Recenzent] ; Šuráb, Marian [Recenzent] ; Janáčková, Laura [Recenzent]. – 1. vyd. – Morrisville (USA) : Lulu Publishing Company, 2021. – ISBN 978-1-716-21192-8, s. 120-131 [tlačená forma] [online] Rec: Religious Situation in Slovakia in the Years 1945-1989 / Judák, Viliam [Autor, 100%] ; Stolárik, Stanislav [Recenzent] In: Spiritual and Social Experience in the Context of Modernism and Postmodernism [textový dokument (print)] [elektronický dokument] : (Interdisciplinary Reading of the Phenomenon) / Maturkanič, Patrik [Zostavovateľ, editor] ; Tomanová Čergeťová, Ivana [Zostavovateľ, editor]. – 1. vyd. – Morrisville (USA) : Lulu Publishing Company, 2021. – ISBN 978-1-716-21192-8, s. 313-340 [tlačená forma] [online] </t>
  </si>
  <si>
    <t xml:space="preserve">Recenzja monografii / Swadżba, Urszula [Autor, UKFFFAKSO, 100%]. – text. – [poľština]. – [OV 020]. – [recenzia - ČL] In: Humanizacja Pracy [textový dokument (print)] . – ISSN 1643-7446. – Roč. 53, č. 1 (2020), s. 179-184 [tlačená forma] Rec: Slovenská sociológia po páde komunizmu [textový dokument (print)]  [monografia (do 2021)] : ideové korene, súčasné trendy a osobnosti vedy / Laiferová, Eva [Autor, 51.3%] ; Mistríková, Ľudmila [Autor, 12.1%] ; Capíková, Silvia [Autor, 29.6%] ; Lubelcová, Gabriela [Autor, 3.5%] ; Eckerová, Lucia [Autor, 3.5%] ; Miháliková, Silvia [Recenzent] ; Turčan, Ľudovít [Recenzent]. – 2. rozš. vyd. – Bratislava (Slovensko) : Univerzita Komenského v Bratislave, 2018. – 276 s. [14,25 AH] [tlačená forma]. – ISBN 978-80-223-4271-1 </t>
  </si>
  <si>
    <t xml:space="preserve">Recepčne zažitá „tvár“ Andersenových textov / Gallik, Ján [Autor, UKFFSSUSJ, 100%]. – text. – [slovenčina]. – [OV 020]. – [recenzia - ČL] In: Romboid [textový dokument (print)] : časopis pre literatúru a umeleckú komunikáciu. – Bratislava (Slovensko) : Zväz slovenských spisovateľov, Bratislava (Slovensko) : Asociácia organizácií spisovateľov Slovenska. – ISSN 0231-6714. – Roč. 55, č. 6 (2020), s. 94-96 [tlačená forma] </t>
  </si>
  <si>
    <t xml:space="preserve">Rečové zručnosti, práca s textom a vyučovanie ruského jazyka v kontexte českého jazykového prostredia / Gallo, Ján [Autor, UKFFFAKRU, 100%]. – text. – [ruština]. – [OV 020]. – [recenzia - ČL] In: Jazyk a kultúra [elektronický dokument] : internetový časopis Lingvokulturologického a prekladateľsko-tlmočníckeho centra excelentnosti pri Filozofickej fakulte Prešovskej univerzity. – Prešov (Slovensko) : Prešovská univerzita v Prešove. Lingvokulturologické a prekladateľsko-tlmočnícke centrum excelentnosti. – ISSN (online) 1338-1148. – Roč. 12, č. 45-46 (2021), s. 140-146 [online] </t>
  </si>
  <si>
    <t xml:space="preserve">Regiony Rossii v paradigme antropocentrizma, lingvokuľturologii i kuľturnoj geografii / Gallo, Ján [Autor, UKFFFAKRU, 100%]. – text. – [ruština]. – [OV 020]. – [recenzia - ČL]. – DOI 10.5817/OS2021-2-9 In: Opera Slavica [textový dokument (print)] [elektronický dokument] : slavistické rozhledy. – Brno (Česko) : Masarykova univerzita. Filozofická fakulta. Ústav slavistiky. – ISSN 1211-7676. – ISSN (online) 2336-4459. – Roč. 31, č. 2 (2021), s. 85-88 [tlačená forma] [online] Rec: Kultúrne regióny Ruska [textový dokument (print)]  [učebnica pre vysoké školy (do 2021)] / Cingerová, Nina [Autor, 50%] ; Dulebová, Irina [Autor, 50%] ; Guzi, Ľubomír [Recenzent] ; Magomedovová, Tamara [Recenzent]. – 1. vyd. – Bratislava (Slovensko) : Univerzita Komenského v Bratislave, 2021. – 200 s. [9,46 AH] [tlačená forma]. – ISBN 978-80-223-5113-3 </t>
  </si>
  <si>
    <t xml:space="preserve">Rekapitulujme: Možnosti sú. Sú zúžené / Rácová, Veronika [Autor, UKFFFASJL, 100%]. – [slovenčina]. – [OV 020]. – [recenzia - ČL] In: Platforma pre literatúru a výskum [elektronický dokument] . – Bratislava (Slovensko) : Platforma pre literatúru a výskum. – ISSN (online) 2453-9147. – č. 2. april (2018), s. 1-2 [online] Rec: Vynechaný spoj [textový dokument (print)] / Nádaskay, Viliam [Autor]. – 1. vyd. – Bratislava (Slovensko) : Drewo a srd, 2018. – 96 s. [tlačená forma]. – ISBN 978-80-8955-044-9 </t>
  </si>
  <si>
    <t xml:space="preserve">Review 1: Film Discourse Interpretation: Towards a New Paradigm for Multimodal Film Analysis (2014) / Ukušová, Jana [Autor, UKFFFAKTR, 100%]. – text. – [angličtina]. – [OV 020]. – [recenzia - KP] In: Translatologia [elektronický dokument] / Hodáková, Soňa [Zostavovateľ, editor]. – 1. vyd. – Roč. 2, č. 1. – Nitra (Slovensko) : Univerzita Konštantína Filozofa v Nitre, 2018. – ISSN (online) 2453-9899, s. 95-95 [online] Rec: Film Discourse Interpretation: Towards a New Paradigm for Multimodal Film Analysis [textový dokument (print)] / Wildfeuer, Janina [Autor]. – New York (USA) : Taylor &amp; Francis Group. Routledge, 2014. – 279 s. [tlačená forma]. – ISBN 978-0-415-84115-3 </t>
  </si>
  <si>
    <t xml:space="preserve">Review 2: On Selected Aspects of Languages for Special Purposes by Elena Nikolajová - Kupferschmidtová, Pavol Štubňa and Alexandra Kučmová - Lenzi / Koscelníková, Mária [Autor, UKFFFAKTR, 100%]. – text. – [angličtina]. – [OV 020]. – [recenzia - KP] In: Translatologia [elektronický dokument] / Hodáková, Soňa [Zostavovateľ, editor]. – 1. vyd. – Roč. 4, č. 1. – Nitra (Slovensko) : Univerzita Konštantína Filozofa v Nitre, 2020. – ISSN (online) 2453-9899, s. 161-163 [online] Rec: On selected aspects of languages for special purposes [elektronický dokument]  [monografia (do 2021)] / Nikolajová Kupferschmidtová, Elena [Autor, 45%] ; Štubňa, Pavol [Autor, 45%] ; Lenzi Kučmová, Alexandra [Autor, 10%] ; Hájek, Oldřich [Recenzent] ; Šuša, Ivan [Recenzent]. – 1. vyd. – Uherské Hradiště (Česko) : Vědecké nakladateství Fakulty veřejnoprávních a ekonomických studií v Uherském Hradišti, 2018. – 140 s. [10,4 AH] [CD-ROM]. – (Rebus linguae). – ISBN (online) 978-80-907179-7-8 </t>
  </si>
  <si>
    <t xml:space="preserve">Review 3: Language Diversity Volume 3: Language(s) and Power, edited by Elena Di Giovanni and Francesca Raffi / Koscelníková, Mária [Autor, UKFFFAKTR, 100%]. – text. – [angličtina]. – [OV 020]. – [recenzia - KP] In: Translatologia [elektronický dokument] / Hodáková, Soňa [Zostavovateľ, editor]. – 1. vyd. – Roč. 2, č. 1. – Nitra (Slovensko) : Univerzita Konštantína Filozofa v Nitre, 2018. – ISSN (online) 2453-9899, s. 99-101 [online] Rec: Language Diversity Volume 3: Language(s) and Power [textový dokument (print)] / Raffi, Francesca [Zostavovateľ, editor]. – Cambridge (Veľká Británia) : Cambridge Scholars Publishing, 2017. – 273 s. – ISBN 978-1-5275-0381-6 </t>
  </si>
  <si>
    <t xml:space="preserve">Reviewer's Statement: Select Research Methods in Political Science / Bulanda, Ivana [Autor, UKFFFAKMR, 100%]. – text. – [angličtina]. – [OV 060]. – [recenzia - ČL] In: Political Science Forum [textový dokument (print)] [elektronický dokument] . – Trenčín (Slovensko) : Trenčianska univerzita Alexandra Dubčeka v Trenčíne. Rektorát. Katedra politológie. – ISSN 1338-6859. – Roč. 7, č. 2 (2018), s. 154-155 [tlačená forma] [online] Rec: Vybrané metódy výskumu v politológii [textový dokument (print)]  [učebnica pre vysoké školy (do 2021)] / Lincényi, Marcel [Autor, 100%] ; Hrivík, Pavol [Recenzent] ; Bulanda, Ivana [Recenzent] ; Hubálek, Tomáš [Recenzent]. – 1. vyd. – Trenčín (Slovensko) : Trenčianska univerzita Alexandra Dubčeka v Trenčíne, 2018. – 131 s. [tlačená forma]. – ISBN 978-80-8075-801-1 </t>
  </si>
  <si>
    <t xml:space="preserve">Róbert Gáfrik: Zobrazovanie Indie v slovenskej literatúre / Zelenka, Miloš [Autor, UKFFSSUSJ, 100%]. – text. – [slovenčina]. – [OV 020]. – [recenzia - ČL] In: World Literature Studies [textový dokument (print)] [elektronický dokument] . – Bratislava (Slovensko) : Slovenská akadémia vied. Pracoviská SAV. Ústav svetovej literatúry. – ISSN 1337-9275. – ISSN (online) 1337-9690. – Roč. 10, č. 4 (2018), s. 123-143 [tlačená forma] [online] . – SNIP: 0,292 ; SJR: 0,214 ; CiteScore: 0,2 Rec: Zobrazovanie Indie v slovenskej literatúre [textový dokument (print)]  [monografia (do 2021)] / Gáfrik, Róbert [Autor, 100%] ; Rácová, Anna [Recenzent] ; Passia, Radoslav [Recenzent]. – 1. vyd. – Bratislava (Slovensko) : Slovenská akadémia vied. Veda, vydavateľstvo Slovenskej akadémie vied, 2018. – 138 s. [7,25 AH] [tlačená forma]. – ISBN 978-80-224-1635-1 Scimago - Literature and literary theory - Q1 </t>
  </si>
  <si>
    <t xml:space="preserve">Román o skutočnom svete ľudí / Šavelová, Monika [Autor, UKFFFAKRO, 100%]. – text. – [slovenčina]. – [OV 020]. – [recenzia - KP] In: Pútnik svätovojtešský (147) [textový dokument (print)] : kalendár na rok 2019 / Kekeliaková, Monika [Zostavovateľ, editor]. – 1. vyd. – Roč. 147. – Trnava  (Slovensko) : Spolok svätého Vojtecha, 2018. – ISBN 978-80-8161-319-7, s. 95-99 [tlačená forma] Rec: Snúbenci [textový dokument (print)] / Manzoni, Alessandro [Autor]. – Trnava (Slovensko) : Spolok svätého Vojtecha, 2017. – 624 s. [tlačená forma]. – ISBN 9788081612442 </t>
  </si>
  <si>
    <t xml:space="preserve">Romanian cockades over Czechoslovakia / Kopecký, Peter [Autor, UKFFFAKTR, 100%]. – text. – [angličtina]. – [OV 030]. – [recenzia - ČL] In: Studia Securitatis Magazine [textový dokument (print)] [elektronický dokument] : Research Center in Political Science, International Relations and European Studies. – Sibiu (Rumunsko) : Lucian Blaga University of Sibiu. – ISSN 1843-1925. – Roč. 15, č. 1 (2021), s. 98-98 [tlačená forma] [online] Rec: Rumunské kokardy nad Československom [textový dokument (print)] / Cibula, Martin [Autor] ; Kaššák, Peter [Autor] ; Frait, Radovan [Autor]. – 1. vyd. – Bratislava (Slovensko) : Degart, 2019. – 222 s. [tlačená forma]. – ISBN 978-80-9718-915-0 </t>
  </si>
  <si>
    <t xml:space="preserve">Rozbitý pohár - román bez bodky / Boszorád, Martin [Autor, UKFFFAULK, 100%]. – text. – [slovenčina]. – [OV 020]. – [recenzia - ČL] In: Fraktál [textový dokument (print)] : literatúra horizontálne a vertikálne. – Závod (Slovensko) : Fraktál. – ISSN 2585-8912. – Roč. 2, č. 2 (2019), s. 186-188 [tlačená forma] Rec: Rozbitý pohár [textový dokument (print)]  [knižná publikácia - umelecká (do 2021)] / Mabanckou, Alain [Autor] ; Ridzoňová-Ferenčuhová, Mária [Prekladateľ, 100%]. – 1. vyd. – Žilina (Slovensko) : Absynt, 2018. – 180 s. [8,4 AH] [tlačená forma]. – (100 % ; 8). – ISBN 978-80-8203-030-6 Rec: Texty - zobrazenia - komunikáty [textový dokument (print)]  [monografia (do 2021)] / Sokolová, Jana [Autor, 100%] ; Fichnová, Katarína [Recenzent] ; Kralčák, Ľubomír [Recenzent]. – 1. vyd. – Nitra (Slovensko) : Univerzita Konštantína Filozofa v Nitre, 2017. – 330 s. [tlačená forma]. – ISBN 978-80-558-1221-2 </t>
  </si>
  <si>
    <t xml:space="preserve">Rozhovory ako žáner románu / Michalovič, Michal [Autor, UKFFFAULK, 100%]. – text. – [slovenčina]. – [OV 020]. – [recenzia - ČL] In: Kino-Ikon [textový dokument (print)] : časopis pre vedu o filme a pohyblivom obraze = a journal for the sciences of the moving image and cinema. – Bratislava (Slovensko) : Asociácia slovenských filmových klubov, Bratislava (Slovensko) : Vysoká škola múzických umení v Bratislave. – ISSN 1335-1893. – Roč. 22, č. 2 (2018), s. 301-304 [tlačená forma] Rec: Conversations with Buñuel [textový dokument (print)] : Interviews with the Filmmaker, Family Members, Friends and Collaborators / Aub, Max [Autor]. – 1. vyd. – Jefferson (USA) : McFarland &amp; Company, 2017. – 300 s. [tlačená forma]. – ISBN 978-1-4766-6822-2 </t>
  </si>
  <si>
    <t xml:space="preserve">Rozpravy o hrozbe existenciálneho vákua / Gabašová, Katarína [Autor, UKFFFAKKU, 100%]. – [slovenčina]. – [OV 020]. – [recenzia - ČL] In: Literárny týždenník [textový dokument (print)] : časopis Spolku slovenských spisovateľov. – Bratislava (Slovensko) : Kultúrno-literárna akadémia. – ISSN 0862-5999. – Roč. 31, č. 43-44 (2018), s. 12-13 [tlačená forma] Rec: On Kierkegaard In Contemporary Indian Philosophical Thinking [textový dokument (print)] / Hajko, Dalimír [Autor]. – 1. vyd. – Toronto (Kanada) : University of Toronto, 2018. – 142 s. [tlačená forma] </t>
  </si>
  <si>
    <t xml:space="preserve">Ruština opäť aktuálne, moderne a komunikačne (nielen) pre samoukov / Gallo, Ján [Autor, UKFFFAKRU, 100%]. – text. – [slovenčina]. – [OV 020]. – [recenzia - ČL] In: Jazyk a kultúra [elektronický dokument] : internetový časopis Lingvokulturologického a prekladateľsko-tlmočníckeho centra excelentnosti pri Filozofickej fakulte Prešovskej univerzity. – Prešov (Slovensko) : Prešovská univerzita v Prešove. Lingvokulturologické a prekladateľsko-tlmočnícke centrum excelentnosti. – ISSN (online) 1338-1148. – Roč. 10, č. 39-40 (2019), s. 146-149 [online] Rec: Ruština pre samoukov a pre jazykové kurzy [textový dokument (print)]  [skriptum (do 2021)] / Šajgalíková, Helena [Autor, 22%] ; Posokhin, Ivan [Autor, 32%] ; Grominová, Andrea [Autor, 46%] ; Korina, Natália [Recenzent] ; Grigorjanová, Tatjana [Recenzent]. – 1. vyd. – Bratislava (Slovensko) : Aktuell, 2018. – 349 s. [tlačená forma]. – ISBN 978-80-8172-021-5 </t>
  </si>
  <si>
    <t xml:space="preserve">Sabine WITT Nationalistische Intellektuelle in der Slowakei 1918–1945. Kulturelle Praxis zwischen Sakralisierung und Säkularisierung / Arpáš, Róbert [Autor, UKFFFAKHI, 100%]. – text. – [slovenčina]. – [OV 030]. – [recenzia - ČL] In: Český časopis historický [textový dokument (print)] . – Praha (Česko) : Akademie věd České republiky. Historický ústav AV ČR. – ISSN 0862-6111. – Roč. 116, č. 2 (2018), s. 579-581 [tlačená forma] . – SJR: 0,112 ; CiteScore: 0,2 ; SNIP: 0,879 Rec: Nationalistische Intellektuelle in der Slowakei 1918–1945. Kulturelle Praxis zwischen Sakralisierung und Säkularisierung [textový dokument (print)] / Witt, Sabine [Autor]. – 1. vyd. – Berlín (Nemecko) : De Gruyter, 2015. – 412 s. – ISBN 978-3-11-035930-5 Scimago - History - Q3 </t>
  </si>
  <si>
    <t xml:space="preserve">Sándor Anna -Tóth Katalin: Nyitragerencséri tájszótár = Anna Sándor - Katalin Tóth: Nárečový slovník Nitrianskych Hrnčiarovec / Presinszky, Károly [Autor, UKFFSSUML, 100%]. – text. – [maďarčina]. – [OV 020]. – [recenzia - ČL] In: Magyar Nyelvjárások [elektronický dokument] . – Debrecen (Maďarsko) : Debreceni Egyetem. – ISSN 0541-9298. – ISSN (online) 1588-7162. – Roč. 58, č. 2 (2020), s. 274-278 [tlačená forma] [online] Rec: Nyitragerencséri tájszótár [textový dokument (print)]  [monografia (do 2021)] : Sima Ferenc tájszóhagyatéka alapján / Sándorová, Anna [Autor, 70%] ; Tóth, Katalin [Autor, 30%] ; Presinszky, Károly [Recenzent] ; Kiss, Jenő [Recenzent]. – 1. vyd. – Dunajská Streda (Slovensko) : Kalligram, 2020. – 288 s. [tlačená forma]. – ISBN 978-80-8101-987-6 </t>
  </si>
  <si>
    <t xml:space="preserve">Scapin inak / Inštitorisová, Dagmar [Autor, UKFFFAKMR, 100%]. – text. – [slovenčina]. – [OV 020]. – [recenzia - ČL] In: Monitoring divadiel na Slovensku [elektronický dokument] . – Bratislava (Slovensko) : Slovenské centrum AICT. – ISSN (online) 2454-0129. – 2019, s. 1-5 [online] </t>
  </si>
  <si>
    <t xml:space="preserve">Sebavedomo, ale opodstatnene : Martin Navrátil: Pramene ranej poézie Vojtecha Mihálika (Varianty, revízie, interpretácie) / Brunclík, Jozef [Autor, UKFFFASJL, 100%]. – text. – [slovenčina]. – [OV 020]. – [recenzia - ČL] In: Romboid [textový dokument (print)] : časopis pre literatúru a umeleckú komunikáciu. – Bratislava (Slovensko) : Zväz slovenských spisovateľov, Bratislava (Slovensko) : Asociácia organizácií spisovateľov Slovenska. – ISSN 0231-6714. – Roč. 56, č. 2 (2021), s. 89-96 [tlačená forma] Rec: Pramene ranej poézie Vojtecha Mihálika (varianty, revízie, interpretácie) [textový dokument (print)] / Navrátil, Martin [Autor]. – 1. vyd. – Bratislava (Slovensko) : Slovenská akadémia vied. Veda, vydavateľstvo Slovenskej akadémie vied, 2019. – 205 s. [tlačená forma]. – ISBN 978-80-224-1776-1 </t>
  </si>
  <si>
    <t xml:space="preserve">SEMSEY, Viktória (ed.). National Identity and Modernity 1870 - 1945. Latin America, Southern Europe, East Central Europe / Molnárová, Mária [Autor, UKFFFAKHI, 100%]. – text. – [slovenčina]. – [OV 030]. – [recenzia - ČL] In: Studia Historica Nitriensia [textový dokument (print)] [elektronický dokument] . – Nitra (Slovensko) : Univerzita Konštantína Filozofa v Nitre. – ISSN 1338-7219. – ISSN (online) 2585-8661. – Roč. 25, č. 2 (2021), s. 297-302 [tlačená forma] [online] . – CiteScore: 0,4 ; SJR: 0,209 ; SNIP: 1,036 Scimago - Cultural studies - Q2, History - Q1, Museology - Q2 </t>
  </si>
  <si>
    <t xml:space="preserve">Schizofrénia jedného autora / Búry, Juraj [Autor, UKFFFAULK, 100%]. – [slovenčina]. – [OV 020]. – [recenzia - ČL] In: Knižná revue [textový dokument (print)] [elektronický dokument] : mesačník o nových knihách. – Bratislava (Slovensko) : Literárne informačné centrum. – ISSN 1210-1982. – ISSN (online) 1336-247X. – Roč. 28, č. 1 (2018), s. 2-2 [tlačená forma] [online] Rec: Kontakt [textový dokument (print)] : záhuba prichádza z nebies / Pocha, Mark E. [Autor]. – 1. vyd. – Humenné (Slovensko) : Vydavateľstvo Hydra, 2017. – 184 s. [tlačená forma]. – ISBN 978-8089-840-42-7 </t>
  </si>
  <si>
    <t xml:space="preserve">Silvia Letavajová: Zmiešané manželstvá (manželstvá s cudzincami) ako sociokultúrny fenomén, 288 s. / Krno, Svetozár [Autor, UKFFFAKPO, 100%]. – text. – [slovenčina]. – [OV 060]. – [recenzia - ČL] In: Civitas [textový dokument (print)] : časopis pre politické a sociálne vedy. – Nitra (Slovensko) : Univerzita Konštantína Filozofa v Nitre. Filozofická fakulta. Katedra politológie a euroázijských štúdií. – ISSN 1335-2652. – Roč. 25, č. 56 - 1 (2019), s. 14-14 [tlačená forma] Rec: Zmiešané manželstvá (manželstvá s cudzincami) ako sociokultúrny fenomén [textový dokument (print)]  [monografia (do 2021)] / Letavajová, Silvia [Autor, 100%] ; Beňušková, Zuzana [Recenzent] ; Paríková, Magdaléna [Recenzent]. – 1. vyd. – Nitra (Slovensko) : Univerzita Konštantína Filozofa v Nitre, 2018. – 287 s. [tlačená forma]. – ISBN 978-80-558-1353-0 </t>
  </si>
  <si>
    <t xml:space="preserve">Sintaksičeskije terminy v novom speciaľnom slovare M. Vojtekovoj, N. Mertovoj i A. Petrikovoj / Gallo, Ján [Autor, UKFFFAKRU, 100%]. – text. – [ruština]. – [OV 010]. – [recenzia - ČL] In: Slavica Nitriensia [textový dokument (print)] : časopis pre výskum slovanských filológií. – Nitra (Slovensko) : Univerzita Konštantína Filozofa v Nitre. – ISSN 1338-7464. – Roč. 8, č. 2 (2019), s. 41-45 [tlačená forma] </t>
  </si>
  <si>
    <t xml:space="preserve">Sintaksičeskije terminy v russkom i češskom jazykach: sospostaviteľnyj aspekt (na materiale vybrannyh terminov) = Syntactic Terms in Russian and Czech Languages: a Comparative Aspect (Based on Selected Terms) ) / Gallo, Ján [Autor, UKFFFAKRU, 100%]. – text. – [ruština]. – [OV 020]. – [recenzia - ČL] In: Cross-cultural studies [textový dokument (print)] : education and science. – Middlebury (USA) : Russian Department, Middlebury College. – ISSN 2470-1262. – Roč. 6, č. 3 (2021), s. 131-133 [tlačená forma] </t>
  </si>
  <si>
    <t xml:space="preserve">Sizyfovská snaha pitvať (recidívnu) poéziu / Smiešková, Lucia [Autor, UKFFFASJL, 100%]. – text. – [slovenčina]. – [OV 020]. – [recenzia - ČL] In: Romboid [textový dokument (print)] : časopis pre literatúru a umeleckú komunikáciu. – Bratislava (Slovensko) : Zväz slovenských spisovateľov, Bratislava (Slovensko) : Asociácia organizácií spisovateľov Slovenska. – ISSN 0231-6714. – Roč. 54, č. 1 (2019), s. 94-96 [tlačená forma] Rec: Básnický svet Jozefa Leikerta [textový dokument (print)]  [monografia (do 2021)] / Hajko, Dalimír [Autor, 100%] ; Liba, Peter [Recenzent] ; Lomenčík, Július [Recenzent]. – 1. vyd. – Bratislava (Slovensko) : Slovenská akadémia vied. Veda, vydavateľstvo Slovenskej akadémie vied, 2017. – 245 s. [tlačená forma]. – ISBN 978-80-224-1563-7 </t>
  </si>
  <si>
    <t xml:space="preserve">Skačan, J.-Moravčíková, V: Náboženstvo a médiá v súčasnej mediálnej kultúre / Jakubovská, Viera [Autor, UKFFFAKFI, 100%]. – text. – [slovenčina]. – [OV 010]. – [recenzia - ČL] In: Mládež a spoločnosť [textový dokument (print)] : slovenský časopis pre štátnu politiku a výskum mládeže = Slovak journal for state policy and youth research. – Bratislava (Slovensko) : Centrum vedecko-technických informácií SR. – ISSN 1335-1109. – Roč. 25, č. 2 (2019), s. 91-93 [tlačená forma] Rec: Náboženstvo a médiá v súčasnej mediálnej kultúre [textový dokument (print)]  [monografia (do 2021)] / Moravčíková, Veronika [Autor, 50%] ; Skačan, Juraj [Autor, 50%] ; Hladký, Juraj [Recenzent] ; Kocina, Petr [Recenzent]. – 1. vyd. – Nitra (Slovensko) : Univerzita Konštantína Filozofa v Nitre, 2018. – 131 s. [tlačená forma]. – ISBN 978-80-558-1340-0 </t>
  </si>
  <si>
    <t xml:space="preserve">Skrytý půvab byrokracie : o násilí / Lakoštik, Radoslav [Autor, UKFFFAULK, 100%]. – text. – [slovenčina]. – [OV 020]. – [recenzia - ČL] In: Vlna [textový dokument (print)] : časopis o súčasnom umení a kultúre. – Bratislava (Slovensko) : Drewo a srd. – ISSN 1335-5341. – ISSN (chybné) ISSN 1335-969X. – Roč. 21, č. 81 (2020), s. 168-168 [tlačená forma] </t>
  </si>
  <si>
    <t xml:space="preserve">Skúsme sa poučiť / Olejárová, Andrea [Autor, UKFFFAKKU, 100%]. – text. – [slovenčina]. – [OV 020]. – [recenzia - ČL] In: Knižná revue [textový dokument (print)] [elektronický dokument] : mesačník o nových knihách. – Bratislava (Slovensko) : Literárne informačné centrum. – ISSN 1210-1982. – ISSN (online) 1336-247X. – Roč. 30, č. 3 (2020), s. 33-34 [tlačená forma] [online] Rec: Realita virtuálna [textový dokument (print)] / Mendelová, Lucia [Autor]. – 1. vyd. – Krásno nad Kysucou : Absynt, 2019. – 128 s. [tlačená forma]. – ISBN 978-80-89916-79-5 </t>
  </si>
  <si>
    <t xml:space="preserve">Slavic synthesis = Slavistické syntézy / Lukáčová, Martina [Autor, UKFFFAKRO, 100%]. – text. – [slovenčina]. – [OV 020]. – [recenzia - ČL]. – WOS CC In: Konštantínove listy [textový dokument (print)] [elektronický dokument] . – Nitra (Slovensko) : Univerzita Konštantína Filozofa v Nitre. Filozofická fakulta. Ústav pre výskum kultúrneho dedičstva Konštantína a Metoda. – ISSN 1337-8740. – ISSN (online) 2453-7675. – Roč. 13, č. 1 (2020), 239-240 [tlačená forma] [online] . – SJR: 0,248 ; CiteScore: 0,7 ; SNIP: 1,213 ; AIS: 0.286 Rec: Slavistički sintezi [textový dokument (print)]  [monografia (do 2021)] = Slavistické syntézy / Taneski, Zvonko [Autor, 100%] ; Kramarič, Zlatko [Recenzent] ; Moroz-Grzelak, Lilla [Recenzent] ; Tošovič, Branko [Recenzent] ; Subiotto, Namita [Recenzent]. – 1. vyd. – Beograd (Srbsko) : Čigoja štampa, 2018. – 252 s. [tlačená forma]. – ISBN 978-86-6153-514-7. – ISBN 978-80-88782-10-0 AIS - Humanities, multidisciplinary - Q1 Scimago - History - Q1, Philosophy - Q2, Religious studies - Q1 </t>
  </si>
  <si>
    <t xml:space="preserve">Slávka Kopčáková: Aktuálne otázky hudobnej estetiky 20. a 21. storočia / Beličová, Renáta [Autor, UKFFFAULK, 100%]. – text. – [slovenčina]. – [OV 020]. – [recenzia - ČL] In: Musicologica slovaca [textový dokument (print)] . – Bratislava (Slovensko) : Slovenská akadémia vied. – ISSN 1338-2594. – Roč. 12, č. 1 (2021), s. 125-128 [tlačená forma] Rec: Aktuálne otázky hudobnej estetiky 20. a 21. storočia [textový dokument (print)]  [monografia (do 2021)] / Kopčáková, Slávka [Autor, 100%] ; Štefková, Markéta [Recenzent] ; Beličová, Renáta [Recenzent]. – 1. vyd. – Prešov (Slovensko) : Prešovská univerzita v Prešove. Filozofická fakulta, 2020. – 224 s. [tlačená forma]. – (Opera Philosophica ; 26/2020). – ISBN 978-80-555-2522-8 </t>
  </si>
  <si>
    <t xml:space="preserve">Slovania - Seriál verzus kniha / Pevčíková, Jozefa [Autor, UKFFFAULK, 100%]. – text. – [slovenčina]. – [OV 020]. – [recenzia - ČL] In: Multiverzum [elektronický dokument] . – Bratislava (Slovensko) : Multiverzum - Centrum popkultúrneho vzdelávania. – ISSN (online) 2644-657X. – č. 11. júl 2021 (2021), s. 1-2 [online] Rec: Slovania [textový dokument (print)] / Kolejáková, Veronika [Autor, 50%] ; Koleják, Jozef [Autor, 50%]. – 1. vyd. – Bratislava (Slovensko) : Ikar, 2021. – 352 s. [tlačená forma]. – ISBN 9788055176772 </t>
  </si>
  <si>
    <t xml:space="preserve">Slovar par excellence - istoričeski pervyj v kontekste slovackoj rusistiki / Gallo, Ján [Autor, UKFFFAKRU, 100%]. – text. – [ruština]. – [OV 020]. – [recenzia - ČL]. – DOI 10.5817/OS2020-2-7 In: Opera Slavica [textový dokument (print)] [elektronický dokument] : slavistické rozhledy. – Brno (Česko) : Masarykova univerzita. Filozofická fakulta. Ústav slavistiky. – ISSN 1211-7676. – ISSN (online) 2336-4459. – Roč. 30, č. 2 (2020), s. 53-58 [tlačená forma] [online] Rec: Slovník rusko-slovenských medzijazykových homoným [textový dokument (print)]  [knižná publikácia - odborná (do 2021)] / Grigorjanová, Tatjana [Autor, 50%] ; Gajarský, Lukáš [Autor, 50%] ; Bekasova, Jelena Nikolajevna [Recenzent] ; Stěpanova, Ludmila [Recenzent]. – 1. vyd. – Brno (Česko) : Tribun EU, 2019. – 126 s. [6,30 AH] [tlačená forma]. – ISBN 978-80-263-1544-5 </t>
  </si>
  <si>
    <t xml:space="preserve">Slovenské národné múzeum - Múzeum židovskej kultúry. Stála expozícia múzea holokaustu. Sprievodca múzeom / Krno, Svetozár [Autor, UKFFFAKPO, 100%]. – text. – [slovenčina]. – [OV 030]. – [recenzia - ČL] In: Civitas [textový dokument (print)] : časopis pre politické a sociálne vedy. – Nitra (Slovensko) : Univerzita Konštantína Filozofa v Nitre. Filozofická fakulta. Katedra politológie a euroázijských štúdií. – ISSN 1335-2652. – Roč. 26, č. 2 (2020), s. 16-16 [tlačená forma] </t>
  </si>
  <si>
    <t xml:space="preserve">Slovenský dabing a titulkovanie v premenách času / Müglová, Daniela [Autor, UKFFFAKTR, 100%]. – [slovenčina]. – [OV 020]. – [recenzia - ČL]. – TRUNI ohlas E087246 In: Nová filologická revue [elektronický dokument] : časopis o súčasných problémoch lingvistiky, literárnej vedy, translatológie a kulturológie : časopis o súčasnej lingvistike, literárnej vede, translatológii a kulturológii. – Banská Bystrica (Slovensko) : Univerzita Mateja Bela v Banskej Bystrici. Fakulta humanitných vied. – ISSN (online) 1338-0583. – Roč. 12, č. 1 (2021), s. 223-225 [online] Rec: Slovenský dabing a titulkovanie v premenách času [textový dokument (print)]  [monografia (do 2021)] / Perez, Emília [Autor, 70%] ; Brezovská, Miroslava [Autor, 15%] ; Jánošíková, Zuzana [Autor, 15%] ; Müglová, Daniela [Recenzent] ; Biloveský, Vladimír [Recenzent]. – 1. vyd. – Nitra (Slovensko) : Univerzita Konštantína Filozofa v Nitre, 2021. – 123 s. [tlačená forma]. – ISBN 978-80-558-1700-2 </t>
  </si>
  <si>
    <t xml:space="preserve">Sociálna andragogika. Teoretické, empirické a praktické aspekty / Debnáriková, Miroslava [Autor, UKFPFAKPE, 100%]. – text. – [slovenčina]. – [OV 010]. – [recenzia - ČL] In: Prohuman [elektronický dokument] : vedecko-odborný interdisciplinárny recenzovaný časopis, zameraný na oblasť spoločenských, sociálnych a humanitných vied : vedecko-odborný internetový časopis. – Bratislava (Slovensko) : Business Intelligence Club. – ISSN (online) 1338-1415. – č. 3. február (2021), s. 1-2 [online] Rec: Sociálna andragogika [textový dokument (print)]  [monografia (do 2021)] : teoretické, empirické a praktické aspekty / Szabová-Šírová, Lea [Autor, 100%] ; Machalová, Mária [Recenzent] ; Šimek, Dušan [Recenzent]. – 1. vyd. – Bratislava (Slovensko) : Univerzita Komenského v Bratislave, 2015. – 222 s. [13,39 AH] [tlačená forma]. – ISBN 978-80-223-3752-6 </t>
  </si>
  <si>
    <t xml:space="preserve">Soheil Peighambari: Dysphoria / Fuják, Július [Autor, UKFFFAKKU, 100%]. – text. – [slovenčina]. – [OV 020]. – [recenzia - ČL] In: Vlna [textový dokument (print)] : časopis o súčasnom umení a kultúre. – Bratislava (Slovensko) : Drewo a srd. – ISSN 1335-5341. – ISSN (chybné) ISSN 1335-969X. – Roč. 23, č. 89 (2021), s. 127-128 [tlačená forma] Rec: Dysphoria [elektronický dokument] / Peighambari, Soheil [Autor]. – 1. vyd. – Košice (Slovensko) : Hevhetia, 2021 </t>
  </si>
  <si>
    <t xml:space="preserve">Součková, Marta (ed.). K poetologickým a axiologickým aspektom slovenskej literatúry po roku 2000. 4. diel / Popovicsová, Jana [Autor, UKFFFASJL, 100%]. – text. – [slovenčina]. – [OV 020]. – [recenzia - ČL] In: Litikon [textový dokument (print)] : časopis pre výskum literatúry = journal for literature research. – Nitra (Slovensko) : Univerzita Konštantína Filozofa v Nitre. – ISSN 2453-8507. – Roč. 3, č. 2 (2018), s. 407-408 [tlačená forma] </t>
  </si>
  <si>
    <t xml:space="preserve">Spiknutí konkávních nosů = Concave Nose Plot / Hrešková, Sylvia [Autor, UKFFSSUSJ, 100%]. – text. – [čeština]. – [OV 020]. – [recenzia - ČL] In: Stredoeurópske pohľady [textový dokument (print)] [elektronický dokument] : časopis pre jazyk, literatúru, kultúru a médiá. – Nitra (Slovensko) : Univerzita Konštantína Filozofa v Nitre. Fakulta stredoeurópskych štúdií. Ústav stredoeurópskych jazykov a kultúr. – ISSN 2644-6367. – ISSN (online) 2644-6472. – Roč. 3, č. 2 (2021), s. 98-99 [tlačená forma] [online] Rec: Spiknutí konkávních nosů [textový dokument (print)] / Sýs, Karel [Autor] ; Mikulášek, Alexej [Autor]. – 1. vyd. – Křenovice (Česko) : Kamen, 2021. – 160 s. [tlačená forma]. – ISBN 9788088391005 </t>
  </si>
  <si>
    <t xml:space="preserve">Spiritualita ako téma... : Juhásová, Jana. 2016. Od symbolu k latencii Ružomberok: Verbum / Brunclík, Jozef [Autor, UKFFFASJL, 100%]. – text. – [slovenčina]. – [OV 020]. – [recenzia - ČL] In: Glosolália [textový dokument (print)] [elektronický dokument] : rodovo orientovaný časopis. – Bratislava (Slovensko) : Glosolália, o.z. – ISSN 1338-7146. – ISSN (online) 1339-245X. – Roč. 7, č. 3 (2018), s. 173-175 [tlačená forma] [online] Rec: Od symbolu k latencii [textový dokument (print)]  [monografia (do 2021)] : spirituálna téma a žáner v súčasnej slovenskej poézii / Juhásová, Jana [Autor, 100%] ; Gavura, Ján [Recenzent] ; Šrank, Jaroslav [Recenzent]. – 1. vyd. – Ružomberok (Slovensko) : Katolícka univerzita v Ružomberku. VERBUM - vydavateľstvo KU, 2016. – 151 s. – ISBN 978-80-561-0364-7 </t>
  </si>
  <si>
    <t xml:space="preserve">Spiritualita v literatúre ako podnet pre výskum imagológie (recenzia) = Spirituality in Literature as a Stimul For Imagological Research (Review) / Adamická, Monika [Autor, UKFFSSUSJ, 100%]. – text. – [slovenčina]. – [OV 020]. – [recenzia - ČL] In: Stredoeurópske pohľady [textový dokument (print)] [elektronický dokument] : časopis pre jazyk, literatúru, kultúru a médiá. – Nitra (Slovensko) : Univerzita Konštantína Filozofa v Nitre. Fakulta stredoeurópskych štúdií. Ústav stredoeurópskych jazykov a kultúr. – ISSN 2644-6367. – ISSN (online) 2644-6472. – Roč. 3, č. 1 (2021), s. 55-56 [tlačená forma] [online] </t>
  </si>
  <si>
    <t xml:space="preserve">Sprievodca literárnymi formami v literatúre / Tkáč-Zabáková, Lenka [Autor, UKFFSSUSJ, 100%]. – text. – [slovenčina]. – [OV 020]. – [recenzia - ČL] In: Fraktál [textový dokument (print)] : literatúra horizontálne a vertikálne. – Závod (Slovensko) : Fraktál. – ISSN 2585-8912. – Roč. 2, č. 2 (2019), s. 179-180 [tlačená forma] </t>
  </si>
  <si>
    <t xml:space="preserve">Stále je dôvod písať / Inštitorisová, Dagmar [Autor, UKFFFAKMR, 100%]. – text. – [slovenčina]. – [OV 020]. – [recenzia - ČL] In: Slovenské divadlo [textový dokument (print)] [elektronický dokument] : revue dramatických umení. – Bratislava (Slovensko) : Slovenská akadémia vied. Pracoviská SAV. Ústav divadelnej a filmovej vedy. – ISSN 0037-699X. – ISSN (online) 1336-8605. – Roč. 66, č. 4 (2018), s. 433-434 [tlačená forma] [online] Rec: Let husy z Brna až do Amsterodamu a Avignonu [textový dokument (print)] : divadlo na provázku v letech 1972 – 1979/1980. Dokumenty - studie - memoáry 2 / Oslzlý, Petr [Autor]. – Brno (Česko) : Janáčkova akademie múzických umění v Brně, [s.a.]. – 767 s. [tlačená forma]. – ISBN 978-80-7460-121-7 </t>
  </si>
  <si>
    <t xml:space="preserve">Sto múch / Fuják, Július [Autor, UKFFFAKKU, 100%]. – text. – [slovenčina]. – [OV 020]. – [recenzia - ČL] In: Vlna [textový dokument (print)] : časopis o súčasnom umení a kultúre. – Bratislava (Slovensko) : Drewo a srd. – ISSN 1335-5341. – ISSN (chybné) ISSN 1335-969X. – Roč. 21, č. 80 (2019), s. 136-136 [tlačená forma] Rec: Skorotlčúce : 2x CD album kapely Sto múch (alternatívna hudba) / Sto múch [Autor hudby]. – 1. vyd. – Košice (Slovensko) : Helvetia, 2019. – dva hudobné CD-nosiče s. [CD-ROM] </t>
  </si>
  <si>
    <t xml:space="preserve">Subtílne textúry hľadaného domova / Pariláková, Eva [Autor, UKFFFAULK, 100%]. – text. – [slovenčina]. – [OV 020]. – [recenzia - ČL] In: Knižná revue [textový dokument (print)] [elektronický dokument] : mesačník o nových knihách. – Bratislava (Slovensko) : Literárne informačné centrum. – ISSN 1210-1982. – ISSN (online) 1336-247X. – Roč. 29, č. 4 (2019), s. 29-29 [tlačená forma] [online] Rec: O dievčatku, ktoré kráča Domov... [knižná publikácia - umelecká (do 2021)] / Baďová, Petra [Autor, 100%]. – 1. vyd. – Bratislava (Slovensko) : Asociácia Corpus, 2018. – 60 s. [tlačená forma]. – ISBN 978-80-99904-00-3 </t>
  </si>
  <si>
    <t xml:space="preserve">Súčasné tance smrti / Inštitorisová, Dagmar [Autor, UKFFFAKMR, 100%]. – text. – [slovenčina]. – [OV 020]. – [recenzia - ČL] In: Monitoring divadiel na Slovensku [elektronický dokument] . – Bratislava (Slovensko) : Slovenské centrum AICT. – ISSN (online) 2454-0129. – 2018, s. 1-5 [online] Rec: Tanec smrti : inscenácia hry A. Strindberga, réžia: R. Ballek, premiéra: 4. 10. 2019 / Strindberg, August [Autor]. – 1. vyd. – Trnava (Slovensko) : Divadlo Jána Palárika v Trnave, 2019 </t>
  </si>
  <si>
    <t xml:space="preserve">Svet prisolený poetickým slovom / Gallik, Ján [Autor, UKFFSSUSJ, 100%]. – text. – [slovenčina]. – [OV 020]. – [recenzia - ČL] In: Literárny týždenník [textový dokument (print)] : časopis Spolku slovenských spisovateľov. – Bratislava (Slovensko) : Kultúrno-literárna akadémia. – ISSN 0862-5999. – Roč. 33, č. 1-2 (2020), s. 12-12 [tlačená forma] Rec: Ako soľ [textový dokument (print)] : zborník umeleckej literárnej tvorby prešovských autorov / Lukáčová, Ingrid [Zostavovateľ, editor]. – 1. vyd. – Bratislava (Slovensko) : Spolok Slovenských spisovateľov, 2019. – ISBN 978-80-8194-114-6 </t>
  </si>
  <si>
    <t xml:space="preserve">Světová literatura v diskusi / Pokrivčák, Anton [Autor, TUTPFKAJ, 50%] ; Zelenka, Miloš [Autor, UKFFSSUSJ, 50%]. – [čeština]. – [OV 020]. – [recenzia - ČL]. – DOI 10.5817/SL2020-2-17. – TUTPFKAJ signatúra E083497 In: Slavica litteraria [textový dokument (print)] [elektronický dokument] : vědecký recenzovaný časopis publikující odborné práce z oblasti literárněvědné slavistiky. – Brno (Česko) : Masarykova univerzita. – ISSN 1212-1509. – ISSN (online) 2336-4491. – Roč. 23, č. 2 (2020), s. 181-183 [tlačená forma] [online] Rec: Worlding a Peripheral Literature [textový dokument (print)] [elektronický dokument] / Juvan, Marko [Autor]. – 1. vyd. – Singapur (Singapur) : Springer Nature. Palgrave Macmillan, 2019. – 297 s. [tlačená forma] [online]. – ISBN 978-981-32-9404-2. – ISBN 978-981-32-9405-9 </t>
  </si>
  <si>
    <t xml:space="preserve">Sviatočné, obyčajné, hatalovské / Nováčiková, Daša [Autor, UKFFFAKZU, 100%]. – text. – [slovenčina]. – [OV 020]. – [recenzia - ČL] In: Romboid [textový dokument (print)] : časopis pre literatúru a umeleckú komunikáciu. – Bratislava (Slovensko) : Zväz slovenských spisovateľov, Bratislava (Slovensko) : Asociácia organizácií spisovateľov Slovenska. – ISSN 0231-6714. – Roč. 55, č. 9-10 (2020), s. 109-111 [tlačená forma] Rec: Sviatočne obyčajné dni [textový dokument (print)]  [editovaná kniha (do 2021)] / Hatala, Marián [Autor, 100%] ; Rožňová, Jitka [Zostavovateľ, editor, 100%]. – 1. vyd. – Bratislava (Slovensko) : Petrus, 2020. – 125 s. [tlačená forma]. – ISBN 978-80-89913-57-2 </t>
  </si>
  <si>
    <t xml:space="preserve">Svieža a inscenačne odlišná apokalypsa / Inštitorisová, Dagmar [Autor, UKFFFAKMR, 100%]. – [slovenčina]. – [OV 020]. – [recenzia - ČL] In: Monitoring divadiel na Slovensku [elektronický dokument] . – Bratislava (Slovensko) : Slovenské centrum AICT. – ISSN (online) 2454-0129. – 2019, s. 1-5 [online] Rec: Cudzô / Rázusová, Júlia [Autor]. – 1. vyd. – Bratislava (Slovensko) : Slovenské národné divadlo, 2019 </t>
  </si>
  <si>
    <t xml:space="preserve">Sympatický debut / Navrátil, Ladislav [Autor, UKFFFAKSJ, 100%]. – [slovenčina]. – [OV 020]. – [recenzia - ČL] In: Tvorba [textový dokument (print)] : revue pre literatúru a kultúru. – Bratislava (Slovensko) : Spoločnosť pre Tvorbu. – ISSN 1336-2526. – Roč. 28 (37), č. 1 (2018), s. 86-87 [tlačená forma] Rec: Vŕba / Farkaš, Ľudo [Autor]. – 1. vyd. – Bratislava (Slovensko) : Spolok Slovenských spisovateľov, 2017. – 96 s. [tlačená forma]. – ISBN 978-80-8061-980-0 </t>
  </si>
  <si>
    <t xml:space="preserve">Šebestová, P. - Mareková, H. a kol: Svetový deň sociálnej práce / Jakubovská, Viera [Autor, UKFFFAKFI, 100%]. – text. – [slovenčina]. – [OV 020]. – [recenzia - ČL] In: Mládež a spoločnosť [textový dokument (print)] : slovenský časopis pre štátnu politiku a výskum mládeže = Slovak journal for state policy and youth research. – Bratislava (Slovensko) : Centrum vedecko-technických informácií SR. – ISSN 1335-1109. – Roč. 25, č. 2 (2019), s. 64-67 [tlačená forma] Rec: Svetový deň sociálnej práce 5 [elektronický dokument]  [zborník (do 2021)] : Podpora dôležitosti medziľudských vzťahov / Šebestová, Petronela [Zostavovateľ, editor, 50%] ; Mareková, Hermína [Zostavovateľ, editor, 50%] ; Spuchľák, Juraj [Recenzent] ; Šebesta, Matej [Recenzent] ; Svetový deň sociálnej práce, 5 [19.03.2019, Sládkovičovo, Slovensko]. – 1. vyd. – Sládkovičovo (Slovensko) : Vysoká škola Danubius. Fakulta sociálnych štúdií, 2019. – 156 s. [CD-ROM]. – ISBN 978-80-8167-068-8 </t>
  </si>
  <si>
    <t xml:space="preserve">Štefánik a Masaryk ako ikony našich dejín / Inštitorisová, Dagmar [Autor, UKFFFAKMR, 100%]. – text. – [slovenčina]. – [OV 020]. – [recenzia - ČL] In: Monitoring divadiel na Slovensku [elektronický dokument] . – Bratislava (Slovensko) : Slovenské centrum AICT. – ISSN (online) 2454-0129. – 2019, s. 1-5 [online] </t>
  </si>
  <si>
    <t xml:space="preserve">Štyri kriminálne príbehy; poučenie i zážitok / Čakanek, Ján [Autor, UKFFFAKGE, 100%]. – text. – [slovenčina]. – [OV 020]. – [recenzia - ČL] In: Fraktál [textový dokument (print)] : literatúra horizontálne a vertikálne. – Závod (Slovensko) : Fraktál. – ISSN 2585-8912. – Roč. 2, č. 3 (2019), s. 95-97 [tlačená forma] Rec: Výstrel z kazateľnice [textový dokument (print)]  [knižná publikácia - umelecká (do 2021)] : kriminálne novely z nemeckej klasiky / Petraško, Ľudovít [Prekladateľ, 100%]. – 1. vyd. – Košice (Slovensko) : Pectus, 2017. – 261 s. [tlačená forma]. – ISBN 978-80-89435-30-2 </t>
  </si>
  <si>
    <t xml:space="preserve">Talent v škole. Metodický materiál pre riaditeľov a učiteľov ZŠ na edukáciu nadaných žiakov (Dočkal, V. - Duchovičová, J.) / Koleňáková, Rebeka Štefánia [Autor, UKFPFAKPE, 100%]. – text. – [slovenčina]. – [OV 010]. – [recenzia - ČL] In: Naša škola [textový dokument (print)] : odborný metodický časopis pre učiteľov materských škôl a 1. stupňa základných škôl. – Bratislava (Slovensko) : Pamiko. – ISSN 1335-2733. – Roč. 21, č. 5-6 (2018), s. 65-65 [tlačená forma] </t>
  </si>
  <si>
    <t xml:space="preserve">Tatár, Jozef. Diagnózy literatúry. O akademickej literárnej vede v Banskej Bystrici / Brunclík, Jozef [Autor, UKFFFASJL, 100%]. – text. – [slovenčina]. – [OV 020]. – [recenzia - ČL] In: Litikon [textový dokument (print)] : časopis pre výskum literatúry = journal for literature research. – Nitra (Slovensko) : Univerzita Konštantína Filozofa v Nitre. – ISSN 2453-8507. – Roč. 5, č. 1 (2020), s. 107-108 [tlačená forma] </t>
  </si>
  <si>
    <t xml:space="preserve">Teksty - Izobraženija - Kommunikaty / Gallo, Ján [Autor, UKFFFAKRU, 100%]. – text. – [ruština]. – [OV 020, 010]. – [recenzia - ČL] In: Cross-cultural studies [textový dokument (print)] : education and science. – Middlebury (USA) : Russian Department, Middlebury College. – ISSN 2470-1262. – Roč. 3, č. 1 (2018), s. 124-126 [tlačená forma] Rec: Texty - zobrazenia - komunikáty [textový dokument (print)]  [monografia (do 2021)] / Sokolová, Jana [Autor, 100%] ; Fichnová, Katarína [Recenzent] ; Kralčák, Ľubomír [Recenzent]. – 1. vyd. – Nitra (Slovensko) : Univerzita Konštantína Filozofa v Nitre, 2017. – 330 s. [tlačená forma]. – ISBN 978-80-558-1221-2 </t>
  </si>
  <si>
    <t xml:space="preserve">Terapeutikus meseszövés felnőtteknek / Petres Csizmadia, Gabriela [Autor, UKFFSSUML, 100%]. – text. – [maďarčina]. – [OV 020]. – [recenzia - ČL] In: Ambroozia [elektronický dokument] : irodalmi folyóirat évente hatszor. – Győr (Maďarsko) : Hermaion Irodalmi Társaság. – ISSN (online) 2064-3314. – Roč. 10, č. 1 (2020), s. 1-7 [online] </t>
  </si>
  <si>
    <t xml:space="preserve">Tévút az ukrán nyelvpolitikában / Bauko, Ján [Autor, UKFFSSUML, 100%]. – [maďarčina]. – [OV 020]. – [recenzia - ČL] In: Magyar nyelv [textový dokument (print)] [elektronický dokument] : közérdekű havi folyóirat a művelt közönség számára. – Budapešť (Maďarsko) : Magyar Nyelvtudományi Társaságot. – ISSN 0025-0228. – ISSN (online) 1588-1210. – Roč. 116, č. 4 (2020), s. 489-491 [tlačená forma] [online] . – SJR: 0,179 ; CiteScore: 0,3 ; SNIP: 0,751 Scimago - Language and linguistics - Q2, Linguistics and language - Q2 </t>
  </si>
  <si>
    <t xml:space="preserve">Text v komunikácii (Text a divadlo. Eds. Aleš Merenus - Iva Mikulová - Jitka Šotkovská) / Inštitorisová, Dagmar [Autor, UKFFFAKMR, 100%]. – text. – [slovenčina]. – [OV 020]. – [recenzia - ČL] In: Slovenské divadlo [textový dokument (print)] [elektronický dokument] : revue dramatických umení. – Bratislava (Slovensko) : Slovenská akadémia vied. Pracoviská SAV. Ústav divadelnej a filmovej vedy. – ISSN 0037-699X. – ISSN (online) 1336-8605. – Roč. 69, č. 2 (2021), s. 110-113 [tlačená forma] [online] . – CiteScore: 0,2 ; SJR: 0,158 ; SNIP: 0,208 Scimago - Communication - Q3, Cultural studies - Q2, History - Q2, Literature and literary theory - Q1, Music - Q2, Visual arts and performing arts - Q1 </t>
  </si>
  <si>
    <t xml:space="preserve">Thass-Thienemann Tivadar: The interpretation of language I: The symbolic meaning of language = Thass-Thienemann Tivadar: A nyelv interpretációja: I. A nyelv szimbolikus jelentése / Tolcsvai Nagy, Gábor [Autor, UKFFSSUML, 100%]. – text. – [angličtina, maďarčina]. – [OV 010]. – [recenzia - ČL] In: Magyar nyelv [textový dokument (print)] [elektronický dokument] : közérdekű havi folyóirat a művelt közönség számára. – Budapešť (Maďarsko) : Magyar Nyelvtudományi Társaságot. – ISSN 0025-0228. – ISSN (online) 1588-1210. – Roč. 114, č. 4 (2018), s. 491-494 [tlačená forma] [online] . – SJR: 0,205 ; CiteScore: 0,2 ; SNIP: 0,469 Rec: A nyelv interpretációja : I. A nyelv szimbolikus jelentése / Thass-Thienemann, Tivadar [Autor]. – Budapešť (Maďarsko) : Tinta Könyvkiadó, 2016. – 358 s. [tlačená forma]. – ISBN 978-963-4090-64-9 Scimago - Language and linguistics - Q2, Linguistics and language - Q2 </t>
  </si>
  <si>
    <t xml:space="preserve">The City and Region Against the Backdrop of Totalitarianism. Images from the Life in the Slovak Republic (1939-1945), Illustrated by the City of Nitra and Its Surroundings / Rigová, Viktória [Autor, UKFFFAKHI, 100%]. – text. – [angličtina]. – [OV 030]. – [recenzia - ČL] In: Studia Historica Nitriensia [textový dokument (print)] [elektronický dokument] . – Nitra (Slovensko) : Univerzita Konštantína Filozofa v Nitre. – ISSN 1338-7219. – ISSN (online) 2585-8661. – Roč. 23, č. 2 (2019), s. 515-516 [tlačená forma] [online] . – SNIP: 0,629 ; SJR: 0,187 ; CiteScore: 0,2 Rec: The City and Region Against the Backdrop of Totalitarianism [textový dokument (print)]  [monografia (do 2021)] : Images from the Life in the Slovak Republic (1939-1945), Illustrated by the City of Nitra and Its Surroundings / Palárik, Miroslav [Autor, 30%] ; Mikulášová, Alena [Autor, 30%] ; Hetényi, Martin [Autor, 23%] ; Arpáš, Róbert [Autor, 17%] ; Kamenec, Ivan [Recenzent] ; Rychlík, Jan [Recenzent]. – 1. vyd. – Berlín (Nemecko) : Peter Lang, 2018. – 280 s. [tlačená forma]. – (Studies in politics, security and society ; 17). – ISBN 978-3-631-74581-6. – ISBN (online) 978-3-631-74582-3. – ISBN (online) 978-3-631-74583-0. – ISBN (online) 978-3-631-74584-7. – DOI 10.3726/b13394 Scimago - Cultural studies - Q2, History - Q2, Museology - Q2 </t>
  </si>
  <si>
    <t xml:space="preserve">The Heroes of Tolkien by David Day / Juričková, Martina [Autor, UKFFFAKAA, 100%]. – text. – [angličtina]. – [OV 020]. – [recenzia - KP] In: Mallorn : The Journal of the Tolkien Society / Shelton, Luke [Zostavovateľ, editor]. – 1. vyd. – č. 60. – London (Veľká Británia) : The Tolkien Society, 2020. – ISSN 0308-6674, s. 34-35 [tlačená forma] </t>
  </si>
  <si>
    <t xml:space="preserve">The origins of modern cross-cultural European interpretations of Chinese philosophy. New thoughts on China in the work of G. W. Leibniz / Horyna, Břetislav [Autor, UKFFFAKFI, 100%]. – text. – [angličtina]. – [OV 020]. – [recenzia - ČL] In: Studia Politica Slovaca [textový dokument (print)] [elektronický dokument] : časopis pre politické vedy, najnovšie politické dejiny a medzinárodné vzťahy. – Bratislava (Slovensko) : Slovenská akadémia vied. – ISSN 1337-8163. – ISSN (online) 2585-8459. – Roč. 13, č. 1 (2020), s. 78-83 [tlačená forma] [online] </t>
  </si>
  <si>
    <t xml:space="preserve">Tihányiová, Monika. Bubekovci z Plešivca - úpechy a pády jedného rodu v politike a umení / Jakubej, Ján [Autor, UKFFFAKHI, 100%]. – text. – [slovenčina]. – [OV 030]. – [recenzia - ČL] In: Studia Historica Nitriensia [textový dokument (print)] [elektronický dokument] . – Nitra (Slovensko) : Univerzita Konštantína Filozofa v Nitre. – ISSN 1338-7219. – ISSN (online) 2585-8661. – Roč. 22, č. 2 (2018), s. 511-513 [tlačená forma] [online] . – SJR: 0,164 ; CiteScore: 0,1 ; SNIP: 0,17 Rec: Bubekovci z Plešivca [textový dokument (print)]  [monografia (do 2021)] : úspechy a pády jedného rodu v politike a umení / Tihányiová, Monika [Autor, 100%] ; Bartl, Július [Recenzent] ; Dvořáková, Daniela [Recenzent]. – 1. vyd. – Rožňava (Slovensko) : Georgius Bubek, 2017. – 147 s. [tlačená forma]. – ISBN 978-80-972888-0-8 Scimago - Cultural studies - Q2, History - Q2, Museology - Q2 </t>
  </si>
  <si>
    <t xml:space="preserve">TJ Vjuga: Jan Faix &amp; Pavel Hrubý: Bezelstně / Fuják, Július [Autor, UKFFFAKKU, 100%]. – text. – [slovenčina]. – [OV 020]. – [recenzia - ČL] In: Vlna [textový dokument (print)] : časopis o súčasnom umení a kultúre. – Bratislava (Slovensko) : Drewo a srd. – ISSN 1335-5341. – ISSN (chybné) ISSN 1335-969X. – Roč. 23, č. 87 (2021), s. 118-118 [tlačená forma] </t>
  </si>
  <si>
    <t xml:space="preserve">Traja ruskí filozofi / Žeňuch, Vavrinec [Autor, UKFFFAKRU, 100%]. – text. – [slovenčina]. – [OV 020]. – [recenzia - ČL] In: Slavica Nitriensia [textový dokument (print)] : časopis pre výskum slovanských filológií. – Nitra (Slovensko) : Univerzita Konštantína Filozofa v Nitre. – ISSN 1338-7464. – Roč. 7, č. 2 (2018), s. 108-111 [tlačená forma] Rec: Berďajev - Frank - Iľjin [monografia (do 2021)] : traja myslitelia ruskej personalistickej filozofie / Pružinec, Tomáš [Autor, 50%] ; Gallo, Ján [Autor, 50%] ; Feber, Jaromír [Recenzent] ; Rajský, Andrej [Recenzent]. – 1. vyd. – Nitra (Slovensko) : Univerzita Konštantína Filozofa v Nitre, 2018. – 104 s. [tlačená forma]. – ISBN 978-80-558-1283-0 </t>
  </si>
  <si>
    <t xml:space="preserve">Tri hlavy Hydry / Búry, Juraj [Autor, UKFFFAULK, 100%]. – text. – [slovenčina]. – [OV 020]. – [recenzia - ČL] In: Knižná revue [textový dokument (print)] [elektronický dokument] : mesačník o nových knihách. – Bratislava (Slovensko) : Literárne informačné centrum. – ISSN 1210-1982. – ISSN (online) 1336-247X. – Roč. 28, č. 1 (2018), s. 39-39 [tlačená forma] [online] Rec: Príšery z prímestskej štvrte [textový dokument (print)] / Soyka, Katarína [Autor]. – 1. vyd. – Humenné (Slovensko) : Vydavateľstvo Hydra, 2017. – 224 s. [tlačená forma]. – ISBN 978-80-89840-44-1 </t>
  </si>
  <si>
    <t xml:space="preserve">Tri podoby lásky / Guzmická, Hana [Autor, UKFFSSUSJ, 100%]. – text. – [slovenčina]. – [OV 020]. – [recenzia - ČL] In: Romboid [textový dokument (print)] : časopis pre literatúru a umeleckú komunikáciu. – Bratislava (Slovensko) : Zväz slovenských spisovateľov, Bratislava (Slovensko) : Asociácia organizácií spisovateľov Slovenska. – ISSN 0231-6714. – Roč. 53, č. 5-6 (2018), s. 45-47 [tlačená forma] Rec: Ohyb rieky [textový dokument (print)] / Holka, Peter [Autor]. – 1. vyd. – Bratislava (Slovensko) : Ikar, 2017. – 240 s. [tlačená forma]. – ISBN 978-80-5515-684-2 </t>
  </si>
  <si>
    <t xml:space="preserve">Trupa Trupa - Of The Sun / Lakoštik, Radoslav [Autor, UKFFFAULK, 100%]. – text. – [slovenčina]. – [OV 020]. – [recenzia - ČL] In: Full Moon [textový dokument (print)] . – Praha (Česko) : Fullmoonzine. – ISSN 1804-3208. – Roč. 10, č. 101 (2019), s. 88-88 [online] </t>
  </si>
  <si>
    <t xml:space="preserve">Ubuovská Matka / Inštitorisová, Dagmar [Autor, UKFFFAKMR, 100%]. – text. – [slovenčina]. – [OV 020]. – [recenzia - ČL] In: Monitoring divadiel na Slovensku [elektronický dokument] . – Bratislava (Slovensko) : Slovenské centrum AICT. – ISSN (online) 2454-0129. – 2020, s. 1-5 [online] </t>
  </si>
  <si>
    <t xml:space="preserve">Učiteľ a žiak v školskom prostredí cez prizmu čitateľskej gramotnosti / Jakubovská, Viera [Autor, UKFFFAKFI, 100%]. – text. – [slovenčina]. – [OV 020]. – [recenzia - ČL] In: Mládež a spoločnosť [textový dokument (print)] : slovenský časopis pre štátnu politiku a výskum mládeže = Slovak journal for state policy and youth research. – Bratislava (Slovensko) : Centrum vedecko-technických informácií SR. – ISSN 1335-1109. – Roč. 26, č. 4 (2020), s. 75-77 [tlačená forma] </t>
  </si>
  <si>
    <t xml:space="preserve">Udačnoje učebnoje posobije po metodike RKI (ne toľko) dľa slovackich studentov-rusistov / Gallo, Ján [Autor, UKFFFAKRU, 100%]. – text. – [slovenčina]. – [OV 010]. – [recenzia - ČL] In: Jazyk a kultúra [elektronický dokument] : internetový časopis Lingvokulturologického a prekladateľsko-tlmočníckeho centra excelentnosti pri Filozofickej fakulte Prešovskej univerzity. – Prešov (Slovensko) : Prešovská univerzita v Prešove. Lingvokulturologické a prekladateľsko-tlmočnícke centrum excelentnosti. – ISSN (online) 1338-1148. – Roč. 11, č. 41-42 (2020), s. 193-197 [online] Rec: Metodika prepodavanija russkogo jazyka kak inostrannogo [textový dokument (print)]  [učebnica pre vysoké školy (do 2021)] : učebnoje posobje dľja studentov = Metodika vyučovania ruského jazyka ako cudzieho jazyka / Breusová, Elena [Autor, 10%] ; Repoň, Anton [Autor, 90%] ; Geraskevič, Natalia Valerievna [Recenzent] ; Kuruľonok, Andrej Alexandrovič [Recenzent] ; Sirotkina, Taťjana [Recenzent] ; Charlamova, Marina Alexandrovna [Recenzent]. – 1 vyd. – Banská Bystrica (Slovensko) : Univerzita Mateja Bela v Banskej Bystrici. Vydavateľstvo Univerzity Mateja Bela v Banskej Bystrici - Belianum, 2019. – 154 s. [10,55 AH] [tlačená forma]. – ISBN 978-80-557-1602-2 </t>
  </si>
  <si>
    <t xml:space="preserve">Új arcok, új szemek : Mesebeszéd: a gyerek- és ifjusági irodalom kézikönyve; „...kézifékes fordulást i stud“: Tanulmányok a legújabb magyar gyerekirodalomról / Petres Csizmadia, Gabriela [Autor, UKFFSSUML, 100%]. – text. – [maďarčina]. – [OV 010]. – [recenzia - ČL] In: Studia Litteraria [textový dokument (print)] [elektronický dokument] : irodalom- és kultúratudományi folyóirat. – Debrecen (Maďarsko) : Debreceni Egyetem. Debreceni Egyetemi Kiadó. – ISSN 0562-2867. – ISSN (online) 2063-1049. – Roč. 58, č. 1-2 (2019), s. 356-363 [tlačená forma] [online] Rec: Mesebeszéd. A gyerek- és ifj úsági irodalom kézikönyve [textový dokument (print)] / Hansági, Ágnes [Zostavovateľ, editor]. – 1. vyd. – Budapest (Maďarsko) : Fiatal Írók Szövetsége, 2017. – 489 s. [tlačená forma] </t>
  </si>
  <si>
    <t xml:space="preserve">Ukrytý v pretvárke ako améba : Ukrytý v pretvárke ako améba / Zumríková Kekeliaková, Monika [Autor, UKFFFASJL, 100%]. – text. – [slovenčina]. – [OV 020]. – [recenzia - ČL] In: Fraktál [textový dokument (print)] : literatúra horizontálne a vertikálne. – Závod (Slovensko) : Fraktál. – ISSN 2585-8912. – Roč. 4, č. 1 (2021), s. 173-175 [tlačená forma] Rec: Bahnokrvný [textový dokument (print)] / Hrabák, Andrej [Autor]. – 1. vyd. – Bratislava (Slovensko) : Drewo a srd, 2019. – 70 s. [tlačená forma]. – ISBN 9788089550531 </t>
  </si>
  <si>
    <t xml:space="preserve">Ullman, Harlan K.: Anatomy of Failure. Why America Loses Every War It Starts = Anatómia zlyhania. Prečo Amerika prehrá každú vojnu, ktorú začne / Brhlíková, Radoslava [Autor, UKFFFAKPO, 100%]. – text. – [slovenčina]. – [OV 060]. – [recenzia - ČL] In: Civitas [textový dokument (print)] : časopis pre politické a sociálne vedy. – Nitra (Slovensko) : Univerzita Konštantína Filozofa v Nitre. Filozofická fakulta. Katedra politológie a euroázijských štúdií. – ISSN 1335-2652. – Roč. 24, č. 54 - 1 (2018), s. 14-14 [tlačená forma] Rec: Anatomy of Failure : why America loses every war it starts / Harlan, Ullman K. [Autor]. – 1. vyd. – Annapolis (USA) : Naval Institute Press, 2017. – 272 s. [tlačená forma]. – ISBN 978-1682-472-25-5 </t>
  </si>
  <si>
    <t xml:space="preserve">Ulrich Beck: Vlastní Bůh. Mírotvorný a násilný potenciál náboženství / Vašek, Martin [Autor, UKFFFAKFI, 100%]. – text. – [čeština]. – [OV 020]. – [recenzia - ČL] In: Sociologický časopis [textový dokument (print)] [elektronický dokument] . – Praha (Česko) : Akademie věd České republiky. Sociologický ústav AV ČR. – ISSN 0038-0288. – ISSN (online) 2336-128X. – Roč. 54, č. 5 (2018), s. 812-814 [tlačená forma] [online] . – IF: 0.554 ; SNIP: 0,532 ; SJR: 0,258 ; CiteScore: 0,9 Rec: Vlastní Bůh [textový dokument (print)] : mírotvorný a násilný potenciál náboženství / Beck, Ulrich [Autor]. – 1. vyd. – Praha (Česko) : Univerzita Karlova v Praze. Nakladatelství Karolinum, 2018. – 208 s. [tlačená forma]. – ISBN 978-80-246-3787-7 JIF - Sociology - Q4 Scimago - Sociology and political science - Q3 </t>
  </si>
  <si>
    <t xml:space="preserve">Umenie ako arteterapia a obraz doby : k publikácii o diele kysuckého výtvarníka Ruda Dičku / Kapsová, Eva [Autor, UKFFFAULK, 100%]. – text. – [slovenčina]. – [OV 020]. – [recenzia - ČL] In: Vlna [textový dokument (print)] : časopis o súčasnom umení a kultúre. – Bratislava (Slovensko) : Drewo a srd. – ISSN 1335-5341. – ISSN (chybné) ISSN 1335-969X. – Roč. 21, č. 78 (2019), s. 141-142 [tlačená forma] </t>
  </si>
  <si>
    <t xml:space="preserve">Umenie napredovať je aj v medzinárodnej vedeckej spolupráci / Gabašová, Katarína [Autor, UKFFFAKKU, 100%]. – text. – [slovenčina]. – [OV 010]. – [recenzia - ČL] In: Náš čas [textový dokument (print)] : časopis Univerzity Konštatnína Filozofa v Nitre. – Nitra (Slovensko) : Univerzita Konštantína Filozofa v Nitre. – ISSN 1338-3272. – Roč. 22, č. 5 (2018), s. 63-63 [tlačená forma] </t>
  </si>
  <si>
    <t xml:space="preserve">Upírska každodennosť v priamom prenose / Malíčková, Michaela [Autor, UKFFFAULK, 100%]. – text. – [slovenčina]. – [OV 020]. – [recenzia - ČL] In: Art communication &amp; popculture [textový dokument (print)] : časopis pre umeleckú komunikáciu a popkultúru. – Nitra (Slovensko) : Univerzita Konštantína Filozofa v Nitre. – ISSN 1339-9284. – Roč. 5, č. 1-2 (2019), s. 259-263 [tlačená forma] </t>
  </si>
  <si>
    <t xml:space="preserve">Útek z prekliatia zeme / Ballay, Miroslav [Autor, UKFFFAKKU, 100%]. – text. – [slovenčina]. – [OV 060]. – [recenzia - ČL] In: Monitoring divadiel na Slovensku [elektronický dokument] . – Bratislava (Slovensko) : Slovenské centrum AICT. – ISSN (online) 2454-0129. – 2018, s. 1-6 [online] Rec: Útek z prekliatia zeme / Pollack, Martin [Autor] ; Ditte, Michal [Autor]. – Bátovce (Slovensko) : Divadlo Pôtoň Bátovce, [s.a.] </t>
  </si>
  <si>
    <t xml:space="preserve">Variációk az élményszerű olvasóvá nevelés gyakorlatára / Petres Csizmadia, Gabriela [Autor, UKFFSSUML, 100%]. – text. – [maďarčina]. – [OV 010]. – [recenzia - ČL] In: Gyermeknevelés [elektronický dokument] : online folyóirat. – Budapest (Maďarsko) : Eötvös Loránd Tudományegyetem. – ISSN (online) 2063-9945. – Roč. 6, č. 3 (2019), s. 202-204 [online] Rec: Olvasáspedagógiai tanulmányok / Gődény, Andrea G. [Autor]. – 1. vyd. – Budapast (Maďarsko) : ELTE Eötvös Kiadó, 2016. – 159 s. [tlačená forma]. – ISBN 9789632848389 </t>
  </si>
  <si>
    <t xml:space="preserve">Väzenská poézia Jana Zahradníčka / Gallik, Ján [Autor, UKFFSSUSJ, 100%]. – text. – [slovenčina]. – [OV 020]. – [recenzia - ČL] In: Aluze [textový dokument (print)] : revue pro literaturu, filozofii a jiné. – Olomouc (Česko) : Univerzita Palackého v Olomouci. – ISSN 1212-5547. – ISSN (online) 1803-3784. – Roč. 19, č. 2 (2018), s. 111-114 [tlačená forma] Rec: Leopoldovský sešit poezie [textový dokument (print)] / Zahradníček, Jan [Autor]. – 1. vyd. – Brno (Česko) : Moravská zemská knihovna, 2017. – 159 s. [tlačená forma]. – ISBN 978-80-7051-223-4 </t>
  </si>
  <si>
    <t xml:space="preserve">Veda ako umenie, umenie ako veda / Florková, Janka [Autor, UKFFFASJL, 100%]. – text. – [slovenčina]. – [OV 020]. – [recenzia - ČL] In: Romboid [textový dokument (print)] : časopis pre literatúru a umeleckú komunikáciu. – Bratislava (Slovensko) : Zväz slovenských spisovateľov, Bratislava (Slovensko) : Asociácia organizácií spisovateľov Slovenska. – ISSN 0231-6714. – Roč. 55, č. 7 (2020), s. 94-96 [tlačená forma] Rec: Štúdie a eseje (2. Výber textov) [textový dokument (print)]  [knižná publikácia - odborná (do 2021)] : teória, autori, dejiny / Mikula, Valér [Autor, 100%]. – 1. vyd. – Levice (Slovensko) : Koloman Kertész Bagala, 2019. – 220 s. [tlačená forma]. – ISBN 978-80-89973-35-4 </t>
  </si>
  <si>
    <t xml:space="preserve">Veda verzus diabol / Búry, Juraj [Autor, UKFFFAULK, 100%]. – text. – [slovenčina]. – [OV 020]. – [recenzia - ČL] In: Knižná revue [textový dokument (print)] [elektronický dokument] : mesačník o nových knihách. – Bratislava (Slovensko) : Literárne informačné centrum. – ISSN 1210-1982. – ISSN (online) 1336-247X. – Roč. 29, č. 1 (2019), s. 38-38 [tlačená forma] [online] Rec: V tieni Zeme [textový dokument (print)] / Oravský, Roland [Autor]. – Žilina (Slovensko) : Artis Omnis, 2018. – 176 s. [tlačená forma]. – ISBN 978-80-8201-020-9 </t>
  </si>
  <si>
    <t xml:space="preserve">Velký vezír Iznougud - Stať sa kalifom namiesto kalifa je fuška! / Pevčíková, Jozefa [Autor, UKFFFAULK, 100%]. – [slovenčina]. – [OV 020]. – [recenzia - ČL] In: Multiverzum [elektronický dokument] . – Bratislava (Slovensko) : Multiverzum - Centrum popkultúrneho vzdelávania. – ISSN (online) 2644-657X. – č. 23.december (2021), s. 1-2 [online] Rec: Velký vezír Iznougud [textový dokument (print)] / Goscinny, René [Autor] ; Tabary, Jean [Autor]. – 1. vyd. – Praha (Česko) : Crew, 2021. – 192 s. [tlačená forma]. – ISBN 9788076790193 </t>
  </si>
  <si>
    <t xml:space="preserve">Vis-á-Vis dialógy (nielen) o Hudbe / Kočiš, Michal [Autor, UKFFFAKKU, 100%]. – [slovenčina]. – [OV 060]. – [recenzia - KP] In: Culturologica Slovaca [elektronický dokument] / Palitefka, Jozef [Zostavovateľ, editor]. – 1. vyd. – Roč. 4. – Nitra (Slovensko) : Univerzita Konštantína Filozofa v Nitre, 2019. – ISSN 2453-9740, s. 190-191 [online] Rec: Vis-a-vis. Dialógy (nielen) o hudbe [textový dokument (print)]  [knižná publikácia - odborná (do 2021)] : (rozhovory so slovenskými a českými skladateľmi, hudobníkmi a teoretikmi) / Fuják, Július [Autor, 100%]. – 1. vyd. – Bratislava (Slovensko) : Drewo a srd, 2018. – 200 s. [tlačená forma]. – ISBN 978-80-89550-41-8 </t>
  </si>
  <si>
    <t xml:space="preserve">Vivant Denon a kouzlo empíru. Napoleonova hvězda, která oživuje duši / Jakubej, Ján [Autor, UKFFFAKHI, 100%]. – text. – [slovenčina, angličtina]. – [OV 030]. – [recenzia - ČL] In: Studia Historica Nitriensia [textový dokument (print)] [elektronický dokument] . – Nitra (Slovensko) : Univerzita Konštantína Filozofa v Nitre. – ISSN 1338-7219. – ISSN (online) 2585-8661. – Roč. 25, č. 1 (2021), s. 290-294 [tlačená forma] [online] . – CiteScore: 0,4 ; SJR: 0,209 ; SNIP: 1,036 Scimago - Cultural studies - Q2, History - Q1, Museology - Q2 </t>
  </si>
  <si>
    <t xml:space="preserve">Vlastiveda pre tretiakov : recenzia diela / Melišeková Dojčanová, Adela [Autor, UKFPFAKPE, 100%] ; Inovatívne trendy v odborových didaktikách [21.11.2018, Nitra, Slovensko]. – text. – [slovenčina]. – [OV 010]. – [recenzia - KP] In: Inovatívne trendy v odborových didaktikách [textový dokument (print)] : prepojenie teórie a praxe výučbových stratégií kritického a tvorivého myslenia : zborník štúdií z medzinárodnej vedeckej konferencie, Nitra 21. november 2018 / Duchovičová, Jana [Zostavovateľ, editor] ; Hošová, Dominika [Zostavovateľ, editor] ; Koleňáková, Rebeka Štefánia [Zostavovateľ, editor] ; Bílek, Martin [Recenzent] ; Komora, Juraj [Recenzent]. – 1. vyd. – Nitra (Slovensko) : Univerzita Konštantína Filozofa v Nitre, 2019. – ISBN 978-80-558-1408-7, s. 693-695 [tlačená forma] Rec: Vlastiveda pre tretiakov [elektronický dokument] / Dudášová, Jana [Autor] ; Mäsiar, Peter [Autor] ; Muchová, Petronela [Autor]. – 1. – Bratislava (Slovensko) : Vydavateľstvo AITEC, 2018. – 51 s. [CD-ROM]. – ISBN 978-80-8146-134-7 </t>
  </si>
  <si>
    <t xml:space="preserve">Vörös Ferenc szerk.: A nyelvföldrajztól a névföldrajzig X. Ne-vek a nyelvpolitikai küzdőtérben. A 2019. június 8-i révkomáromi névföldrajzi tanácskozás előadásai / Presinszky, Károly [Autor, UKFFSSUML, 100%]. – text. – [maďarčina]. – [OV 020]. – [recenzia - ČL] In: Névtani Értesítő [textový dokument (print)] [elektronický dokument] . – Budapešť (Maďarsko) : Magyar nyelvtudományi társaság, Budapešť (Maďarsko) : Eötvös Loránd Tudományegyetem. ELTE Bölcsészettudományi Kar. Magyar Nyelvtudományi és Finnugor Intézet. – ISSN 0139-2190. – ISSN (online) 2064-7484. – Roč. 42, č. 4 (2020), s. 266-268 [tlačená forma] . – SJR: 0,244 ; CiteScore: 0,4 ; SNIP: 0,409 Scimago - Language and linguistics - Q2, Linguistics and language - Q2 </t>
  </si>
  <si>
    <t xml:space="preserve">Vörös Ferenc: Kárpát-medencei történeti családnévatlasz. Dunaszerdahely - Budapest - Pozsony: Kalligram Polgári Társulás – Pesti Kalligram Kft. – Kalligram Kft., 2017 / Bauko, Ján [Autor, UKFFSSUML, 100%]. – text. – [maďarčina]. – [OV 010]. – [recenzia - ČL] In: Fórum Társadalomtudományi Szemle [textový dokument (print)] . – Šamorín (Slovensko) : Fórum inštitút pre výskum menšín. – ISSN 1335-4361. – Roč. 20, č. 3 (2018), s. 167-169 [tlačená forma] Rec: Kárpát-medencei történeti családnévatlasz [textový dokument (print)] / Vörös, Ferenc [Autor]. – Dunajská Streda (Slovensko) : Kalligram, 2017. – 564 s. [tlačená forma]. – ISBN 978-80-81019-55-5 </t>
  </si>
  <si>
    <t xml:space="preserve">Vrátiť sa do sveta! / Navrátil, Martin [Autor, UKFFFASJL, 100%]. – [slovenčina]. – [OV 020]. – [recenzia - ČL] In: Romboid [textový dokument (print)] : časopis pre literatúru a umeleckú komunikáciu. – Bratislava (Slovensko) : Zväz slovenských spisovateľov, Bratislava (Slovensko) : Asociácia organizácií spisovateľov Slovenska. – ISSN 0231-6714. – Roč. 53, č. 3-4 (2018), s. 149-151 [tlačená forma] Rec: Uprostred noci sa chcem ísť prejsť [textový dokument (print)] / Bodnárová, Jana [Autor]. – 1. vyd. – Bratislava (Slovensko) : Perfekt, 2017. – 40 s. [tlačená forma]. – ISBN 978-80-8046-794-4 </t>
  </si>
  <si>
    <t xml:space="preserve">Vstupovať do textu, nenechávať ho za sebou / Zeleňáková, Hana [Autor, UKFFFAULK, 100%]. – [slovenčina]. – [OV 020]. – [recenzia - ČL] In: Tvořivá dramatika [textový dokument (print)] : časopis o dramatické výchově, literatuře a divadle pro děti a mládež. – Praha (Česko) : Národní informační a poradenské středisko pro kulturu. ARTAMA, Praha (Česko) : Sdružení pro tvořivou dramatiku, Praha (Česko) : Akademie múzických umění v Praze. Divadelní fakulta. Katedra výchovné dramatiky. – ISSN 1211-8001. – Roč. 29, č. 1 (83) (2018), s. 30-31 [tlačená forma] Rec: Tvorivá dramatika ako stratégia zvyšovania literárnej kompetencie detí mladšieho školského veku [textový dokument (print)]  [monografia (do 2021)] / Kuderjavá, Mária [Autor, 70%] ; Stanislavová, Zuzana [Autor, 30%] ; Šimonová, Brigita [Recenzent] ; Končeková, Ľuba [Recenzent]. – 1. vyd. – Prešov (Slovensko) : Prešovská univerzita v Prešove. Pedagogická fakulta, 2017. – 193 s. [tlačená forma]. – ISBN 978-80-555-1778-0 </t>
  </si>
  <si>
    <t xml:space="preserve">Vybrané kapitoly z regionálnej kultúry (pre kulturológov a príbuzné disciplíny) / Jakubovská, Viera [Autor, UKFFFAKFI, 100%]. – text. – [slovenčina]. – [OV 020]. – [recenzia - ČL] In: Mládež a spoločnosť [textový dokument (print)] : slovenský časopis pre štátnu politiku a výskum mládeže = Slovak journal for state policy and youth research. – Bratislava (Slovensko) : Centrum vedecko-technických informácií SR. – ISSN 1335-1109. – Roč. 27, č. 3-4 (2021), s. 91-93 [tlačená forma] Rec: Vybrané kapitoly z regionálnej kultúry (pre kulturológiu a príbuzné disciplíny) [textový dokument (print)]  [učebnica pre vysoké školy (do 2021)] : Vysokoškolská učebnica / Jakubovská, Kristína [Autor, 100%] ; Lenovský, Ladislav [Recenzent] ; Kompasová, Katarína [Recenzent]. – 1. vyd. – Nitra (Slovensko) : Univerzita Konštantína Filozofa v Nitre, 2021. – 98 s. [tlačená forma]. – ISBN 978-80-558-1684-5. – ISBN (online) 978-80-558-1685-2 </t>
  </si>
  <si>
    <t xml:space="preserve">Vysnívaná láskavosť tela a duše (Od inakosti a sterilnej brutality k prírodnej harmónii) : Ildikó Enyedi. O tele a duši. Maďarsko, 2017 / Pariláková, Eva [Autor, UKFFFAULK, 100%]. – text. – [slovenčina]. – [OV 020]. – [recenzia - ČL] In: Art communication &amp; popculture [textový dokument (print)] : časopis pre umeleckú komunikáciu a popkultúru. – Nitra (Slovensko) : Univerzita Konštantína Filozofa v Nitre. – ISSN 1339-9284. – Roč. 4, č. 2 (2018), s. 167-172 [tlačená forma] Rec: Testről és lélekről [video/film] = O tele a duši / Enyedi, Ildikó [Autor]. – Budapest (Maďarsko) : Inforg-M&amp;M Film, 2017. – [DVD] </t>
  </si>
  <si>
    <t xml:space="preserve">Vyučovanie ruštiny opäť aktuálne v novej monografii L. Rozboudovej a J. Konečného  Sovremennaja didaktika russkogo jazyka kak vtorogo inostrannogo: jazykovyje sredstva / Gallo, Ján [Autor, UKFFFAKRU, 100%]. – text. – [slovenčina]. – [OV 020]. – [recenzia - ČL] In: Slavica Nitriensia [textový dokument (print)] : časopis pre výskum slovanských filológií. – Nitra (Slovensko) : Univerzita Konštantína Filozofa v Nitre. – ISSN 1338-7464. – Roč. 8, č. 1 (2019), s. 66-71 [tlačená forma] </t>
  </si>
  <si>
    <t xml:space="preserve">Vzdelávacie potreby zamestnancov v preseniorskom veku [recenzia] / Silberg, Slavka [Autor, UKFPFAKPE, 100%]. – text. – [slovenčina]. – [OV 010]. – [recenzia - ČL]. – DOI 10.11118/lifele20211101099 In: Lifelong learning [textový dokument (print)] [elektronický dokument] : celoživotní vzdělávání. – Brno (Česko) : Mendelova univerzita v Brně. Institut celoživotního vzdělávání. – ISSN 1804-526X. – ISSN (online) 1805-8868. – Roč. 11, č. 1 (2021), s. 99-102 [tlačená forma] [online] Rec: Vzdelávacie potreby zamestnancov v preseniorskom veku [textový dokument (print)]  [monografia (do 2021)] / Koricina, Michal [Autor, 100%] ; Balogová, Beáta [Recenzent] ; Krystoň, Miroslav [Recenzent]. – 1. vyd. – Nitra (Slovensko) : Univerzita Konštantína Filozofa v Nitre, 2020. – 104 s. [tlačená forma]. – ISBN 978-80-558-1564-0 </t>
  </si>
  <si>
    <t xml:space="preserve">Vzdelávanie dospelých Rómov z marginalizovaných komunít / Temiaková, Dominika [Autor, UKFPFAKPE, 100%]. – text. – [slovenčina]. – [OV 010, 060]. – [recenzia - ČL] In: Lifelong learning [textový dokument (print)] [elektronický dokument] : celoživotní vzdělávání. – Brno (Česko) : Mendelova univerzita v Brně. Institut celoživotního vzdělávání. – ISSN 1804-526X. – ISSN (online) 1805-8868. – Roč. 10, č. 2 (2020), s. 257-260 [tlačená forma] [online] Rec: Vzdelávanie dospelých Rómov z marginalizovaných komunít [textový dokument (print)]  [monografia (do 2021)] / Pirohová, Ivana [Autor, 34%] ; Lukáč, Marek [Autor, 33%] ; Lukáčová, Silvia [Autor, 33%] ; Krystoň, Miroslav [Recenzent] ; Veteška, Jaroslav [Recenzent]. – 1. vyd. – Prešov (Slovensko) : Prešovská univerzita v Prešove. Vydavateľstvo Prešovskej univerzity, 2019. – 187 s. [tlačená forma]. – ISBN 978-80-555-2318-7 </t>
  </si>
  <si>
    <t xml:space="preserve">Vzpomínka zvaná říše - Arkady Martineová / Pevčíková, Jozefa [Autor, UKFFFAULK, 100%]. – text. – [slovenčina]. – [OV 020]. – [recenzia - ČL] In: Multiverzum [elektronický dokument] . – Bratislava (Slovensko) : Multiverzum - Centrum popkultúrneho vzdelávania. – ISSN (online) 2644-657X. – č. 9. november (2021), s. 1-2 [online] Rec: Vzpomínka zvaná říše [textový dokument (print)] / Martineová, Arkady [Autor]. – 1. vyd. – Brno (Česko) : Host, 2021. – 455 s. [tlačená forma]. – ISBN 978-80-275-0611-8 </t>
  </si>
  <si>
    <t xml:space="preserve">Wioletta Szymczak (red.): 100 lat socjologii w Katolickim Uniwersytecie Lubelskim Jana Pawła II. Idee - teorie - badania / Štefaňak, Ondrej [Autor, UKFFFAKSO, 100%]. – text. – [slovenčina]. – [OV 020]. – [recenzia - ČL] In: Sociológia a spoločnosť [textový dokument (print)] [elektronický dokument] : medzinárodný vedecký sociologický časopis. – Nitra (Slovensko) : Univerzita Konštantína Filozofa v Nitre. – ISSN 2453-8086. – ISSN (online) 2644-5980. – Roč. 5, č. 1 (2020), s. 101-105 [tlačená forma] [online] Rec: 100 lat socjologii w Katolickim Uniwersytecie Lubelskim Jana Pawła II. Idee - teorie - badania [textový dokument (print)] / Szymczak, Wioletta [Autor]. – 1. vyd. – Lublin (Poľsko) : Towarzystwo Naukowe KUL, 2018. – 398 s. [tlačená forma]. – ISBN 978-83-7306-824-7 </t>
  </si>
  <si>
    <t xml:space="preserve">Wolfgang Müller-Funk / Matthias Schmidt (Hg.): Blumenbergs Schreibweisen / Horyna, Břetislav [Autor, UKFFFAKFI, 100%]. – text. – [nemčina]. – [OV 020]. – [recenzia - ČL] In: Pro-Fil [elektronický dokument] : internetový časopis pro filosofii = an Internet Journal of Philosophy. – Brno (Česko) : Masarykova univerzita. Filozofická fakulta. Katedra filozofie. – ISSN (online) 1212-9097. – suppl. Roč. 21 (2020), s. 76-78 [online] . – SJR: 0,143 ; CiteScore: 0,1 ; SNIP: 0,436 Scimago - Philosophy - Q2 </t>
  </si>
  <si>
    <t xml:space="preserve">Ypsilon ako Sloboda / Smiešková, Lucia [Autor, UKFFFASJL, 100%]. – text. – [slovenčina]. – [OV 020]. – [recenzia - ČL] In: Dotyky [textový dokument (print)] : časopis pre mladú literatúru a umenie. – ISSN 1210-2210. – Roč. 31, č. 2 (2019), s. 88-88 [tlačená forma] </t>
  </si>
  <si>
    <t xml:space="preserve">Z počutého videné / Inštitorisová, Dagmar [Autor, UKFFFAKMR, 100%]. – text. – [slovenčina]. – [OV 020]. – [recenzia - ČL] In: Slovenské divadlo [textový dokument (print)] [elektronický dokument] : revue dramatických umení. – Bratislava (Slovensko) : Slovenská akadémia vied. Pracoviská SAV. Ústav divadelnej a filmovej vedy. – ISSN 0037-699X. – ISSN (online) 1336-8605. – Roč. 67, č. 1 (2019), s. 99-100 [tlačená forma] [online] Rec: Hry 1 / Gregor, Peter [Autor]. – 1. vyd. – Bratislava (Slovensko) : Asociácia Corpus, 2017. – 235 s. [tlačená forma]. – ISBN 978-80-972585-3-5 </t>
  </si>
  <si>
    <t xml:space="preserve">Za návrat k písaniu napriek tendenciám / Lietavec, Tomáš [Autor, UKFFFAULK, 100%]. – text. – [slovenčina]. – [OV 020]. – [recenzia - ČL] In: Fraktál [textový dokument (print)] : literatúra horizontálne a vertikálne. – Závod (Slovensko) : Fraktál. – ISSN 2585-8912. – Roč. 3, č. 2 (2020), s. 166-168 [tlačená forma] Rec: Teserakt [textový dokument (print)]  [knižná publikácia - umelecká (do 2021)] / Milčák, Marián [Autor, 100%]. – 1. vyd. – Levoča (Slovensko) : Vydavateľstvo Modrý Peter, 2018. – 56 s. [3,00 AH]. – ISBN 978-80-89545-69-8 </t>
  </si>
  <si>
    <t xml:space="preserve">Za obrysy média. Literatura a medialita = Beyond the Horizons of the Medium. literature and Mediality / Debnár, Marek [Autor, UKFFFACHV, 50%] ; Suwara, Bogumila [Autor, 50%]. – text. – [slovenčina]. – [OV 020]. – [recenzia - ČL]. – DOI 10.31577/WLS.2021.13.1.9. – CCC In: World Literature Studies [textový dokument (print)] [elektronický dokument] . – Bratislava (Slovensko) : Slovenská akadémia vied. Pracoviská SAV. Ústav svetovej literatúry. – ISSN 1337-9275. – ISSN (online) 1337-9690. – Roč. 13, č. 1 (2021), s. 100-102 [tlačená forma] [online] . – CiteScore: 0,2 ; SJR: 0,154 ; SNIP: 0,249 ; AIS: 0.157 Rec: Za obrysy média [textový dokument (print)] : literatura a medialita / Müller, Richard [Zostavovateľ, editor]. – Praha (Česko) : Akademie věd České republiky. Ústav pro českou literaturu AV ČR, 2020. – 665 s. [tlačená forma]. – ISBN 978-80-246-4688-6 AIS - Literature - Q4 Scimago - Literature and literary theory - Q1 </t>
  </si>
  <si>
    <t xml:space="preserve">Zabudnuté denníky / Inštitorisová, Dagmar [Autor, UKFFFAKMR, 100%]. – text. – [slovenčina]. – [OV 020]. – [recenzia - ČL] In: Monitoring divadiel na Slovensku [elektronický dokument] . – Bratislava (Slovensko) : Slovenské centrum AICT. – ISSN (online) 2454-0129. – 2019, s. 1-8 [online] Rec: Ruské denníky [video/film] : [premiéra 30. 3. 2019] / Rachmanovová, Aľa [Autor]. – Bratislava (Slovensko) : Slovenské národné divadlo, 2019 </t>
  </si>
  <si>
    <t xml:space="preserve">Zabudnutý preklad : Jack London: Cesta / Mitková, Natália [Autor, UKFFFASJL, 100%]. – text. – [slovenčina]. – [OV 020]. – [recenzia - ČL] In: Romboid [textový dokument (print)] : časopis pre literatúru a umeleckú komunikáciu. – Bratislava (Slovensko) : Zväz slovenských spisovateľov, Bratislava (Slovensko) : Asociácia organizácií spisovateľov Slovenska. – ISSN 0231-6714. – Roč. 53, č. 5-6 (2018), s. 172-173 [tlačená forma] Rec: Cesta [textový dokument (print)] / London, Jack [Autor]. – Praha (Česko) : Volvox Globator, 2017. – 123 s. [tlačená forma]. – ISBN 978-80-7511-341-2 </t>
  </si>
  <si>
    <t xml:space="preserve">Zavacká, Marína: Ľudácka prevýchova. Mária Janšáková v Ilave roku 1939 a jej Cela č. 20 / Palárik, Miroslav [Autor, UKFFFAKHI, 100%]. – text. – [slovenčina]. – [OV 030]. – [recenzia - ČL] In: Historický časopis [textový dokument (print)] [elektronický dokument] : vedecký časopis o dejinách Slovenska a strednej Európy = an academic journal on the history of Slovakia and Central Europe. – Bratislava (Slovensko) : Slovenská akadémia vied. Pracoviská SAV. Historický ústav. – ISSN 0018-2575. – ISSN (online) 2585-9099. – Roč. 66, č. 4 (2018), s. 458-462 [tlačená forma] [online] . – SJR: 0,111 ; SNIP: 0,005 ; CiteScore: 0,2 Rec: Ľudácka prevýchova. Mária Janšáková v Ilave roku 1939 a jej Cela č. 20 [textový dokument (print)] / Zavacká, Marína [Autor]. – Bratislava (Slovensko) : Vydavateľstvo Artforum, 2018. – 198 s. – ISBN 978-8081-502-10-1 Scimago - History - Q3 </t>
  </si>
  <si>
    <t xml:space="preserve">Zdenka Gadušová a kolektív: Nástroje hodnotenia kompetencií učiteľa / Lomnický, Igor [Autor, UKFFFAKAE 06.2022, 100%]. – text. – [slovenčina]. – [OV 010, 020]. – [recenzia - ČL] In: Civitas [textový dokument (print)] : časopis pre politické a sociálne vedy. – Nitra (Slovensko) : Univerzita Konštantína Filozofa v Nitre. Filozofická fakulta. Katedra politológie a euroázijských štúdií. – ISSN 1335-2652. – Roč. 25, č. 57 - 2 (2019), s. 14-14 [tlačená forma] </t>
  </si>
  <si>
    <t xml:space="preserve">Zmizol mu z duše čas / Smiešková, Lucia [Autor, UKFFFASJL, 100%]. – text. – [slovenčina]. – [OV 020]. – [recenzia - ČL] In: Knižná revue [textový dokument (print)] [elektronický dokument] : mesačník o nových knihách. – Bratislava (Slovensko) : Literárne informačné centrum. – ISSN 1210-1982. – ISSN (online) 1336-247X. – Roč. 29, č. 3 (2019), s. 27-27 [tlačená forma] [online] Rec: Atlas zabúdania [textový dokument (print)] / Krištúfek, Peter [Autor]. – Bratislava (Slovensko) : Vydavateľstvo Artforum, 2018. – 244 s. [tlačená forma]. – ISBN 978-80-8150-231-6 </t>
  </si>
  <si>
    <t xml:space="preserve">Zygmunt bauman: 44 dopisů z tekutého moderního světa / Jakubovská, Viera [Autor, UKFFFAKFI, 100%]. – text. – [slovenčina]. – [OV 020]. – [recenzia - ČL] In: Sociologický časopis [textový dokument (print)] [elektronický dokument] . – Praha (Česko) : Akademie věd České republiky. Sociologický ústav AV ČR. – ISSN 0038-0288. – ISSN (online) 2336-128X. – Roč. 55, č. 5 (2019), s. 677-682 [tlačená forma] [online] . – IF: 0,412 ; SNIP: 0,465 ; SJR: 0,192 ; CiteScore: 0,9 Rec: 44 dopisů z tekutého moderního světa [textový dokument (print)] / Bauman, Zygmunt [Autor]. – 1. vyd. – Praha (Česko) : Sociologické nakladatelství, 2019. – 239 s. [tlačená forma]. – ISBN 978-80-7419-276-0 JIF - Sociology - Q4 Scimago - Sociology and political science - Q3 </t>
  </si>
  <si>
    <t xml:space="preserve">Žijeme v dronokracii (?!) / Fuják, Július [Autor, UKFFFAKKU, 100%]. – [slovenčina]. – [OV 020]. – [recenzia - ČL] In: Vlna [textový dokument (print)] : časopis o súčasnom umení a kultúre. – Bratislava (Slovensko) : Drewo a srd. – ISSN 1335-5341. – ISSN (chybné) ISSN 1335-969X. – Roč. 20, č. 76 (2018), s. 133-134 [tlačená forma] Rec: Laurent Durupt &amp; Ensemble Contemporain: Dronocracy : festival Viva Musica! Bratislava 16. 8. 2018 / Drlička, Matej [Zostavovateľ, editor]. – Bratislava (Slovensko) : Viva Musica [festival], 2018 </t>
  </si>
  <si>
    <t>EDJ - Prehľadové práce, odborné práce, preklady noriem; odborné preklady v časopisoch a zborníkoch</t>
  </si>
  <si>
    <t xml:space="preserve">17. a edizione della Settimana della lingua italiana nel mondo / Rusnáková, Natália [Prekladateľ, UKFFFAKRO, 50%] ; Šavelová, Monika [Prekladateľ, UKFFFAKRO, 50%]. – [slovenčina]. – [OV 020]. – [článok] In: Studi italo-slovacchi [textový dokument (print)] . – Nitra (Slovensko) : Univerzita Konštantína Filozofa v Nitre. Filozofická fakulta, Bratislava (Slovensko) : Slovenská akadémia vied. – ISSN 1338-6778. – Roč. 7, č. 1 (2018), s. 113-114 [tlačená forma] </t>
  </si>
  <si>
    <t xml:space="preserve">Ak teda máme dušu / Takács, Zsuzsa [Autor] ; Rožňová, Jitka [Prekladateľ, UKFFFAKZU, 100%]. – text. – [slovenčina]. – [OV 020]. – [článok] In: Fraktál [textový dokument (print)] : literatúra horizontálne a vertikálne. – Závod (Slovensko) : Fraktál. – ISSN 2585-8912. – Roč. 2, č. 3 (2019), s. 117-117 [tlačená forma] </t>
  </si>
  <si>
    <t xml:space="preserve">Bibliografia : [zostavenie bibliografie časopisu Fraktál, 2020, roč. 3] / Teplan, Dušan [Autor, UKFFFASJL, 100%]. – text. – [slovenčina]. – [OV 020]. – [článok] In: Fraktál [textový dokument (print)] : literatúra horizontálne a vertikálne. – Závod (Slovensko) : Fraktál. – ISSN 2585-8912. – Roč. 3, č. 4 (2020), s. 209-219 [tlačená forma] </t>
  </si>
  <si>
    <t xml:space="preserve">Bibliografia : [zostavenie bibligrafie časopisu Fraktál, 2019, roč. 2] / Teplan, Dušan [Autor, UKFFFASJL, 100%]. – text. – [slovenčina]. – [OV 020]. – [článok] In: Fraktál [textový dokument (print)] : literatúra horizontálne a vertikálne. – Závod (Slovensko) : Fraktál. – ISSN 2585-8912. – Roč. 2, č. 4 (2019), s. 229-239 [tlačená forma] </t>
  </si>
  <si>
    <t xml:space="preserve">Činnosť rehabilitačnej komisie Zväzu slovenských spisovateľov v rokoch 1968–1969 : (Dokumenty k rehabilitáciám slovenských spisovateľov) = Activities of the Rehabilitation Commission of the Union of Slovak Writers in the years 1968-1969 (Documents on Rehabilitation of Slovak Writers) / Šrank, Jaroslav [Autor, UKOPDSJL, 50%] ; Teplan, Dušan [Autor, UKFFFASJL, 50%]. – text. – [slovenčina]. – [OV 010]. – [článok]. – SIGN-UKO PD SJ/20 In: Litikon [textový dokument (print)] : časopis pre výskum literatúry = journal for literature research. – Nitra (Slovensko) : Univerzita Konštantína Filozofa v Nitre. – ISSN 2453-8507. – Roč. 5, č. 2 (2020), s. 103-132 [tlačená forma] </t>
  </si>
  <si>
    <t xml:space="preserve">Előszó / Gal, Susan [Prekladateľ, 50%] ; Hegedüs, Orsolya [Prekladateľ, UKFFSSUVP, 50%]. – text. – [maďarčina]. – [OV 020]. – [recenzia - ČL] In: A nyelv politikája [textový dokument (print)] : nyelvi antropológiai tanulmányok / Vančo, Ildikó [Zostavovateľ, editor] ; Kozmács, István [Zostavovateľ, editor]. – 1. vyd. – Nitra (Slovensko) : Univerzita Konštantína Filozofa v Nitre. Fakulta stredoeurópskych štúdií, 2018. – (Europica varietas ; 122). – ISBN 978-80-558-1322-6, s. 15-20 [tlačená forma] </t>
  </si>
  <si>
    <t xml:space="preserve">Goetheho Faust - dielo idealistické / Čakanek, Ján [Autor, UKFFFAKGE, 100%]. – [slovenčina]. – [OV 020]. – [recenzia - ČL] In: Faust [textový dokument (print)] / Goethe, Johann Wolfgang [Autor]. – 1. vyd. – Trnava (Slovensko) : Spolok svätého Vojtecha, 2018. – ISBN 978-80-8161-320-3, s. 559-572 [1,52 AH] [tlačená forma] </t>
  </si>
  <si>
    <t xml:space="preserve">Imre Kertész (1929 - 2016) : Spomíname [Minulé storočie, Šťastný Kertész, Appellplatz, roklina, terminál] / Kertész, Imre [Autor] ; Rožňová, Jitka [Prekladateľ, UKFFFAKZU, 100%]. – text. – [slovenčina]. – [OV 020]. – [článok] In: Fraktál [textový dokument (print)] : literatúra horizontálne a vertikálne. – Závod (Slovensko) : Fraktál. – ISSN 2585-8912. – Roč. 2, č. 3 (2019), s. 174-183 [tlačená forma] </t>
  </si>
  <si>
    <t xml:space="preserve">Jana Farmanova - In my gardens : [anglický preklad textu a popisiek katalógu] / Čúziová, Silvia [Autor] ; Smiešková, Alena [Prekladateľ, UKFFFAKAA, 100%]. – [angličtina]. – [OV 020]. – [recenzia - ČL] In: V mojich záhradách [textový dokument (print)] / Šabíková, Jana [Zostavovateľ, editor]. – 1. vyd. – Bratislava (Slovensko) : Slovenská národná galéria, 2018. – ISBN 978-80-8868-182-3, s. 9-54 [tlačená forma] </t>
  </si>
  <si>
    <t xml:space="preserve">K jubileu profesora Jozefa Hvišča / Sokol, Peter [Autor, UKFFFAKRU, 100%]. – text. – [slovenčina]. – [OV 020]. – [článok] In: Slavica Slovaca [textový dokument (print)] [elektronický dokument] : orgán Slavistického ústavu Jána Stanislava SAV a Slovenského komitétu slavistov. – Bratislava (Slovensko) : Slovenská akadémia vied. Slavistický ústav Jána Stanislava. – ISSN 0037-6787. – ISSN (online) 1336-2364. – Roč. 55, č. 1 (2020), s. 135-136 [tlačená forma] [online] . – SJR: 0,104 ; CiteScore: 0,1 ; SNIP: 0,171 Scimago - Anthropology - Q4, Cultural studies - Q4, History - Q3, Language and linguistics - Q4, Linguistics and language - Q4 </t>
  </si>
  <si>
    <t xml:space="preserve">Kantovo zužitkování fyzikoteologie na cestě k čistému rozumu : [překlad s komentářem] / Kant, Immanuel [Autor, 100%] ; Horyna, Břetislav [Prekladateľ, UKFFFAKFI, 100%]. – text. – [čeština]. – [OV 020]. – [článok]. – DOI 10.5817/pf21-1-2352. – SCO In: Pro-Fil [elektronický dokument] : internetový časopis pro filosofii = an Internet Journal of Philosophy. – Brno (Česko) : Masarykova univerzita. Filozofická fakulta. Katedra filozofie. – ISSN (online) 1212-9097. – Roč. 22, č. 1 (2021), s. 39-52 [online] . – CiteScore: 0,1 ; SJR: 0,102 ; SNIP: 0,027 Scimago - Philosophy - Q4 </t>
  </si>
  <si>
    <t xml:space="preserve">Kuděj- ďalšie príbehy Haškovho Švejka : František Všetička: Kuděj, aneb krása kuráže / Waldnerová, Jana [Prekladateľ, UKFFFAKAA, 100%]. – text. – [slovenčina]. – [OV 020]. – [článok] In: Romboid [textový dokument (print)] : časopis pre literatúru a umeleckú komunikáciu. – Bratislava (Slovensko) : Zväz slovenských spisovateľov, Bratislava (Slovensko) : Asociácia organizácií spisovateľov Slovenska. – ISSN 0231-6714. – Roč. 53, č. 7 (2018), s. 52-54 [tlačená forma] </t>
  </si>
  <si>
    <t xml:space="preserve">Lajos Grendel (1948 - 2018) / Takáts, József [Autor] ; Rožňová, Jitka [Prekladateľ, UKFFFAKZU, 100%]. – text. – [slovenčina]. – [OV 020]. – [článok] In: Fraktál [textový dokument (print)] : literatúra horizontálne a vertikálne. – Závod (Slovensko) : Fraktál. – ISSN 2585-8912. – Roč. 2, č. 3 (2019), s. 119-119 [tlačená forma] </t>
  </si>
  <si>
    <t xml:space="preserve">Literárnokritická reflexia slovenskej literatúry v časopise Elán : (bibliografický súpis) / Teplan, Dušan [Autor, UKFFFASJL, 100%]. – text. – [slovenčina]. – [OV 020]. – [článok] In: Litikon [textový dokument (print)] : časopis pre výskum literatúry = journal for literature research. – Nitra (Slovensko) : Univerzita Konštantína Filozofa v Nitre. – ISSN 2453-8507. – Roč. 3, č. 2 (2018), s. 345-366 [tlačená forma] </t>
  </si>
  <si>
    <t xml:space="preserve">Litikon I. - V. : bibliografický súpis za roky 2016 - 2020 / Teplan, Dušan [Autor, UKFFFASJL, 100%]. – text. – [slovenčina]. – [OV 020]. – [článok] In: Litikon [textový dokument (print)] : časopis pre výskum literatúry = journal for literature research. – Nitra (Slovensko) : Univerzita Konštantína Filozofa v Nitre. – ISSN 2453-8507. – Roč. 5, č. 2 (2020), s. 145-164 [tlačená forma] </t>
  </si>
  <si>
    <t xml:space="preserve">Muži v dyme / Turi, Timea [Autor] ; Rožňová, Jitka [Prekladateľ, UKFFFAKZU, 100%]. – text. – [slovenčina]. – [OV 020]. – [článok] In: Fraktál [textový dokument (print)] : literatúra horizontálne a vertikálne. – Závod (Slovensko) : Fraktál. – ISSN 2585-8912. – Roč. 2, č. 3 (2019), s. 202-204 [tlačená forma] </t>
  </si>
  <si>
    <t xml:space="preserve">Nestor nitrianskej kulturológie - Peter Liba / Moravčíková, Erika [Autor, UKFFFAKKU, 100%]. – text. – [slovenčina]. – [OV 020]. – [článok] In: Culturologica Slovaca [elektronický dokument] : internetový kulturologický časopis. – Nitra (Slovensko) : Univerzita Konštantína Filozofa v Nitre. – ISSN 2453-9740. – Roč. 5, č. 2 (2020), s. 143-145 [online] </t>
  </si>
  <si>
    <t xml:space="preserve">Stanislava Fedrová - Alice Jedličková: Az irodalomközpontú intermedialitás kilátásai / Fedrová, Stanislava [Autor] ; Jedličková, Alice [Autor] ; Benyovszky, Kristian [Prekladateľ, UKFFSSUML, 100%]. – text. – [maďarčina]. – [OV 020]. – [článok]. – DOI 10.17846/PA.2020.15.2.9-14 In: Partitúra [textový dokument (print)] : irodalomtudományi folyóirat. – Nitra (Slovensko) : Univerzita Konštantína Filozofa v Nitre. Fakulta stredoeurópskych štúdií. Ústav stredoeurópskych jazykov a kultúr. – ISSN 1336-7307. – Roč. 15, č. 2 (2020), s. 9-14 [tlačená forma] </t>
  </si>
  <si>
    <t xml:space="preserve">The body of history on Parallel Stories : beszélgetés Presinszky Károllyal / Görözdi, Judit [Autor] ; Hegedüs, Orsolya [Prekladateľ, UKFFSSUVP, 100%]. – text. – [maďarčina]. – [OV 010]. – [článok]. – DOI 10.1556/044.2018.32.1.7 In: Hungarian Studies [textový dokument (print)] [elektronický dokument] : A Journal of the International Association for Hungarian Studies. – Budapešť (Maďarsko) : Akadémiai Kiadó. – ISSN 0236-6568. – ISSN (online) 1588-2772. – Roč. 32, č. 1 (2018), s. 91-100 [tlačená forma] [online] . – SJR: 0,11 ; CiteScore: 0,2 ; SNIP: 0,119 Scimago - Arts and humanities (miscellaneous) - Q4, Social sciences (miscellaneous) - Q4 </t>
  </si>
  <si>
    <t xml:space="preserve">V roku 2021 promovali noví gemológovia / Štubňa, Ján [Prekladateľ, UKFFPVKGR, 100%]. – text. – [slovenčina]. – [OV 010]. – [článok] In: Gemologický spravodajca [textový dokument (print)] : časopis gemológov pri FPV UKF v Nitre. – Nitra (Slovensko) : Univerzita Konštantína Filozofa v Nitre. Fakulta prírodných vied. – ISSN 1337-6136. – ISSN (online) 1338-5275. – Roč. 11, č. 1 (2021), s. 27-29 [tlačená forma] </t>
  </si>
  <si>
    <t xml:space="preserve">V tých istých kruhoch / Búry, Juraj [Autor, UKFFFAULK, 100%]. – text. – [slovenčina]. – [OV 020]. – [článok] In: Knižná revue [textový dokument (print)] [elektronický dokument] : mesačník o nových knihách. – Bratislava (Slovensko) : Literárne informačné centrum. – ISSN 1210-1982. – ISSN (online) 1336-247X. – Roč. 29, č. 4 (2019), s. 98-99 [tlačená forma] [online] </t>
  </si>
  <si>
    <t xml:space="preserve">Večernica / Tolnai, Ottó [Autor] ; Rožňová, Jitka [Prekladateľ, UKFFFAKZU, 100%]. – text. – [slovenčina]. – [OV 020]. – [článok] In: Fraktál [textový dokument (print)] : literatúra horizontálne a vertikálne. – Závod (Slovensko) : Fraktál. – ISSN 2585-8912. – Roč. 2, č. 3 (2019), s. 173-173 [tlačená forma] </t>
  </si>
  <si>
    <t xml:space="preserve">Workshopy s „Mareenou“ a „Post Bellum“ boli online / Moravčíková, Erika [Autor, UKFFFAKKU, 100%]. – text. – [slovenčina]. – [OV 020]. – [článok] In: Culturologica Slovaca [elektronický dokument] : internetový kulturologický časopis. – Nitra (Slovensko) : Univerzita Konštantína Filozofa v Nitre. – ISSN 2453-9740. – Roč. 5, č. 2 (2020), s. 146-147 [online] </t>
  </si>
  <si>
    <t xml:space="preserve">Za profesorom Petrom Libom / Moravčíková, Erika [Autor, UKFFFAKKU, 100%]. – text. – [slovenčina]. – [OV 020, 010]. – [článok] In: Slavica Slovaca [textový dokument (print)] [elektronický dokument] : orgán Slavistického ústavu Jána Stanislava SAV a Slovenského komitétu slavistov. – Bratislava (Slovensko) : Slovenská akadémia vied. Slavistický ústav Jána Stanislava. – ISSN 0037-6787. – ISSN (online) 1336-2364. – Roč. 55, č. 2 (2020), s. 314-316 [tlačená forma] [online] . – SJR: 0,104 ; CiteScore: 0,1 ; SNIP: 0,171 Scimago - Anthropology - Q4, Cultural studies - Q4, History - Q3, Language and linguistics - Q4, Linguistics and language - Q4 </t>
  </si>
  <si>
    <t xml:space="preserve">Záver [Stredoveké hrady na strednom Pohroní] = Conclusion / Beljak Pažinová, Noémi [Autor, UKFFFAKAR, 68%] ; Beljak, Ján [Autor, 12%] ; Mazúr, Ratibor [Autor, 11%] ; Uhrovič, Rastislav [Autor, 9%]. – text. – [slovenčina]. – [OV 030]. – [recenzia - ČL] In: Stredoveké hrady na strednom Pohroní [textový dokument (print)] / Beljak Pažinová, Noémi [Zostavovateľ, editor] ; Mordovin, Maxim [Recenzent] ; Labuda, Jozef [Recenzent]. – 1. vyd. – Nitra (Slovensko) : Slovenská akadémia vied. Pracoviská SAV. Archeologický ústav, 2021. – ISBN 978-80-8196-052-9, s. 237-242 [tlačená forma] </t>
  </si>
  <si>
    <t>FAI - Zostavovateľské práce knižného charakteru (bibliografie, encyklopédie, katalógy, slovníky, zborníky, atlasy...)</t>
  </si>
  <si>
    <t xml:space="preserve">10. Országos Turizmus Konferencia Elérési utak a turizmusban [textový dokument (print)]  [zborník (do 2021)] : Pécs, 2020. október 2.-ra / Aubert, Antal [Zostavovateľ, editor, UKFFSSKCR, 100%]. – 1. vyd. – Pécs (Maďarsko) : Pécsi Tudományegyetem, 2020. – 96 s. [tlačená forma] : text. – [maďarčina]. – [OV 080]. – ISBN 978-963-429-562-4 </t>
  </si>
  <si>
    <t xml:space="preserve">1st Nitra Postgraduate Conference in English Studies: Trends and Perspectives [textový dokument (print)]  [zborník (do 2021)] : conference proceedings / Ondrušeková, Judita [Zostavovateľ, editor, UKFFFAKAA, 100%] ; Gadušová, Zdenka [Recenzent] ; Miššíková, Gabriela [Recenzent] ; 1st Nitra Postgraduate Conference in English Studies [24.10.2019, Nitra, Slovensko]. – 1. vyd. – Praha (Česko) : Verbum, 2020. – 126 s. [tlačená forma]. – [angličtina]. – [OV 010, 020]. – ISBN 978-80-87800-65-2 </t>
  </si>
  <si>
    <t xml:space="preserve">50 rokov Slovenskej štatistickej a demografickej spoločnosti [textový dokument (print)]  [zborník (do 2021)] / Medová, Janka [Zostavovateľ, editor, UKFFPVKMA, 50%] ; Stankovičová, Iveta [Zostavovateľ, editor, UKOMAKIS, 50%]. – 1. vyd. – Bratislava (Slovensko) : Slovenská štatistická a demografická spoločnosť, 2018. – 146 s. [tlačená forma]. – [slovenčina]. – [OV 080]. – [recenzované]. – ISBN 978-80-88946-82-3 </t>
  </si>
  <si>
    <t xml:space="preserve">A Catalogue of Ecosystem Services in Slovakia [textový dokument (print)] [elektronický dokument]  [zborník (do 2021)] : Benefits to Society / Mederly, Peter [Zostavovateľ, editor, UKFFPVKEE, 50%] ; Černecký, Ján [Zostavovateľ, editor, UKFFPVKEE, 50%]. – 1. vyd. – Cham (Švajčiarsko) : Springer Verlag, 2020. – 259 s. [tlačená forma] : text. – [angličtina]. – [OV 100]. – [recenzované]. – ISBN 978-3-030-46507-0. – ISBN (online) 978-3-030-46508-7. – DOI 10.1007/978-3-030-46508-7 </t>
  </si>
  <si>
    <t xml:space="preserve">A felvidék szerepe Kodály Zoltán életművében címmel tartott nemzetközi konferencia előadásaiból kézűlt tanulmánykötet [textový dokument (print)]  [zborník (do 2021)] : a konferenciát a Nyitrai Konstantin Filozófus Egyetem Közep-európai Tanulmányok Karának Pedagógusképző Intézete szervezte Nyitrán, 2017. szeptember 20-21-én = Život a dielo hudobného skladateľa Zoltána Kodálya, viažúce sa k územiu dnešného Slovenska, konanej 20-21. septembra 2017 na FSŠ UKF v Nitre / Józsa, Mónika [Zostavovateľ, editor, UKFFSSUVP, 100%] ; Štrbák Pandiová, Iveta [Recenzent] ; Erdei, Péter [Recenzent] ; A felvidék szerepe Kodály Zoltán életművében címmel tartott nemzetközi konferencia előadásaiból kézűlt tanulmánykötet [20.09.2017-21.09.2019, Nitra, Slovensko]. – 1. vyd. – Nitra (Slovensko) : Univerzita Konštantína Filozofa v Nitre, 2019. – 164 s. [tlačená forma] : text. – [maďarčina]. – [OV 010]. – ISBN 978-80-558-1402-5 </t>
  </si>
  <si>
    <t xml:space="preserve">A nyelv politikája [textový dokument (print)]  [editovaná kniha (do 2021)] : nyelvi antropológiai tanulmányok / Vančo, Ildikó [Zostavovateľ, editor, UKFFSSUML, 50%] ; Kozmács, István [Zostavovateľ, editor, UKFFSSUML, 50%]. – 1. vyd. – Nitra (Slovensko) : Univerzita Konštantína Filozofa v Nitre. Fakulta stredoeurópskych štúdií, 2018. – 354 s. [tlačená forma] : text. – (Europica varietas ; 122). – [maďarčina]. – [OV 020]. – ISBN 978-80-558-1322-6 </t>
  </si>
  <si>
    <t xml:space="preserve">A Reflection of Man and Culture in Language and Literature (13), (Studies in Linguistics, Anglophone Literatures and Cultures) [textový dokument (print)]  [editovaná kniha (do 2021)] / Matiová, Mária [Zostavovateľ, editor, UKFFFASJL, 50%] ; Navrátil, Martin [Zostavovateľ, editor, UKFFFASJL, 50%]. – 1. vyd. – Berlin (Nemecko) : Peter Lang, 2019. – 315 s. [tlačená forma] : text. – [angličtina]. – [OV 020]. – ISBN 978-3-631-74550-2. – DOI 10.3726/b14668. – SCO </t>
  </si>
  <si>
    <t xml:space="preserve">Abstracts of the 6th World Conference on Pluricentric Languages and their Non-dominant Varietes [textový dokument (print)]  [zborník (do 2021)] : Proceedings Abstracts / Kozmács, István [Zostavovateľ, editor, UKFFSSUML, 50%] ; Vančo, Ildikó [Zostavovateľ, editor, UKFFSSUML, 50%] ; World Conference on Pluricentric Languages and their Non-dominant Varieties, 6 [21.06.2018-23.06.2018, Nitra, Slovensko]. – 1. vyd. – Nitra (Slovensko) : Univerzita Konštantína Filozofa v Nitre, 2018. – 108 s. [tlačená forma] : text. – [angličtina]. – [OV 020]. – ISBN 978-80-558-1285-4 </t>
  </si>
  <si>
    <t xml:space="preserve">Akcenty literatúry pre deti a mládež [textový dokument (print)]  [zborník (do 2021)] : trendy, problémy, interpretácie. Zborník z medzinárodnej konferencie formou videokonferencie, ktorá sa konala v Nitre 23.10.2020 / Hrašková, Mariana [Zostavovateľ, editor, UKFFFASJL, 50%] ; Kaizerová, Petra [Zostavovateľ, editor, UKFFFASJL, 50%] ; Nemcová, Jana [Recenzent] ; Naščák, Peter [Recenzent] ; Akcenty literatúry pre deti a mládež [23.10.2020, Nitra, Slovensko]. – 1. vyd. – Nitra (Slovensko) : Univerzita Konštantína Filozofa v Nitre, 2021. – 184 s. [tlačená forma] : text. – [slovenčina]. – [OV 010]. – ISBN 978-80-558-1699-9 </t>
  </si>
  <si>
    <t xml:space="preserve">Aktuálne trendy v religiozite na Slovensku [textový dokument (print)]  [zborník (do 2021)] : zborník príspevkov z vedeckého seminára, Ružomberok 13.12.2018 / Kondrla, Peter [Zostavovateľ, editor, UKFFFAKNS, 50%] ; Ďurková, Eva [Zostavovateľ, editor, UKFFFAKAE 06.2022, 50%] ; Judák, Viliam [Recenzent] ; Šuráb, Marian [Recenzent] ; Aktuálne trendy v religiozite na Slovensku [13.12.2018, Nitra, Slovensko]. – 1. vyd. – Nitra (Slovensko) : Univerzita Konštantína Filozofa v Nitre, 2019. – 181 s. [tlačená forma] : text. – [slovenčina]. – [OV 020]. – ISBN 978-80-558-1426-1 </t>
  </si>
  <si>
    <t xml:space="preserve">Apokalyptická tradícia v maďarskej literatúre [textový dokument (print)]  [editovaná kniha (do 2021)] / Mizser, Attila [Autor, 100%] ; Rožňová, Jitka [Zostavovateľ, editor, UKFFFAKZU, 100%]. – 1. vyd. – Bratislava (Slovensko) : Madách-Posonium, 2021. – 176 s. [tlačená forma] : text. – [slovenčina]. – [OV 020]. – ISBN 978-80-89833-22-1 </t>
  </si>
  <si>
    <t xml:space="preserve">Arcibiskupi a biskupi Uhorska [textový dokument (print)]  [zborník (do 2021)] : moc prelátov a jej prejavy v stredoveku / Glejtek, Miroslav [Zostavovateľ, editor, UKFFFAKHI, 100%] ; Maliniak, Pavol [Recenzent] ; Šedivý, Juraj [Recenzent]. – 1. vyd. – Bratislava (Slovensko) : Post Scriptum, 2020. – 400 s. [tlačená forma] : text. – [slovenčina]. – [OV 030]. – ISBN 978-80-8218-016-2 </t>
  </si>
  <si>
    <t xml:space="preserve">Archívny výskum (textov) v interdisciplinárnych súvislostiach [textový dokument (print)]  [zborník (do 2021)] / Gromová, Edita [Zostavovateľ, editor, UKFFFAKTR, 34%] ; Rondziková, Natália [Zostavovateľ, editor, 33%] ; Tyšš, Igor [Zostavovateľ, editor, UKFFFAKTR, 33%] ; Biloveský, Vladimír [Recenzent] ; Teplan, Dušan [Recenzent]. – 1. vyd. – Nitra (Slovensko) : Univerzita Konštantína Filozofa v Nitre, 2021. – 149 s. [tlačená forma] : text. – [slovenčina]. – [OV 020]. – ISBN 978-80-558-1677-7 </t>
  </si>
  <si>
    <t xml:space="preserve">Atletika 2018 [textový dokument (print)]  [zborník (do 2021)] : zborník z medzinárodnej vedeckej konferencie v Nitre 29.11.2018 / Broďáni, Jaroslav [Zostavovateľ, editor, UKFPFAKTV, 100%] ; Pupiš, Martin [Recenzent] ; Šutka, Vladimír [Recenzent] ; Atletika 2018 [29.11.2018, Nitra, Slovensko]. – 1. vyd. – Nitra (Slovensko) : Univerzita Konštantína Filozofa v Nitre, 2018. – 171 s. [tlačená forma] : text. – [slovenčina]. – [OV 210]. – ISBN 978-80-558-1356-1 </t>
  </si>
  <si>
    <t xml:space="preserve">Bábky na česko-slovenskej medzi [textový dokument (print)]  [zborník (do 2021)] : 1918 - 2018 / Inštitorisová, Dagmar [Zostavovateľ, editor, UKFFFAKMR, 34%] ; Škripková, Iveta [Zostavovateľ, editor, 33%] ; Zaťková, Dominika [Zostavovateľ, editor, 33%]. – 1. vyd. – Banská Bystrica (Slovensko) : Bábkové divadlo na Rázcestí, 2018. – 256 s. [tlačená forma] : text. – [slovenčina]. – [OV 020]. – ISBN 978-80-570-0275-8 </t>
  </si>
  <si>
    <t xml:space="preserve">Báseň je tajomstvo [textový dokument (print)]  [zborník (do 2021)] : antológia poézie maďarských básnikov zo Slovenska / Balázs, Attila [Autor, 100%] ; Dušíková, Anikó [Prekladateľ, UKOFIMJ, 90%] ; Rožňová, Jitka [Prekladateľ, UKFFFAKZU, 10%] ; Rožňová, Jitka [Zostavovateľ, editor, UKFFFAKZU, 100%]. – 1. vyd. – Dunajská Streda (Slovensko) : Lilium Aurum, 2019. – 160 s. [tlačená forma] : text. – [slovenčina]. – [OV 020]. – ISBN 978-80-89955-22-0 </t>
  </si>
  <si>
    <t xml:space="preserve">Bezpečnost a ochrana zdraví při práci [textový dokument (print)]  [zborník (do 2021)] : recenzovaný sborník abstraktů z 18. ročníka  medzinárodní konference ve dnech  18. -19.4.2018 v Ostravě / Tureková, Ivana [Zostavovateľ, editor, UKFPFAKTT, 100%] ; Bezpečnost a ochrana zdraví při práci, 18 [18.04.2018-19.04.2018, Ostravice, Česko]. – 1. vyd. – Ostrava (Česko) : Sdružení požárního a bezpečnostního inženýrství, 2018. – 96 s. [tlačená forma]. – [čeština]. – [OV 010]. – [recenzované]. – ISBN 978-80-7385-202-3 </t>
  </si>
  <si>
    <t xml:space="preserve">Burgenland [textový dokument (print)]  [editovaná kniha (do 2021)] : A Kárpát-medence régiói 14 / Jankó, Ferenc [Zostavovateľ, editor, 20%] ; Fábián, Attila [Zostavovateľ, editor, 20%] ; Hardi, Tamás [Zostavovateľ, editor, UKFFSSKCR, 60%]. – 1. vyd. – Budapest (Maďarsko) : Nemzetstratégiai Kutatóintézet, 2019. – 551 s. [tlačená forma]. – [maďarčina]. – [OV 080]. – ISBN 978-963-359-075-1 </t>
  </si>
  <si>
    <t xml:space="preserve">CEST 2019 [elektronický dokument]  [zborník (do 2021)] : proceedings of the Central European Symposium on Thermophysics 2019 / Trník, Anton [Zostavovateľ, editor, UKFFPVKFY, 50%] ; Medveď, Igor [Zostavovateľ, editor, 010240 01.2021, 50%] ; Central European Symposium on Thermophysics [16.10.2019-18.10.2019, Banská Bystrica, Slovensko]. – 1 vyd. – Melville, NY (USA) : American Institute of Physics . AIP Publishing, 2019. – [246] s. [online] [tlačená forma]. – (AIP Conference Proceedings, ISSN 0094-243X, ISSN 1551-7616 ; Volume 2133, SJR: 0,19 ; CiteScore: 0,6 ; SNIP: 0,373). – [angličtina]. – [OV 091]. – [recenzované]. – ISBN 978-0-7354-1876-9. – CPCI-S </t>
  </si>
  <si>
    <t xml:space="preserve">Cesty k vede (8) [textový dokument (print)]  [zborník (do 2021)] : zborník študentských vedeckých prác z konferencie = Utak a tudományhoz. 8. kötet. A tudományos diákköri konferencia dolgozatai, Nitra 28.3.2019 / Presinszky, Károly [Zostavovateľ, editor, UKFFSSUML, 50%] ; Hlavinová Tekeliová, Dominika [Zostavovateľ, editor, UKFFSSUSJ, 50%]. – 1. vyd. – Roč. 8. – Nitra (Slovensko) : Univerzita Konštantína Filozofa v Nitre, 2019. – 234 s. [tlačená forma] : text. – [slovenčina]. – [OV 010]. – ISBN 978-80-558-1411-7 </t>
  </si>
  <si>
    <t xml:space="preserve">Cesty k vede (7. zväzok) [textový dokument (print)]  [zborník (do 2021)] : Zborník študentských vedeckých prác / Presinszky, Károly [Zostavovateľ, editor, UKFFSSUML, 50%] ; Hlavinová Tekeliová, Dominika [Zostavovateľ, editor, UKFFSSUSJ, 50%]. – 1. vyd. – Nitra (Slovensko) : Univerzita Konštantína Filozofa v Nitre, 2018. – 192 s. [tlačená forma]. – [slovenčina]. – [OV 020]. – ISBN 978-80-558-1292-2 </t>
  </si>
  <si>
    <t xml:space="preserve">Cesty k vede 10. zväzok [textový dokument (print)]  [zborník (do 2021)] : Zborník študentských vedeckých prác fakultného kola súťaže konanej dňa 30. apríla 2021 v Nitre / Presinszky, Károly [Zostavovateľ, editor, UKFFSSUML, 50%] ; Vargová, Zuzana [Zostavovateľ, editor, UKFFSSUSJ, 50%] ; Bauko, Ján [Recenzent] ; Tóth, Anikó [Recenzent] ; Nagyová Lehocká, Zuzana [Recenzent] ; Balla, Štefan [Recenzent] ; Gallik, Ján [Recenzent] ; Sándorová, Zuzana [Recenzent] ; Cesty k vede, 10 [30.04.2021, Nitra, Slovensko]. – 1. vyd. – Nitra (Slovensko) : Univerzita Konštantína Filozofa v Nitre, 2021. – 230 s. [tlačená forma] : text. – [slovenčina, maďarčina]. – [OV 020]. – ISBN 978-80-558-1722-4 </t>
  </si>
  <si>
    <t xml:space="preserve">Cesty k vede 9. zväzok [textový dokument (print)]  [editovaná kniha (do 2021)] = Utak a tudományhoz 9. kötet / Presinszky, Károly [Zostavovateľ, editor, UKFFSSUML, 50%] ; Vargová, Zuzana [Zostavovateľ, editor, UKFFSSUSJ, 50%]. – 1. vyd. – Nitra (Slovensko) : Univerzita Konštantína Filozofa v Nitre, 2020. – 166 s. [tlačená forma] : text. – [slovenčina]. – [OV 020]. – ISBN 978-80-558-1586-2 </t>
  </si>
  <si>
    <t xml:space="preserve">Culture in Transition Countries [textový dokument (print)]  [zborník (do 2021)] / Jakimovska-Toshikj, Maja [Zostavovateľ, editor, 50%] ; Gabašová, Katarína [Zostavovateľ, editor, UKFFFAKKU, 50%] ; Avramovska, Natasha [Recenzent] ; Velev, Ilja [Recenzent]. – 1. vyd. – Skopje (Macedónsko) : Saints Cyril and Methodius University of Skopje, 2018. – 351 s. [tlačená forma] : text. – [angličtina]. – [OV 020, 030, 060]. – ISBN 978-608-4744-10-8 </t>
  </si>
  <si>
    <t xml:space="preserve">Current Issues in Linguistic Theory [textový dokument (print)]  [zborník (do 2021)] / Pawlowski, Adam [Zostavovateľ, editor, 25%] ; Mačutek, Ján [Zostavovateľ, editor, UKFFPVKMA, 25%] ; Embleton, Sheila [Zostavovateľ, editor, 25%] ; Mikros, George [Zostavovateľ, editor, 25%]. – 1. vyd. – č. 356. – Amsterdam (Holandsko) : John Benjamins Publishing Company, 2021. – 280 s. [tlačená forma] : text. – [angličtina]. – [OV 020, 240]. – [recenzované]. – ISBN 9789027258380. – ISSN 03040763 </t>
  </si>
  <si>
    <t xml:space="preserve">Česká literatúra a film 5 [textový dokument (print)]  [zborník (do 2021)] : zborník štúdií z medzinárodnej vedeckej konferencie, konanej 17. októbra 2017 na FSŠ v Nitre / Timko, Štefan [Zostavovateľ, editor, UKFFSSUSJ, 100%] ; Česká literatúra a film, 5 [17.10.2017, Nitra, Slovensko]. – 1. vyd. – Nitra (Slovensko) : Univerzita Konštantína Filozofa v Nitre, 2018. – 149 s. [tlačená forma] : text. – [slovenčina]. – [OV 020]. – ISBN 978-80-558-1303-5 </t>
  </si>
  <si>
    <t xml:space="preserve">Česká slavistika 2018 [textový dokument (print)]  [zborník (do 2021)] / Pospíšil, Ivo [Zostavovateľ, editor, 34%] ; Zelenka, Miloš [Zostavovateľ, editor, UKFFSSUSJ, 33%] ; Paučová, Lenka [Zostavovateľ, editor, 33%]. – 1. vyd. – Brno (Česko) : Sojnek Jan - Galium, 2018. – 209 s. [tlačená forma]. – [čeština]. – [OV 020]. – ISBN 978-80-88296-00-3 </t>
  </si>
  <si>
    <t xml:space="preserve">DIDFYZ 2019 [textový dokument (print)] [elektronický dokument]  [zborník (do 2021)] : Formation of the Natural Science Image of the World in the 21st Century / Valovičová, Ľubomíra [Zostavovateľ, editor, UKFFPVKFY, 33.334%] ; Ondruška, Ján [Zostavovateľ, editor, UKFFPVKFY, 33.333%] ; Zelenický, Ľubomír [Zostavovateľ, editor, UKFFPVKFY, 33.333%] ; DIDFYZ 2019, 21 [09.10.2019-12.10.2019, Terchová, Slovensko]. – 1. vyd. – Melville (USA) : American Institute of Physics . AIP Publishing, 2019. – 332 s. [tlačená forma] [online] : text, tab., obr. – (AIP Conference Proceedings, ISSN 0094-243X, ISSN 1551-7616 ; 2152, SJR: 0,19 ; CiteScore: 0,6 ; SNIP: 0,373). – [angličtina]. – [OV 091, 010]. – [recenzované]. – ISBN 978-0-7354-1897-4. – DOI 10.1063/15124781 </t>
  </si>
  <si>
    <t xml:space="preserve">Diplom 2019/2020 [textový dokument (print)]  [editovaná kniha (do 2021)] : absolventi Katedry výtvarnej tvorby a výchovy Pedagogickej fakulty UKF v Nitre v Akademickom roku 2018/2019 a 2019/2020 / Récka, Adriana [Zostavovateľ, editor, UKFPFAKVV, 100%]. – 1. vyd. – Nitra (Slovensko) : Univerzita Konštantína Filozofa v Nitre, 2020. – 66 s. [tlačená forma]. – [slovenčina]. – [OV 010]. – ISBN 978-80-558-1624-1 </t>
  </si>
  <si>
    <t xml:space="preserve">DIVAI 2018 [textový dokument (print)] [elektronický dokument]  [zborník (do 2021)] : 12th International Scientific Conference on Distance Learning in Applied Informatics / Turčáni, Milan [Zostavovateľ, editor, UKFFPVKIN, 20%] ; Balogh, Zoltán [Zostavovateľ, editor, UKFFPVKIN, 20%] ; Munk, Michal [Zostavovateľ, editor, UKFFPVKIN, 20%] ; Kapusta, Jozef [Zostavovateľ, editor, UKFFPVKIN, 20%] ; Benko, Ľubomír [Zostavovateľ, editor, UKFFPVKIN, 20%] ; DIVAI 2018, 12 [02.05.2018-04.05.2018, Štúrovo, Slovensko]. – 1. vyd. – Praha (Česko) : Wolters Kluwer, 2018. – 529 s. [online] [tlačená forma] : text. – [angličtina]. – [OV 160]. – [recenzované]. – ISBN 978-80-7598-059-5. – ISSN 2464-7470. – ISSN (online) 2464-7489. – CPCI-SSH </t>
  </si>
  <si>
    <t xml:space="preserve">DIVAI 2020 [textový dokument (print)] [elektronický dokument]  [zborník (do 2021)] : 13th International Scientific Conference on Distance Learning in Applied Informatics, Štúrovo September 21-23, 2020 / Turčáni, Milan [Zostavovateľ, editor, UKFFPVKIN, 20%] ; Balogh, Zoltán [Zostavovateľ, editor, UKFFPVKIN, 20%] ; Munk, Michal [Zostavovateľ, editor, UKFFPVKIN, 20%] ; Magdin, Martin [Zostavovateľ, editor, UKFFPVKIN, 20%] ; Benko, Ľubomír [Zostavovateľ, editor, UKFFPVKIN, 20%] ; DIVAI 2020, 13 [21.09.2020-23.09.2020, Štúrovo, Slovensko]. – 1. vyd. – Roč. 13. – Praha (Česko) : Wolters Kluwer. Wolters Kluwer ČR, 2020. – 593 s. [tlačená forma] [online] : text. – [angličtina]. – [OV 160]. – [recenzované]. – ISBN 978-80-7598-841-6. – ISSN 2464-7470. – ISSN (online) 2464-7489. – CPCI-SSH </t>
  </si>
  <si>
    <t xml:space="preserve">Dramatická edukácia na Slovensku [textový dokument (print)]  [zborník (do 2021)] : zborník príspevkov o východiskách dramatickej edukácie na Slovensku / Inštitorisová, Dagmar [Zostavovateľ, editor, UKFFFAKMR, 34%] ; Evjáková, Daniela [Zostavovateľ, editor, 33%] ; Hyža, Ján [Zostavovateľ, editor, 33%] ; Felix, Belo [Recenzent] ; Provazník, Jaroslav [Recenzent]. – 1. vyd. – Senica (Slovensko) : Iniciatíva EDUdrama , 2018. – 160 s. [tlačená forma] : text. – [slovenčina]. – [OV 020]. – ISBN 978-80-971188-1-5 </t>
  </si>
  <si>
    <t xml:space="preserve">EDUCA 16 [textový dokument (print)]  [zborník (do 2021)] : edukácia - kľúč k úspechu. Zborník príspevkov z 16. vedeckej  konferencie doktorandov s medzinárodnou účasťou, Nitra 29. apríl 2021 / Teleková, Radka [Zostavovateľ, editor, UKFPFAKPE, 50%] ; Koricina, Michal [Zostavovateľ, editor, UKFPFAKPE, 50%] ; Petlák, Erich [Recenzent] ; Krystoň, Miroslav [Recenzent] ; EDUCA 16, 16 [29.04.2021, Nitra, Slovensko]. – 1. vyd. – Nitra (Slovensko) : Univerzita Konštantína Filozofa v Nitre, 2021. – 207 s. [tlačená forma] : text. – [slovenčina]. – [OV 010]. – ISBN 978-80-558-1811-5 </t>
  </si>
  <si>
    <t xml:space="preserve">Effects of small and medium-sized enterprises in rural areas [textový dokument (print)]  [zborník (do 2021)] : proceedings of scientific papers / Levický, Michal [Zostavovateľ, editor, UKFFPVUMI, 50%] ; Beresecká, Janka [Zostavovateľ, editor, SPUFES16, 50%] ; Gozora, Vladimír [Recenzent] ; Hudák, Jozef [Recenzent]. – 1. vyd. – Białostok (Poľsko) : Białostockie Wydawnictwo Naukowe, 2018. – 121 s. [tlačená forma] : text. – [angličtina]. – [OV 080]. – ISBN 978-83-950152-8-1 </t>
  </si>
  <si>
    <t xml:space="preserve">Embryotechnolgy 2 [textový dokument (print)]  [editovaná kniha (do 2021)] / Laurinčík, Jozef [Zostavovateľ, editor, UKFFPVKZA, 100%]. – 1. vyd. – Nitra (Slovensko) : Univerzita Konštantína Filozofa v Nitre, 2018. – 200 s. [tlačená forma] : text. – (Prírodovedec ; no. 681). – [angličtina]. – [OV 130]. – ISBN 978-80-558-1337-0. – DOI 10.17846/2018-embryotechnology </t>
  </si>
  <si>
    <t xml:space="preserve">Environmentálna výchova, vzdelávanie a osveta v Slovenskej republike [textový dokument (print)]  [zborník (do 2021)] : zborník príspevkov z národnej konferencie / Nozdrovická, Jana [Zostavovateľ, editor, UKFFPVKEE, 50%] ; Petlušová, Viera [Zostavovateľ, editor, UKFFPVKEE, 50%] ; Environmentálna výchova, vzdelávanie a osveta v Slovenskej republike [30.01.2018-31.01.2018, Nitra, Slovensko]. – 1. vyd. – Nitra (Slovensko) : Univerzita Konštantína Filozofa v Nitre, 2018. – 237 s. [tlačená forma] : text. – [slovenčina]. – [OV 100]. – ISBN 978-80-558-1261-8 </t>
  </si>
  <si>
    <t xml:space="preserve">Estetika centra a periférie - centrum a periféria estetiky [textový dokument (print)]  [zborník (do 2021)] / Pašteková, Michaela [Zostavovateľ, editor, 50%] ; Brezňan, Peter [Zostavovateľ, editor, UKFFFAULK, 50%] ; Jablonská, Beata [Recenzent] ; Komanická, Ivana [Recenzent] ; Estetika centra a periférie - centrum a periféria estetiky [23.10.2019-25.10.2019, Bratislava, Slovensko]. – 1. vyd. – Bratislava (Slovensko) : Slovenská asociácia pre estetiku, 2020. – 356 s. [tlačená forma] : text. – [slovenčina]. – [OV 020]. – ISBN 978-80-972624-3-3 </t>
  </si>
  <si>
    <t xml:space="preserve">Family in Today‘s society [textový dokument (print)]  [zborník (do 2021)] / Horváth, Peter [Zostavovateľ, editor, UKFFFADE2, 100%] ; Swadżba, Urszula [Recenzent] ; Haburajová Ilavská, Lenka [Recenzent]. – 1. vyd. – Katowice (Poľsko) : Studio - NOA, 2019. – 164 s. [tlačená forma] : text. – [angličtina]. – [OV 060]. – ISBN 978-83-66055-07-0 </t>
  </si>
  <si>
    <t xml:space="preserve">Foreign Language Anxiety [textový dokument (print)]  [zborník (do 2021)] : Post-Communist Country Context / Kráľová, Zdena [Zostavovateľ, editor, UKFPFAKLI, 50%] ; Kamenická, Jana [Zostavovateľ, editor, UKFPFAKLI, 50%] ; Škorvagová, Eva [Recenzent] ; Zelina, Miron [Recenzent]. – 2. rozš. vyd. – Praha (Česko) : Verbum, 2019. – 136 s. [tlačená forma] : text. – [angličtina]. – [OV 010]. – ISBN 978-80-87800-50-8 </t>
  </si>
  <si>
    <t xml:space="preserve">Fórum spoločenskovedná revue 2019 [textový dokument (print)]  [zborník (do 2021)] : súbor štúdií výskumníkov a výskumníčok Fórum inštitút pre výskum menšín / Mészárosová, Zuzana [Zostavovateľ, editor, UKFFFAKPO, 100%]. – 1. vyd. – Šamorín (Slovensko) : Fórum inštitút pre výskum menšín, 2019. – 168 s. [tlačená forma]. – [slovenčina, angličtina]. – [OV 030]. – [recenzované]. – ISBN 978-80-89978-10-6 </t>
  </si>
  <si>
    <t xml:space="preserve">Górnośląskie Studia Socjologiczne [textový dokument (print)] [elektronický dokument]  [zborník (do 2021)] : seria nowa / Kasperk, Andrzej [Zostavovateľ, editor, 50%] ; Swiatkiewicz, Wojciech  Krzysztof [Zostavovateľ, editor, UKFFFAKSO, 50%]. – 1. vyd. – Roč. 12, č. 1. – Katowice (Poľsko) : Uniwersytet Ślaski w Katowicach. Wydawnictwo Uniwersytetu Ślaskiego, 2021. – 308 s. [tlačená forma] : text. – [poľština]. – [OV 060]. – [recenzované]. – ISSN 2353-9658 </t>
  </si>
  <si>
    <t xml:space="preserve">Hungarian as a Plucentric Language  in Language and Literature [textový dokument (print)]  [zborník (do 2021)] / Muhr, Rudolf [Zostavovateľ, editor, 10%] ; Vančo, Ildikó [Zostavovateľ, editor, UKFFSSUML, 40%] ; Kozmács, István [Zostavovateľ, editor, UKFFSSUML, 40%] ; Huber, Maté [Zostavovateľ, editor, 10%]. – 1. vyd. – č. 22. – Berlín (Nemecko) : Peter Lang, 2020. – 290 s. [tlačená forma] : text. – [angličtina]. – [OV 020]. – [recenzované]. – ISBN 978-3-631-80975-4. – ISBN (online) 978-36-318-2219-7. – ISSN 1618-5714. – DOI 10.3726/b16977. – SCO </t>
  </si>
  <si>
    <t xml:space="preserve">Charakter a vývoj nezávislej kultúry a umenia na Slovensku po roku 1989 [textový dokument (print)]  [zborník (do 2021)] / Fuják, Július [Zostavovateľ, editor, UKFFFAKKU, 100%] ; Mistrík, Erich [Recenzent] ; Javorská, Andrea [Recenzent]. – 1. vyd. – Nitra (Slovensko) : Univerzita Konštantína Filozofa v Nitre, 2020. – 356 s. [tlačená forma] : text. – [slovenčina]. – [OV 020]. – ISBN 978-80-558-1565-7 </t>
  </si>
  <si>
    <t xml:space="preserve">Imagológia ako výskum obrazov kultúry [textový dokument (print)]  [zborník (do 2021)] : (k reflexii etnických stereotypov krajín V4) / Zelenka, Miloš [Zostavovateľ, editor, UKFFSSUSJ, 50%] ; Tkáč-Zabáková, Lenka [Zostavovateľ, editor, UKFFSSUSJ, 50%]. – 1. vyd. – Nitra (Slovensko) : Univerzita Konštantína Filozofa v Nitre, 2018. – 162 s. [tlačená forma] : text. – [slovenčina]. – [OV 020]. – ISBN 978-80-558-1294-6 </t>
  </si>
  <si>
    <t xml:space="preserve">Inovácia - rómsky jazyk - inklúzia [textový dokument (print)]  [zborník (do 2021)] : výučba rómskeho jazyka metodikou vyučovania cudzieho jazyka. Zborník z medzinárodnej vedeckej konferencie, Bratislava, 5. - 6.apríl 2019 / Facuna, Jozef [Zostavovateľ, editor, 50%] ; Lužica, René [Zostavovateľ, editor, UKFFSVURS, 50%] ; Lukáčová, Ingrid [Recenzent] ; Vaňová, Jarmila [Recenzent]. – 1. vyd. – Bratislava (Slovensko) : Štátny pedagogický ústav, 2019. – 127 s. [tlačená forma] : text. – [slovenčina]. – [OV 060, 010]. – ISBN 978-80-8118-226-6 </t>
  </si>
  <si>
    <t xml:space="preserve">Inovatívne trendy v odborových didaktikách [textový dokument (print)]  [zborník (do 2021)] : prepojenie teórie a praxe výučbových stratégií kritického a tvorivého myslenia : zborník štúdií z medzinárodnej vedeckej konferencie, Nitra 21. november 2018 / Duchovičová, Jana [Zostavovateľ, editor, UKFPFAKPE, 34%] ; Hošová, Dominika [Zostavovateľ, editor, UKFPFAKPE, 33%] ; Koleňáková, Rebeka Štefánia [Zostavovateľ, editor, UKFPFAKPE, 33%] ; Bílek, Martin [Recenzent] ; Komora, Juraj [Recenzent] ; Inovatívne trendy v odborových didaktikách [21.11.2018, Nitra, Slovensko]. – 1. vyd. – Nitra (Slovensko) : Univerzita Konštantína Filozofa v Nitre, 2019. – 707 s. [tlačená forma] : text. – [slovenčina]. – [OV 010]. – ISBN 978-80-558-1408-7 </t>
  </si>
  <si>
    <t xml:space="preserve">Inovatívne trendy v odborových didaktikách v kontexte požiadaviek praxe [elektronický dokument]  [zborník (do 2021)] : zborník štúdií z medzinárodnej vedeckej konferencie / Duchovičová, Jana [Zostavovateľ, editor, UKFPFAKPE, 25%] ; Gunišová, Denisa [Zostavovateľ, editor, UKFPFAKPE, 25%] ; Kozárová, Nina [Zostavovateľ, editor, UKFPFAKPE, 25%] ; Koleňáková, Rebeka Štefánia [Zostavovateľ, editor, UKFPFAKPE, 25%] ; Kmeťová, Jarmila [Recenzent] ; Bírová, Jana [Recenzent] ; Komora, Juraj [Recenzent] ; Inovatívne trendy v odborových didaktikách v kontexte požiadaviek praxe [13.11.2017-14.11.2017, Nitra, Slovensko]. – 1. vyd. – Nitra (Slovensko) : Univerzita Konštantína Filozofa v Nitre. Pedagogická fakulta UKF, 2018. – 575 s. [online] : text, graf., tab. – [slovenčina, angličtina]. – [OV 010, 210]. – ISBN 978-80-558-1277-9 </t>
  </si>
  <si>
    <t xml:space="preserve">Intuícia a imaginácia vo filozofii a vede [textový dokument (print)]  [zborník (do 2021)] / Javorská, Andrea [Zostavovateľ, editor, UKFFFAKFI, 50%] ; Kyslan, Peter [Zostavovateľ, editor, PUPFIIF, 50%] ; Szapuová, Mariana [Recenzent] ; Sivák, Jozef [Recenzent] ; Intuícia a imaginácia vo filozofii a vede [10.10.2018-12.10.2018, Stará Lesná, Slovensko]. – 1. vyd. – Bratislava (Slovensko) : Slovenská akadémia vied, 2019. – 195 s. [tlačená forma] : text. – [slovenčina]. – [OV 020]. – ISBN 978-80-973092-3-7. – SIGN-PU FF-20 852/19 </t>
  </si>
  <si>
    <t xml:space="preserve">Kalendárna obyčajová kultúra vo vidieckom prostredí na začiatku 21. storočia [textový dokument (print)]  [zborník (do 2021)] : (vybrané problémy) / Jágerová, Margita [Zostavovateľ, editor, UKFFFAKEF, 100%] ; Večerková, Eva [Recenzent] ; Jakubíková, Kornélia [Recenzent]. – 1. vyd. – Nitra (Slovensko) : Univerzita Konštantína Filozofa v Nitre, 2018. – 291 s. [tlačená forma] : text. – [slovenčina]. – [OV 030]. – ISBN 978-80-558-1268-7 </t>
  </si>
  <si>
    <t xml:space="preserve">Kétnyelvűség – oktatás – nyelvmenedzselés [textový dokument (print)]  [zborník (do 2021)] : írások, tanulmányok Vančo Ildikó születésnapjára = Bilingvizmus – vzdelávanie – jazykový manažment / Kozmács, István [Zostavovateľ, editor, UKFFSSUML, 50%] ; Csernicskó, István [Zostavovateľ, editor, 50%] ; Heltai, János Imre [Recenzent] ; Sándor, Klára [Recenzent]. – 1. vyd. – Nitra (Slovensko) : Univerzita Konštantína Filozofa v Nitre. Fakulta stredoeurópskych štúdií, 2021. – 344 s. [tlačená forma] : text. – (Europica varietas ; 152). – [maďarčina]. – [OV 020]. – ISBN 978-80-558-1737-8 </t>
  </si>
  <si>
    <t xml:space="preserve">Kierkegaard’s legacy, Mass‐media and Journalism [textový dokument (print)]  [zborník (do 2021)] = La herencia de Kierkegaard, los medios de comunicación masiva y el periodismo / Štúr, Martin [Zostavovateľ, editor, UKFFFAKRO, 85%] ; Králik, Roman [Zostavovateľ, editor, UKFFFAKAE 06.2022, 15%] ; Binetti, Maria Jose [Recenzent]. – 1. vyd. – Toronto (Kanada) : Kierkegaard Circle, 2018. – 117 s. [tlačená forma] : text. – [angličtina, španielčina]. – [OV 020]. – ISBN 978-1-988129-01-3 </t>
  </si>
  <si>
    <t xml:space="preserve">Kniha abstraktov 52. medzinárodnej konferencie archeológie stredoveku,20. – 22. 9. 2021 [elektronický dokument]  [zborník (do 2021)] : "človek a jeho životný priestor" / Beljak Pažinová, Noémi [Zostavovateľ, editor, UKFFFAKAR, 50%] ; Borzová, Zuzana [Zostavovateľ, editor, UKFFFAKAR, 50%] ; Človek a jeho životný priestor, 52 [20.09.2021-22.09.2021, Nitra, Slovensko]. – 1. vyd. – Nitra (Slovensko) : Univerzita Konštantína Filozofa v Nitre, 2021. – 71 s. [online] : text. – [slovenčina]. – [OV 030]. – [recenzované]. – ISBN (online) 978-80-558-1744-6 </t>
  </si>
  <si>
    <t xml:space="preserve">Kontextuálna analýza princípu náboženskej a etickej neutrality štátu [textový dokument (print)]  [zborník (do 2021)] / Korený, Peter [Zostavovateľ, editor, UKFFFAKAE 06.2022, 100%] ; Plašienková, Zlatica [Recenzent] ; Diatka, Cyril [Recenzent]. – 1. vyd. – Nitra (Slovensko) : Univerzita Konštantína Filozofa v Nitre, 2019. – 142 s. : text. – [slovenčina]. – [OV 020]. – ISBN 978-80-558-1495-7 </t>
  </si>
  <si>
    <t xml:space="preserve">Konvergencie vedeckej činnosti študentov a učiteľov [textový dokument (print)]  [zborník (do 2021)] / Verešová, Marcela [Zostavovateľ, editor, UKFPFAKAP, 100%] ; Pavelová, Ľuba [Recenzent] ; Valihorová, Marta [Recenzent]. – 1. vyd. – Nitra (Slovensko) : Univerzita Konštantína Filozofa v Nitre, 2020. – 228 s. [tlačená forma] : text. – [slovenčina]. – [OV 060, 010]. – ISBN 978-80-558-1543-5 </t>
  </si>
  <si>
    <t xml:space="preserve">Konvergencie vedeckej činnosti študentov a učiteľov 2 [textový dokument (print)]  [zborník (do 2021)] / Verešová, Marcela [Zostavovateľ, editor, UKFPFAKAP, 100%] ; Pavelová, Ľuba [Recenzent] ; Valihorová, Marta [Recenzent]. – 1. vyd. – Nitra (Slovensko) : Univerzita Konštantína Filozofa v Nitre, 2021. – 233 s. [tlačená forma] : text. – [slovenčina]. – [OV 010]. – ISBN 978-80-558-1732-3 </t>
  </si>
  <si>
    <t xml:space="preserve">Kreativitás, változás, reziliencia [textový dokument (print)]  [zborník (do 2021)] : 3. Nemzetközi Turizmusmarketing Konferencia, Pécs, 2020. április 3. / Csapó, János [Zostavovateľ, editor, UKFFSSKCR, 50%] ; Csóka, László [Zostavovateľ, editor, 50%] ; Csapó, János [Recenzent] ; Gonda, Tibor [Recenzent]. – 1. vyd. – Pécs (Maďarsko) : Pécsi Tudományegyetem Közgazdaságtudományi Kar, 2020. – 314 s. [tlačená forma]. – [maďarčina]. – [OV 080]. – ISBN 978-963-429-506-8 </t>
  </si>
  <si>
    <t xml:space="preserve">Kultúra a súčasnosť 17 [textový dokument (print)]  [zborník (do 2021)] / Gallik, Ján [Zostavovateľ, editor, UKFFSSUSJ, 50%] ; Jozek, Milan [Zostavovateľ, editor, UKFFSSUSJ, 50%] ; Magalová, Gabriela [Recenzent] ; Zelenka, Miloš [Recenzent]. – 1. vyd. – Nitra (Slovensko) : Univerzita Konštantína Filozofa v Nitre, 2018. – 185 s. [tlačená forma] : text. – [slovenčina]. – [OV 020]. – ISBN 978-80-558-1296-0 </t>
  </si>
  <si>
    <t xml:space="preserve">Labor socialis - "Sociálna práca- profesia s perspektívou, profesia s poslaním" [elektronický dokument]  [zborník (do 2021)] : recenzovaný zborník príspevkov z vedeckej konferencie s medzinárodnou účasťou, ktorá sa uskutočnila na Univerzite Konštantína Filozofa v Nitre dňa 20. septembra 2018 / Gažiková, Elena [Zostavovateľ, editor, UKFFSVKSP, 50%] ; Horáková, Magdaléna [Zostavovateľ, editor, UKFFSVKSP, 50%] ; Gabura, Ján [Recenzent] ; Mojtová, Martina [Recenzent] ; Labor socialis - "Sociálna práca- profesia s perspektívou, profesia s poslaním" [20.09.2018, Nitra, Slovensko]. – 1. vyd. – Nitra (Slovensko) : Univerzita Konštantína Filozofa v Nitre, 2018. – 154 s. [CD-ROM]. – [slovenčina]. – [OV 060]. – ISBN 978-80-558-1367-7 </t>
  </si>
  <si>
    <t xml:space="preserve">Labor Socialis "Sociálna práca v súčasnosti - objavovanie rozmanitosti" [textový dokument (print)]  [zborník (do 2021)] : zborník príspevkov z vedeckej konferencie s medzinárodnou účasťou, Nitra 26. septembra 2019 / Gažiková, Elena [Zostavovateľ, editor, UKFFSVKSP, 50%] ; Minarovičová, Katarína [Zostavovateľ, editor, UKFFSVKSP, 50%] ; Gabura, Ján [Recenzent] ; Kozubík, Michal [Recenzent] ; Labor Socialis - "Sociálna práca v súčasnosti - objavovanie rozmanitosti" [26.09.2019, Nitra, Slovensko]. – 1. vyd. – Nitra (Slovensko) : Univerzita Konštantína Filozofa v Nitre, 2020. – 156 s. [tlačená forma] : text. – [slovenčina]. – [OV 060]. – ISBN 978-80-558-1492-6 </t>
  </si>
  <si>
    <t xml:space="preserve">Las fronteras de la traducción [textový dokument (print)]  [zborník (do 2021)] : las prácticas traductivas como cuestión sociocultural / Lampis, Mirko [Zostavovateľ, editor, UKFFFAKRO, 100%] ; González de Ávila, Manuel [Recenzent] ; Linares Alés, Francisco [Recenzent]. – 1. vyd. – Sevilla (Španielsko) : Alfar, 2019. – 249 s. [tlačená forma] : text. – [španielčina]. – [OV 020]. – ISBN 978-84-7898-824-2 </t>
  </si>
  <si>
    <t xml:space="preserve">Literatúra a jej filmová podoba v stredoeurópskom kontexte [textový dokument (print)]  [zborník (do 2021)] : zborník štúdií z medzinárodnej vedeckej konferencie, konanej 15. októbra 2019 na FSŠ UKF v Nitre / Timko, Štefan [Zostavovateľ, editor, UKFFSSUSJ, 100%] ; Pokorný, Milan [Recenzent] ; Zelenka, Miloš [Recenzent]. – 1. vyd. – Nitra (Slovensko) : Univerzita Konštantína Filozofa v Nitre, 2020. – 198 s. [tlačená forma] : text. – [slovenčina]. – [OV 020]. – ISBN 978-80-558-1570-1 </t>
  </si>
  <si>
    <t xml:space="preserve">Los estudios culturales sobre el arte independiente y la cultura [textový dokument (print)]  [editovaná kniha (do 2021)] : (Las perspectivas de investigación entre los siglos xx y xxi) / Fuják, Július [Zostavovateľ, editor, UKFFFAKKU, 100%] ; Štúr, Martin [Recenzent] ; Malíček, Juraj [Recenzent]. – 1. vyd. – Sevilla (Španielsko) : Ediciones Alfar, 2020. – 160 s. [tlačená forma]. – [španielčina]. – [OV 020]. – ISBN 978-84-7898-875-4 </t>
  </si>
  <si>
    <t xml:space="preserve">Malé osobnosti veľkých dejín - veľké osobnosti malých dejín : Hudba v Bratislave [textový dokument (print)] [elektronický dokument]  [zborník (do 2021)] : príspevky k hudobnej regionalistike / Bartová, Jana [Zostavovateľ, editor, UKOFIHV, 50%] ; Szórádová, Eva [Zostavovateľ, editor, UKFPFAKHU, 50%] ; Bugalová, Edita [Recenzent] ; Medňanský, Karol [Recenzent] ; Malé osobnosti veľkých dejín - veľké osobnosti malých dejín [27.06.2019-28.06.2019, Bratislava, Slovensko]. – 1. vyd. – Roč. 6. – Bratislava (Slovensko) : Slovenská muzikologická asociácia ; Slovenské národné múzeum. Hudobné múzeum ; Univerzita Komenského v Bratislave. Filozofická fakulta UK. Katedra muzikológie, 2021. – 324 s. [tlačená forma] [online] : text, tab., not. záp. – [slovenčina]. – [OV 020]. – ISBN 978-80-8060-505-6. – ISBN (online) 978-80-8060-504-9 </t>
  </si>
  <si>
    <t xml:space="preserve">Míľniky 20. storočia v regióne Nitrianskeho kraja [textový dokument (print)]  [zborník (do 2021)] / Palárik, Miroslav [Zostavovateľ, editor, UKFFFAKHI, 90%] ; Belej, Milan [Zostavovateľ, editor, 5%] ; Keresteš, Peter [Zostavovateľ, editor, 5%]. – 1. vyd. – Nitra (Slovensko) : Štátny archív v Nitre, 2018. – 244 s. [tlačená forma]. – [slovenčina]. – [OV 030]. – ISBN 978-80-973263-0-2 </t>
  </si>
  <si>
    <t xml:space="preserve">Modern approaches in foreign language learning: methodological and psychological issues [textový dokument (print)]  [zborník (do 2021)] / Hornáčková Klapicová, Edita [Zostavovateľ, editor, UKFFFAKTR, 100%] ; Bączkowska, Anna [Recenzent] ; Hass, Jeffrey [Recenzent]. – 1. vyd. – Madrid (Španielsko) : Ediciones Xorki, 2020. – 188 s. [tlačená forma] : text. – [angličtina]. – [OV 020]. – ISBN 978-84-948441-4-0 </t>
  </si>
  <si>
    <t xml:space="preserve">Moderné jazyky v súčasnej Európe [textový dokument (print)]  [zborník (do 2021)] / Zelenická, Elena [Zostavovateľ, editor, UKFFFAJZC, 100%] ; Šenkár, Patrik [Recenzent] ; Dudová, Katarína [Recenzent]. – 1. vyd. – Nitra (Slovensko) : Univerzita Konštantína Filozofa v Nitre, 2018. – 179 s. [tlačená forma] : text. – [slovenčina]. – [OV 020]. – ISBN 978-80-558-1359-2 </t>
  </si>
  <si>
    <t xml:space="preserve">Nezávislé kultúrne centrá na Slovensku [textový dokument (print)] [elektronický dokument]  [zborník (do 2021)] / Fuják, Július [Zostavovateľ, editor, UKFFFAKKU, 100%] ; Ballay, Miroslav [Recenzent] ; Malíček, Juraj [Recenzent]. – 1. vyd. – Nitra (Slovensko) : Univerzita Konštantína Filozofa v Nitre, 2021. – 188 s. [tlačená forma] [online] : text. – [slovenčina]. – [OV 020, 060]. – ISBN 978-80-558-1674-6 </t>
  </si>
  <si>
    <t xml:space="preserve">Nonartificiálna hudba v edukácii [elektronický dokument]  [zborník (do 2021)] : zborník príspevkov z elektronickej vedeckej konferencieu projektu KEGA – Nonartificiálna hudba vo vokálnej edukácii. Konferencia sa koná pod záštitou dekana Pedagogickej fakulty UKF v Nitre doc. PaedDr. Gábora Pintesa, PhD.  20. – 24. mája 2019 / Štrbák Pandiová, Iveta [Zostavovateľ, editor, UKFPFAKHU, 100%] ; Švajková, Tatiana [Recenzent] ; Ťahún Mendelová, Antónia [Recenzent]. – 1. vyd. – Nitra (Slovensko) : Univerzita Konštantína Filozofa v Nitre, 2019. – 111 s. [online] : text. – [slovenčina]. – [OV 010]. – ISBN 978-80-558-1445-2 </t>
  </si>
  <si>
    <t xml:space="preserve">Nové výzvy masmediálnej a marketingovej komunikácie 7 [elektronický dokument]  [zborník (do 2021)] : recenzovaný zborník príspevkov zo 7. ročníka vedecko - odborného seminára / Schlosserová, Zuzana [Zostavovateľ, editor, UKFFFAKMR, 50%] ; Balážiová, Iveta [Zostavovateľ, editor, UKFFFAKMR, 50%] ; Nové výzvy masmediálnej a marketingovej komunikácie, 7 [04.12.2017, Nitra, Slovensko]. – 1. vyd. – Nitra (Slovensko) : Univerzita Konštantína Filozofa v Nitre, 2018. – 59 s. [3,28 AH] [CD-ROM] : text. – [slovenčina]. – [OV 060]. – ISBN 978-80-558-1315-8 </t>
  </si>
  <si>
    <t xml:space="preserve">Novotvar 2019 [zborník (do 2021)] / Brezňan, Peter [Zostavovateľ, editor, UKFFFAULK, 100%]. – 1. vyd. – Bratislava (Slovensko) : Fidat, 2019. – 178 s. [tlačená forma] : text. – [slovenčina]. – [OV 020]. – ISBN 978-80-973454-0-2 </t>
  </si>
  <si>
    <t xml:space="preserve">Obrazy citlivých miest slovenskej histórie. Reinterpretácia kultúrnej pamäti v umení [textový dokument (print)]  [zborník (do 2021)] / Kapsová, Eva [Zostavovateľ, editor, UKFFFAULK, 100%] ; Šabík, Vincent [Recenzent] ; Hochel, Igor [Recenzent]. – 1. vyd. – Nitra (Slovensko) : Univerzita Konštantína Filozofa v Nitre, 2018. – 274 s. [tlačená forma] : text. – [slovenčina]. – [OV 010, 020, 040]. – ISBN 978-80-558-1354-7 </t>
  </si>
  <si>
    <t xml:space="preserve">Od demokracie k autoritárstvu. Ponitrie v období autonómie (1938 – 1939) [textový dokument (print)] [elektronický dokument]  [zborník (do 2021)] / Arpáš, Róbert [Zostavovateľ, editor, UKFFFAKHI, 100%] ; Ruman, Ladislav [Recenzent] ; Mičko, Peter [Recenzent]. – 1. vyd. – Nitra (Slovensko) : Univerzita Konštantína Filozofa v Nitre, 2021. – 167 s. [tlačená forma] [online] : text. – [slovenčina]. – [OV 030]. – ISBN 978-80-558-1672-2 </t>
  </si>
  <si>
    <t xml:space="preserve">Odborný cudzí jazyk: teória a prax [textový dokument (print)]  [zborník (do 2021)] : zborník z medzinárodnej vedeckej konferencie / Zelenická, Elena [Zostavovateľ, editor, UKFFFAJZC, 100%] ; Timárová, Daniela [Recenzent] ; Kulíková, Terézia [Recenzent] ; Odborný cudzí jazyk: teória a prax [18.12.2020, Nitra, Slovensko]. – 1. vyd. – Nitra (Slovensko) : Univerzita Konštantína Filozofa v Nitre. Filozofická fakulta, 2020. – 213 s. [tlačená forma] : text. – [slovenčina, angličtina]. – [OV 020, 010]. – ISBN 978-80-558-1608-1 </t>
  </si>
  <si>
    <t xml:space="preserve">Optima Opus 2017 [textový dokument (print)]  [zborník (do 2021)] / Rosinský, Rastislav [Zostavovateľ, editor, UKFFSVURS, 100%]. – 1. vyd. – Nitra (Slovensko) : Univerzita Konštantína Filozofa v Nitre, 2018. – 194 s. [tlačená forma]. – [slovenčina]. – [OV 060]. – ISBN 978-80-558-1262-5 </t>
  </si>
  <si>
    <t xml:space="preserve">Optima Opus 2018 [textový dokument (print)]  [zborník (do 2021)] / Rosinský, Rastislav [Zostavovateľ, editor, UKFFSVURS, 100%]. – 1. vyd. – Nitra (Slovensko) : Univerzita Konštantína Filozofa v Nitre, 2019. – 240 s. [tlačená forma] : text. – [slovenčina]. – [OV 060]. – [recenzované]. – ISBN 978-80-558-1377-6 </t>
  </si>
  <si>
    <t xml:space="preserve">Optima Opus 2019 [textový dokument (print)]  [zborník (do 2021)] / Rosinský, Rastislav [Zostavovateľ, editor, UKFFSVURS, 100%] ; Koleják, Kamil [Recenzent] ; Gabura, Ján [Recenzent]. – 1. vyd. – Nitra (Slovensko) : Univerzita Konštantína Filozofa v Nitre, 2020. – 239 s. [tlačená forma] : text. – [slovenčina]. – [OV 060]. – ISBN 978-80-558-1497-1 </t>
  </si>
  <si>
    <t xml:space="preserve">Optima Opus 2020 [textový dokument (print)]  [zborník (do 2021)] / Rosinský, Rastislav [Zostavovateľ, editor, UKFFSVURS, 100%] ; Solgajová, Andrea [Recenzent] ; Hudák, Marián [Recenzent] ; Šlepecký, Miloš [Recenzent] ; Sollár, Tomáš [Recenzent] ; Kozubík, Michal [Recenzent] ; Jašeková, Nina [Recenzent]. – 1. vyd. – Nitra (Slovensko) : Univerzita Konštantína Filozofa v Nitre, 2020. – 185 s. [tlačená forma] : text. – [slovenčina]. – [OV 060]. – ISBN 978-80-558-1601-2 </t>
  </si>
  <si>
    <t xml:space="preserve">Ošetřovatelské intervence ve vztahu k ošetřovatelským diagnózám [textový dokument (print)]  [zborník (do 2021)] : recenzovaný sborník vědeckých prací. vydaný k příležitosti 5. výročí spolupráce ve vědě a výzkumu mezi akademickými a klinickými pracovníky Katedry ošetřovatelství a porodní asistence FZS ZCU v Plzni České republiky a Katedry ošetřovatelství FSVaZ UKF v Nitre Slovenské republiky = Nursing Interventions in Relation to the Nursing Diagnosis / Archalousová, Alexandra [Zostavovateľ, editor, UKFFSVKOS, 80%] ; Frei, Jiří [Zostavovateľ, editor, 20%] ; Andraščíková, Štefánia [Recenzent] ; Derňarová, Ľubica [Recenzent]. – 1. vyd. – Plzeň (Česko) : Západočeská univerzita v Plzni, 2021. – 119 s. [tlačená forma] : text. – [slovenčina, angličtina, čeština]. – [OV 180]. – ISBN 978-80-261-1056-9 </t>
  </si>
  <si>
    <t xml:space="preserve">Ošetřovatelství v domácí péči - právní, etický, legislativní průrez metodologií ošetřovatelské praxe [textový dokument (print)]  [zborník (do 2021)] / Archalousová, Alexandra [Zostavovateľ, editor, UKFFSVKOS, 100%]. – 1. vyd. – Hradec Králové (Česko) : Pracoviště ošetřovatelské péče, 2018. – 121 s. [tlačená forma] : text. – [čeština]. – [OV 180]. – ISBN 978-80-906319-3-9 </t>
  </si>
  <si>
    <t xml:space="preserve">Pavol Strauss, prorok novej evanjelizácie [textový dokument (print)]  [zborník (do 2021)] / Žilka, Tibor [Zostavovateľ, editor, UKFFSSUSJ, 50%] ; Gallik, Ján [Zostavovateľ, editor, UKFFSSUSJ, 50%]. – 1. vyd. – Liptovský Mikuláš (Slovensko) : G-Ateliér, 2018. – 225 s. [tlačená forma] : text. – [slovenčina]. – [OV 020]. – ISBN 978-80-89739-14-1 </t>
  </si>
  <si>
    <t xml:space="preserve">Poétikai kisszótar [editovaná kniha (do 2021)] : 500 fogalom magyarázata irodalmi példákkal szemléltetve / Žilka, Tibor [Zostavovateľ, editor, UKFFSSUSJ, 100%]. – 1. vyd. – Budapešť (Maďarsko) : Tinta Könyvkiadó, 2019. – 248 s. [tlačená forma] : text. – [maďarčina]. – [OV 020]. – ISBN 978-963-409-167-7 </t>
  </si>
  <si>
    <t xml:space="preserve">Pohybová aktivita a kvalita života žiakov stredných škôl [textový dokument (print)]  [zborník (do 2021)] / Kalinková, Mária [Zostavovateľ, editor, UKFPFAKTV, 100%] ; Rozim, Robert [Recenzent] ; Kompan, Jaroslav [Recenzent]. – 1. vyd. – Nitra (Slovensko) : Univerzita Konštantína Filozofa v Nitre, 2018. – 211 s. [tlačená forma] : text. – [slovenčina]. – [OV 210]. – ISBN 978-80-558-1368-4 </t>
  </si>
  <si>
    <t xml:space="preserve">Pragmatické dimenzie umenia a estetiky [textový dokument (print)]  [zborník (do 2021)] : zborník príspevkov z medzinárodnej konferencie Pragmatické dimenzie umenia a estetiky, ktorá sa konala v dňoch 19. až 21. septembra 2017 / Pašteková, Michaela [Zostavovateľ, editor, 50%] ; Debnár, Marek [Zostavovateľ, editor, UKFFFAKAE 06.2022, 50%] ; Pragmatické dimenzie umenia a estetiky [19.09.2017-21.09.2017, Bratislava, Slovensko]. – 1. vyd. – Bratislava (Slovensko) : Slovenská asociácia pre estetiku, 2018. – 303 s. [tlačená forma] : text. – [slovenčina]. – [OV 020]. – [recenzované]. – ISBN 978-80-972624-1-9 </t>
  </si>
  <si>
    <t xml:space="preserve">Príprava učiteľov prírodovedných, poľnohospodárskych a príbuzných odborov v meniacich sa požiadavkách praxe [elektronický dokument]  [zborník (do 2021)] / Sandanusová, Anna [Zostavovateľ, editor, UKFFPVKZA, 60%] ; Dytrtová, Radmila [Zostavovateľ, editor, 40%] ; Morovič, Martin [Recenzent] ; Švecová, Milada [Recenzent]. – 1 vyd. – Nitra (Slovensko) : Univerzita Konštantína Filozofa v Nitre, 2019. – 225 .s [CD-ROM] : text. – [slovenčina]. – [OV 130, 190]. – ISBN 978-80-558-1393-6 </t>
  </si>
  <si>
    <t xml:space="preserve">Proceedings of the 2nd Central European Symposium on Thermophysics [textový dokument (print)]  [zborník (do 2021)] / Trník, Anton [Zostavovateľ, editor, UKFFPVKFY, 50%] ; Medveď, Igor [Zostavovateľ, editor, 010240 01.2021, 50%] ; 2nd Central European Symposium on Thermophysics 2020, CEST 2020, 2 [02.09.2020-04.09.2020, Eger, Maďarsko]. – 1. vyd. – College Park, Maryland (USA) : American Institute of Physics , 2020. – 950 s. [tlačená forma] [online]. – (AIP Conference Proceedings, ISSN 0094-243X, ISSN 1551-7616 ; Volume 2275, SJR: 0,177 ; CiteScore: 0,7 ; SNIP: 0,314). – [angličtina]. – [OV 091]. – [recenzované]. – ISBN 978-0-7354-4005-0. – ISSN 0094243X. – ISSN (online) 15517616. – CPCI-S ; SCO </t>
  </si>
  <si>
    <t xml:space="preserve">Proceedings of the 3rd Central European Symposium on Thermophysics [elektronický dokument]  [zborník (do 2021)] / Trník, Anton [Zostavovateľ, editor, UKFFPVKFY, 50%] ; Suchorab, Zbigniew [Zostavovateľ, editor, 50%] ; Central European Symposium on Thermophysics, 3 [01.09.2021-03.09.2021, Kazimierz Dolny, Poľsko]. – 1. vyd. – Melville, NY (USA) : American Institute of Physics . AIP Publishing, 2021. – 278 s. [online] : text. – [angličtina]. – [OV 091]. – [recenzované]. – ISBN 978-0-7354-4139-2 </t>
  </si>
  <si>
    <t xml:space="preserve">Pútnik svätovojtešský [textový dokument (print)]  [zborník (do 2021)] : katolícky kalendár vydaný Spolkom svätého Vojtecha na 365 dní majúci rok po narodení Krista Pána 2022 [Pútnik svätovojtešský 2022] [Kalendár na rok 2022] / Zumríková Kekeliaková, Monika [Zostavovateľ, editor, UKFFFASJL, 50%] ; Jokelová Ťuchová, Martina [Zostavovateľ, editor, 50%]. – 1. vyd. – Roč. 150. – Trnava (Slovensko) : Spolok svätého Vojtecha, 2021. – 159 s. [tlačená forma]. – [slovenčina]. – [OV 020]. – ISBN 978-80-8161-511-5 </t>
  </si>
  <si>
    <t xml:space="preserve">Pútnik svätovojtešský 2021 [textový dokument (print)]  [zborník (do 2021)] / Zumríková Kekeliaková, Monika [Zostavovateľ, editor, UKFFFASJL, 100%]. – 1. vyd. – Roč. 149. – Trnava (Slovensko) : Spolok svätého Vojtecha, 2020. – 156 s. [tlačená forma]. – [slovenčina]. – [OV 020]. – ISBN 978-80-8161-425-5 </t>
  </si>
  <si>
    <t xml:space="preserve">Pútnik svätovojtešský. Kalendár na rok 2020 [textový dokument (print)]  [zborník (do 2021)] : 1870-2020, 150 rokov Spolku Svätého Vojtecha / Zumríková Kekeliaková, Monika [Zostavovateľ, editor, UKFFFASJL, 100%]. – 1. vyd. – Roč. 148. – Trnava  (Slovensko) : Spolok svätého Vojtecha, 2019. – 158 s. [tlačená forma] : text. – [slovenčina]. – [OV 020]. – ISBN 978-80-8161-388-3 </t>
  </si>
  <si>
    <t xml:space="preserve">Reflexia absolventov doktorandského štúdia [elektronický dokument]  [zborník (do 2021)] : zborník príspevkov z medzinárodnej vedeckej konferencie doktorandov / Tomková, Viera [Zostavovateľ, editor, UKFPFAKTT, 100%] ; Kozík, Tomáš [Recenzent] ; Hašková, Alena [Recenzent] ; Súčasnosť a perspektíva doktorandského štúdia [11.10.2019, Nitra, Slovensko]. – 1. vyd. – Nitra (Slovensko) : Univerzita Konštantína Filozofa v Nitre. Pedagogická fakulta UKF, 2020. – 124 s. [CD-ROM]. – [slovenčina]. – [OV 010]. – ISBN (online) 978-80-558-1554-1 </t>
  </si>
  <si>
    <t xml:space="preserve">Reflexia kultúrno-spoločenských javov [textový dokument (print)]  [zborník (do 2021)] : zborník z konferencie určenej pre doktorandov sociálnych, humanitných a umenovedných odborov, a to 3. - 4. mája 2018 na UKF v Nitre / Hochel, Igor [Zostavovateľ, editor, UKFFFASJL, 50%] ; Popovicsová, Jana [Zostavovateľ, editor, UKFFFASJL, 50%] ; Boszorád, Martin [Recenzent] ; Půtová, Barbora [Recenzent] ; Reflexia kultúrno-spoločenských javov [03.05.2018-04.05.2018, Nitra, Slovensko]. – 1. vyd. – Nitra (Slovensko) : Univerzita Konštantína Filozofa v Nitre, 2018. – 289 s. [tlačená forma] : text. – [slovenčina]. – [OV 020]. – ISBN 978-80-558-1341-7 </t>
  </si>
  <si>
    <t xml:space="preserve">Reflexions about a Cultural and Social Phenomenon: Identity [textový dokument (print)] [elektronický dokument]  [editovaná kniha (do 2021)] / Popovicsová, Jana [Zostavovateľ, editor, UKFFFASJL, 100%]. – 1. vyd. – Berlín (Nemecko ) : Peter Lang, 2020. – 122 s. [tlačená forma] [online]. – (Studies in politics, security and society ; 36). – [angličtina]. – [OV 020]. – [recenzované]. – ISBN 978-3-631-83187-8. – ISBN 978-3-631-84244-7. – ISBN (online) 978-3-631-84242-3. – ISBN (online) 978-3-631-84243-0. – ISSN 2199-028X. – DOI 10.3726/b17862. – SCO </t>
  </si>
  <si>
    <t xml:space="preserve">Religiozita, spiritualita a alternatívne náboženské hnutia [textový dokument (print)]  [zborník (do 2021)] : zborník z medzinárodnej vedeckej konferencie, konanej v Nitre dňa 27. novembra 2019,  organizovanej ako súčasť riešenia grantového projektu APVV 17-0158 Perspektívy vývoja súčasnej religiozity na Slovensku / Kondrla, Peter [Zostavovateľ, editor, UKFFFAKNS, 100%] ; Šuráb, Marian [Recenzent] ; Hlad, Ľubomír [Recenzent]. – 1. vyd. – Nitra (Slovensko) : Univerzita Konštantína Filozofa v Nitre, 2020. – 292 s. [tlačená forma] : text. – [slovenčina]. – [OV 020]. – ISBN 978-80-558-1595-4 </t>
  </si>
  <si>
    <t xml:space="preserve">Ruská poviedkárka Viktória Tokarevová v slovenskej kultúre (translačné reflexie) [textový dokument (print)]  [zborník (do 2021)] / Muránska, Natália [Zostavovateľ, editor, UKFFFAKRU, 50%] ; Pulčár, Vlastimil [Zostavovateľ, editor, UKFFFAKRU, 50%] ; Müglová, Daniela [Recenzent] ; Golikova, Larisa [Recenzent]. – 1. vyd. – Nitra (Slovensko) : Univerzita Konštantína Filozofa v Nitre, 2019. – 144 s. [tlačená forma] : text. – [slovenčina]. – [OV 020]. – ISBN 978-80-558-1446-9 </t>
  </si>
  <si>
    <t xml:space="preserve">Sacri canones editandi. Studies on Medieval Canon Law in Memory of Jiří Kejř [textový dokument (print)]  [editovaná kniha (do 2021)] / Krafl, Pavel Otmar [Zostavovateľ, editor, UKFFFAKHI, 100%]. – 1. vyd. – Nitra (Slovensko) : Univerzita Konštantína Filozofa v Nitre, 2020. – 276 s. [tlačená forma] : text. – [angličtina]. – [OV 030]. – ISBN 978-80-558-1630-2 </t>
  </si>
  <si>
    <t xml:space="preserve">Seeking the National Interest [textový dokument (print)]  [zborník (do 2021)] : Slovakia after 15 Years of EU and NATO Accession / Brhlíková, Radoslava [Zostavovateľ, editor, UKFFFAKPO, 100%] ; Mokrá, Lucia [Recenzent] ; Ivančík, Radoslav [Recenzent]. – 1. vyd. – Stuttgart (Nemecko) : ibidem-Verlag, 2020. – 256 s. [tlačená forma] : text. – [angličtina]. – [OV 060]. – ISBN 978-3-8382-1417-7 </t>
  </si>
  <si>
    <t xml:space="preserve">Sestry : hlas v popredí - zdravie je ľudské právo [textový dokument (print)]  [zborník (do 2021)] : recenzovaný vedecký zborník vydaný pri príležitosti Medzinárodného dňa sestier 2018 / Spáčilová, Zuzana [Zostavovateľ, editor, UKFFSVKOS, 100%]. – 1. vyd. – Nitra (Slovensko) : Univerzita Konštantína Filozofa v Nitre, 2018. – 158 s. [tlačená forma] : text. – [slovenčina]. – [OV 180]. – ISBN 978-80-558-1293-9 </t>
  </si>
  <si>
    <t xml:space="preserve">Sestry : hlas v popredí - zdravie pre všetkých [elektronický dokument]  [zborník (do 2021)] : recenzovaný vedecký zborník vydaný pri príležitosti Medzinárodného dňa sestier 2019 / Spáčilová, Zuzana [Zostavovateľ, editor, UKFFSVKOS, 100%] ; Libová, Ľubica [Recenzent] ; Haluzíková, Jana [Recenzent] ; Pavelová, Ľuboslava [Recenzent]. – 1. vyd. – Nitra (Slovensko) : Univerzita Konštantína Filozofa v Nitre, 2019. – 195 s. [CD-ROM] : text. – [slovenčina]. – [OV 180]. – ISBN 978-80-558-1418-6 </t>
  </si>
  <si>
    <t xml:space="preserve">Sestry: hlas v popredí - ošetrovateľstvom ku globálnemu zdraviu [elektronický dokument]  [zborník (do 2021)] : recenzovaný vedecký zborník vydaný pri príležitosti Medzinárodného dňa sestier 2020 / Spáčilová, Zuzana [Zostavovateľ, editor, UKFFSVKOS, 100%] ; Hlinková, Edita [Recenzent] ; Zrubcová, Dana [Recenzent]. – 1. vyd. – Nitra (Slovensko) : Univerzita Konštantína Filozofa v Nitre, 2020. – 176 s. [CD-ROM] : text. – [slovenčina]. – [OV 180]. – ISBN 978-80-558-1596-1 </t>
  </si>
  <si>
    <t xml:space="preserve">Sestry: hlas v popredí - vízia pre budúcnosť zdravotnej starostlivosti [elektronický dokument]  [zborník (do 2021)] : recenzovaný vedecký zborník vydaný pri príležitosti Medzinárodného dňa sestier 2021 / Spáčilová, Zuzana [Zostavovateľ, editor, UKFFSVKOS, 100%] ; Libová, Ľubica [Recenzent] ; Zrubcová, Dana [Recenzent]. – 1. vyd. – Nitra (Slovensko) : Univerzita Konštantína Filozofa v Nitre, 2021. – 206 s. [CD-ROM]. – [slovenčina]. – [OV 180]. – ISBN 978-80-558-1728-6 </t>
  </si>
  <si>
    <t xml:space="preserve">Sport science in motion [elektronický dokument]  [zborník (do 2021)] : proceedings from the scientific conference, Komárno, May 17th – 19th, 2018 = recenzovaný zborník vedeckých a odborných prác z konferencie = válogatott tanulmánykötet – válogatott tanulmányok a tudományos konferenciáról = Športová veda v pohybe / Šimonek, Jaromír [Zostavovateľ, editor, UKFPFAKTV, 50%] ; Dobay, Beáta [Zostavovateľ, editor, UJSPFKTVŠ, 50%] ; Müller, Anetta [Recenzent] ; Biró, Melinda [Recenzent] ; Pfau, Christa Sára [Recenzent] ; Medeková, Helena [Recenzent] ; Sport science in motion [17.05.2018-19.05.2018, Komárno, Slovensko]. – 1. vyd. – Komárno (Slovensko) : Univerzita J. Selyeho, 2018. – 323 s. [CD-ROM] : text, graf., tab., obr. – [slovenčina, angličtina, čeština, maďarčina]. – [OV 210]. – ISBN 978-80-8122-245-0 </t>
  </si>
  <si>
    <t xml:space="preserve">Sport science in motion [elektronický dokument]  [zborník (do 2021)] : proceedings from the scientific conference, Komárno, September 5th – 7th, 2019 = zborník vedeckých a odborných prác z vedeckej konferencie = válogatott tanulmánykötet – válogatott tanulmányok a tudományos konferenciáról = Športová veda v pohybe / Šimonek, Jaromír [Zostavovateľ, editor, UKFPFAKTV, 50%] ; Dobay, Beáta [Zostavovateľ, editor, UJSPFKTVŠ, 50%] ; Chovanová, Erika [Recenzent] ; Vojtaško, Ľuboš [Recenzent] ; Holienka, Miroslav [Recenzent] ; Sport science in motion [05.09.2019-07.09.2019, Komárno, Slovensko]. – 1. vyd. – Komárno (Slovensko) : Univerzita J. Selyeho, 2019. – 257 s. [CD-ROM] : text, graf., tab., obr. – [slovenčina, angličtina, čeština, maďarčina]. – [OV 210, 010]. – ISBN 978-80-8122-304-4 </t>
  </si>
  <si>
    <t xml:space="preserve">Stredné Slovensko v stredoveku [textový dokument (print)]  [zborník (do 2021)] : vývoj osídlenia regiónu pred udelením mestských privilégií mestu Zvolen / Beljak Pažinová, Noémi [Zostavovateľ, editor, UKFFFAKAR, 50%] ; Borzová, Zuzana [Zostavovateľ, editor, UKFFFAKAR, 50%] ; Ruttkay, Alexander [Recenzent] ; Repka, Dominik [Recenzent] ; Stredné Slovensko v stredoveku [14.09.2018, Zvolen, Slovensko]. – 1. vyd. – Zvolen (Slovensko) : Mesto Zvolen, 2018. – 236 s. [tlačená forma] : text. – [slovenčina]. – [OV 030]. – ISBN 978-80-570-0554-4 </t>
  </si>
  <si>
    <t xml:space="preserve">Stredoškolská konferencia 2021 [textový dokument (print)]  [zborník (do 2021)] / Sandanusová, Anna [Zostavovateľ, editor, UKFFPVKZA, 98%] ; Púchovská, Vlasta [Zostavovateľ, editor, 2%]. – 1. vyd. – Nitra (Slovensko) : Univerzita Konštantína Filozofa v Nitre, 2021. – 64 s. [tlačená forma] : text. – [slovenčina]. – [OV 010]. – ISBN 978-80-89247-78-3 </t>
  </si>
  <si>
    <t xml:space="preserve">Stredoveké hrady na strednom Pohroní [textový dokument (print)]  [zborník (do 2021)] = Medieval Castles in Central Hron Region / Beljak Pažinová, Noémi [Zostavovateľ, editor, UKFFFAKAR, 100%] ; Mordovin, Maxim [Recenzent] ; Labuda, Jozef [Recenzent]. – 1. vyd. – Nitra (Slovensko) : Slovenská akadémia vied. Pracoviská SAV. Archeologický ústav, 2021. – 244 s. [tlačená forma] : text. – [slovenčina]. – [OV 030]. – ISBN 978-80-8196-052-9 </t>
  </si>
  <si>
    <t xml:space="preserve">Súčasné migrácie a ich reflexia v spoločenskom vedomí [textový dokument (print)]  [zborník (do 2021)] : zborník príspevkov z medzinárodnej vedeckej (online) konferencie v Nitre 22. - 23. septembra 2021 / Letavajová, Silvia [Zostavovateľ, editor, UKFFFAKMK, 100%] ; Čukan, Jaroslav [Recenzent] ; Lenč, Jozef [Recenzent] ; Hlinčíková, Miroslava [Recenzent]. – 1. vyd. – Nitra (Slovensko) : Univerzita Konštantína Filozofa v Nitre, 2021. – 344 s. [tlačená forma] : text. – [slovenčina]. – [OV 010]. – ISBN 978-80-558-1800-9 </t>
  </si>
  <si>
    <t xml:space="preserve">Svätoplukovo kráľovstvo ožíva [textový dokument (print)]  [zborník (do 2021)] : publikácia ocenených prác z 10. ročníka celoslovenskej súťaže: školský rok 2018/2019 / Petráš, Patrik [Zostavovateľ, editor, UKFFFASJL, 50%] ; Bodis, Martin [Zostavovateľ, editor, UKFFFASJL, 50%]. – 1. vyd. – Nitra (Slovensko) : Univerzita Konštantína Filozofa v Nitre, 2019. – 82 s. [tlačená forma] : text. – [slovenčina]. – [OV 030]. – ISBN 978-80-558-1409-4 </t>
  </si>
  <si>
    <t xml:space="preserve">Svätoplukovo kráľovstvo ožíva [textový dokument (print)]  [zborník (do 2021)] : publikácia ocenených prác z 11. a 12. ročníka celoslovenskej súťaže: školské roky 2019/2020 – 2020/2021 / Bodis, Martin [Zostavovateľ, editor, UKFFFASJL, 50%] ; Petráš, Patrik [Zostavovateľ, editor, UKFFFASJL, 50%]. – 1. vyd. – Nitra (Slovensko) : Univerzita Konštantína Filozofa v Nitre, 2021. – 108 s. [online] : text, ilustr. – [slovenčina]. – [OV 020]. – ISBN 978-80-558-1742-2 </t>
  </si>
  <si>
    <t xml:space="preserve">Sviatočne obyčajné dni [textový dokument (print)]  [editovaná kniha (do 2021)] / Hatala, Marián [Autor, 100%] ; Rožňová, Jitka [Zostavovateľ, editor, UKFFFAKZU, 100%]. – 1. vyd. – Bratislava (Slovensko) : Petrus, 2020. – 125 s. [tlačená forma] : text. – [slovenčina]. – [OV 060]. – ISBN 978-80-89913-57-2 </t>
  </si>
  <si>
    <t xml:space="preserve">Synergien - 25 Jahre Germanistik und DAAD an der Philosoph Konstantin-Universität Nitra [textový dokument (print)]  [zborník (do 2021)] : Sammelband. Internationale wissenschaftliche Tagung / Krause, Daniel [Zostavovateľ, editor, UKFFFAKGE, 50%] ; Wrede, Oľga [Zostavovateľ, editor, UKFFFAKGE, 50%] ; Synergien: 25 Jahre Germanistik und DAAD an der Philosoph Konstantin-Universität Nitra, 25 [27.04.2017-28.04.2017, Nitra, Slovensko]. – 1. vyd. – Nitra (Slovensko) : Univerzita Konštantína Filozofa v Nitre, 2018. – 410 s. [tlačená forma] : text. – [nemčina]. – [OV 020]. – ISBN 978-80-558-1305-9 </t>
  </si>
  <si>
    <t xml:space="preserve">Školský manažment [elektronický dokument]  [editovaná kniha (do 2021)] : terminologický a výkladový slovník / Pisoňová, Mária [Zostavovateľ, editor, UKFPFAKPE, 100%]. – 2. rozš. vyd. – Bratislava (Slovensko) : Univerzita Komenského v Bratislave, 2018. – 293 s. [CD-ROM] : text. – [slovenčina]. – [OV 010]. – ISBN 978-80-223-4551-4 </t>
  </si>
  <si>
    <t xml:space="preserve">Špeciálna pedagogika 2 [textový dokument (print)]  [editovaná kniha (do 2021)] : kompendium súčasnej špeciálnej pedagogiky podľa užšieho zamerania pre špeciálnych pedagógov, liečebných pedagógov a logopédov / Žovinec, Erik [Autor, UKFPFAKPE, 51%] ; Jedličková, Petra [Autor, UKFPFAKPE, 9%] ; Debnárová Grznárová, Monika [Autor, 9%] ; Duchovičová, Jana [Autor, UKFPFAKPE, 3%] ; Koleňáková, Rebeka Štefánia [Autor, UKFPFAKPE, 3%] ; Hošová, Dominika [Autor, UKFPFAKPE, 3%] ; Beliková, Vladimíra [Autor, UKFPFAKPE, 22%] ; Žovinec, Erik [Zostavovateľ, editor, UKFPFAKPE, 100%] ; Seidler, Peter [Recenzent] ; Lechta, Viktor [Recenzent]. – 1. vyd. – Nitra (Slovensko) : Univerzita Konštantína Filozofa v Nitre, 2019. – 232 s. [tlačená forma] : text. – [slovenčina]. – [OV 010]. – ISBN 978-80-558-1379-0 </t>
  </si>
  <si>
    <t xml:space="preserve">Šport a rekreácia 2018 [textový dokument (print)]  [zborník (do 2021)] : zborník vedeckých prác / Broďáni, Jaroslav [Zostavovateľ, editor, UKFPFAKTV, 100%] ; Novotná, Nadežda [Recenzent] ; Lenková, Rút [Recenzent]. – 1. vyd. – Nitra (Slovensko) : Univerzita Konštantína Filozofa v Nitre, 2018. – 213 s. [tlačená forma] : text. – [slovenčina]. – [OV 210]. – ISBN 978-80-558-1301-1 </t>
  </si>
  <si>
    <t xml:space="preserve">Šport a rekreácia 2019 (Recenzovaný nekonferenčný zborník vedecko-výskumných a odborných prác, zameraný na prezentáciu poznatkov v oblasti športu, telesnej výchovy, diagnostiky, zdravia, rekreácie, cestovného ruchu, regenerácie, manažmentu, atď.) [textový dokument (print)] [elektronický dokument]  [zborník (do 2021)] : zborník vedeckých prác / Broďáni, Jaroslav [Zostavovateľ, editor, UKFPFAKTV, 50%] ; Kováčová, Natália [Zostavovateľ, editor, UKFPFAKTV, 50%] ; Kampmiller, Tomáš [Recenzent] ; Bartík, Pavol [Recenzent] ; Michal, Jiří [Recenzent] ; Šutka, Vladimír [Recenzent] ; Halmová, Nora [Recenzent] ; Kanásová, Janka [Recenzent] ; Ružbarská, Ingrid [Recenzent] ; Mandzáková, Martina [Recenzent] ; Rošková, Miroslava [Recenzent] ; Rozim, Robert [Recenzent] ; Doležajová, Ladislava [Recenzent] ; Kraček, Stanislav [Recenzent] ; Luptáková, Martina [Recenzent] ; Nemček, Dagmar [Recenzent] ; Šmela, Pavel [Recenzent] ; Czaková, Natália [Recenzent] ; Hrnčár, Roman [Recenzent]. – 1. vyd. – Nitra (Slovensko) : Univerzita Konštantína Filozofa v Nitre. Pedagogická fakulta UKF. Katedra telesnej výchovy a športu, 2019. – 268 s. [tlačená forma] [online] : text, graf., tab., obr. – [slovenčina]. – [OV 210]. – ISBN 978-80-558-1415-5 </t>
  </si>
  <si>
    <t xml:space="preserve">Šport a rekreácia 2020 (Recenzovaný nekonferenčný zborník vedecko-výskumných a odborných prác, zameraný na prezentáciu poznatkov v oblasti športu, telesnej výchovy, diagnostiky, zdravia, rekreácie, cestovného ruchu, regenerácie, manažmentu, atď.) [textový dokument (print)] [elektronický dokument]  [zborník (do 2021)] : zborník vedeckých prác / Broďáni, Jaroslav [Zostavovateľ, editor, UKFPFAKTV, 50%] ; Czaková, Monika [Zostavovateľ, editor, UKFPFAKTV, 50%] ; Halmová, Nora [Recenzent] ; Lenková, Rút [Recenzent] ; Nemček, Dagmar [Recenzent] ; Kanásová, Janka [Recenzent] ; Šutka, Vladimír [Recenzent] ; Rozim, Robert [Recenzent] ; Buková, Alena [Recenzent] ; Krčmárová, Bohumila [Recenzent] ; Horbacz, Agata [Recenzent] ; Luptáková, Martina [Recenzent] ; Kraček, Stanislav [Recenzent] ; Dzugas, Dalibor [Recenzent] ; Žiška, Peter [Recenzent] ; Czaková, Natália [Recenzent] ; Bartolčičová, Barbora [Recenzent] ; Krčmár, Matúš [Recenzent] ; Važan, Róbert [Recenzent]. – 1. vyd. – Nitra (Slovensko) : Univerzita Konštantína Filozofa v Nitre. Pedagogická fakulta UKF. Katedra telesnej výchovy a športu, 2020. – 296 s. [tlačená forma] [online] : text, fotogr., graf., tab., obr. – [slovenčina]. – [OV 010, 210]. – ISBN 978-80-558-1541-1 </t>
  </si>
  <si>
    <t xml:space="preserve">Šport a rekreácia 2021 (Recenzovaný nekonferenčný zborník vedecko-výskumných a odborných prác,  zameraný na prezentáciu poznatkov v oblasti športu, telesnej výchovy,  diagnostiky, zdravia, rekreácie, cestovného ruchu, regenerácie, manažmentu,  atď.) [textový dokument (print)] [elektronický dokument]  [zborník (do 2021)] : zborník vedeckých prác / Broďáni, Jaroslav [Zostavovateľ, editor, UKFPFAKTV, 34%] ; Czaková, Monika [Zostavovateľ, editor, UKFPFAKTV, 33%] ; Dvořáčková, Natália [Zostavovateľ, editor, UKFPFAKTV, 33%] ; Boržíková, Iveta [Recenzent] ; Chovanová, Erika [Recenzent] ; Halmová, Nora [Recenzent] ; Kanásová, Janka [Recenzent] ; Labudová, Jana [Recenzent] ; Šutka, Vladimír [Recenzent] ; Uher, Ivan [Recenzent] ; Michal, Jíro [Recenzent] ; Rozim, Robert [Recenzent] ; Kutlík, Dušan [Recenzent] ; Adamčák, Štefan [Recenzent] ; Broďáni, Jaroslav [Recenzent] ; Grznár, Ľuboš [Recenzent] ; Divinec, Lenka [Recenzent] ; Marko, Michal [Recenzent] ; Kraček, Stanislav [Recenzent] ; Leütterová, Daniela [Recenzent] ; Horička, Pavol [Recenzent]. – 1. vyd. – Nitra (Slovensko) : Univerzita Konštantína Filozofa v Nitre. Pedagogická fakulta UKF. Katedra telesnej výchovy a športu, 2021. – 260 s. [tlačená forma] [online] : text, fotogr., graf., tab., obr. – [slovenčina]. – [OV 010, 210]. – ISBN 978-80-558-1726-2 </t>
  </si>
  <si>
    <t xml:space="preserve">Študentská vedecká konferencia 2019 [elektronický dokument]  [zborník (do 2021)] : zborník recenzovaných príspevkov, Banská Bystrica 9. apríla 2019 / Francisti, Jan [Zostavovateľ, editor, UKFFPVKIN, 34%] ; Zverková, Katarína [Zostavovateľ, editor, UKFREKTOR, 33%] ; Omelka, Radoslav [Zostavovateľ, editor, UKFFPVKBG, 33%] ; Študentská vedecká konferencia 2019, 3 [09.04.2019, Banská Bystrica, Slovensko]. – 1. vyd. – Nitra (Slovensko) : Univerzita Konštantína Filozofa v Nitre ; Banská Bystrica (Slovensko) : Univerzita Mateja Bela v Banskej Bystrici, 2019. – 453 s. [online] : text. – [slovenčina]. – [OV 130]. – [recenzované]. – ISBN 978-80-558-1433-9 </t>
  </si>
  <si>
    <t xml:space="preserve">Študentská vedecká konferencia 2021 Fakulty prírodných vied Univerzity Konštantína Filozofa v Nitre a Fakulty prírodných vied Univerzity Mateja Bela v Banskej Bystrici [textový dokument (print)]  [zborník (do 2021)] : zborník recenzovaných príspevkov / Francisti, Jan [Zostavovateľ, editor, UKFFPVKIN, 50%] ; Fodor, Kristián [Zostavovateľ, editor, 50%] ; Študentská vedecká konferencia 2021 [14.04.2021, Nitra, Banská Bystrica, Slovensko]. – 1. vyd. – Nitra (Slovensko) : Univerzita Konštantína Filozofa v Nitre ; Banská Bystrica (Slovensko) : Univerzita Mateja Bela v Banskej Bystrici, 2021. – 437 s. [tlačená forma] : text. – (Prírodovedec ; 756). – [slovenčina]. – [OV 130]. – [recenzované]. – ISBN 978-80-558-1712-5 </t>
  </si>
  <si>
    <t xml:space="preserve">Študentská vedecká, odborná a umelecká činnosť [elektronický dokument]  [zborník (do 2021)] : Zborník vedeckých prác / Hetényi, Martin [Zostavovateľ, editor, UKFFFAUKD, 100%]. – 1. vyd. – Nitra (Slovensko) : Univerzita Konštantína Filozofa v Nitre, 2018. – 393 s. [CD-ROM] : text. – [slovenčina]. – [OV 020]. – [recenzované]. – ISBN 978-80-558-1370-7 </t>
  </si>
  <si>
    <t xml:space="preserve">Študentská vedecká, odborná a umelecká činnosť [elektronický dokument]  [zborník (do 2021)] : zborník vedeckých prác / Hetényi, Martin [Zostavovateľ, editor, UKFFFAUKD, 100%]. – 1. vyd. – Nitra (Slovensko) : Univerzita Konštantína Filozofa v Nitre, 2019. – 256 s. [CD-ROM] : text. – [slovenčina]. – [OV 020, 010]. – [recenzované]. – ISBN 978-80-558-1506-0 </t>
  </si>
  <si>
    <t xml:space="preserve">ŠVOČ KPŠP 2019 [Študentská vedecká a odborná činnosť Katedry pedagogickej a školskej psychológie] [elektronický dokument]  [zborník (do 2021)] : zborník príspevkov z 2. ročníka študentskej vedeckej a odbornej činnosti, konanej v Nitre 13.5.2019 / Verešová, Marcela [Zostavovateľ, editor, UKFPFAKAP, 50%] ; Gatial, Viktor [Zostavovateľ, editor, UKFPFAKAP, 40%] ; Tomšik, Robert [Zostavovateľ, editor, UKFPFAKAP, 10%] ; Pavelová, Ľuba [Recenzent] ; Juhásová, Andrea [Recenzent] ; ŠVOČ KPŠP 2019 [13.05.2019, Nitra, Slovensko]. – 1. vyd. – Nitra (Slovensko) : Univerzita Konštantína Filozofa v Nitre, 2019. – 88 s. [CD-ROM] : text. – [slovenčina]. – [OV 060]. – ISBN 978-80-558-1444-5 </t>
  </si>
  <si>
    <t xml:space="preserve">Textologické štúdie [textový dokument (print)]  [zborník (do 2021)] : (vedecké štúdie o problematike textových variantov / Rácová, Veronika [Zostavovateľ, editor, UKFFFASJL, 100%] ; Gavura, Ján [Recenzent] ; Juhásová, Jana [Recenzent]. – 1. vyd. – Nitra (Slovensko) : Univerzita Konštantína Filozofa v Nitre, 2020. – 104 s. [tlačená forma] : text. – [slovenčina]. – [OV 020]. – ISBN 978-80-558-1648-7 </t>
  </si>
  <si>
    <t xml:space="preserve">The Figurativeness of the Language of Mystical Experience [elektronický dokument]  [zborník (do 2021)] : Particularities and Interpretations. Virtual international conference proceedings / Barnés Vázquez, Antonio [Zostavovateľ, editor, 30%] ; Kučerková, Magda [Zostavovateľ, editor, UKFFFAKRO, 70%] ; Hricková, Mária [Recenzent] ; Ruiz Andrés, Rafael [Recenzent] ; The Figurativeness of the Language of Mystical Experience [29.06.2021-30.06.2021, Madrid, Španielsko]. – 1. vyd. – Brno (Česko) : Masarykova univerzita, 2021. – 280 s. [online] : text. – [angličtina]. – [OV 020]. – ISBN 978-80-210-9997-5. – DOI 10.5817/CZ.MUNI.P210-9997-2021 </t>
  </si>
  <si>
    <t xml:space="preserve">The iconization of suffering in literary and interdisciplinary perspectives [textový dokument (print)]  [zborník (do 2021)] / Hricková, Mária [Zostavovateľ, editor, UKFFFAKAA, 50%] ; Klimková, Simona [Zostavovateľ, editor, UKFFFAKAA, 50%] ; Chalupský, Petr [Recenzent] ; Waldnerová, Jana [Recenzent]. – 1. vyd. – Nitra (Slovensko) : Univerzita Konštantína Filozofa v Nitre, 2019. – 155 s. [tlačená forma]. – [angličtina]. – [OV 020, 010]. – ISBN 978-80-558-1467-4 </t>
  </si>
  <si>
    <t xml:space="preserve">Thermophysics 2018 [elektronický dokument]  [zborník (do 2021)] : proceedings : 23rd International Meeting of Thermophysics / Trník, Anton [Zostavovateľ, editor, UKFFPVKFY, 34%] ; Matiašovský, Peter [Zostavovateľ, editor, 33%] ; Medveď, Igor [Zostavovateľ, editor, 010240 01.2021, 33%] ; Thermophysics 2018, 23 [07.11.2018-09.11.2018, Smolenice, Slovensko]. – 1 vyd. – Melwille (USA) : American Institute of Physics . AIP Publishing, 2018. – 292 s. [online]. – (AIP Conference Proceedings, ISSN 0094-243X, ISSN 1551-7616 ; Volume 1988, SJR: 0,182 ; CiteScore: 0,5 ; SNIP: 0,377). – [angličtina]. – [OV 091]. – [recenzované]. – ISBN 978-0-7354-1704-5 </t>
  </si>
  <si>
    <t xml:space="preserve">Tradícia a inovácia v translatologickom výskume 6 [textový dokument (print)]  [zborník (do 2021)] : zborník z konferencie, konanej v Nitre 1. 2. 2018 / Mészáros, Szabolcs [Zostavovateľ, editor, UKFFFAKTR, 34%] ; Ukušová, Jana [Zostavovateľ, editor, UKFFFAKTR, 33%] ; Zahorák, Andrej [Zostavovateľ, editor, UKFFFAKTR, 33%] ; Gromová, Edita [Recenzent] ; Djovčoš, Martin [Recenzent]. – 1. vyd. – Roč. 6. – Nitra (Slovensko) : Univerzita Konštantína Filozofa v Nitre, 2018. – 132 s. [tlačená forma] : text. – [slovenčina]. – [OV 020]. – ISBN 978-80-558-1290-8 </t>
  </si>
  <si>
    <t xml:space="preserve">Tradícia a inovácia v translatologickom výskume 7 [textový dokument (print)]  [zborník (do 2021)] : inovácia tradície, tradícia inovácie? : zborník príspevkov z medzinárodnej translatologickej konferencie / Ukušová, Jana [Zostavovateľ, editor, UKFFFAKTR, 34%] ; Koscelníková, Mária [Zostavovateľ, editor, UKFFFAKTR, 33%] ; Jánošíková, Zuzana [Zostavovateľ, editor, TUTPFKAJ, 33%] ; Gromová, Edita [Recenzent] ; Djovčoš, Martin [Recenzent] ; Tradícia a inovácia v translatologickom výskume, 7 [07.02.2019-08.02.2019, Nitra, Slovensko]. – 1. vyd. – č. 7. – Nitra (Slovensko) : Univerzita Konštantína Filozofa v Nitre, 2019. – 135 s. [tlačená forma]. – [slovenčina]. – [OV 010, 020]. – ISBN 978-80-558-1459-9. – TUTPFKAJ signatúra E082243 </t>
  </si>
  <si>
    <t xml:space="preserve">Traditional Music and Dance in Contemporary Culture(s) [textový dokument (print)]  [zborník (do 2021)] / Ambrózová, Jana [Zostavovateľ, editor, UKFFFAKEF, 50%] ; Garaj, Bernard [Zostavovateľ, editor, UKFFFAKEF, 50%] ; Vejvoda, Zdeněk [Recenzent] ; Sliužinskas, Rimantas [Recenzent]. – 1. vyd. – Nitra (Slovensko) : Univerzita Konštantína Filozofa v Nitre, 2019. – 259 s. [tlačená forma] : text. – [angličtina]. – [OV 030]. – ISBN 978-80-558-1477-3 </t>
  </si>
  <si>
    <t xml:space="preserve">Translation, interpreting and culture [textový dokument (print)] [elektronický dokument]  [zborník (do 2021)] : old dogmas, new approaches / Djovčoš, Martin [Zostavovateľ, editor, UMBFF06, 34%] ; Kusá, Mária [Zostavovateľ, editor, UKOFIRJ, 33%] ; Perez, Emília [Zostavovateľ, editor, UKFFFAKTR, 33%] ; Translation, Interpreting and Culture: Old Dogmas, New Approaches [26.09.2018-28.09.2018, Nitra, Slovensko]. – 1. vyd. – Berlín (Nemecko) : Peter Lang, 2021. – 286 s. [14,30 AH] [tlačená forma] [online] : text. – [angličtina]. – [OV 020]. – [recenzované]. – ISBN 978-3-631-83881-5. – ISBN (online) 978-3-631-85302-3. – ISBN (online) 978-3-631-85301-6. – DOI 10.3726/b18335 </t>
  </si>
  <si>
    <t xml:space="preserve">Translation, Interpreting and Culture: Old Dogmas, New Approaches (?) [textový dokument (print)]  [zborník (do 2021)] : Book of Abstracts from Conference, Nitra, Slovakia, September 26-28, 2018 / Tyšš, Igor [Zostavovateľ, editor, UKFFFAKTR, 34%] ; Huťková, Anita [Zostavovateľ, editor, UMBFF14, 33%] ; Höhn, Eva [Zostavovateľ, editor, UMBFF03, 33%] ; Translation, Interpreting and Culture: Old Dogmas, New Approaches [26.09.2018-28.09.2018, Nitra, Slovensko]. – 1. vyd. – Banská Bystrica (Slovensko) : Univerzita Mateja Bela v Banskej Bystrici. Vydavateľstvo Univerzity Mateja Bela v Banskej Bystrici - Belianum, 2018. – 122 s. [tlačená forma] : text. – [angličtina]. – [OV 020]. – ISBN 978-80-557-1435-6 </t>
  </si>
  <si>
    <t xml:space="preserve">Translatologia [elektronický dokument]  [zborník (do 2021)] / Hodáková, Soňa [Zostavovateľ, editor, UKFFFAKTR, 100%]. – 1. vyd. – Roč. 3, č. 1. – Nitra (Slovensko) : Univerzita Konštantína Filozofa v Nitre, 2019. – 112 s. [online]. – [angličtina]. – [OV 020]. – [recenzované]. – ISSN (online) 2453-9899 </t>
  </si>
  <si>
    <t xml:space="preserve">Translatologia [elektronický dokument]  [zborník (do 2021)] / Hodáková, Soňa [Zostavovateľ, editor, UKFFFAKTR, 100%]. – 1. vyd. – Roč. 4, č. 1. – Nitra (Slovensko) : Univerzita Konštantína Filozofa v Nitre, 2020. – 176 s. [online]. – [angličtina]. – [OV 020]. – [recenzované]. – ISSN (online) 2453-9899 </t>
  </si>
  <si>
    <t xml:space="preserve">Transzkulturalizmus és bilingvizmus [textový dokument (print)]  [zborník (do 2021)] = Transkulturalizmus a bilingvizmus / Hegedüs, Orsolya [Zostavovateľ, editor, UKFFSSUVP, 25%] ; Németh, Zoltán [Zostavovateľ, editor, 25%] ; Tóth, Anikó [Zostavovateľ, editor, UKFFSSUML, 25%] ; Petres Csizmadia, Gabriela [Zostavovateľ, editor, UKFFSSUML, 25%] ; Szirák, Péter [Recenzent] ; Benyovszky, Kristian [Recenzent] ; Transzkulturalizmus és bilingvizmus [17.09.2019-18.09.2019, Nitra, Slovensko]. – 1. vyd. – Nitra (Slovensko) : Univerzita Konštantína Filozofa v Nitre. Fakulta stredoeurópskych štúdií, 2019. – 354 s. [tlačená forma] : text + 1. – [slovenčina, maďarčina]. – [OV 020]. – ISBN 978-80-558-1478-0 </t>
  </si>
  <si>
    <t xml:space="preserve">Transzkulturalizmus és bilingvizmus a közép-európai irodalmakban [textový dokument (print)]  [zborník (do 2021)] = Transkulturalizmus a bilingvizmus v literatúrach strednej Európy / Németh, Zoltán [Zostavovateľ, editor, UKFFSSUML, 50%] ; Roguska, Magdaléna [Zostavovateľ, editor, 50%]. – 1. vyd. – Nitra (Slovensko) : Univerzita Konštantína Filozofa v Nitre, 2018. – 128 s. [tlačená forma] : text. – [maďarčina]. – [OV 020]. – ISBN 978-80-558-1338-7 </t>
  </si>
  <si>
    <t xml:space="preserve">Učenie o lese [editovaná kniha (do 2021)] / Chlpošová, Dana [Zostavovateľ, editor, UKFFPVKEE, 100%]. – 1. vyd. – Zvolen (Slovensko) : Národné lesnícke centrum, 2019. – 86 s. [tlačená forma] : text. – [slovenčina]. – [OV 010]. – ISBN 978-80-8093-278-7 </t>
  </si>
  <si>
    <t xml:space="preserve">Umenie, estetika, politika [textový dokument (print)]  [zborník (do 2021)] : zborník príspevkov z medzinárodnej konferencie Umenie, estetika, politika 24. - 26. 10. 2018 konanej v Univerzitnej knižnici v Bratislave / Pašteková, Michaela [Zostavovateľ, editor, 50%] ; Brezňan, Peter [Zostavovateľ, editor, UKFFFAULK, 50%] ; Ridzoňová-Ferenčuhová, Mária [Recenzent] ; Lipták, Michal [Recenzent] ; Umenie, estetika, politika [24.10.2018-26.10.2018, Bratislava, Slovensko]. – 1. vyd. – Roč. 2. – Bratislava (Slovensko) : Slovenská asociácia pre estetiku, 2019. – 344 s. [tlačená forma] : text. – [slovenčina]. – [OV 020]. – ISBN 978-80-972624-2-6 </t>
  </si>
  <si>
    <t xml:space="preserve">Úvahy o histórii alebo povedz mi, čo čítaš [textový dokument (print)]  [zborník (do 2021)] / Palárik, Miroslav [Zostavovateľ, editor, UKFFFAKHI, 50%] ; Hečková, Janka [Zostavovateľ, editor, 50%]. – 1. vyd. – Nitra (Slovensko) : Univerzita Konštantína Filozofa v Nitre, 2018. – 157 s. [tlačená forma] : text. – [slovenčina]. – [OV 030]. – ISBN 978-80-558-1297-7 </t>
  </si>
  <si>
    <t xml:space="preserve">Validace ošetřovatelských intervencí [textový dokument (print)]  [zborník (do 2021)] : recenzovaný sborník vědeckých prací vydaný k příležitosti ukončení projektů = Validation of nursing interventions / Archalousová, Alexandra [Zostavovateľ, editor, UKFFSVKOS, 100%]. – 1. vyd. – Plzeň (Česko) : Západočeská univerzita v Plzni, 2018. – 246 s. [tlačená forma] : text. – [čeština]. – [OV 180]. – ISBN 978-80-261-0825-2 </t>
  </si>
  <si>
    <t xml:space="preserve">Varia 28 [textový dokument (print)] [elektronický dokument]  [zborník (do 2021)] : zborník abstraktov z 28. kolokvia mladých jazykovedcov / Nemčeková, Jana [Zostavovateľ, editor, UKFFFASJL, 50%] ; Petráš, Patrik [Zostavovateľ, editor, UKFFFASJL, 50%] ; Kolokvium mladých jazykovedcov, 28 [20.11.2019-22.11.2019, Nitra, Slovensko]. – 1. vyd. – Nitra (Slovensko) : Univerzita Konštantína Filozofa v Nitre, 2019. – 74 s. [tlačená forma] [online] : text. – [slovenčina]. – [OV 010, 020]. – ISBN 978-80-558-1475-9 </t>
  </si>
  <si>
    <t xml:space="preserve">Varia 28 [elektronický dokument]  [zborník (do 2021)] : zborník príspevkov z 28. kolokvia mladých jazykovedcov / Nemčeková, Jana [Zostavovateľ, editor, UKFFFASJL, 50%] ; Petráš, Patrik [Zostavovateľ, editor, UKFFFASJL, 50%] ; Krško, Jaromír [Recenzent] ; Diweg-Pukanec, Martin [Recenzent] ; Kolokvium mladých jazykovedcov, 28 [20.11.2019-22.11.2019, Nitra, Slovensko]. – 1. vyd. – Nitra (Slovensko) : Univerzita Konštantína Filozofa v Nitre, 2020. – 250 s. [online] : text. – [slovenčina]. – [OV 010, 020]. – ISBN 978-80-558-1632-6 </t>
  </si>
  <si>
    <t xml:space="preserve">Variability in Perspectives on  Current Issues in Social Sciences (11) [textový dokument (print)]  [zborník (do 2021)] : Volume 11 / Bešina, Daniel [Zostavovateľ, editor, UKFFFAKAR, 100%]. – 1. vyd. – Berlin (Nemecko) : Peter Lang, 2019. – 172 s. [tlačená forma] : text. – [angličtina]. – [OV 020]. – ISBN 978-3-631-80282-3 </t>
  </si>
  <si>
    <t xml:space="preserve">Vox discipuli historiae 6 [textový dokument (print)]  [zborník (do 2021)] : zborník prác študentov Katedry histórie FF UKF v Nitre / Hasarová, Zuzana [Zostavovateľ, editor, UKFFFAKHI, 50%] ; Palárik, Miroslav [Zostavovateľ, editor, UKFFFAKHI, 50%] ; Hasarová, Zuzana [Recenzent] ; Husár, Martin [Recenzent]. – 1. vyd. – Roč. 6. – Nitra (Slovensko) : Univerzita Konštantína Filozofa v Nitre, 2018. – 413 s. [tlačená forma] : text. – [slovenčina]. – [OV 030]. – ISBN 978-80-558-1284-7 </t>
  </si>
  <si>
    <t xml:space="preserve">Výpočtová štatistika 2018 : zborník abstraktov [textový dokument (print)]  [zborník (do 2021)] / Medová, Janka [Zostavovateľ, editor, UKFFPVKMA, 50%] ; Stankovičová, Iveta [Zostavovateľ, editor, UKOMAKIS, 50%] ; Výpočtová štatistika 2018 : medzinárodný vedecký seminár, 27 [06.12.2018-07.12.2018, Bratislava, Slovensko]. – 1. vyd. – Bratislava (Slovensko) : Slovenská štatistická a demografická spoločnosť, 2018. – 47 s. [3,21 AH] [tlačená forma] : text. – [slovenčina]. – [OV 240, 080]. – ISBN 978-80-88946-83-0 </t>
  </si>
  <si>
    <t xml:space="preserve">Vzájomná informovanosť - cesta k efektívnemu rozvoju vedecko-pedagogickej činnosti [zborník (do 2021)] : zborník z medzinárodnej konferencie / Bánesz, Gabriel [Zostavovateľ, editor, UKFPFAKTT, 100%] ; Vzájomná informovanosť - cesta k efektívnemu rozvoju vedecko-pedagogickej činnosti [13.06.2018, Nitra, Slovensko]. – 1. vyd. – Nitra (Slovensko) : Univerzita Konštantína Filozofa v Nitre, 2018. – 76 s. [tlačená forma] : text. – [slovenčina]. – [OV 010]. – ISBN 978-80-558-1369-1 </t>
  </si>
  <si>
    <t xml:space="preserve">Vzdelávanie novinárov [textový dokument (print)]  [zborník (do 2021)] : otázky, problémy a výzvy. Zborník z odborného seminára, Nitra 24.10. 2019 / Cillingová, Veronika [Zostavovateľ, editor, UKFFFAKZU, 50%] ; Hudíková, Zora [Zostavovateľ, editor, UCMFMKKUMK, 50%] ; Dobrotková, Miroslava [Recenzent] ; Moravčíková, Erika [Recenzent]. – 1. vyd. – Nitra (Slovensko) : Univerzita Konštantína Filozofa v Nitre, 2020. – 137 s. [tlačená forma] : text. – [slovenčina]. – [OV 060, 020]. – ISBN 978-80-558-1571-8 </t>
  </si>
  <si>
    <t xml:space="preserve">Za nekonečnom svitá I [textový dokument (print)]  [editovaná kniha (do 2021)] : v mimózach vietor / Motulko, Ján [Autor, 100%] ; Brunclík, Jozef [Zostavovateľ, editor, UKFFFASJL, 100%] ; Gallik, Ján [Recenzent] ; Gavura, Ján [Recenzent]. – 1. vyd. – Fintice (Slovensko) : FACE - Fórum alternatívnej kultúry a vzdelávania, 2019. – 395 s. [tlačená forma] : text. – [slovenčina]. – [OV 020]. – ISBN 978-80-89763-46-7 </t>
  </si>
  <si>
    <t xml:space="preserve">Za nekonečnom svitá II [textový dokument (print)]  [zborník (do 2021)] : puknutý hlas / Motulko, Ján [Autor, 100%] ; Brunclík, Jozef [Zostavovateľ, editor, UKFFFASJL, 100%] ; Gallik, Ján [Recenzent] ; Gavura, Ján [Recenzent]. – 1. vyd. – Fintice (Slovensko) : FACE - Fórum alternatívnej kultúry a vzdelávania, 2021. – 348 s. [tlačená forma] : text. – [slovenčina]. – [OV 020]. – ISBN 978-80-89763-71-9 </t>
  </si>
  <si>
    <t xml:space="preserve">Začleňovanie Slovenska do Československej republiky [textový dokument (print)]  [zborník (do 2021)] : (s dôrazom na formovanie štátnych orgánov) / Bartal, Michal [Zostavovateľ, editor, 10%] ; Kafunová, Jana [Zostavovateľ, editor, 10%] ; Púčik, Marek [Zostavovateľ, editor, 40%] ; Škutová, Martina [Zostavovateľ, editor, UKFFFAKHI, 40%] ; Tvrdoňová, Daniela [Recenzent] ; Valo, Ján [Recenzent]. – 1. vyd. – Bratislava (Slovensko) : Slovenský národný archív, 2018. – 174 s. [tlačená forma] : text. – [slovenčina]. – [OV 030]. – ISBN 978-80-971767-6-1. – TUTPR signatúra E076156 </t>
  </si>
  <si>
    <t xml:space="preserve">Záhadné príbehy spod Tríbeča [textový dokument (print)]  [zborník (do 2021)] / Pechočiaková, Drahomíra [Autor] ; Kováčová, Zuzana [Zostavovateľ, editor, UKFFFASJL, 100%]. – 1. vyd. – Nitra (Slovensko) : Garmond, 2018. – 144 s. [tlačená forma] : text. – [slovenčina]. – [OV 020]. – ISBN 978-80-8194-092-7 </t>
  </si>
  <si>
    <t xml:space="preserve">Zborník z prvého ročníka celoslovenskej študentskej vedecko-odbornej konferencie: etika (etika, aplikovaná etika a etická výchova) [textový dokument (print)]  [zborník (do 2021)] : Nitra, 2. mája 2019 / Marková, Dagmar [Zostavovateľ, editor, UKFFFAKAE 06.2022, 50%] ; Šebíková, Lívia [Zostavovateľ, editor, UKFFFAKAE 06.2022, 50%]. – 1. vyd. – Nitra (Slovensko) : Univerzita Konštantína Filozofa v Nitre, 2019. – 205 s. [tlačená forma] : text. – [slovenčina]. – [OV 020]. – ISBN 978-80-558-1501-5 </t>
  </si>
  <si>
    <t xml:space="preserve">Zo svitania [textový dokument (print)]  [zborník (do 2021)] : Spomienky. Publikácia vydaná pri príležitosti 60. výročia vzdelávania učiteľov na Univerzite Konštantína Filozofa v Nitre / Récka, Adriana [Zostavovateľ, editor, UKFPFAKVV, 100%]. – 1. vyd. – Nitra (Slovensko) : Univerzita Konštantína Filozofa v Nitre, 2019. – 93 s. [tlačená forma] : text. – [slovenčina]. – [OV 010]. – ISBN 978-80-558-1437-7 </t>
  </si>
  <si>
    <t xml:space="preserve">Židovský kultúrny fenomén v stredoeurópskom kontexte 3 [textový dokument (print)]  [zborník (do 2021)] : zborník z 3. ročníka medzinárodnej vedeckej konferencie, Sereď 11. apríla 2019 = Zsidó kultúra közép-európai kontextusban 3 / Hrbáček, Magdaléna [Zostavovateľ, editor, UKFFSSUSJ, 100%] ; Bolemant, Lilla [Recenzent] ; Mizerová, Božena [Recenzent] ; Židovský kultúrny fenomén vstredoeurópskom kontexte, 3 [11.04.2019, Sereď, Slovensko]. – 1. vyd. – Nitra (Slovensko) : Univerzita Konštantína Filozofa v Nitre, 2019. – 224 s. [tlačená forma] : text. – [slovenčina, maďarčina]. – [OV 010]. – ISBN 978-80-973283-0-6 </t>
  </si>
  <si>
    <t>GAI - Správy</t>
  </si>
  <si>
    <t xml:space="preserve">Hodnotenie výkonov miestnych samospráv [textový dokument (print)]  [iný] : Záverečná správa za celé obdobie riešenia projektu VEGA / Papcunová, Viera [Autor, UKFFPVUMI, 100%]. – 1. vyd. – Nitra (Slovensko) : Univerzita Konštantína Filozofa v Nitre, 2021. – 14 s. [tlačená forma] : text. – [slovenčina]. – [OV 060] </t>
  </si>
  <si>
    <t xml:space="preserve">Levice - dobudovanie kanalizácie“, parc. reg. „E“ č. 9625, kat.úz. Levice, okr. Levice v rozsahu 2.2 Bátovská ulica - časť Družstevnícka ulica [iný] / Šteiner, Pavol [Autor, UKFFFAKMU, 100%]. – 1. vyd. – Nitra (Slovensko) : Univerzita Konštantína Filozofa v Nitre, 2020. – 59 s. [tlačená forma]. – [slovenčina]. – [OV 030]. – [recenzované] </t>
  </si>
  <si>
    <t xml:space="preserve">Monitoring prírodného prostredia dotknutého výstavbou a prevádzkou VD Gabčíkovo - odborná skupina "biota" [textový dokument (print)]  [iný] : Správa za rok 2020 / Matečný, Igor [Autor, UKOPRZFGGI, 30%] ; Krno, Iľja [Autor, 3%] ; Beracko, Pavel [Autor, UKOPRBEK, 9%] ; Kubalová, Silvia [Autor, UKOPRBO, 13%] ; Pišút, Peter [Autor, UKOPRZFGGI, 12%] ; Čejka, Tomáš [Autor, 13%] ; Pekarík, Ladislav [Autor, 6%] ; Kokavec, Igor [Autor, 10%] ; Blaškovič, Tomáš [Autor, 2%] ; Šiblová, Zuzana [Autor, UKFFPVKEE, 2%]. – 1. vyd. – Bratislava (Slovensko) : Univerzita Komenského v Bratislave. Prírodovedecká fakulta UK, 2021. – 97 s. [tlačená forma]. – [slovenčina]. – [OV 130, 092]. – SIGN-UKO PR 41/21 </t>
  </si>
  <si>
    <t xml:space="preserve">Nelegislatívny materiál - Možnosti efektívneho a optimálneho výkonu originálnych kompetencií v rámci súčasného modelu spoločných obecných úradov [textový dokument (print)] [elektronický dokument]  [iný] / Bajan, Vladimír [Autor, 10%] ; Beresecká, Janka [Autor, SPUFES16, 10%] ; Dubcová, Alena [Autor, UKFFPVKGR, 10%] ; Ernst, Alexander [Autor, 10%] ; Falťan, Ľubomír [Autor, 10%] ; Hronec, Štefan [Autor, 10%] ; Ikrényiová, Katarína [Autor, 10%] ; Kaliňák, Michal [Autor, 10%] ; Mihályi, Gabriel [Autor, 10%] ; Rubis, Ján [Autor, 10%]. – 1. vyd. – Bratislava (Slovensko) : Združenie miest a obcí Slovenska, 2020. – 144 s. [tlačená forma] [online] : text. – [slovenčina]. – [OV 080] </t>
  </si>
  <si>
    <t xml:space="preserve">Problém tela a telesnosti v kontexte súčasnej slovenskej kultúry. VEGA č. 1/0318/16 [textový dokument (print)]  [iný] : záverečná správa za celé obdobie riešenia projektu / Jakubovská, Viera [Autor, UKFFFAKFI, 30%] ; Waldnerová, Jana [Autor, UKFFFAKAA, 20%] ; Keruľová, Marta [Autor, UKFFFASJL, 20%] ; Gáliková Tolnaiová, Sabína [Autor, UCMFMKKPHV, 10%] ; Adamka, Pavol [Autor, UKFFFAKRU, 20%]. – 1. vyd. – Nitra (Slovensko) : Univerzita Konštantína Filozofa v Nitre, 2018. – 13 s. [tlačená forma] : text. – [slovenčina]. – [OV 020] </t>
  </si>
  <si>
    <t xml:space="preserve">Prognóza svetových výkonov v mužských a ženských atletických disciplínach do OH 2012 v Londýne [textový dokument (print)]  [iný] : záverečná správa KEGA 1/0248/11 / Broďáni, Jaroslav [Autor, UKFPFAKTV, 100%]. – 1. vyd. – Nitra (Slovensko) : Univerzita Konštantína Filozofa v Nitre, 2019. – 12 s. [tlačená forma]. – [slovenčina]. – [OV 210] </t>
  </si>
  <si>
    <t xml:space="preserve">Rýchlostná cesta R1 [textový dokument (print)]  [iný] : úsek Korytnica, hranica kraja Ružomberok Juh. Primerané posúdenie vplyvov na územie NATURA 2000 / Barančok, Peter [Autor, 10%] ; Barančoková, Mária [Autor, 10%] ; Chasníková, Silvia [Autor, 10%] ; Kalivoda, Henrik [Autor, 10%] ; Kanka, Róbert [Autor, 10%] ; Kmeťová, Martina [Autor, 10%] ; Kollár, Jozef [Autor, 10%] ; Palaj, Andrej [Autor, UKFFPVKEE, 10%] ; Šibiková, Mária [Autor, 10%] ; Vlachovičová, Miriam [Autor, 10%]. – 1. vyd. – Bratislava (Slovensko) : Slovenská akadémia vied, 2018. – 258 s. [tlačená forma] : text, fotogr., mapy. – [slovenčina]. – [OV 100] </t>
  </si>
  <si>
    <t xml:space="preserve">Rýchlostná cesta R1 [textový dokument (print)]  [iný] : úsek Slovenská Ľupča – Korytnica, hranica kraja = Primerané posúdenie vplyvov na územia Natura 2000 / Barančok, Peter [Autor, 10%] ; Barančoková, Mária [Autor, 10%] ; Chasníková, Silvia [Autor, 10%] ; Kalivoda, Henrik [Autor, 10%] ; Kanka, Róbert [Autor, 10%] ; Kmeťová, Martina [Autor, 10%] ; Kollár, Jozef [Autor, 10%] ; Palaj, Andrej [Autor, UKFFPVKEE, 10%] ; Šibiková, Mária [Autor, 10%] ; Vlachovičová, Miriam [Autor, 10%]. – 1. vyd. – Bratislava (Slovensko) : Slovenská akadémia vied, 2018. – 222 s. [tlačená forma] : text, fotogr., mapy. – [slovenčina]. – [OV 100] </t>
  </si>
  <si>
    <t xml:space="preserve">Slavec - Gombasek - Zaniknutý kláštor pavlínov [textový dokument (print)]  [iný] / Botoš, Alexander [Autor, 50%] ; Mordovin, Maxim [Autor, 25%] ; Bešina, Daniel [Autor, UKFFFAKAR, 25%]. – 1. vyd. – Rimavská Sobota (Slovensko) : Gemersko-Malohotnské múzeum, 2019. – 396 s. [tlačená forma] : text. – [slovenčina]. – [OV 030] </t>
  </si>
  <si>
    <t xml:space="preserve">Stratégia Cestovného Ruchu v Meste Nitra na Roky 2021-2031 [textový dokument (print)]  [iný] : Časť B: Návrhová časť / Palenčíková, Zuzana [Autor, UKFFSSKCR, 100%]. – Nitra (Slovensko) : Mesto Nitra, 2021. – 29 s. [3,22 AH] [tlačená forma] : text. – [slovenčina]. – [OV 080] </t>
  </si>
  <si>
    <t xml:space="preserve">Stratégia Cestovného Ruchu v Meste Nitra na Roky 2021-2031 [textový dokument (print)]  [iný] : Časť A: Analýza súčasného stavu - cestovný ruch v meste Nitra / Pivarčiová, Alena [Autor, 33%] ; Zaujecová, Terézia [Autor, 33%] ; Palenčíková, Zuzana [Autor, UKFFSSKCR, 34%]. – 1. vyd. – Nitra (Slovensko) : Mesto Nitra, 2021. – 26 s. [1,18 AH] [tlačená forma] : text. – [slovenčina]. – [OV 080] </t>
  </si>
  <si>
    <t xml:space="preserve">Stratégia rozvoja kultúry, kreatívneho priemyslu a kultúrneho cestovného ruchu v Nitre na roky 2021-2031 [textový dokument (print)] [elektronický dokument]  [iný] : návrhová časť = Strategy for the development of culture, creative industry and cultural tourism in Nitra for years 2021-2031 : part of proposals / Kramáreková, Hilda [Autor, UKFFPVKGR, 13%] ; Ivanič, Peter [Autor, UKFFFAUKD, 13%] ; Palenčíková, Zuzana [Autor, UKFFSSKCR, 13%] ; Krogmann, Alfred [Autor, UKFFPVKGR, 13%] ; Petrikovičová, Lucia [Autor, UKFFPVKGR, 12%] ; Vilinová, Katarína [Autor, UKFFPVKGR, 12%] ; Petrovič, František [Autor, UKFFPVKEE, 12%] ; Grežo, Henrich [Autor, UKFFPVKEE, 12%]. – 1. vyd. – Nitra (Slovensko) : Mestský úrad, 2020. – 45 s. [tlačená forma] : text, tab. – [slovenčina]. – [OV 092, 100, 080] </t>
  </si>
  <si>
    <t xml:space="preserve">Using a Games Approach to Teach Children About Discriminatory Bullying (GATE_BULL). Intellectual Output 1 Report to European Commission [textový dokument (print)]  [iný] : Determinants of Involvement in Prejudice-based Bullying Situations and Bystander Intervention / Sapouna, Maria [Autor, 12.5%] ; Amicis De, Leyla [Autor, 12.5%] ; Willems, Roy [Autor, 12.5%] ; Vollink, Trijntje [Autor, 12.5%] ; Dehue, Francine [Autor, 12.5%] ; Rosinský, Rastislav [Autor, UKFFSVURS, 12.5%] ; Dimakos, Ioannis [Autor, 12.5%] ; Nikolaou, George [Autor, 12.5%]. – 1. vyd. – Glasgow (Veľká Británia) : University of the West of Scotland, 2020. – 29 s. [online] : text. – [angličtina]. – [OV 060] </t>
  </si>
  <si>
    <t xml:space="preserve">Výskumná dokumentácia z archeologického výskumu Nová Baňa, okres Žarnovica [textový dokument (print)]  [iný] : Nová Baňa, parc. č. KN C 553, kat. úz. Nová Baňa Projekt: „Banské múzeum“ / Styk, Matej [Autor, UKFFFAKAR, 95%] ; Beljak Pažinová, Noémi [Autor, UKFFFAKAR, 5%]. – 1. vyd. – Nitra (Slovensko) : Univerzita Konštantína Filozofa v Nitre, 2020. – 198 s. [tlačená forma] : text, ilustr., fotogr., mapy. – [slovenčina]. – [OV 030] </t>
  </si>
  <si>
    <t xml:space="preserve">Výskumná dokumentácia z archeologického výskumu Svätoplukovo, okres Nitra [textový dokument (print)]  [iný] : „Rodinný dom“, parc. č.2360/77, 1342/6, kat. úz. Svätoplukovo / Styk, Matej [Autor, UKFFFAKAR, 100%]. – 1. vyd. – Nitra (Slovensko) : Univerzita Konštantína Filozofa v Nitre, 2021. – 75 s. [tlačená forma] : text, ilustr., fotogr., mapy. – [slovenčina]. – [OV 030] </t>
  </si>
  <si>
    <t xml:space="preserve">Výskumná dokumentácia z archeologického výskumu Svätoplukovo, okres Nitra [textový dokument (print)]  [iný] : „Rodinný dom“, parc. č.2360/60, kat. úz. Svätoplukovo / Styk, Matej [Autor, UKFFFAKAR, 100%]. – 1. vyd. – Nitra (Slovensko) : Univerzita Konštantína Filozofa v Nitre, 2020. – 53 s. [3,64 AH] [tlačená forma] : text, ilustr., fotogr., mapy. – [slovenčina]. – [OV 030] </t>
  </si>
  <si>
    <t>GHG - Práce zverejnené spôsobom umožňujúcim hromadný prístup</t>
  </si>
  <si>
    <t xml:space="preserve">„Čítanie poézie je unikátny spôsob, ako prehlbovať vlastný život a svet" : rozhovor s básnikom Ladislavom Lipcseiom / Mitková, Natália [Autor interview, UKFFFASJL, 50%] ; Lipcsei, Ladislav [Autor účastník interview, 50%]. – text. – [slovenčina]. – [OV 020]. – [iný] In: Vinlit [elektronický dokument] : online magazín nielen o súčasnej literatúre. – Bratislava (Slovensko) : Vinlit. – 2018, s. 1-4 </t>
  </si>
  <si>
    <t xml:space="preserve">„Pohodový“ debutant Ladislav Lipcsei / Mitková, Natália [Autor, UKFFFASJL, 100%]. – text. – [slovenčina]. – [OV 020]. – [iný] In: Vinlit [elektronický dokument] : online magazín nielen o súčasnej literatúre. – Bratislava (Slovensko) : Vinlit. – 2018, s. 1-3 </t>
  </si>
  <si>
    <t xml:space="preserve">21. brnianska česko-slovenská konferencia / Inštitorisová, Dagmar [Autor, UKFFFAKMR, 100%]. – [slovenčina]. – [OV 020]. – [iný] In: Klub nezávislých spisovateľov [elektronický dokument] . – Bratislava (Slovensko) : Klub nezávislých spisovateľov. – 2019, s. 1-1 [online] </t>
  </si>
  <si>
    <t xml:space="preserve">A futball Másikja : transzkulturális és nemzeti identitásképletek az Athletic Bilbao és a DAC csoportideológiájában / Németh, Zoltán [Autor, UKFFSSUML, 100%]. – [maďarčina]. – [OV 020]. – [iný] In: dunszt.sk [elektronický dokument] : kultmag. – ISSN 2585-8432. – 2018, s. 1-24 [online] </t>
  </si>
  <si>
    <t xml:space="preserve">Ako vyzerali Kelti? / Repka, Dominik [Autor, UKFFFAKAR, 100%]. – text. – [slovenčina]. – [OV 030]. – [iný] In: HistoryWeb [elektronický dokument] : informačný portál o histórii. – Banská Bystrica (Slovensko) : [s.n.]. – ISSN (online) 1338-8789. – č. 24.05.2021 (2021), s. 1-4 [online] </t>
  </si>
  <si>
    <t xml:space="preserve">Albert Camus: Majster absurdity / Smiešková, Lucia [Autor, UKFFFASJL, 100%]. – [slovenčina]. – [OV 020]. – [iný] In: Vinlit [elektronický dokument] : online magazín nielen o súčasnej literatúre. – Bratislava (Slovensko) : Vinlit. – 2018, s. 1-2 </t>
  </si>
  <si>
    <t xml:space="preserve">All Hallows' Eve Special: O estetickej ambiguite a (vraždiacich) klaunoch / Boszorád, Martin [Autor, UKFFFAULK, 100%]. – text. – [slovenčina]. – [OV 020]. – [iný] In: Společnost pro estetiku [elektronický dokument] : Bra(q). – Praha (Česko) : Akademie věd České republiky. – č. 6 (2019), s. 1-3 </t>
  </si>
  <si>
    <t xml:space="preserve">allons-y, JFK, odvážne tam, kam sa doposiaľ človek nevydal! / Boszorád, Martin [Autor, UKFFFAULK, 100%]. – text. – [slovenčina]. – [OV 020]. – [iný] In: Společnost pro estetiku [elektronický dokument] : Bra(q). – Praha (Česko) : Akademie věd České republiky. – č. 3 (2019), s. 1-3 </t>
  </si>
  <si>
    <t xml:space="preserve">Amenra v MMC – Cesta radikálnej úprimnosti, ľudskosti a citovej nahoty / Lakoštik, Radoslav [Autor, UKFFFAULK, 100%]. – text. – [slovenčina]. – [OV 020]. – [iný] In: Musicpress.sk [elektronický dokument] : hudobný internetový portál informujúci o hudbe a kultúre. – Roč. 19 (2019), s. 1-3 </t>
  </si>
  <si>
    <t xml:space="preserve">Amy Winehouse feat. Dante Alighieri (alebo na margo stereotypu trpiaceho umelca) / Boszorád, Martin [Autor, UKFFFAULK, 100%]. – text. – [slovenčina]. – [OV 020]. – [iný] In: Společnost pro estetiku [elektronický dokument] : Bra(q). – Praha (Česko) : Akademie věd České republiky. – č. 6 (2019), s. 1-2 </t>
  </si>
  <si>
    <t xml:space="preserve">Analýza kostrových pozostatkov jedinca z objektu 136, Rusovce - Gerulatská II / Kolena, Branislav [Autor, UKFFPVKZA, 100%]. – text. – [slovenčina]. – [OV 130]. – [iný] In: Jarovce, Rusovce, Čuňovo.  Odkanalizovanie obcí  - III. etapa - 4. časť - Kanalizácia a rekonštrukcia vodovodu Rusovce II. etapa archeologického výskumu Bratislava, m. č. Rusovce, poloha Gerulata [elektronický dokument] / Žák Matyasowszky, František [Zostavovateľ, editor]. – 1. vyd. – Bratislava (Slovensko) : Archeologická agentúra, 2018. – ISBN 978-80-89787-49-4, s. 727-734 [online] </t>
  </si>
  <si>
    <t xml:space="preserve">Analýza kostrových pozostatkov z objektu PO48 - Blatné / Kolena, Branislav [Autor, UKFFPVKZA, 100%]. – [slovenčina]. – [OV 130]. – [iný] In: Diaľnica D1 Senec - Blatné, križovatka Blatné [elektronický dokument] : archeologická výskumná dokumentácia k.ú. Senec, poloha Hriadky / Žák Matyasowszky, František [Zostavovateľ, editor]. – 1. vyd. – Bratislava (Slovensko) : Archeologická agentúra, 2018. – ISBN 978-80-89787-43-2, s. 1531-1531 [online] </t>
  </si>
  <si>
    <t xml:space="preserve">Analýza kostrových pozostatkov ženy a dieťaťa (objekt 137) z doby rímskej, Bratislava - Rusovce / Kolena, Branislav [Autor, UKFFPVKZA, 100%]. – [slovenčina]. – [OV 130]. – [iný] In: Jarovce, Rusovce, Čuňovo.  Odkanalizovanie obcí  - III. etapa - 4. časť - Kanalizácia a rekonštrukcia vodovodu Rusovce II. etapa archeologického výskumu Bratislava, m. č. Rusovce, poloha Gerulata [elektronický dokument] / Žák Matyasowszky, František [Zostavovateľ, editor]. – 1. vyd. – Bratislava (Slovensko) : Archeologická agentúra, 2018. – ISBN 978-80-89787-49-4, s. 735-745 [online] </t>
  </si>
  <si>
    <t xml:space="preserve">Anasoft litera 2017 / Mitková, Natália [Autor, UKFFFASJL, 100%]. – text. – [slovenčina]. – [OV 020]. – [iný] In: Vinlit [elektronický dokument] : online magazín nielen o súčasnej literatúre. – Bratislava (Slovensko) : Vinlit. – 2018, s. 1-2 </t>
  </si>
  <si>
    <t xml:space="preserve">Andrea Kellö Žačoková: Super Ženy / Zumríková Kekeliaková, Monika [Autor, UKFFFASJL, 100%]. – text. – [slovenčina]. – [OV 020]. – [iný] In: Rádio litera [elektronický dokument] . – Bratislava (Slovensko) : Rádio a televízia Slovenska. – 2020, s. 1-3 [online] </t>
  </si>
  <si>
    <t xml:space="preserve">Bibliotéka 2018 a poďakovanie aj nášmu Milanovi Rúfusovi / Inštitorisová, Dagmar [Autor, UKFFFAKMR, 100%]. – text. – [slovenčina]. – [OV 020]. – [iný] In: Klub nezávislých spisovateľov [elektronický dokument] . – Bratislava (Slovensko) : Klub nezávislých spisovateľov. – 2018, s. 1-1 [online] </t>
  </si>
  <si>
    <t xml:space="preserve">Blaho Uhlár a kol. : Postfaktótum / Ballay, Miroslav [Autor, UKFFFAKKU, 100%]. – text. – [slovenčina]. – [OV 020]. – [iný] In: Nová dráma / New Drama [elektronický dokument] : bulletin festivalu. – Bratislava (Slovensko) : Divadelný ústav. – Roč. 14 (2018), s. 28-29 [online] </t>
  </si>
  <si>
    <t xml:space="preserve">Cena akadémie 2019/2020 - okruh stred : Bezzubatá (Mestské divadlo Žilina); Kosmopol (Vlnoplocha Banská Štiavnica), 1984 (Slovenské komorné divadlo, Martin); Filemon alebo ozlomKŔŔŔK domov (Bábkové divadlo, Žilina); Tichá noc, tmavá noc (Divadlo J.G.Tajovského) Videné a hodnotené inscenácie: Bezzubatá (Mestské divadlo Žilina), Kosmopol (Vlnoplocha Banská Štiavnica); 1984 (Slovenské komorné divadlo, Martin); Filemon alebo ozlomKŔŔŔK domov (Bábkové divadlo, Žilina), 2020 / Ballay, Miroslav [Autor, UKFFFAKKU, 100%]. – text. – [slovenčina]. – [OV 020]. – [iný] In: portál Akadémie divadelných tvorcov [elektronický dokument] . – Bratislava (Slovensko) : Akadémia divadelných tvorcov. – 2020, s. 7-8 </t>
  </si>
  <si>
    <t xml:space="preserve">Columbia Games Corpus LDC2021S02 / Hirschberg, Julia [Autor, 20%] ; Gravano, Augustin [Autor, 20%] ; Beňuš, Štefan [Autor, UKFFFAKAA, 20%] ; Ward, Gregory [Autor, 20%] ; German, Elisa [Autor, 20%]. – text. – [angličtina]. – [OV 160]. – [iný]. – DOI 10.35111/ayn3-sp31 In: Columbia Games Corpus [elektronický dokument] / [bez zostavovateľa] [Zostavovateľ, editor]. – 1. vyd. – Philadelphia (USA) : The Trustees of the University of Pennsylvania, 2021. – ISBN 1-58563-960-5, s. 1-1 </t>
  </si>
  <si>
    <t xml:space="preserve">Cult of Luna, Brutus, A.A. Williams - Zrod miláčikov nekonvenčných pódií alebo diktát poučených majstrov? / Lakoštik, Radoslav [Autor, UKFFFAULK, 100%]. – text. – [slovenčina]. – [OV 020]. – [iný] In: Musicpress.sk [elektronický dokument] : hudobný internetový portál informujúci o hudbe a kultúre. – Roč. 19 (2019), s. 1-4 </t>
  </si>
  <si>
    <t xml:space="preserve">Čo jedli a pili Kelti? / Repka, Dominik [Autor, UKFFFAKAR, 100%]. – text. – [slovenčina]. – [OV 030]. – [iný] In: HistoryWeb [elektronický dokument] : informačný portál o histórii. – Banská Bystrica (Slovensko) : [s.n.]. – ISSN (online) 1338-8789. – č. 18.02.2021 (2021), s. 1-5 [online] </t>
  </si>
  <si>
    <t xml:space="preserve">Čo znamená „byť v pohode"? : subjektívna pohoda z pohľadu stredoškolákov / Balážová, Miroslava [Autor, UKFFSVKPV, 100%] ; Kvalitativní přístup a metody ve vědách o člověku, 17 [29.01.2018-30.01.2018, Olomouc, Česko]. – [slovenčina]. – [OV 060]. – [iný] In: Kvalitativní přístup a metody ve vědách o člověku:  „Až bude naše tělo bez duše i ducha“ - poznávání vnitřního světa [elektronický dokument] : bulletin abstraktů ze 17. ročníka konference, Olomouc, 29. 1.–30. 1. 2018 / Maierová, Eva [Zostavovateľ, editor] ; Neusar, Aleš [Zostavovateľ, editor] ; Dolejš, Martin [Zostavovateľ, editor]. – 1. vyd. – Olomouc (Česko) : Univerzita Palackého v Olomouci, 2018, s. 51-51 [online] </t>
  </si>
  <si>
    <t xml:space="preserve">Dance at the Festival of a Courageous Spectator KioSK 2016 / Ballay, Miroslav [Autor, UKFFFAKKU, 100%]. – [slovenčina]. – [OV 020]. – [iný] In: East European Performing Arts Platform [elektronický dokument] . – Lublaň (Poľsko) : Adam Mickiewicz Institute. – 2018, s. 1-2 [online] </t>
  </si>
  <si>
    <t xml:space="preserve">Differences within early maladaptive schemas in healthy young adults with or without experience of chidlhood sexual abuse / Ďurianová, Mária [Autor, 10%] ; Popelková, Marta [Autor, UKFFSVKPV, 20%] ; Kotianová, Antónia [Autor, UKFFSVKPV, 20%] ; Chupáčová, Michaela [Autor, 5%] ; Kotian, Michal [Autor, 5%] ; Praško Pavlov, Ján [Autor, UKFFSVKPV, 20%] ; Šlepecký, Miloš [Autor, UKFFSVKPV, 20%] ; Annual Congress of the European Association for Behavioural and Cognitive Therapies, 48 [05.09.2018-05.09.2018, Sofia, Bulharsko]. – text. – [angličtina]. – [OV 060]. – [iný] In: EABCT 2018 [elektronický dokument] : 48th Annual Congress of the European Association for Behavioural and Cognitive Therapies / [bez zostavovateľa] [Zostavovateľ, editor]. – 1. vyd. – Sofia (Bulharsko) : EABCT, 2018, s. 1-1 [online] </t>
  </si>
  <si>
    <t xml:space="preserve">Doplnkové edukačné materiály k výučbe témy holokaust / Palárik, Miroslav [Autor, UKFFFAKHI, 45%] ; Kičková, Adriana [Autor, UKFFFAKHI, 20%] ; Košťálová, Miroslava [Autor, 35%]. – text. – [slovenčina]. – [OV 010]. – [iný] In: Metodický portál Štátneho pedagogického ústavu [elektronický dokument] . – Bratislava (Slovensko) : Štátny pedagogický ústav. – 2019, s. 1-84 </t>
  </si>
  <si>
    <t xml:space="preserve">Dostojevského pripútanosť k deťom / Zumríková Kekeliaková, Monika [Autor, UKFFFASJL, 100%]. – text. – [slovenčina]. – [OV 020]. – [iný] In: Rádio litera [elektronický dokument] . – Bratislava (Slovensko) : Rádio a televízia Slovenska. – 2019, s. 1-3 [online] </t>
  </si>
  <si>
    <t xml:space="preserve">Duncan Macmillan : Ľudia, miesta a veci / Ballay, Miroslav [Autor, UKFFFAKKU, 100%]. – text. – [slovenčina]. – [OV 020]. – [iný] In: Nová dráma / New Drama [elektronický dokument] : bulletin festivalu. – Bratislava (Slovensko) : Divadelný ústav. – Roč. 14 (2018), s. 32-33 [online] </t>
  </si>
  <si>
    <t xml:space="preserve">Duncan Macmillan : Pľúca / Ballay, Miroslav [Autor, UKFFFAKKU, 100%]. – text. – [slovenčina]. – [OV 020]. – [iný] In: Nová dráma / New Drama [elektronický dokument] : bulletin festivalu. – Bratislava (Slovensko) : Divadelný ústav. – Roč. 14 (2018), s. 14-15 [online] </t>
  </si>
  <si>
    <t xml:space="preserve">dunk! - Keby tento festival vedel rozprávať / Lakoštik, Radoslav [Autor, UKFFFAULK, 100%]. – text. – [slovenčina]. – [OV 020]. – [iný] In: Musicpress.sk [elektronický dokument] : hudobný internetový portál informujúci o hudbe a kultúre. – Roč. 19 (2019), s. 1-2 </t>
  </si>
  <si>
    <t xml:space="preserve">Emotion as a Key to Learning Foreign Languages / Stančeková, Svetlana [Autor, UKFFFAKRO, 34%] ; Chválová, Katarína [Autor, UKFFFAKRO, 33%] ; Stranovská, Eva [Autor, UKFFFAKGE, 33%]. – text. – [angličtina]. – [OV 010]. – [iný] In: Lingvo-Science [elektronický dokument] : Electronic Scientific Journal. – Varna (Bulharsko) : Lingvo Science. – Roč. 2, č. 11 (2018), s. 15-18 </t>
  </si>
  <si>
    <t xml:space="preserve">Existencializmus alebo vzbura utláčaného rozumu / Smiešková, Lucia [Autor, UKFFFASJL, 100%]. – text. – [slovenčina]. – [OV 020]. – [iný] In: Vinlit [elektronický dokument] : online magazín nielen o súčasnej literatúre. – Bratislava (Slovensko) : Vinlit. – 2018, s. 1-3 </t>
  </si>
  <si>
    <t xml:space="preserve">Fandiť zloduchom sa oplatí! / Pevčíková, Jozefa [Autor, UKFFFAULK, 100%]. – text. – [slovenčina]. – [OV 020]. – [iný] In: Multiverzum [elektronický dokument] . – Bratislava (Slovensko) : Multiverzum - Centrum popkultúrneho vzdelávania. – ISSN (online) 2644-657X. – č. 23.december (2021), s. 1-2 [online] </t>
  </si>
  <si>
    <t xml:space="preserve">Havlovi a naši žobráci : (recenzia inscenáce hry - Václav Havel: Žobrácka opera, SDK Martin, premiéra 16.11. 2018, réžia: Lukáš Brutovský / Inštitorisová, Dagmar [Autor, UKFFFAKMR, 100%]. – text. – [slovenčina]. – [OV 020]. – [iný] In: Monitoring divadiel na Slovensku [elektronický dokument] . – Bratislava (Slovensko) : Slovenské centrum AICT. – ISSN (online) 2454-0129. – 2019, s. 1-5 [online] </t>
  </si>
  <si>
    <t xml:space="preserve">Hradby Samoty IX - Rozmáhajúce sa chápadlá nenápadného podivína (1. časť) / Lakoštik, Radoslav [Autor, UKFFFAULK, 100%]. – [slovenčina]. – [OV 020]. – [iný] In: Musicpress.sk [elektronický dokument] : hudobný internetový portál informujúci o hudbe a kultúre. – Roč. 19 (2019), s. 1-6 </t>
  </si>
  <si>
    <t xml:space="preserve">Hradby samoty IX – Rozmáhajúce sa chápadlá nenápadného podivína (časť druhá) / Lakoštik, Radoslav [Autor, UKFFFAULK, 100%]. – [slovenčina]. – [OV 020]. – [iný] In: Musicpress.sk [elektronický dokument] : hudobný internetový portál informujúci o hudbe a kultúre. – Roč. 19 (2019), s. 1-2 </t>
  </si>
  <si>
    <t xml:space="preserve">Hranice dospelosti prvej generácie / Ballay, Miroslav [Autor, UKFFFAKKU, 100%]. – text. – [slovenčina]. – [OV 020]. – [iný] In: Monitoring divadiel na Slovensku [elektronický dokument] . – Bratislava (Slovensko) : Slovenské centrum AICT. – ISSN (online) 2454-0129. – 2019, s. 1-3 [online] </t>
  </si>
  <si>
    <t xml:space="preserve">IMHO toto je mladý slovenský film! / Boszorád, Martin [Autor, UKFFFAULK, 100%]. – text. – [slovenčina]. – [OV 020]. – [iný] In: Společnost pro estetiku [elektronický dokument] : Bra(q). – Praha (Česko) : Akademie věd České republiky. – č. 5 (2019), s. 1-2 </t>
  </si>
  <si>
    <t xml:space="preserve">Integrácia štátnych príslušníkov tretích krajín na trh práce v Chorvátsku, Českej republike, Maďarsku a na Slovensku [elektronický dokument]  [iný] / Bošelová, Miriama [Autor, UKFFFAKEF, 50%] ; Hlatky, Roman [Autor, 50%]. – 1. vyd. – Bratislava (Slovensko) : Centre for Peace Studies, 2021. – 9 s. [online]. – [slovenčina]. – [OV 060] </t>
  </si>
  <si>
    <t xml:space="preserve">Intersexuálne (gender)  rozdiely v matematike verzus fatky/mýty [prel. Hyde, J. S., Fennema, E., &amp; Lamon, S. J. (1990). Gender differences in mathematics performance: A meta-analysis] / Süttö, Lucia [Prekladateľ, UKFPFAKAP, 100%]. – text. – [slovenčina]. – [OV 020]. – [iný] In: I-Psychológia [elektronický dokument] . – Bratislava (Slovensko) : EEG-Biofeedback. – ISSN 1336-779X. – č. 24.november (2021), s. 1-3 [online] </t>
  </si>
  <si>
    <t xml:space="preserve">Intervention Breathing Exercises and Their Effect on Breathing Stereotype and Vital Lung Capacity / Malátová, Renáta [Autor, 25%] ; Bahenský, Peter [Autor, 25%] ; Kanásová, Janka [Autor, UKFPFAKTV, 25%] ; Štumbauer, Jan [Autor, 25%]. – [angličtina]. – [OV 210]. – [iný] In: Archives of Women Health and Care [elektronický dokument] . – Isleworth (Veľká Británia) : Reasearch open. – Roč. 2, č. 1 (2019), s. 1-6 </t>
  </si>
  <si>
    <t xml:space="preserve">Interview v rámci masmediálnej propagácie Biblickej olympiády v Českom rozhlase / Karafiátová, Daniela [Autor interview, 50%] ; Zifčák, Dobromil [Autor interview, UKFFFAKMR, 50%]. – zdroj. k. – [čeština]. – [OV 020]. – [iný] In: Český rozhlas [zvukový dokument] . – Praha (Česko) : Český rozhlas. – 2019, s. 1-3 [online] </t>
  </si>
  <si>
    <t xml:space="preserve">Írsko - Dublin, rodisko veľkých mien / Mitková, Natália [Autor, UKFFFASJL, 100%]. – text. – [slovenčina]. – [OV 020]. – [iný] In: Vinlit [elektronický dokument] : online magazín nielen o súčasnej literatúre. – Bratislava (Slovensko) : Vinlit. – 2018, s. 1-2 </t>
  </si>
  <si>
    <t xml:space="preserve">Istanbulský dohovor / Manda, Vladimír [Autor, UKFFFAKFI, 100%]. – text. – [slovenčina]. – [OV 060]. – [iný] In: Dav Dva [elektronický dokument] [textový dokument (print)] : kultúrno-politický magazín. – Bratislava (Slovensko) : Občianska iniciatíva DAV DVA. – ISSN 2453-9864. – Roč. 4, č. 3 (2020), s. 1-3 [online] </t>
  </si>
  <si>
    <t xml:space="preserve">Jakub Deml: Moji přátelé a smrt aneb Texty prvního expresionizmu / Zumríková Kekeliaková, Monika [Autor, UKFFFASJL, 100%]. – text. – [slovenčina]. – [OV 020]. – [iný] In: Rádio litera [elektronický dokument] . – Bratislava (Slovensko) : Rádio a televízia Slovenska. – 2019, s. 1-3 [online] </t>
  </si>
  <si>
    <t xml:space="preserve">Ján Stacho : profil autora / Mitková, Natália [Autor, UKFFFASJL, 100%]. – text. – [slovenčina]. – [OV 020]. – [iný] In: Vinlit [elektronický dokument] : online magazín nielen o súčasnej literatúre. – Bratislava (Slovensko) : Vinlit. – 2018, s. 1-2 </t>
  </si>
  <si>
    <t xml:space="preserve">Jiří Havelka a kol : Elity / Ballay, Miroslav [Autor, UKFFFAKKU, 100%]. – text. – [slovenčina]. – [OV 020]. – [iný] In: Nová dráma / New Drama [elektronický dokument] : bulletin festivalu. – Bratislava (Slovensko) : Divadelný ústav. – Roč. 14 (2018), s. 20-21 [online] </t>
  </si>
  <si>
    <t xml:space="preserve">Július Pašteka: Takto som ich poznal / Zumríková Kekeliaková, Monika [Autor, UKFFFASJL, 100%]. – text. – [slovenčina]. – [OV 020]. – [iný] In: Rádio litera [elektronický dokument] . – Bratislava (Slovensko) : Rádio a televízia Slovenska. – 2019, s. 1-3 [online] </t>
  </si>
  <si>
    <t xml:space="preserve">K 75. výročiu oslobodenia Levíc / Šteiner, Pavol [Autor, UKFFFAKMU, 100%]. – text. – [slovenčina]. – [OV 030]. – [iný] In: Slovo [elektronický dokument] . – Bratislava (Slovensko) : Občianske združenie Klub Nového slova. – ISSN 1336-2984. – č. 20.12.2019 (2019), s. 1-1 [online] </t>
  </si>
  <si>
    <t xml:space="preserve">K medzitextovému nadväzovaniu Jána Uličianskeho / Mitková, Natália [Autor, UKFFFASJL, 100%]. – text. – [slovenčina]. – [OV 020]. – [iný] In: Vinlit [elektronický dokument] : online magazín nielen o súčasnej literatúre. – Bratislava (Slovensko) : Vinlit. – 2018, s. 1-2 </t>
  </si>
  <si>
    <t xml:space="preserve">Karol Horák jubiluje / Inštitorisová, Dagmar [Autor, UKFFFAKMR, 100%]. – text. – [slovenčina]. – [OV 020]. – [iný] In: Klub nezávislých spisovateľov [elektronický dokument] . – Bratislava (Slovensko) : Klub nezávislých spisovateľov. – 2018, s. 1-2 [online] </t>
  </si>
  <si>
    <t xml:space="preserve">Klaus o Marxovi a marxistoch / Manda, Vladimír [Autor, UKFFFAKFI, 100%]. – text. – [slovenčina]. – [OV 020]. – [iný] In: Dav Dva [elektronický dokument] [textový dokument (print)] : kultúrno-politický magazín. – Bratislava (Slovensko) : Občianska iniciatíva DAV DVA. – ISSN 2453-9864. – Roč. 2, č. 3 (2018), s. 30-32 [online] </t>
  </si>
  <si>
    <t xml:space="preserve">Koniec roka v Prahe s Tisom a so Štefánikom / Inštitorisová, Dagmar [Autor, UKFFFAKMR, 100%]. – [slovenčina]. – [OV 020]. – [iný] In: Klub nezávislých spisovateľov [elektronický dokument] . – Bratislava (Slovensko) : Klub nezávislých spisovateľov. – 2019, s. 1-1 [online] </t>
  </si>
  <si>
    <t xml:space="preserve">Krásne umenie (súčasného slovenského) rapu / Boszorád, Martin [Autor, UKFFFAULK, 100%]. – text. – [slovenčina]. – [OV 020]. – [iný] In: Společnost pro estetiku [elektronický dokument] : Bra(q). – Praha (Česko) : Akademie věd České republiky. – č. 1 (2018), s. 1-4 </t>
  </si>
  <si>
    <t xml:space="preserve">Manvë and Tulkas as God’s Warriors / Juričková, Martina [Autor, UKFFFAKAA, 100%]. – text. – [angličtina]. – [OV 020]. – [iný] In: Fellowship and Fairydust [elektronický dokument] . – Washington D.C. (USA) : Fellowship and Fairydust. – 2019, s. 1-2 [online] </t>
  </si>
  <si>
    <t xml:space="preserve">Max Lilja - 10 000 Miens / Lakoštik, Radoslav [Autor, UKFFFAULK, 100%]. – text. – [slovenčina]. – [OV 020]. – [iný] In: Musicpress.sk [elektronický dokument] : hudobný internetový portál informujúci o hudbe a kultúre. – Roč. 19 (2019), s. 1-2 </t>
  </si>
  <si>
    <t xml:space="preserve">Middle-earth Virtues in Research - Part 1: Courage : Courage is the virtue of which Tolkien most markedly juxtaposed the ancient (pagan) world understanding with the Christian / Juričková, Martina [Autor, UKFFFAKAA, 100%]. – text. – [angličtina]. – [OV 020]. – [iný] In: Fellowship and Fairydust [elektronický dokument] . – 2021, s. 1-2 [online] </t>
  </si>
  <si>
    <t xml:space="preserve">Middle-earth Virtues in Research - Part 2: Pity and Mercy : Pity and mercy are virtues that, plot-wise, play a crucial role in The Lord of the Rings, and in the conception of which Christian morality is the most evident / Juričková, Martina [Autor, UKFFFAKAA, 100%]. – text. – [angličtina]. – [OV 020]. – [iný] In: Fellowship and Fairydust [elektronický dokument] . – 2021, s. 1-5 [online] </t>
  </si>
  <si>
    <t xml:space="preserve">Minulosť, prítomnosť a budúcnosť Európskej ceny za divadlo / Mihalová, Lucia [Autor, UKFFFAULK, 100%]. – text. – [slovenčina]. – [OV 020]. – [iný] In: Reflektor [elektronický dokument] : študentská revue Katedry divadelných štúdií Divadelnej fakulty VŠMU. – Bratislava (Slovensko) : Vysoká škola múzických umení v Bratislave. – 2018, s. 1-3 [online] </t>
  </si>
  <si>
    <t xml:space="preserve">My Approach to Suzan Lori-Park’s “Venus” / Juričková, Martina [Autor, UKFFFAKAA, 100%]. – [angličtina]. – [OV 020]. – [iný] In: Fellowship and Fairydust [elektronický dokument] . – 2020, s. 1-2 [online] </t>
  </si>
  <si>
    <t xml:space="preserve">Mýtus o kvalitnom vysokom školstve v období socializmu / Kralovič, Tomáš [Autor, UKFFFAKHI, 100%]. – text. – [slovenčina]. – [OV 030]. – [iný] In: Konzervatívny inštitút M. R. Štefánika [elektronický dokument] : [internetový portál]. – Bratislava (Slovensko) : Konzervatívny inštitút M. R. Štefánika. – 2019, s. 1-3 </t>
  </si>
  <si>
    <t xml:space="preserve">Najnovší sprievodca poetizmom / Navrátil, Martin [Autor, UKFFFASJL, 100%]. – [čeština]. – [OV 020]. – [iný] In: Kanon [elektronický dokument] : internetový časopis pro kritiku. – Roč. 2 (2018), s. 1-3 [online] </t>
  </si>
  <si>
    <t xml:space="preserve">Nenapísaný román - Stanislav Rakús / Smiešková, Lucia [Autor, UKFFFASJL, 100%]. – [slovenčina]. – [OV 020]. – [iný] In: Vinlit [elektronický dokument] : online magazín nielen o súčasnej literatúre. – Bratislava (Slovensko) : Vinlit. – 2018, s. 1-3 </t>
  </si>
  <si>
    <t xml:space="preserve">O drobných i veľkých dejinách / Inštitorisová, Dagmar [Autor, UKFFFAKMR, 100%]. – text. – [slovenčina]. – [OV 020]. – [iný] In: Klub nezávislých spisovateľov [elektronický dokument] . – Bratislava (Slovensko) : Klub nezávislých spisovateľov. – 2018, s. 1-2 [online] </t>
  </si>
  <si>
    <t xml:space="preserve">O h*vne &amp; Hamletovi na Harleyoch / Boszorád, Martin [Autor, UKFFFAULK, 100%]. – text. – [slovenčina]. – [OV 020]. – [iný] In: Společnost pro estetiku [elektronický dokument] : Bra(q). – Praha (Česko) : Akademie věd České republiky. – č. 4 (2019), s. 1-3 </t>
  </si>
  <si>
    <t xml:space="preserve">O Karolovi Horákovi v poľštine / Inštitorisová, Dagmar [Autor, UKFFFAKMR, 100%]. – text. – [slovenčina]. – [OV 020]. – [iný] In: Klub nezávislých spisovateľov [elektronický dokument] . – Bratislava (Slovensko) : Klub nezávislých spisovateľov. – 2019, s. 1-1 [online] </t>
  </si>
  <si>
    <t xml:space="preserve">O odpútanom pop-Prometeovi (intro) / Boszorád, Martin [Autor, UKFFFAULK, 100%]. – text. – [slovenčina]. – [OV 020]. – [iný] In: Společnost pro estetiku [elektronický dokument] : Bra(q). – Praha (Česko) : Akademie věd České republiky. – č. 6 (2019), s. 1-2 </t>
  </si>
  <si>
    <t xml:space="preserve">O osemdesiatročnom starčekovi, ktorý vyliezol z panelu a nezmizol / Boszorád, Martin [Autor, UKFFFAULK, 100%]. – text. – [slovenčina]. – [OV 020]. – [iný] In: Společnost pro estetiku [elektronický dokument] : Bra(q). – Praha (Česko) : Akademie věd České republiky. – č. 1 (2018), s. 1-2 </t>
  </si>
  <si>
    <t xml:space="preserve">O právach a duši ženy / Zumríková Kekeliaková, Monika [Autor, UKFFFASJL, 100%]. – text. – [slovenčina]. – [OV 020]. – [iný] In: Rádio litera [elektronický dokument] . – Bratislava (Slovensko) : Rádio a televízia Slovenska. – 2019, s. 1-3 [online] </t>
  </si>
  <si>
    <t xml:space="preserve">O telesných tekutinách a horore (a vice versa) / Boszorád, Martin [Autor, UKFFFAULK, 100%]. – text. – [slovenčina]. – [OV 020]. – [iný] In: Společnost pro estetiku [elektronický dokument] : Bra(q). – Praha (Česko) : Akademie věd České republiky. – č. 2 (2018), s. 1-2 </t>
  </si>
  <si>
    <t xml:space="preserve">Odyseus. Návrat - Valerio Massimo Manfredi / Pevčíková, Jozefa [Autor, UKFFFAULK, 100%]. – text. – [slovenčina]. – [OV 020]. – [iný] In: Multiverzum [elektronický dokument] . – Bratislava (Slovensko) : Multiverzum - Centrum popkultúrneho vzdelávania. – ISSN (online) 2644-657X. – č. 20. január 2021 (2021), s. 1-2 [online] </t>
  </si>
  <si>
    <t xml:space="preserve">OFF 2019 - Poza chrbát jagavým headlinerom / Lakoštik, Radoslav [Autor, UKFFFAULK, 100%]. – text. – [slovenčina]. – [OV 020]. – [iný] In: Musicpress.sk [elektronický dokument] : hudobný internetový portál informujúci o hudbe a kultúre. – Roč. 19 (2019), s. 1-2 </t>
  </si>
  <si>
    <t xml:space="preserve">Osobná pohoda verzus výsledky vzdelávania študentov / Foglová, Lucia [Autor, UKFPFAKAP, 100%]. – text. – [slovenčina]. – [OV 060]. – [iný] In: I-Psychológia [elektronický dokument] . – Bratislava (Slovensko) : EEG-Biofeedback. – ISSN 1336-779X. – Roč. 14 (2018), s. 1-9 [online] </t>
  </si>
  <si>
    <t xml:space="preserve">Osteologická analýza jedinca z objektu 74, Bratislava - Devín/Záhradky / Kolena, Branislav [Autor, UKFFPVKZA, 100%]. – [slovenčina]. – [OV 130]. – [iný] In: Záhrady - Devín, Bratislava / Žák Matyasowszky, František [Zostavovateľ, editor]. – 1. vyd. – Bratislava (Slovensko) : Archeologická agentúra, 2018. – ISBN 978-80-89787-33-3, s. 352-358 [online] </t>
  </si>
  <si>
    <t xml:space="preserve">Pár poznámok k učebnici pre pedagógov stredných škôl / Manda, Vladimír [Autor, UKFFFAKFI, 100%]. – text. – [slovenčina]. – [OV 020]. – [iný] In: Dav Dva [elektronický dokument] [textový dokument (print)] : kultúrno-politický magazín. – Bratislava (Slovensko) : Občianska iniciatíva DAV DVA. – ISSN 2453-9864. – Roč. 2, č. 3 (2018), s. 1-21 [online] </t>
  </si>
  <si>
    <t xml:space="preserve">Paweł Korbus: “Influence Diagram” / Ballay, Miroslav [Autor, UKFFFAKKU, 100%]. – [angličtina]. – [OV 020]. – [iný] In: TheTheatreTimes : global theatre portal. – New York (USA) : TheTheatreTimes. – 2018, s. 1-2 [online] </t>
  </si>
  <si>
    <t xml:space="preserve">Peter Gregor ako rozhlasový dramatik / Inštitorisová, Dagmar [Autor, UKFFFAKMR, 100%]. – text. – [slovenčina]. – [OV 020]. – [iný] In: Literárne informačné centrum [elektronický dokument] . – Bratislava (Slovensko) : Literárne informačné centrum. – Roč. 17 (2019), s. 1-2 [online] Rec: Hry 1 / Gregor, Peter [Autor]. – 1. vyd. – Bratislava (Slovensko) : Asociácia Corpus, 2017. – 235 s. [tlačená forma]. – ISBN 978-80-972585-3-5 Rec: Hry 2 [textový dokument (print)] / Gregor, Peter [Autor]. – 1. vyd. – Bratislava (Slovensko) : Asociácia Corpus, 2018. – 304 s. [tlačená forma]. – ISBN 978-80-972585-8-0 </t>
  </si>
  <si>
    <t xml:space="preserve">Petra Fornayová a kol. : Hra na budúcnosť_SF (Subjective future) / Ballay, Miroslav [Autor, UKFFFAKKU, 100%]. – text. – [slovenčina]. – [OV 020]. – [iný] In: Nová dráma / New Drama [elektronický dokument] : bulletin festivalu. – Bratislava (Slovensko) : Divadelný ústav. – Roč. 14 (2018), s. 22-23 [online] </t>
  </si>
  <si>
    <t xml:space="preserve">Playstation - Svet snov - Alfie Bown / Pevčíková, Jozefa [Autor, UKFFFAULK, 100%]. – text. – [slovenčina]. – [OV 020]. – [iný] In: Multiverzum [elektronický dokument] . – Bratislava (Slovensko) : Multiverzum - Centrum popkultúrneho vzdelávania. – ISSN (online) 2644-657X. – č. 10. január 2021 (2021), s. 1-2 [online] </t>
  </si>
  <si>
    <t xml:space="preserve">Posledný októbrový deň osmičkového roka oslavne i diskusne / Inštitorisová, Dagmar [Autor, UKFFFAKMR, 100%]. – text. – [slovenčina]. – [OV 020]. – [iný] In: Klub nezávislých spisovateľov [elektronický dokument] . – Bratislava (Slovensko) : Klub nezávislých spisovateľov. – 2018, s. 1-1 [online] </t>
  </si>
  <si>
    <t xml:space="preserve">Poznámka ako vedecký žáner / Zumríková Kekeliaková, Monika [Autor, UKFFFASJL, 100%]. – text. – [slovenčina]. – [OV 020]. – [iný] In: Rádio litera [elektronický dokument] . – Bratislava (Slovensko) : Rádio a televízia Slovenska. – 2019, s. 1-3 [online] </t>
  </si>
  <si>
    <t xml:space="preserve">Prehĺbenie spolupráce s ľvovskou univerzitou / Jakubovská, Kristína [Autor, UKFFFAKKU, 100%]. – text. – [slovenčina]. – [OV 010]. – [iný] In: Univerzita Konštantína Filozofa v Nitre [elektronický dokument] . – 2019, s. 1-1 [online] </t>
  </si>
  <si>
    <t xml:space="preserve">Prezentácia výskumu o Štefánikovi v Paríži / Žiak, Peter [Autor, UKFFFAKTR, 100%]. – text. – [slovenčina]. – [OV 020]. – [iný] In: Klub nezávislých spisovateľov [elektronický dokument] . – Bratislava (Slovensko) : Klub nezávislých spisovateľov. – 2019, s. 1-2 [online] </t>
  </si>
  <si>
    <t xml:space="preserve">Prístupný experiment alebo experimentálny prístup? : Steven Wilson a Dávid Kollár v bratislavskej Refinery Gallery / Lakoštik, Radoslav [Autor, UKFFFAULK, 100%]. – text. – [slovenčina]. – [OV 020]. – [iný] In: Musicpress.sk [elektronický dokument] : hudobný internetový portál informujúci o hudbe a kultúre. – Roč. 19 (2019), s. 1-4 </t>
  </si>
  <si>
    <t xml:space="preserve">Proletári všetkých krajín spojte sa! / Manda, Vladimír [Autor, UKFFFAKFI, 100%]. – text. – [slovenčina]. – [OV 060]. – [iný] In: Slovo [elektronický dokument] . – Bratislava (Slovensko) : Občianske združenie Klub Nového slova. – ISSN 1336-2984. – č. 28.02.2018 (2018), s. 1-3 [online] </t>
  </si>
  <si>
    <t xml:space="preserve">Prostonárodné slovenské rozprávky I – III : Kritika a esej / Zumríková Kekeliaková, Monika [Autor, UKFFFASJL, 100%]. – text. – [slovenčina]. – [OV 020]. – [iný] In: Rádio litera [elektronický dokument] . – Bratislava (Slovensko) : Rádio a televízia Slovenska. – 2019, s. 1-3 [online] </t>
  </si>
  <si>
    <t xml:space="preserve">Recezia knihy - Manfred Spitzer: Digitálna demencia / Süttö, Lucia [Autor, UKFPFAKAP, 100%]. – text. – [slovenčina]. – [OV 010]. – [iný] In: I-Psychológia [elektronický dokument] . – Bratislava (Slovensko) : EEG-Biofeedback. – ISSN 1336-779X. – č. 24.november (2021), s. 1-3 [online] Rec: Digitální demence : jak připravujeme sami sebe a naše děti o rozum [textový dokument (print)] / Spitzer, Manfred [Autor]. – 1. vyd. – Brno (Česko) : Host, 2014. – ISBN 978-80-7294-872-7 </t>
  </si>
  <si>
    <t xml:space="preserve">Roma Food and Housing : Comparison over Time / Kozubík, Michal [Autor, UKFFSVKSP, 100%]. – text. – [angličtina]. – [OV 060]. – [iný] In: Encyclopedia [elektronický dokument] : [internetový portál]. – Basel (Švajčiarsko) : Multidisciplinary Digital Publishing Institute. – ISSN 2673-8392. – 2018, s. 1-3 [online] </t>
  </si>
  <si>
    <t xml:space="preserve">Significant research projects in the field of the ability to work, overview of published articles / Határ, Ctibor [Autor, UKFPFAKPE, 100%]. – text. – [angličtina]. – [OV 010]. – [iný] In: Support of the aging  in the workplace [elektronický dokument] : The team of authors of the Work Ability Management project / [bez zostavovateľa] [Zostavovateľ, editor]. – 1. vyd. – Brno (Česko) : Age Management, 2021, s. 186-192 [online] </t>
  </si>
  <si>
    <t xml:space="preserve">Situačná komédia / Timko, Štefan [Autor, UKFFSSUSJ, 100%]. – text. – [slovenčina]. – [OV 020]. – [iný] In: Hyperlexikón literárnovedných pojmov [elektronický dokument] : [databáza hesiel] / [bez zostavovateľa] [Zostavovateľ, editor]. – 1. vyd. – Bratislava (Slovensko) : Slovenská akadémia vied, 2019, s. 1-3 </t>
  </si>
  <si>
    <t xml:space="preserve">Slávnostný a poetický máj v Klube nezávislých spisovateľov / Inštitorisová, Dagmar [Autor, UKFFFAKMR, 100%]. – text. – [slovenčina]. – [OV 020]. – [iný] In: Klub nezávislých spisovateľov [elektronický dokument] . – Bratislava (Slovensko) : Klub nezávislých spisovateľov. – 2018, s. 1-1 [online] </t>
  </si>
  <si>
    <t xml:space="preserve">Sliezska univerzita udelila čestný doktorát profesorovi, ktorý prednášal aj na UKF / Štefaňak, Ondrej [Autor, UKFFFAKSO, 100%]. – text. – [slovenčina]. – [OV 010]. – [iný] In: Univerzita Konštantína Filozofa v Nitre [elektronický dokument] : Filozofická fakulta. – Nitra (Slovensko) : Univerzita Konštantína Filozofa v Nitre. – 2019, s. 1-1 [online] </t>
  </si>
  <si>
    <t xml:space="preserve">Slobodov zabitý človek / Smiešková, Lucia [Autor, UKFFFASJL, 100%]. – [slovenčina]. – [OV 020]. – [iný] In: Vinlit [elektronický dokument] : online magazín nielen o súčasnej literatúre. – Bratislava (Slovensko) : Vinlit. – 2018, s. 1-2 </t>
  </si>
  <si>
    <t xml:space="preserve">Soap opera / Timko, Štefan [Autor, UKFFSSUSJ, 100%]. – text. – [slovenčina]. – [OV 020]. – [iný] In: Hyperlexikón literárnovedných pojmov [elektronický dokument] : [databáza hesiel] / [bez zostavovateľa] [Zostavovateľ, editor]. – 1. vyd. – Bratislava (Slovensko) : Slovenská akadémia vied, 2019, s. 1-2 </t>
  </si>
  <si>
    <t xml:space="preserve">Social Competence and Quality of Friendship among Adolescents Proactive Coping in Teachers / Popelková, Marta [Autor, UKFFSVKPV, 100%] ; Annual Congress of the European Association for Behavioural and Cognitive Therapies, 48 [05.09.2018-05.09.2018, Sofia, Bulharsko]. – [angličtina]. – [OV 060]. – [iný] In: EABCT 2018 [elektronický dokument] : 48th Annual Congress of the European Association for Behavioural and Cognitive Therapies / [bez zostavovateľa] [Zostavovateľ, editor]. – 1. vyd. – Sofia (Bulharsko) : EABCT, 2018, s. 4-4 [online] </t>
  </si>
  <si>
    <t xml:space="preserve">Spomienka na Fedora Freša / Lakoštik, Radoslav [Autor, UKFFFAULK, 100%]. – text. – [slovenčina]. – [OV 020]. – [iný] In: Musicpress.sk [elektronický dokument] : hudobný internetový portál informujúci o hudbe a kultúre. – Roč. 19 (2019), s. 1-3 </t>
  </si>
  <si>
    <t xml:space="preserve">Spomienka na Olega Pastiera aj rozhovory o tvorbe / Inštitorisová, Dagmar [Autor, UKFFFAKMR, 100%]. – text. – [slovenčina]. – [OV 020]. – [iný] In: Klub nezávislých spisovateľov [elektronický dokument] . – Bratislava (Slovensko) : Klub nezávislých spisovateľov. – 2018, s. 1-1 [online] </t>
  </si>
  <si>
    <t xml:space="preserve">Text ku koncertu 23. 2. 2020 : [Transkripcie originálnych kompozícií] / Štrbák, Marek [Autor, UKFPFAKHU, 100%]. – [slovenčina]. – [OV 010]. – [iný] In: www.filharmonia.sk [elektronický dokument] . – Bratislava (Slovensko) : Slovenská filharmónia. – č. 23.02.2020 (2020), s. 1-1 [online] </t>
  </si>
  <si>
    <t xml:space="preserve">Text ku koncertu 4. 5. 2021 : [Estónsky skladateľ Arvo Pärt (1935)] / Štrbák, Marek [Autor, UKFPFAKHU, 100%]. – text. – [slovenčina]. – [OV 010]. – [iný] In: www.filharmonia.sk [elektronický dokument] . – Bratislava (Slovensko) : Slovenská filharmónia. – č. 04.05.2021 (2021), s. 1-3 [online] </t>
  </si>
  <si>
    <t xml:space="preserve">Text ku koncertu 6. 6. 2021 : [Mauro Lanza (1975)] / Štrbák, Marek [Autor, UKFPFAKHU, 100%]. – text. – [slovenčina]. – [OV 010]. – [iný] In: www.filharmonia.sk [elektronický dokument] . – Bratislava (Slovensko) : Slovenská filharmónia. – č. 06.06.2021 (2021), s. 1-3 [online] </t>
  </si>
  <si>
    <t xml:space="preserve">The Economic  Integration and Professional  Development of Third- Country Nationals [elektronický dokument]  [iný] : Policy Recommendations / Bošelová, Miriama [Autor, UKFFFAKEF, 14%] ; Ćuća, Ana [Autor, 14%] ; Kekuš, Sara [Autor, 14%] ; Mullerova, Alice [Autor, 14%] ; Novotná, Markéta [Autor, 14%] ; László, Zsuzsa [Autor, 14%] ; Hlatky, Roman [Autor, 16%]. – 1. vyd. – Bratislava (Slovensko) : Európska komisia. Erasmus+, 2021. – 20 s. [online] : text. – [angličtina]. – [OV 030] </t>
  </si>
  <si>
    <t xml:space="preserve">The existentially semantic dimension of sounds / Fuják, Július [Autor, UKFFFAKKU, 100%]. – text. – [angličtina]. – [OV 020]. – [iný] In: CENSE Almanac / Vojtěchovský, Miloš [Zostavovateľ, editor] ; Khatsenka, Polina [Zostavovateľ, editor]. – 1. vyd. – Ústí nad Labem (Česko) : Univerzita Jana Evangelisty Purkyně v Ústí nad Labem, 2021, s. 34-35 [online] </t>
  </si>
  <si>
    <t xml:space="preserve">The Ills - Disco Volante / Mt. Average / Lakoštik, Radoslav [Autor, UKFFFAULK, 100%]. – text. – [slovenčina]. – [OV 020]. – [iný] In: Musicpress.sk [elektronický dokument] : hudobný internetový portál informujúci o hudbe a kultúre. – Roč. 19 (2019), s. 1-2 </t>
  </si>
  <si>
    <t xml:space="preserve">The Virtues of Loyalty and Obedience in Tolkien’s Stories : loyalty, or in other words, faithfulness is one of the main themes of both Tolkien’s Middle-earth novels / Juričková, Martina [Autor, UKFFFAKAA, 100%]. – text. – [angličtina]. – [OV 020]. – [iný] In: Fellowship and Fairydust [elektronický dokument] . – 2020, s. 1-2 [online] </t>
  </si>
  <si>
    <t xml:space="preserve">Theory and practice of education of seniors in the Slovak Republic / Határ, Ctibor [Autor, UKFPFAKPE, 100%]. – text. – [angličtina]. – [OV 010]. – [iný] In: IL3 [elektronický dokument] . – Wiedeň (Rakúsko) : Institut für Lebensbegleitendes Lernen. – Roč. 6, č. 2 (2020), s. 1-8 [online] </t>
  </si>
  <si>
    <t xml:space="preserve">Tibor Žilka : komplexná charakteristika / Timko, Štefan [Autor, UKFFSSUSJ, 100%]. – text. – [slovenčina]. – [OV 020]. – [iný] In: Literárne informačné centrum [elektronický dokument] . – Bratislava (Slovensko) : Literárne informačné centrum. – č. 11 (2021), s. 1-3 [online] </t>
  </si>
  <si>
    <t xml:space="preserve">Tolkien: Maker of Middle-earth / Juričková, Martina [Autor, UKFFFAKAA, 100%]. – text. – [angličtina]. – [OV 020]. – [iný] In: Fellowship and Fairydust [elektronický dokument] . – Washington D.C. (USA) : Fellowship and Fairydust. – 2019, s. 34-38 [online] </t>
  </si>
  <si>
    <t xml:space="preserve">Tool - trinásťročný hlad po metalovej mystike ukončený / Lakoštik, Radoslav [Autor, UKFFFAULK, 100%]. – text. – [slovenčina]. – [OV 020]. – [iný] In: Musicpress.sk [elektronický dokument] : hudobný internetový portál informujúci o hudbe a kultúre. – Roč. 19 (2019), s. 1-2 </t>
  </si>
  <si>
    <t xml:space="preserve">Trenčiansky Klub Lúč je kultúrny priestor otvorený pre všetkých : [rozhovor uskutočnený 16. 12. 2021] / Laciaková, Diana [Autor interview, UKFFFAULK, 50%] ; Bystrický, Kamil [Autor účastník interview, 50%]. – text. – [slovenčina]. – [OV 020]. – [iný] In: MLOKi - mladí o kultúre inak [elektronický dokument] . – Bratislava (Slovensko) : Kultúrny spolok MLOKi. – ISSN 1339-8113. – č. 16. december 2021 (2021), s. 1-3 [online] </t>
  </si>
  <si>
    <t xml:space="preserve">Úroveň exekutívnych funkcií vzhľadom na pohlavie dospievajúcich / Gatial, Viktor [Autor, UKFPFAKAP, 50%] ; Juhásová, Andrea [Autor, UKFPFAKAP, 50%]. – text. – [slovenčina]. – [OV 010]. – [iný] In: I-Psychológia [elektronický dokument] . – Bratislava (Slovensko) : EEG-Biofeedback. – ISSN 1336-779X. – Roč. 16, č. 1 (2020), s. 1-7 [online] </t>
  </si>
  <si>
    <t xml:space="preserve">Úroveň kritického myslenia žiakov na stredných školách / Juhásová, Andrea [Autor, UKFPFAKAP, 100%]. – [slovenčina]. – [OV 010]. – [iný] In: I-Psychológia [elektronický dokument] . – Bratislava (Slovensko) : EEG-Biofeedback. – ISSN 1336-779X. – Roč. 17, č. 1 (2021), s. 1-4 [online] </t>
  </si>
  <si>
    <t xml:space="preserve">Veľmi bohatý program a vzácne návštevy / Inštitorisová, Dagmar [Autor, UKFFFAKMR, 100%]. – text. – [slovenčina]. – [OV 020]. – [iný] In: Klub nezávislých spisovateľov [elektronický dokument] . – Bratislava (Slovensko) : Klub nezávislých spisovateľov. – 2018, s. 1-1 [online] </t>
  </si>
  <si>
    <t xml:space="preserve">Veronika Dianišková: Zlaté pávy sa rozpadnú na sneh / Zumríková Kekeliaková, Monika [Autor, UKFFFASJL, 100%]. – text. – [slovenčina]. – [OV 020]. – [iný] In: Rádio litera [elektronický dokument] . – Bratislava (Slovensko) : Rádio a televízia Slovenska. – 2019, s. 1-3 [online] </t>
  </si>
  <si>
    <t xml:space="preserve">Voyeur - Alain Robbe-Grillet / Smiešková, Lucia [Autor, UKFFFASJL, 100%]. – [slovenčina]. – [OV 020]. – [iný] In: Vinlit [elektronický dokument] : online magazín nielen o súčasnej literatúre. – Bratislava (Slovensko) : Vinlit. – 2018, s. 1-2 </t>
  </si>
  <si>
    <t xml:space="preserve">Vplyv učebných štýlov žiakov na ich študijné výsledky / Süttö, Lucia [Autor, UKFPFAKAP, 70%] ; Tomšik, Robert [Autor, UKFPFAKAP, 30%]. – text. – [slovenčina]. – [OV 060]. – [iný] In: I-Psychológia [elektronický dokument] . – Bratislava (Slovensko) : EEG-Biofeedback. – ISSN 1336-779X. – Roč. 15, č. 4 (2019), s. 1-5 [online] </t>
  </si>
  <si>
    <t xml:space="preserve">Všetci by sme mali byť feminist(k)ami / Zumríková Kekeliaková, Monika [Autor, UKFFFASJL, 100%]. – text. – [slovenčina]. – [OV 020]. – [iný] In: Rádio litera [elektronický dokument] . – Bratislava (Slovensko) : Rádio a televízia Slovenska. – 2019, s. 1-3 [online] </t>
  </si>
  <si>
    <t xml:space="preserve">Výskyt sextingu u mladých ľudí na Slovensku [textový dokument (print)]  [iný] / Hollá, Katarína [Autor, UKFPFAKPE, 100%]. – 1. vyd. – Bratislava (Slovensko) : IUVENTA – Slovenský inštitút mládeže, 2020. – 23 s. – [slovenčina]. – [OV 010] </t>
  </si>
  <si>
    <t xml:space="preserve">Which adverse childhood experiences are most related to early maladaptive schemas in healthy young adults? / Chupáčová, Michaela [Autor, 10%] ; Ďurianová, Mária [Autor, 5%] ; Popelková, Marta [Autor, UKFFSVKPV, 20%] ; Kotianová, Antónia [Autor, UKFFSVKPV, 20%] ; Kotian, Michal [Autor, 5%] ; Praško Pavlov, Ján [Autor, UKFFSVKPV, 20%] ; Šlepecký, Miloš [Autor, UKFFSVKPV, 20%] ; Annual Congress of the European Association for Behavioural and Cognitive Therapies, 48 [05.09.2018-05.09.2018, Sofia, Bulharsko]. – [angličtina]. – [OV 060]. – [iný] In: EABCT 2018 [elektronický dokument] : 48th Annual Congress of the European Association for Behavioural and Cognitive Therapies / [bez zostavovateľa] [Zostavovateľ, editor]. – 1. vyd. – Sofia (Bulharsko) : EABCT, 2018, s. 1-1 [online] </t>
  </si>
  <si>
    <t xml:space="preserve">Wislawa Szymborska: Veľké číslo / Zumríková Kekeliaková, Monika [Autor, UKFFFASJL, 100%]. – text. – [slovenčina]. – [OV 020]. – [iný] In: Rádio litera [elektronický dokument] . – Bratislava (Slovensko) : Rádio a televízia Slovenska. – 2019, s. 1-3 [online] </t>
  </si>
  <si>
    <t xml:space="preserve">Za pánom profesorom Ivanom Sulíkom / Nováčiková, Daša [Autor, UKFFFAKZU, 100%]. – text. – [slovenčina]. – [OV 060]. – [iný] In: Univerzita Konštantína Filozofa v Nitre [elektronický dokument] : Filozofická fakulta. – Nitra (Slovensko) : Univerzita Konštantína Filozofa v Nitre. – 2021, s. 1-2 [online] </t>
  </si>
  <si>
    <t xml:space="preserve">Zľahčovanie pitia alkoholu je veľkým problémom : deti si závislosti v rodine fixujú ako prirodzené / Juhásová, Andrea [Autor, UKFPFAKAP, 100%]. – text. – [slovenčina]. – [OV 010]. – [iný] In: Najmama.sk [elektronický dokument] . – Bratislava (Slovensko) : Ringier Axel Springer Slovakia. – 2020, s. 1-8 [online] </t>
  </si>
  <si>
    <t xml:space="preserve">Zložitá všednosť / Zumríková Kekeliaková, Monika [Autor, UKFFFASJL, 100%]. – text. – [slovenčina]. – [OV 020]. – [iný] In: Rádio litera [elektronický dokument] . – Bratislava (Slovensko) : Rádio a televízia Slovenska. – 2020, s. 1-3 [online] </t>
  </si>
  <si>
    <t xml:space="preserve">Zvedavý/í na vedu, literatúru - a život umenia / Inštitorisová, Dagmar [Autor, UKFFFAKMR, 100%]. – text. – [slovenčina]. – [OV 020]. – [iný] In: Klub nezávislých spisovateľov [elektronický dokument] . – Bratislava (Slovensko) : Klub nezávislých spisovateľov. – 2018, s. 1-1 [online] </t>
  </si>
  <si>
    <t xml:space="preserve">Životopisy [ Organové diela nesmrteľného génia Johanna Sebastiana Bacha...] : text ku koncertu 6. 12. 2020 / Štrbák, Marek [Autor, UKFPFAKHU, 100%]. – [slovenčina]. – [OV 010]. – [iný] In: www.filharmonia.sk [elektronický dokument] . – Bratislava (Slovensko) : Slovenská filharmónia. – č. 06.06.2021 (2021), s. 1-3 [online] </t>
  </si>
  <si>
    <t>GII - Rôzne publikácie a dokumenty, ktoré nemožno zaradiť do žiadnej z predchádzajúcich kategórií</t>
  </si>
  <si>
    <t xml:space="preserve">"Dnes si nevieme celkom predstaviť podobu osobných fondov, ktoré získame o pár desiatok rokov" : rozhovor s Karin Šišmišovou / Teplan, Dušan [Autor interview, UKFFFASJL, 50%] ; Šišmišová, Karin [Autor účastník interview, 50%]. – text. – [slovenčina]. – [OV 020]. – [iný] In: Fraktál [textový dokument (print)] : literatúra horizontálne a vertikálne. – Závod (Slovensko) : Fraktál. – ISSN 2585-8912. – Roč. 4, č. 2 (2021), s. 51-57 [tlačená forma] </t>
  </si>
  <si>
    <t xml:space="preserve">"Hledání nových neotřelých cest mělo tehdy své místo..." : rozhovor s Kateřinou Hlouškovou, autorkou knihy o talianskom futurizme / Teplan, Dušan [Autor interview, UKFFFASJL, 50%] ; Hloušková, Kateřina [Autor účastník interview, 50%]. – text. – [slovenčina]. – [OV 020]. – [iný] In: Fraktál [textový dokument (print)] : literatúra horizontálne a vertikálne. – Závod (Slovensko) : Fraktál. – ISSN 2585-8912. – Roč. 2, č. 4 (2019), s. 133-137 [tlačená forma] </t>
  </si>
  <si>
    <t xml:space="preserve">"Možno to znie až veľmi rozprávkovo..." : anketa o súčasnom výskume literatúry pre deti a mládež / Teplan, Dušan [Autor, UKFFFASJL, 100%]. – text. – [slovenčina]. – [OV 020]. – [iný] In: Litikon [textový dokument (print)] : časopis pre výskum literatúry = journal for literature research. – Nitra (Slovensko) : Univerzita Konštantína Filozofa v Nitre. – ISSN 2453-8507. – Roč. 3, č. 1 (2018), s. 167-177 [tlačená forma] </t>
  </si>
  <si>
    <t xml:space="preserve">"Na slovenskom trhu začína byť väčšia konkurencia..." : rozhovor s grafickou dizajnérkou Martinou Rozinajovou / Teplan, Dušan [Autor interview, UKFFFASJL, 100%]. – text. – [slovenčina]. – [OV 020]. – [iný] In: Fraktál [textový dokument (print)] : literatúra horizontálne a vertikálne. – Závod (Slovensko) : Fraktál. – ISSN 2585-8912. – Roč. 3, č. 1 (2020), s. 129-131 [tlačená forma] </t>
  </si>
  <si>
    <t xml:space="preserve">"Na utváraní obrazu je účastná celá bytosť, nielen oko a ruka" : rozhovor s Ľudovítom Hološkom / Kolesík, Milan [Autor interview, UKFFFASJL, 100%]. – text. – [slovenčina]. – [OV 020]. – [iný] In: Romboid [textový dokument (print)] : časopis pre literatúru a umeleckú komunikáciu. – Bratislava (Slovensko) : Zväz slovenských spisovateľov, Bratislava (Slovensko) : Asociácia organizácií spisovateľov Slovenska. – ISSN 0231-6714. – Roč. 56, č. 3 (2021), s. 12-35 [tlačená forma] </t>
  </si>
  <si>
    <t xml:space="preserve">"Nič nepredáva lepšie ako spokojný zákazník..." : rozhovor s grafickým dizajnérom Máriom Dzurilom / Teplan, Dušan [Autor interview, UKFFFASJL, 100%]. – text. – [slovenčina]. – [OV 020]. – [iný] In: Fraktál [textový dokument (print)] : literatúra horizontálne a vertikálne. – Závod (Slovensko) : Fraktál. – ISSN 2585-8912. – Roč. 3, č. 1 (2020), s. 129-131 [tlačená forma] </t>
  </si>
  <si>
    <t xml:space="preserve">"Podnecovať mnohoraké výklady je údelom veľkých diel" : rozhovor s Mariánom Andričíkom, prekladateľom Miltonovho "Strateného raja" do slovenčiny / Andričík, Marián [Autor účastník interview, 50%] ; Teplan, Dušan [Autor interview, UKFFFASJL, 50%]. – text. – [slovenčina]. – [OV 020]. – [iný] In: Fraktál [textový dokument (print)] : literatúra horizontálne a vertikálne. – Závod (Slovensko) : Fraktál. – ISSN 2585-8912. – Roč. 1, č. 2 (2018), s. 50-52 [tlačená forma] </t>
  </si>
  <si>
    <t xml:space="preserve">"Pre mňa je dôležité obmieňať prístupy..." : rozhovor s knižnou ilustrátorkou Danielou Olejníkovou / Teplan, Dušan [Autor interview, UKFFFASJL, 100%]. – text. – [slovenčina]. – [OV 020]. – [iný] In: Fraktál [textový dokument (print)] : literatúra horizontálne a vertikálne. – Závod (Slovensko) : Fraktál. – ISSN 2585-8912. – Roč. 3, č. 1 (2020), s. 129-131 [tlačená forma] </t>
  </si>
  <si>
    <t xml:space="preserve">"Translatológia je atraktívna veda" : anketa o súčasnom stave a budúcnosti translatológie = "Translation studies is an attractive scholarship" / Biloveský, Vladimír [Autor, UMBFF06, 12%] ; Bohušová, Zuzana [Autor, UMBFF05, 11%] ; Djovčoš, Martin [Autor, UMBFF06, 11%] ; Gromová, Edita [Autor, UKFFFAKTR, 11%] ; Huťková, Anita [Autor, UMBFF14, 11%] ; Müglová, Daniela [Autor, UKFFFAKTR, 11%] ; Perez, Emília [Autor, UKFFFAKTR, 11%] ; Valcerová, Anna [Autor, 11%] ; Tyšš, Igor [Autor, UKFFFAKTR, 11%]. – [slovenčina]. – [OV 020]. – [iný] In: Litikon [textový dokument (print)] : časopis pre výskum literatúry = journal for literature research. – Nitra (Slovensko) : Univerzita Konštantína Filozofa v Nitre. – ISSN 2453-8507. – Roč. 3, č. 2 (2018), s. 265-278 [tlačená forma] </t>
  </si>
  <si>
    <t xml:space="preserve">"Translotológia je aktratívna veda" : anketa o súčasnom stave a budúcnosti translatológie / Teplan, Dušan [Autor, UKFFFASJL, 100%]. – text. – [slovenčina]. – [OV 020]. – [iný] In: Litikon [textový dokument (print)] : časopis pre výskum literatúry = journal for literature research. – Nitra (Slovensko) : Univerzita Konštantína Filozofa v Nitre. – ISSN 2453-8507. – Roč. 3, č. 2 (2018), s. 265-278 [tlačená forma] </t>
  </si>
  <si>
    <t xml:space="preserve">„... zaujetí otázkami komunikace...“ : rozhovor s profesorkou Alenou Macurovou / Teplan, Dušan [Autor interview, UKFFFASJL, 50%] ; Macurová, Alena [Autor účastník interview, 50%]. – text. – [slovenčina]. – [OV 020]. – [iný] In: Litikon [textový dokument (print)] : časopis pre výskum literatúry = journal for literature research. – Nitra (Slovensko) : Univerzita Konštantína Filozofa v Nitre. – ISSN 2453-8507. – Roč. 4, č. 1 (2019), s. 224-229 [tlačená forma] </t>
  </si>
  <si>
    <t xml:space="preserve">„Aj pravdivosť a trpkosť však musia ísť ruka v ruke s krásou“ : rozhovor s profesorkou Annou Valcerovou / Teplan, Dušan [Autor interview, UKFFFASJL, 50%] ; Valcerová, Anna [Autor účastník interview, 50%]. – text. – [slovenčina]. – [OV 020]. – [iný] In: Litikon [textový dokument (print)] : časopis pre výskum literatúry = journal for literature research. – Nitra (Slovensko) : Univerzita Konštantína Filozofa v Nitre. – ISSN 2453-8507. – Roč. 4, č. 1 (2019), s. 197-213 [tlačená forma] </t>
  </si>
  <si>
    <t xml:space="preserve">„Dôležitejšia je samotná zmena perspektívy...“ : rozhovor so zástupcami Iniciatívy za Digital Humanities na FF UKF v Nitre / Teplan, Dušan [Autor, UKFFFASJL, 100%]. – text. – [slovenčina]. – [OV 020, 010]. – [iný] In: Litikon [textový dokument (print)] : časopis pre výskum literatúry = journal for literature research. – Nitra (Slovensko) : Univerzita Konštantína Filozofa v Nitre. – ISSN 2453-8507. – Roč. 4, č. 1 (2019), s. 98-104 [tlačená forma] </t>
  </si>
  <si>
    <t xml:space="preserve">„Pochopenie významu knižníc...“ : anketa o aktuálnych problémoch a výzvach knižníc / Teplan, Dušan [Autor, UKFFFASJL, 100%]. – text. – [slovenčina]. – [OV 020]. – [iný] In: Litikon [textový dokument (print)] : časopis pre výskum literatúry = journal for literature research. – Nitra (Slovensko) : Univerzita Konštantína Filozofa v Nitre. – ISSN 2453-8507. – Roč. 4, č. 1 (2019), s. 189-196 [tlačená forma] </t>
  </si>
  <si>
    <t xml:space="preserve">„Sme ako vy“ / Kamenická, Tímea [Autor, UKFREKTOR, 100%]. – text. – [slovenčina]. – [OV 020]. – [iný] In: Náš čas [textový dokument (print)] : časopis Univerzity Konštatnína Filozofa v Nitre. – Nitra (Slovensko) : Univerzita Konštantína Filozofa v Nitre. – ISSN 1338-3272. – Roč. 22, č. 2 (2018), s. 41-41 [tlačená forma] </t>
  </si>
  <si>
    <t xml:space="preserve">„Tú eufóriu nám už nik nevezme...“ : rozhovor s profesorom Valérom Mikulom / Teplan, Dušan [Autor, UKFFFASJL, 100%]. – text. – [slovenčina]. – [OV 020, 010]. – [iný] In: Litikon [textový dokument (print)] : časopis pre výskum literatúry = journal for literature research. – Nitra (Slovensko) : Univerzita Konštantína Filozofa v Nitre. – ISSN 2453-8507. – Roč. 4, č. 1 (2019), s. 51-89 [tlačená forma] </t>
  </si>
  <si>
    <t xml:space="preserve">15 éves a Nyitrai Közép-európai Tanulmányok Kara / Angyal, Ladislav [Autor, UKFFSSUML, 100%]. – text. – [slovenčina]. – [OV 020]. – [iný] In: Katedra [elektronický dokument] : szlovákiai magyar pedagógusok és szülők lapja. – Dunajská Streda (Slovensko) : Nadácia Katedra. – ISSN 1335-6445. – ISSN (online) 2729-9066. – Roč. 27, č. 4 (2019), s. 33-33 [tlačená forma] [online] </t>
  </si>
  <si>
    <t xml:space="preserve">1st Nitra Postgraduate Conference in English Studies [textový dokument (print)]  [iný] : Book of Abstracts, Nitra 24 October 2019 / Ondrušeková, Judita [Zostavovateľ, editor, UKFFFAKAA, 100%] ; 1st Nitra Postgraduate Conference in English Studies [24.10.2019, Nitra, Slovensko]. – 1. vyd. – Nitra (Slovensko) : Univerzita Konštantína Filozofa v Nitre, 2019. – 42 s. [tlačená forma] : text. – [angličtina]. – [OV 020]. – ISBN 978-80-558-1465-0 </t>
  </si>
  <si>
    <t xml:space="preserve">25 de ani de Comunicare si Traductologie la Universitatea Politehnica Timisoara. Mesaj Aniversar / Kopecký, Peter [Autor, UKFFFAKTR, 100%] ; Muntean, Nicoale [Recenzent]. – [rumunčina]. – [OV 020]. – [iný] In: 25 e ani de Comunicare si Traductologie in Universitatea Politehnica Timisoara, 1993-2018 / Dejica-Cartis, Daniel [Zostavovateľ, editor]. – 1. vyd. – Timisoara (Rumunsko) : Editura Politehnica Timisoara, 2018. – ISBN 978-606-26-0983-2, s. 40-41 [tlačená forma] </t>
  </si>
  <si>
    <t xml:space="preserve">34 študentov úspešne absolvovalo Accenture Academy / Kamenická, Tímea [Autor, UKFREKTOR, 100%]. – text. – [slovenčina]. – [OV 010]. – [iný] In: Náš čas [textový dokument (print)] : časopis Univerzity Konštatnína Filozofa v Nitre. – Nitra (Slovensko) : Univerzita Konštantína Filozofa v Nitre. – ISSN 1338-3272. – Roč. 22, č. 1 (2018), s. 42-42 [tlačená forma] </t>
  </si>
  <si>
    <t xml:space="preserve">7. Nitrianske sociologické kolokvium: Pamäť v kultúre. Kultúra v pamäti / Selická, Denisa [Autor, UKFFFAKSO, 100%]. – text. – [slovenčina]. – [OV 020]. – [iný] In: Sociológia a spoločnosť [textový dokument (print)] [elektronický dokument] : medzinárodný vedecký sociologický časopis. – Nitra (Slovensko) : Univerzita Konštantína Filozofa v Nitre. – ISSN 2453-8086. – ISSN (online) 2644-5980. – Roč. 4, č. 2 (2019), s. 78-79 [tlačená forma] [online] </t>
  </si>
  <si>
    <t xml:space="preserve">70. výročie kalvárie v Oščadnici / Drábová, Dominika [Autor, UKFFFAKHI, 100%]. – text. – [slovenčina]. – [OV 030]. – [iný] In: Naša Žilinská diecéza [textový dokument (print)] : duchovno-spoločenský časopis pre celú rodinu. – Žilina (Slovensko) : Pro Communio. – ISSN 1338-6492. – Roč. 7, č. 2 (2018), s. 10-11 [tlačená forma] </t>
  </si>
  <si>
    <t xml:space="preserve">A turizmus európai tendenciái a szálloda- és vendéglátóipar munkaerőpiaci kihívásainak tükrében / Dávid, Lóránt Dénes [Autor, UKFFSSKCR, 100%]. – text. – [maďarčina]. – [OV 080]. – [iný]. – [recenzované] In: Változó Föld, változó társadalom, változó ismeretszerzés [textový dokument (print)] / [bez zostavovateľa] [Zostavovateľ, editor]. – 1. vyd. – Eger (Maďarsko) : Eszterházy Károly Főiskola, 2021, s. 259-263 </t>
  </si>
  <si>
    <t xml:space="preserve">Absolventi UKF ovládli anketu atlét roka / Kamenická, Tímea [Autor, REKTOR, 100%]. – text. – [slovenčina]. – [OV 210]. – [iný] In: Náš čas [textový dokument (print)] : časopis Univerzity Konštatnína Filozofa v Nitre. – Nitra (Slovensko) : Univerzita Konštantína Filozofa v Nitre. – ISSN 1338-3272. – Roč. 25, č. 1 (2021), s. 42-43 [tlačená forma] </t>
  </si>
  <si>
    <t xml:space="preserve">Absolventi XXL Akadémie 2018 vystavovali v Galérii Univerzum / Černáková, Jana [Autor, UKFREKTOR, 100%]. – text. – [slovenčina]. – [OV 010]. – [iný] In: Náš čas [textový dokument (print)] : časopis Univerzity Konštatnína Filozofa v Nitre. – Nitra (Slovensko) : Univerzita Konštantína Filozofa v Nitre. – ISSN 1338-3272. – Roč. 22, č. 4 (2018), s. 17-17 [tlačená forma] </t>
  </si>
  <si>
    <t xml:space="preserve">Afterword / Žilka, Tibor [Autor, UKFFSSUSJ, 100%]. – [angličtina]. – [OV 020]. – [iný] In: A long night's stories [textový dokument (print)] / Dobiáš, Rudolf [Autor]. – 1. vyd. – Bratislava (Slovensko) : Hlbiny, 2018. – ISBN 978-80-89743-31-5, s. 174-187 [tlačená forma] </t>
  </si>
  <si>
    <t xml:space="preserve">Ak nezabránime odchodu vzdelaných ľudí, cestovný ruch sa u nás nezlepší, hovorí odborníčka / Štosel, Marek [Autor, UKFFFAKMR, 100%]. – text. – [slovenčina]. – [OV 060]. – [ŠO 7205]. – [iný] In: Občas nečas [textový dokument (print)] : časopis študentov Univerzity Konštantína Filozofa. – Nitra (Slovensko) : Univerzita Konštantína Filozofa v Nitre. – ISSN 1338-1083. – Roč. 25, č. 3 (2019), s. 21-22 [tlačená forma] </t>
  </si>
  <si>
    <t xml:space="preserve">Aká je vaša skúsenosť s aplikovaným divadlom? / Ballay, Miroslav [Autor, UKFFFAKKU, 100%]. – text. – [slovenčina]. – [OV 020]. – [iný] In: Konkrétne o divadle [textový dokument (print)] [elektronický dokument] : mesačník o divadle na Slovensku. – Bratislava (Slovensko) : Divadelný ústav. – ISSN 1337-1800. – ISSN (online) 2336-4548. – Roč. 12, č. 6 (2018), s. 92-93 [tlačená forma] [online] </t>
  </si>
  <si>
    <t xml:space="preserve">Akademická Nitra 2020 sa tento rok neuskutoční : jedinečný folklórny festival vysokoškolských súborov, ktorý nemá v Európe obdobu, sa začiatkom júla pre pretrvávajúcu pandémiu koronavírusu nebude konať / Černáková, Jana [Autor, UKFREKTOR, 100%]. – text. – [slovenčina]. – [OV 020, 010]. – [iný] In: Náš čas [textový dokument (print)] : časopis Univerzity Konštatnína Filozofa v Nitre. – Nitra (Slovensko) : Univerzita Konštantína Filozofa v Nitre. – ISSN 1338-3272. – Roč. 24, č. 2 (2020), s. 18-18 [tlačená forma] </t>
  </si>
  <si>
    <t xml:space="preserve">Ako sa zrodil Ponitran : [ako si na  svoje takmer dvadsaťročné pôsobenie spomína vtedajšia riaditeľka FS Ponitran prof. PhDr. Erika Ondrejčeková, CSc.] / Krajčovičová, Jana [Autor interview, UKFREKTOR, 100%]. – text. – [slovenčina]. – [OV 010]. – [iný] In: Náš čas [textový dokument (print)] : časopis Univerzity Konštatnína Filozofa v Nitre. – Nitra (Slovensko) : Univerzita Konštantína Filozofa v Nitre. – ISSN 1338-3272. – Roč. 22, č. 1 (2018), s. 46-49 [tlačená forma] </t>
  </si>
  <si>
    <t xml:space="preserve">Ako silvárik učil deti o lese [textový dokument (print)]  [iný] : pracovný zošit / Jaloviarová, Veronika [Autor, UKFFPVKGR, 40%] ; Chlpošová, Dana [Autor, UKFFPVKEE, 30%] ; Lešková Blahová, Adela [Autor, PUPFIIEB, 30%]. – 1. vyd. – Zvolen (Slovensko) : Národné lesnícke centrum, 2019. – 12 s. [tlačená forma] : text. – [slovenčina]. – [OV 100]. – ISBN 978-80-8093-288-6. – SIGN-PU FF-20 987/19 </t>
  </si>
  <si>
    <t xml:space="preserve">Ako vnímate kostým v súčasnom slovenskom divadle? / Ballay, Miroslav [Autor, UKFFFAKKU, 100%]. – text. – [slovenčina]. – [OV 020]. – [iný] In: Konkrétne o divadle [textový dokument (print)] [elektronický dokument] : mesačník o divadle na Slovensku. – Bratislava (Slovensko) : Divadelný ústav. – ISSN 1337-1800. – ISSN (online) 2336-4548. – Roč. 12, č. 4 (2018), s. 55-55 [tlačená forma] [online] </t>
  </si>
  <si>
    <t xml:space="preserve">Akreditované vzdelávanie v oblasti Romológie / Rusnáková, Jurina [Autor, UKFFSVURS, 100%]. – text. – [slovenčina]. – [OV 010]. – [iný] In: Náš čas [textový dokument (print)] : časopis Univerzity Konštatnína Filozofa v Nitre. – Nitra (Slovensko) : Univerzita Konštantína Filozofa v Nitre. – ISSN 1338-3272. – Roč. 23, č. 8 (2019), s. 28-28 [tlačená forma] </t>
  </si>
  <si>
    <t xml:space="preserve">Aktívne partnerstvo s nórskou VID Univerzity / Kozubík, Michal [Autor, UKFFSVKSP, 100%]. – text. – [slovenčina]. – [OV 010]. – [iný] In: Náš čas [textový dokument (print)] : časopis Univerzity Konštatnína Filozofa v Nitre. – Nitra (Slovensko) : Univerzita Konštantína Filozofa v Nitre. – ISSN 1338-3272. – Roč. 22, č. 1 (2018), s. 40-40 [tlačená forma] </t>
  </si>
  <si>
    <t xml:space="preserve">Aktuálne číslo časopisu Culturologica Slovaca (editoriál) / Fuják, Július [Autor, UKFFFAKKU, 100%]. – text. – [slovenčina]. – [OV 020]. – [iný] In: Culturologica Slovaca [elektronický dokument] : internetový kulturologický časopis. – Nitra (Slovensko) : Univerzita Konštantína Filozofa v Nitre. – ISSN 2453-9740. – Roč. 6, č. 1 (2021), s. 3-5 [online] </t>
  </si>
  <si>
    <t xml:space="preserve">Aktuálne stratégie rozvoja spolupráce s Gruzínskom / Hašková, Alena [Autor, UKFPFAKTT, 100%]. – text. – [slovenčina]. – [OV 010]. – [iný] In: Náš čas [textový dokument (print)] : časopis Univerzity Konštatnína Filozofa v Nitre. – Nitra (Slovensko) : Univerzita Konštantína Filozofa v Nitre. – ISSN 1338-3272. – Roč. 23, č. 8 (2019), s. 23-23 [tlačená forma] </t>
  </si>
  <si>
    <t xml:space="preserve">Aktuálne trendy v etnických procesoch na Dolnej zemi na začiatku 21. storočia [textový dokument (print)]  [iný] : inauguračné prednášky / Michalík, Boris [Autor, UKFFFAKMK, 100%]. – 1. vyd. – Nitra (Slovensko) : Univerzita Konštantína Filozofa v Nitre, 2021. – 42 s. [tlačená forma]. – [slovenčina]. – [OV 020]. – ISBN 978-80-558-1767-5 </t>
  </si>
  <si>
    <t xml:space="preserve">Aký bol rok mládežníckej delegátky pri OSN? / Kamenická, Tímea [Autor, REKTOR, 100%]. – text. – [slovenčina]. – [OV 010]. – [iný] In: Náš čas [textový dokument (print)] : časopis Univerzity Konštatnína Filozofa v Nitre. – Nitra (Slovensko) : Univerzita Konštantína Filozofa v Nitre. – ISSN 1338-3272. – Roč. 24, č. 4 (2020), s. 42-42 [tlačená forma] </t>
  </si>
  <si>
    <t xml:space="preserve">Aký význam majú medzinárodné koprodukcie pre domácu kultúru? / Ballay, Miroslav [Autor, UKFFFAKKU, 100%]. – text. – [slovenčina]. – [OV 060]. – [iný] In: Konkrétne o divadle [textový dokument (print)] [elektronický dokument] : mesačník o divadle na Slovensku. – Bratislava (Slovensko) : Divadelný ústav. – ISSN 1337-1800. – ISSN (online) 2336-4548. – Roč. 12, č. 3 (2018), s. 54-55 [tlačená forma] [online] </t>
  </si>
  <si>
    <t xml:space="preserve">Alexandre Tansman (1897 - 1986) - Qautre danses polonaises; Fryderyk Chopin (1810 - 1849) - Koncert pre klavír a orchester č. 1 e mol op. 11; Karol Szymanowski (1882 - 1937) - Symfónia č. 2 B dur op. 19 / Čierna, Alena [Autor, UKFPFAKHU, 100%]. – text. – [slovenčina]. – [OV 010]. – [iný] In: Bratislavské hudobné slávnosti [textový dokument (print)] / [bez zostavovateľa] [Zostavovateľ, editor]. – 1. vyd. – [s.l.] (Slovensko) : [s.n.], 2018, s. 1-6 [tlačená forma] </t>
  </si>
  <si>
    <t xml:space="preserve">Analýza textov / Kapusta, Jozef [Autor, UKFFPVKIN, 50%] ; Krajčovičová, Jana [Autor, REKTOR, 50%]. – text. – [slovenčina]. – [OV 010]. – [iný] In: Náš čas [textový dokument (print)] : časopis Univerzity Konštatnína Filozofa v Nitre. – Nitra (Slovensko) : Univerzita Konštantína Filozofa v Nitre. – ISSN 1338-3272. – Roč. 25, č. 1 (2021), s. 35-35 [tlačená forma] </t>
  </si>
  <si>
    <t xml:space="preserve">Annotazione di libri di italianistica del 2017 / Rusnáková, Natália [Zostavovateľ, editor, UKFFFAKRO, 100%]. – [slovenčina]. – [OV 020]. – [iný] In: Studi italo-slovacchi [textový dokument (print)] . – Nitra (Slovensko) : Univerzita Konštantína Filozofa v Nitre. Filozofická fakulta, Bratislava (Slovensko) : Slovenská akadémia vied. – ISSN 1338-6778. – Roč. 7, č. 1 (2018), s. 110-112 [tlačená forma] </t>
  </si>
  <si>
    <t xml:space="preserve">Atlétka Ema Zapletalová má za sebou hviezdnu sezónu / Kamenická, Tímea [Autor, REKTOR, 100%]. – text. – [slovenčina]. – [OV 210]. – [iný] In: Náš čas [textový dokument (print)] : časopis Univerzity Konštatnína Filozofa v Nitre. – Nitra (Slovensko) : Univerzita Konštantína Filozofa v Nitre. – ISSN 1338-3272. – Roč. 24, č. 4 (2020), s. 43-43 [tlačená forma] </t>
  </si>
  <si>
    <t xml:space="preserve">Audit 2020 : výstava výtvarných prác študentov Katedry výtvarnej tvorby a výchovy PF UKF v Nitre zo zimného semestra školského roka 2019/2020 bola otvorená počas Dňa otvorených dverí (DOD) UKF 2020 a ponúkla niekoľko benefitov / Kratochvil, Martin [Autor, UKFPFAKVV, 100%]. – text. – [slovenčina]. – [OV 020, 010]. – [iný] In: Náš čas [textový dokument (print)] : časopis Univerzity Konštatnína Filozofa v Nitre. – Nitra (Slovensko) : Univerzita Konštantína Filozofa v Nitre. – ISSN 1338-3272. – Roč. 24, č. 2 (2020), s. 16-17 [tlačená forma] </t>
  </si>
  <si>
    <t xml:space="preserve">Babylon armád / Šteiner, Pavol [Autor, UKFFFAKMU, 100%]. – [slovenčina]. – [OV 030]. – [iný] In: Náš čas [textový dokument (print)] : časopis Univerzity Konštatnína Filozofa v Nitre. – Nitra (Slovensko) : Univerzita Konštantína Filozofa v Nitre. – ISSN 1338-3272. – Roč. 24, č. 3 (2020), s. 27-27 [tlačená forma] </t>
  </si>
  <si>
    <t xml:space="preserve">Biele srdce pre našu pedagogičku / Krajčovičová, Jana [Autor, REKTOR, 100%]. – text. – [slovenčina]. – [OV 010]. – [iný] In: Náš čas [textový dokument (print)] : časopis Univerzity Konštatnína Filozofa v Nitre. – Nitra (Slovensko) : Univerzita Konštantína Filozofa v Nitre. – ISSN 1338-3272. – Roč. 24, č. 4 (2020), s. 14-14 [tlačená forma] </t>
  </si>
  <si>
    <t xml:space="preserve">Blažek Tomáš: Chodí gajdoš po dedine. Gajdošské piesne z okolia Nitry (CD) : vidieť a počuť krásu (takmer) zabudnutého sveta / Moravčíková, Erika [Autor, UKFFFAKKU, 100%]. – text. – [slovenčina]. – [OV 020]. – [iný] In: Culturologica Slovaca [elektronický dokument] : internetový kulturologický časopis. – Nitra (Slovensko) : Univerzita Konštantína Filozofa v Nitre. – ISSN 2453-9740. – Roč. 6, č. 1 (2021), s. 174-176 [online] </t>
  </si>
  <si>
    <t xml:space="preserve">Bojovníci proti násiliu na ženách u prezidentky : na stretnutí Ivan Rác zastupoval Ústav romologických štúdií FSVaZ UKF / Rác, Ivan [Autor, UKFFSVURS, 100%]. – text. – [slovenčina]. – [OV 060]. – [iný] In: Náš čas [textový dokument (print)] : časopis Univerzity Konštatnína Filozofa v Nitre. – Nitra (Slovensko) : Univerzita Konštantína Filozofa v Nitre. – ISSN 1338-3272. – Roč. 24, č. 1 (2020), s. 7-7 [tlačená forma] </t>
  </si>
  <si>
    <t xml:space="preserve">Bookovník dal knihám druhú šancu / Krajčovičová, Jana [Autor, REKTOR, 100%]. – text. – [slovenčina]. – [OV 010]. – [iný] In: Náš čas [textový dokument (print)] : časopis Univerzity Konštatnína Filozofa v Nitre. – Nitra (Slovensko) : Univerzita Konštantína Filozofa v Nitre. – ISSN 1338-3272. – Roč. 25, č. 1 (2021), s. 40-40 [tlačená forma] </t>
  </si>
  <si>
    <t xml:space="preserve">Bootcamp v Aténach / Cápay, Martin [Autor, UKFFPVKIN, 100%]. – text. – [slovenčina]. – [OV 010]. – [iný] In: Náš čas [textový dokument (print)] : časopis Univerzity Konštatnína Filozofa v Nitre. – Nitra (Slovensko) : Univerzita Konštantína Filozofa v Nitre. – ISSN 1338-3272. – Roč. 22, č. 4 (2018), s. 10-10 [tlačená forma] </t>
  </si>
  <si>
    <t xml:space="preserve">Britský profesor prednášal pre študentov translatológie : Profesor Patrick J. Corness po prednáške... / Adamová, Ľudmila [Autor, UKFFFAKTR, 100%]. – text. – [slovenčina]. – [OV 010, 020]. – [iný] In: Náš čas [textový dokument (print)] : časopis Univerzity Konštatnína Filozofa v Nitre. – Nitra (Slovensko) : Univerzita Konštantína Filozofa v Nitre. – ISSN 1338-3272. – Roč. 25, č. 2 (2021), s. 7-7 [tlačená forma] </t>
  </si>
  <si>
    <t xml:space="preserve">Cena dekana Filozofickej fakulty / Török, Ľuboš [Autor, UKFFFAKTR, 100%]. – text. – [slovenčina]. – [OV 010]. – [iný] In: Náš čas [textový dokument (print)] : časopis Univerzity Konštatnína Filozofa v Nitre. – Nitra (Slovensko) : Univerzita Konštantína Filozofa v Nitre. – ISSN 1338-3272. – Roč. 22, č. 1 (2018), s. 37-37 [tlačená forma] </t>
  </si>
  <si>
    <t xml:space="preserve">Cena Mladý štatistik roka 2018 pre nášho absolventa / Medová, Janka [Autor, UKFFPVKMA, 100%]. – text. – [slovenčina]. – [OV 240]. – [iný] In: Náš čas [textový dokument (print)] : časopis Univerzity Konštatnína Filozofa v Nitre. – Nitra (Slovensko) : Univerzita Konštantína Filozofa v Nitre. – ISSN 1338-3272. – Roč. 23, č. 1 (2019), s. 9-9 [tlačená forma] </t>
  </si>
  <si>
    <t xml:space="preserve">Cena rektora za medzinárodne akceptovanú publikačnú činnosť / Bauerová, Mária [Autor, UKFFPVKBG, 100%]. – text. – [slovenčina]. – [OV 010]. – [iný] In: Náš čas [textový dokument (print)] : časopis Univerzity Konštatnína Filozofa v Nitre. – Nitra (Slovensko) : Univerzita Konštantína Filozofa v Nitre. – ISSN 1338-3272. – Roč. 23, č. 1 (2019), s. 30-31 [tlačená forma] </t>
  </si>
  <si>
    <t xml:space="preserve">Cena rektora za publikačnú činnosť / Bauerová, Mária [Autor, UKFFPVKBG, 100%]. – text. – [slovenčina]. – [OV 010]. – [iný] In: Náš čas [textový dokument (print)] : časopis Univerzity Konštatnína Filozofa v Nitre. – Nitra (Slovensko) : Univerzita Konštantína Filozofa v Nitre. – ISSN 1338-3272. – Roč. 24, č. 1 (2020), s. 7-7 [tlačená forma] </t>
  </si>
  <si>
    <t xml:space="preserve">Centre for Peace Studies / Bošelová, Miriama [Autor, UKFFFAKEF, 80%] ; Hlatky, Roman [Autor, 20%]. – text. – [angličtina]. – [OV 030]. – [iný] In: Analysis of the stakeholders’ feedback to the Situational Mapping Analysis and Best Practices Report in Croatia, the Czech Republic, Hungary and Slovakia [textový dokument (print)] / Kekuš, Sara [Zostavovateľ, editor]. – 1. vyd. – Záhreb (Chorvátsko) : Centre for Peace Studies, 2021, s. 17-22 [tlačená forma] </t>
  </si>
  <si>
    <t xml:space="preserve">Ceny za medzinárodne akceptovanú publikačnú činnosť / Rózová, Zdenka [Autor, UKFFPVKEE, 100%]. – text. – [slovenčina]. – [OV 010]. – [iný] In: Náš čas [textový dokument (print)] : časopis Univerzity Konštatnína Filozofa v Nitre. – Nitra (Slovensko) : Univerzita Konštantína Filozofa v Nitre. – ISSN 1338-3272. – Roč. 22, č. 1 (2018), s. 41-41 [tlačená forma] </t>
  </si>
  <si>
    <t xml:space="preserve">Comparison of relative gene expression of porcine parthenotes  cultivated in group or single embryo culture / Murín, Matej [Autor, 40%] ; Němcová, Lucie [Autor, 10%] ; Bartková, Alexandra [Autor, UKFFPVKBG, 40%] ; Laurinčík, Jozef [Autor, UKFFPVKZA, 5%] ; Procházka, Radek [Autor, 5%] ; 2nd conference of the Visegrád group society for developmental biology, 2 [02.09.2021-05.09.2021, Szeged, Maďarsko]. – text. – [angličtina]. – [OV 200]. – [iný] In: 2nd conference of the Visegrád group society for developmental biology [textový dokument (print)] : abstracts oral and poster presentations, 2-5 September 2021, Szeged, Hungary / [bez zostavovateľa] [Zostavovateľ, editor]. – 1. vyd. – Budapešť (Maďarsko) : Hungarian Genetics Society, 2021, s. 20-21 [tlačená forma] </t>
  </si>
  <si>
    <t xml:space="preserve">Conclusion : [A Catalogue of Ecosystem Services in Slovakia] / Mederly, Peter [Korešpondenčný autor, UKFFPVKEE, 50%] ; Černecký, Ján [Autor, UKFFPVKEE, 50%]. – text. – [angličtina]. – [OV 100, 190]. – [iný]. – DOI 10.1007/978-3-030-46508-7 In: A Catalogue of Ecosystem Services in Slovakia [textový dokument (print)] [elektronický dokument] : Benefits to Society / Mederly, Peter [Zostavovateľ, editor] ; Černecký, Ján [Zostavovateľ, editor]. – 1. vyd. – Cham (Švajčiarsko) : Springer Verlag, 2020. – ISBN 978-3-030-46507-0. – ISBN (online) 978-3-030-46508-7, s. 243-244 [tlačená forma] </t>
  </si>
  <si>
    <t xml:space="preserve">Conclusión: acerca del traducir y el traicionar / Lampis, Mirko [Autor, UKFFFAKRO, 100%]. – text. – [španielčina]. – [OV 020]. – [iný] In: Las fronteras de la traducción [textový dokument (print)] : las prácticas traductivas como cuestión sociocultural / Lampis, Mirko [Zostavovateľ, editor] ; González de Ávila, Manuel [Recenzent] ; Linares Alés, Francisco [Recenzent]. – 1. vyd. – Sevilla (Španielsko) : Alfar, 2019. – ISBN 978-84-7898-824-2, s. 223-226 [tlačená forma] </t>
  </si>
  <si>
    <t xml:space="preserve">Cyrilo-metodská cesta [kartografický dokument]  [iný] : turistická mapa 1 : 400 000 / Peterka, Martin [Zostavovateľ, editor, 50%] ; Kramáreková, Hilda [Zostavovateľ, editor, UKFFPVKGR, 50%]. – 1. vyd. – Zlín (Česko) : Rada Európy, 2019. – 16 s. [7 AH] [tlačená forma] : mapy. – [čeština]. – [OV 092] </t>
  </si>
  <si>
    <t xml:space="preserve">Cyrilo-Metodská cesta / Ivanič, Peter [Autor, UKFFFAUKD, 100%]. – text. – [slovenčina]. – [OV 020]. – [iný] In: Náš čas [textový dokument (print)] : časopis Univerzity Konštatnína Filozofa v Nitre. – Nitra (Slovensko) : Univerzita Konštantína Filozofa v Nitre. – ISSN 1338-3272. – Roč. 22, č. 2 (2018), s. 43-43 [tlačená forma] </t>
  </si>
  <si>
    <t xml:space="preserve">Cyrilská a latinská písomná kultúra byzantsko-slovanskej tradície na Slovensku do koca 18. storočia / Hamatová, Miriam [Autor, UKFFFAKRU, 100%]. – text. – [slovenčina]. – [OV 020]. – [iný] In: Konštantínove listy [textový dokument (print)] [elektronický dokument] . – Nitra (Slovensko) : Univerzita Konštantína Filozofa v Nitre. Filozofická fakulta. Ústav pre výskum kultúrneho dedičstva Konštantína a Metoda. – ISSN 1337-8740. – ISSN (online) 2453-7675. – Roč. 11, č. 2 (2018), s. 211-211 [tlačená forma] [online] . – SNIP: 0,941 ; SJR: 0,542 ; CiteScore: 1,1 Scimago - History - Q1, Philosophy - Q1, Religious studies - Q1 </t>
  </si>
  <si>
    <t xml:space="preserve">Cyrilská a latinská písomná kultúra byzantsko-slovanskej tradície na Slovensku do konca 18. storočia / Žeňuch, Vavrinec [Autor, UKFFFAKRU, 100%]. – text. – [slovenčina]. – [OV 030]. – [iný] In: Historický časopis [textový dokument (print)] [elektronický dokument] : vedecký časopis o dejinách Slovenska a strednej Európy = an academic journal on the history of Slovakia and Central Europe. – Bratislava (Slovensko) : Slovenská akadémia vied. Pracoviská SAV. Historický ústav. – ISSN 0018-2575. – ISSN (online) 2585-9099. – Roč. 67, č. 2 (2019), s. 376-379 [tlačená forma] [online] . – SJR: 0,112 ; SNIP: 0,346 ; CiteScore: 0,1 Scimago - History - Q3 </t>
  </si>
  <si>
    <t xml:space="preserve">ČAD : Bastard / Puškár, Jozef [Autor, UKFFFAKKU, 100%]. – [slovenčina]. – [OV 020]. – [iný] In: Vlna [textový dokument (print)] : časopis o súčasnom umení a kultúre. – Bratislava (Slovensko) : Drewo a srd. – ISSN 1335-5341. – ISSN (chybné) ISSN 1335-969X. – Roč. 20, č. 74 (2018), s. 144-145 [tlačená forma] </t>
  </si>
  <si>
    <t xml:space="preserve">Česká literárna bibliografia / Teplan, Dušan [Autor, UKFFFASJL, 100%]. – text. – [slovenčina]. – [OV 020, 010]. – [iný] In: Litikon [textový dokument (print)] : časopis pre výskum literatúry = journal for literature research. – Nitra (Slovensko) : Univerzita Konštantína Filozofa v Nitre. – ISSN 2453-8507. – Roč. 4, č. 1 (2019), s. 91-97 [tlačená forma] </t>
  </si>
  <si>
    <t xml:space="preserve">Činnosť akademického senátu UKF v Nitre v roku 2020 / Pavlovičová, Gabriela [Autor, UKFFPVKMA, 100%]. – text. – [slovenčina]. – [OV 010]. – [iný] In: Náš čas [textový dokument (print)] : časopis Univerzity Konštatnína Filozofa v Nitre. – Nitra (Slovensko) : Univerzita Konštantína Filozofa v Nitre. – ISSN 1338-3272. – Roč. 24, č. 5 (2020), s. 5-5 [tlačená forma] </t>
  </si>
  <si>
    <t xml:space="preserve">Čítanie v čase pandémie : čo sa zmenilo? / Klimková, Simona [Autor, UKFFFAKAA, 100%]. – text. – [slovenčina]. – [OV 010]. – [iný] In: Náš čas [textový dokument (print)] : časopis Univerzity Konštatnína Filozofa v Nitre. – Nitra (Slovensko) : Univerzita Konštantína Filozofa v Nitre. – ISSN 1338-3272. – Roč. 25, č. 2 (2021), s. 18-18 [tlačená forma] </t>
  </si>
  <si>
    <t xml:space="preserve">Čo robiť, aby UKF bola považovaná za lepšiu a kvalitnejšiu univerzitu? / Vozár, Libor [Autor, UKFFPVKFY, 100%]. – text. – [slovenčina]. – [OV 010]. – [iný] In: Náš čas [textový dokument (print)] : časopis Univerzity Konštatnína Filozofa v Nitre. – Nitra (Slovensko) : Univerzita Konštantína Filozofa v Nitre. – ISSN 1338-3272. – Roč. 23, č. 2 (2019), s. 9-9 [tlačená forma] </t>
  </si>
  <si>
    <t xml:space="preserve">Čoho sa v divadle bojíte? / Ballay, Miroslav [Autor, UKFFFAKKU, 100%]. – text. – [slovenčina]. – [OV 020]. – [iný] In: Konkrétne o divadle [textový dokument (print)] [elektronický dokument] : mesačník o divadle na Slovensku. – Bratislava (Slovensko) : Divadelný ústav. – ISSN 1337-1800. – ISSN (online) 2336-4548. – Roč. 12, č. 5 (2018), s. 54-55 [tlačená forma] [online] </t>
  </si>
  <si>
    <t xml:space="preserve">Dadkino putovanie alebo Dadka v ríši Kráľovnej všetkých rozprávok : o malilinkých bábätkách (piata rozprávka) / Inštitorisová, Dagmar [Autor, UKFFFAKMR, 100%]. – text. – [slovenčina]. – [OV 020]. – [iný] In: Klub nezávislých spisovateľov [elektronický dokument] . – Bratislava (Slovensko) : Klub nezávislých spisovateľov. – 2019, s. 1-5 [online] </t>
  </si>
  <si>
    <t xml:space="preserve">Ďalší grantový úspech Katedry informatiky / Skalka, Ján [Autor, UKFFPVKIN, 100%]. – text. – [slovenčina]. – [OV 010, 160]. – [iný] In: Náš čas [textový dokument (print)] : časopis Univerzity Konštatnína Filozofa v Nitre. – Nitra (Slovensko) : Univerzita Konštantína Filozofa v Nitre. – ISSN 1338-3272. – Roč. 24, č. 5 (2020), s. 34-34 [tlačená forma] </t>
  </si>
  <si>
    <t xml:space="preserve">Ďalšia spolupráca s Bieloruskom : hostí z Vitebskej štátnej univerzity P. M. Mašerova prijali predstavitelia Filozofickej fakulty UKF v Nitre. Zástupcovia vedenia oboch univerzít rokovali o možnostiach spolupráce v budúcnosti / Bordjuhová, Lenka [Autor, UKFFFAKRU, 100%]. – text. – [slovenčina]. – [OV 010]. – [iný] In: Náš čas [textový dokument (print)] : časopis Univerzity Konštatnína Filozofa v Nitre. – Nitra (Slovensko) : Univerzita Konštantína Filozofa v Nitre. – ISSN 1338-3272. – Roč. 24, č. 2 (2020), s. 28-29 [tlačená forma] </t>
  </si>
  <si>
    <t xml:space="preserve">Daniel Lo: „Ľudia sa sústredia na svoj vnútorný hlas a robia hudbu, ktorú majú naozaj radi. Pripomína mi to renesanciu.“ [rozhovor] / Veselý, Ondrej [Autor interview, UKFFFAULK, 50%] ; Danielom Ting-cheung, Daniel [Autor interview, 50%]. – text. – [slovenčina]. – [OV 010, 020]. – [iný] In: Hudobný život [textový dokument (print)] [elektronický dokument] : jediný odborný mesačník pre klasickú hudbu a jazz na Slovensku. – Bratislava (Slovensko) : Hudobné centrum. – ISSN 1335-4140. – ISSN (online) 2729-7586. – ISSN (zrušené) 0323-133X. – Roč. 51, č. 11 (2019), s. 10-11 [tlačená forma] [online] </t>
  </si>
  <si>
    <t xml:space="preserve">Detection of apoptosis in porcine oocytes after lissamine  green B staining / Bartková, Alexandra [Autor, UKFFPVKBG, 60%] ; Kinterová, Veronika [Autor, 8%] ; Němcová, Lucie [Autor, 5%] ; Strejček, František [Autor, UKFFPVKBG, 5%] ; Morovič, Martin [Autor, UKFFPVKZA, 5%] ; Benc, Michal [Autor, UKFFPVKBG, 5%] ; Bonnet-Garnier, Amélie [Autor, 1%] ; Murín, Matej [Autor, 1%] ; Procházka, Radek [Autor, 1%] ; Laurinčík, Jozef [Autor, UKFFPVKZA, 9%] ; 2nd conference of the Visegrád group society for developmental biology, 2 [02.09.2021-05.09.2021, Szeged, Maďarsko]. – text. – [angličtina]. – [OV 200]. – [iný] In: 2nd conference of the Visegrád group society for developmental biology [textový dokument (print)] : abstracts oral and poster presentations, 2-5 September 2021, Szeged, Hungary / [bez zostavovateľa] [Zostavovateľ, editor]. – 1. vyd. – Budapešť (Maďarsko) : Hungarian Genetics Society, 2021, s. 21-21 [tlačená forma] </t>
  </si>
  <si>
    <t xml:space="preserve">Determination of proteins whose degradation is necessary for  embryonic genome activation in cattle / Kinterová, Veronika [Autor, 45%] ; Kanka, Jiří [Autor, 5%] ; Bartková, Alexandra [Autor, UKFFPVKBG, 45%] ; Toralová, Tereza [Autor, 5%] ; 2nd conference of the Visegrád group society for developmental biology, 2 [02.09.2021-05.09.2021, Szeged, Maďarsko]. – text. – [angličtina]. – [OV 200]. – [iný] In: 2nd conference of the Visegrád group society for developmental biology [textový dokument (print)] : abstracts oral and poster presentations, 2-5 September 2021, Szeged, Hungary / [bez zostavovateľa] [Zostavovateľ, editor]. – 1. vyd. – Budapešť (Maďarsko) : Hungarian Genetics Society, 2021, s. 28-28 [tlačená forma] </t>
  </si>
  <si>
    <t xml:space="preserve">Detská letná akadémia na Ústave romologických štúdií / Danišová, Beáta [Autor, UKFFSVURS, 100%]. – text. – [slovenčina]. – [OV 010]. – [iný] In: Náš čas [textový dokument (print)] : časopis Univerzity Konštatnína Filozofa v Nitre. – Nitra (Slovensko) : Univerzita Konštantína Filozofa v Nitre. – ISSN 1338-3272. – Roč. 23, č. 8 (2019), s. 28-28 [tlačená forma] </t>
  </si>
  <si>
    <t xml:space="preserve">Digitálny výskum literatúry na Slovensku a v „blízkom okolí“ = Digital literary studies in Slovakia and „in close proximity“  / Debnár, Marek [Autor, UKFFFACHV, 100%]. – text. – [slovenčina]. – [OV 020]. – [iný]. – DOI 10.31577/slovlit.2020.67.6.1. – SCO In: Slovenská literatúra [textový dokument (print)] [elektronický dokument] : revue pre literárnu vedu : časopis Ústavu slovenskej literatúry Slovenskej akadémie vied. – Bratislava (Slovensko) : Slovenská akadémia vied. Pracoviská SAV. Ústav slovenskej literatúry. – ISSN 0037-6973. – Roč. 67, č. 6 (2020), s. 519-522 [tlačená forma] [online] . – SJR: 0,1 ; CiteScore: 0,1 ; AIS: 0.130 AIS - Literature, slavic - Q2 Scimago - Literature and literary theory - Q4 </t>
  </si>
  <si>
    <t xml:space="preserve">Diplom 2019/2020 - úvod / Récka, Adriana [Autor, UKFPFAKVV, 100%]. – text. – [slovenčina]. – [OV 010]. – [iný] In: Diplom 2019/2020 [textový dokument (print)] : absolventi Katedry výtvarnej tvorby a výchovy Pedagogickej fakulty UKF v Nitre v Akademickom roku 2018/2019 a 2019/2020 / Récka, Adriana [Zostavovateľ, editor]. – 1. vyd. – Nitra (Slovensko) : Univerzita Konštantína Filozofa v Nitre, 2020. – ISBN 978-80-558-1624-1, s. 7-9 [tlačená forma] </t>
  </si>
  <si>
    <t xml:space="preserve">DIPLOM 2021. Absolventi Katedry Výtvarnej tvorby a výchovy  PF UKF v Nitre v akademickom roku 2020/2021 [textový dokument (print)]  [iný] : zborník vydaný pri príležitosti 23. ročníka prezentácie tvorby absolventov katedry DIPLOM 2021, z dôvodu opatrení v súvislosti s pandémiou COVID-19 realizovanej online / Récka, Adriana [Zostavovateľ, editor, UKFPFAKVV, 100%]. – 1. vyd. – Nitra (Slovensko) : Univerzita Konštantína Filozofa v Nitre, 2021. – 35 s. [tlačená forma] : text. – [slovenčina]. – [OV 010]. – [recenzované]. – ISBN 978-80-558-1804-7 </t>
  </si>
  <si>
    <t xml:space="preserve">Diplom z Lotrinskej univerzity / Ukušová, Jana [Autor, UKFFFAKTR, 100%]. – text. – [slovenčina]. – [OV 010]. – [iný] In: Náš čas [textový dokument (print)] : časopis Univerzity Konštatnína Filozofa v Nitre. – Nitra (Slovensko) : Univerzita Konštantína Filozofa v Nitre. – ISSN 1338-3272. – Roč. 22, č. 1 (2018), s. 32-33 [tlačená forma] </t>
  </si>
  <si>
    <t xml:space="preserve">Diskusia „Na slovíčko... dopady pandémie  na cestovný ruch v regiónoch“ / Válek, Ján [Autor, UKFFFAKMK, 100%]. – text. – [slovenčina]. – [OV 020]. – [iný] In: Kontexty kultúry a turizmu [textový dokument (print)] . – Nitra (Slovensko) : Univerzita Konštantína Filozofa v Nitre. Filozofická fakulta. – ISSN 1337-7760. – Roč. 14, č. 1 (2021), s. 103-105 [tlačená forma] </t>
  </si>
  <si>
    <t xml:space="preserve">Diskusia geológa a gemológia v RTVS / Štubňa, Ján [Autor, UKFFPVGMU, 100%]. – text. – [slovenčina]. – [OV 092]. – [iný] In: Gemologický spravodajca [textový dokument (print)] : časopis gemológov pri FPV UKF v Nitre. – Nitra (Slovensko) : Univerzita Konštantína Filozofa v Nitre. Fakulta prírodných vied. – ISSN 1337-6136. – ISSN (online) 1338-5275. – Roč. 9, č. 2 (2019), s. 45-45 [tlačená forma] </t>
  </si>
  <si>
    <t xml:space="preserve">Diskutovali o domácom násilí / Pavlíková, Barbara [Autor, UKFFSVKSP, 100%]. – text. – [slovenčina]. – [OV 180]. – [iný] In: Náš čas [textový dokument (print)] : časopis Univerzity Konštatnína Filozofa v Nitre. – Nitra (Slovensko) : Univerzita Konštantína Filozofa v Nitre. – ISSN 1338-3272. – Roč. 22, č. 5 (2018), s. 50-50 [tlačená forma] </t>
  </si>
  <si>
    <t xml:space="preserve">Diskutovali o nezávislej kultúre / Kočiš, Michal [Autor, UKFFFAKKU, 100%]. – text. – [slovenčina]. – [OV 020]. – [iný] In: Náš čas [textový dokument (print)] : časopis Univerzity Konštatnína Filozofa v Nitre. – Nitra (Slovensko) : Univerzita Konštantína Filozofa v Nitre. – ISSN 1338-3272. – Roč. 22, č. 2 (2018), s. 56-56 [tlačená forma] </t>
  </si>
  <si>
    <t xml:space="preserve">Diskutovali o sociálnej práci a práci s mládežou / Kozubík, Michal [Autor, UKFFSVKSP, 100%]. – text. – [slovenčina]. – [OV 060]. – [iný] In: Náš čas [textový dokument (print)] : časopis Univerzity Konštatnína Filozofa v Nitre. – Nitra (Slovensko) : Univerzita Konštantína Filozofa v Nitre. – ISSN 1338-3272. – Roč. 25, č. 2 (2021), s. 12-12 [tlačená forma] </t>
  </si>
  <si>
    <t xml:space="preserve">Divadelný festival / Stranovská, Eva [Autor, UKFFFAKGE, 25%] ; Hvozdíková, Silvia [Autor, UKFFFAKAA, 25%] ; Horváthová, Ivana [Autor, UKFFFAKAA, 25%] ; Stančeková, Svetlana [Autor, UKFFFAKRO, 25%]. – text. – [slovenčina]. – [OV 020]. – [iný] In: Náš čas [textový dokument (print)] : časopis Univerzity Konštatnína Filozofa v Nitre. – Nitra (Slovensko) : Univerzita Konštantína Filozofa v Nitre. – ISSN 1338-3272. – Roč. 22, č. 2 (2018), s. 24-25 [tlačená forma] </t>
  </si>
  <si>
    <t xml:space="preserve">Divadlo Andreja Bagara v Nitre uvádza Honoré de Balzac - Otec Goriot [textový dokument (print)]  [iný] : bulletin k inscenácii / Mihalová, Lucia [Zostavovateľ, editor, UKFFFAULK, 100%]. – 1. vyd. – Nitra (Slovensko) : DAB, 2018. – 20 s. [tlačená forma] : text. – [slovenčina]. – [OV 020] </t>
  </si>
  <si>
    <t xml:space="preserve">Dni hispánskej kultúry / Civáňová, Zuzana [Autor, UKFFFAKRO, 100%]. – text. – [slovenčina]. – [OV 020]. – [iný] In: Náš čas [textový dokument (print)] : časopis Univerzity Konštatnína Filozofa v Nitre. – Nitra (Slovensko) : Univerzita Konštantína Filozofa v Nitre. – ISSN 1338-3272. – Roč. 22, č. 2 (2018), s. 20-21 [tlačená forma] </t>
  </si>
  <si>
    <t xml:space="preserve">Do akej miery môže mať zobrazovanie queer tematiky v umení aj všeobecnejší dosah na vnímanie tejto problematiky v spoločnosti? / Ballay, Miroslav [Autor, UKFFFAKKU, 100%]. – [slovenčina]. – [OV 060]. – [iný] In: Konkrétne o divadle [textový dokument (print)] [elektronický dokument] : mesačník o divadle na Slovensku. – Bratislava (Slovensko) : Divadelný ústav. – ISSN 1337-1800. – ISSN (online) 2336-4548. – Roč. 12, č. 1 (2018), s. 54-55 [tlačená forma] [online] </t>
  </si>
  <si>
    <t xml:space="preserve">Do starého koryta sanevrátime / Krno, Svetozár [Autor, UKFFFAKPO, 100%]. – text. – [slovenčina]. – [OV 030]. – [iný] In: Civitas [textový dokument (print)] : časopis pre politické a sociálne vedy. – Nitra (Slovensko) : Univerzita Konštantína Filozofa v Nitre. Filozofická fakulta. Katedra politológie a euroázijských štúdií. – ISSN 1335-2652. – Roč. 26, č. 2 (2020), s. 1-1 [tlačená forma] </t>
  </si>
  <si>
    <t xml:space="preserve">DOD UKF: kontakt face to face je stále nenahraditeľný : informácie o štúdiu ale aj množstvo aktivít zážitkového typu čakalo na uchádzačov priamo na pôde univerzity. Internet či sociálne siete plnia svoj informačný význam, ale živý kontakt s rovesníkmi a pedagógmi nič nenahradí / Černáková, Jana [Autor, UKFREKTOR, 100%]. – text. – [slovenčina]. – [OV 020]. – [iný] In: Náš čas [textový dokument (print)] : časopis Univerzity Konštatnína Filozofa v Nitre. – Nitra (Slovensko) : Univerzita Konštantína Filozofa v Nitre. – ISSN 1338-3272. – Roč. 24, č. 2 (2020), s. 12-14 [tlačená forma] </t>
  </si>
  <si>
    <t xml:space="preserve">Doktorandská konferencia Preklad v pohybe / Koscelníková, Mária [Autor, UKFFFAKTR, 50%] ; Martinkovič, Matej [Autor, UKFFFAKTR, 50%]. – text. – [slovenčina]. – [OV 020]. – [iný] In: Náš čas [textový dokument (print)] : časopis Univerzity Konštatnína Filozofa v Nitre. – Nitra (Slovensko) : Univerzita Konštantína Filozofa v Nitre. – ISSN 1338-3272. – Roč. 24, č. 2 (2020), s. 10-10 [tlačená forma] </t>
  </si>
  <si>
    <t xml:space="preserve">Dr. habil PaedDr. Žofia Bárcziová PhD. : dekanka fakulty stredoeurópskych štúdií UKF v Nitre / Palenčíková, Zuzana [Autor interview, UKFFSSKCR, 50%] ; Bárcziová, Žofia [Autor účastník interview, UKFFSSUML, 50%]. – text. – [slovenčina]. – [OV 010]. – [iný] In: Náš čas [textový dokument (print)] : časopis Univerzity Konštatnína Filozofa v Nitre. – Nitra (Slovensko) : Univerzita Konštantína Filozofa v Nitre. – ISSN 1338-3272. – Roč. 24, č. 4 (2020), s. 20-20 [tlačená forma] </t>
  </si>
  <si>
    <t xml:space="preserve">Duálne diplomy : študentky Katedry masmediálnej  komunikácie a reklamy získali duálne  diplomy poprednej zahraničnej  univerzity v Poľsku / Janková, Györgyi [Autor, UKFFFAKMR, 100%]. – text. – [slovenčina]. – [OV 010]. – [iný] In: Náš čas [textový dokument (print)] : časopis Univerzity Konštatnína Filozofa v Nitre. – Nitra (Slovensko) : Univerzita Konštantína Filozofa v Nitre. – ISSN 1338-3272. – Roč. 22, č. 1 (2018), s. 33-33 [tlačená forma] </t>
  </si>
  <si>
    <t xml:space="preserve">Dve odborné podujatia o nezávislej kultúre a koronakríze / Švajdová, Adriana [Autor, UKFFFAKKU, 100%]. – text. – [slovenčina]. – [OV 020]. – [iný] In: Culturologica Slovaca [elektronický dokument] : internetový kulturologický časopis. – Nitra (Slovensko) : Univerzita Konštantína Filozofa v Nitre. – ISSN 2453-9740. – Roč. 6, č. 1 (2021), s. 165-168 [online] </t>
  </si>
  <si>
    <t xml:space="preserve">Dynamická doba ukazuje potrebu koučingu / Krajčovičová, Jana [Autor, REKTOR, 100%]. – text. – [slovenčina]. – [OV 010]. – [iný] In: Náš čas [textový dokument (print)] : časopis Univerzity Konštatnína Filozofa v Nitre. – Nitra (Slovensko) : Univerzita Konštantína Filozofa v Nitre. – ISSN 1338-3272. – Roč. 24, č. 2 (2020), s. 24-25 [tlačená forma] </t>
  </si>
  <si>
    <t xml:space="preserve">Editoriál : [Kontexty kultúry a turizmu] / Letavajová, Silvia [Autor, UKFFFAKMK, 100%]. – text. – [slovenčina]. – [OV 030]. – [iný] In: Kontexty kultúry a turizmu [textový dokument (print)] . – Nitra (Slovensko) : Univerzita Konštantína Filozofa v Nitre. Filozofická fakulta. – ISSN 1337-7760. – Roč. 11, č. 2 (2018), s. 5-7 [tlačená forma] </t>
  </si>
  <si>
    <t xml:space="preserve">Editorial Note: Happy Birthday Glottometrics - On the Occasion of the 50th Issue and 20th Anniversary / Kelih, Emmerich [Autor, 20%] ; Čech, Radek [Autor, 20%] ; Mačutek, Ján [Autor, UKFFPVKMA, 60%]. – text. – [angličtina]. – [OV 240]. – [iný]. – WOS CC ; SCO In: Glottometrics [textový dokument (print)] [elektronický dokument] . – Lüdenscheid (Nemecko) : RAM-Verlag. – ISSN 1617-8351. – ISSN (online) 2625-8226. – Roč. 50 (2021), s. 1-3 [tlačená forma] [online] . – CiteScore: 0,6 ; SJR: 0,153 ; SNIP: 0,51 ; AIS: 0.161 AIS - Linguistics - Q3 Scimago - Applied mathematics - Q4, Linguistics and language - Q3 </t>
  </si>
  <si>
    <t xml:space="preserve">Education exchange / Cápay, Martin [Autor, UKFFPVKIN, 100%]. – text. – [slovenčina]. – [OV 010]. – [iný] In: Náš čas [textový dokument (print)] : časopis Univerzity Konštatnína Filozofa v Nitre. – Nitra (Slovensko) : Univerzita Konštantína Filozofa v Nitre. – ISSN 1338-3272. – Roč. 22, č. 2 (2018), s. 37-37 [tlačená forma] </t>
  </si>
  <si>
    <t xml:space="preserve">Embryotechnológie pre nevedcov zaujali / Černáková, Jana [Autor, UKFREKTOR, 100%]. – text. – [slovenčina]. – [OV 130]. – [iný] In: Náš čas [textový dokument (print)] : časopis Univerzity Konštatnína Filozofa v Nitre. – Nitra (Slovensko) : Univerzita Konštantína Filozofa v Nitre. – ISSN 1338-3272. – Roč. 24, č. 1 (2020), s. 19-19 [tlačená forma] </t>
  </si>
  <si>
    <t xml:space="preserve">Emotionally competent stimuli for learning foreign language vocabulary / Kráľová, Zdena [Autor, UKFPFAKLI, 50%] ; Kamenická, Jana [Autor, UKFPFAKLI, 50%] ; 12 [03.06.2021-05.06.2021, Aveiro, Portugalsko]. – text. – [angličtina]. – [OV 060]. – [iný] In: 12th ISAPL International Congress [textový dokument (print)] : Book of Abstracts, Aveiro June 3-5, 2021 / [bez zostavovateľa] [Zostavovateľ, editor]. – 1. vyd. – Brazil (Brazília) : International Society of Applied Psycholinguistics, 2021, s. 166-166 [online] </t>
  </si>
  <si>
    <t xml:space="preserve">Értékeink [textový dokument (print)]  [iný] / Angyal, Ladislav [Autor, UKFFSSUML, 100%]. – 1. vyd. – Rimavská Sobota (Slovensko) : Tompa Mihály Alapiskola, 2018. – 154 s. [tlačená forma] : text. – [slovenčina]. – [OV 020] </t>
  </si>
  <si>
    <t xml:space="preserve">Etnologická súťaž „Mjartanovo Sebedražie“ 2018 / Letavajová, Silvia [Autor, UKFFFAKMK, 100%]. – text. – [slovenčina]. – [OV 030]. – [iný] In: Kontexty kultúry a turizmu [textový dokument (print)] . – Nitra (Slovensko) : Univerzita Konštantína Filozofa v Nitre. Filozofická fakulta. – ISSN 1337-7760. – Roč. 11, č. 2 (2018), s. 145-148 [tlačená forma] </t>
  </si>
  <si>
    <t xml:space="preserve">Etnologické dni 2021 / Báreková, Barbora [Autor, UKFFFAKET, 100%]. – text. – [slovenčina]. – [OV 030]. – [iný] In: Etnologické rozpravy [textový dokument (print)] [elektronický dokument] . – Bratislava (Slovensko) : Národopisná spoločnosť Slovenska. – ISSN 1335-5074. – ISSN (online) 2729-9759. – Roč. 28, č. 1 (2021), s. 201-204 [tlačená forma] [online] </t>
  </si>
  <si>
    <t xml:space="preserve">Európska kultúrna cesta sv. Cyrila a Metoda / Ivanič, Peter [Autor, UKFFFAUKD, 100%]. – text. – [slovenčina]. – [OV 010]. – [iný] In: Náš čas [textový dokument (print)] : časopis Univerzity Konštatnína Filozofa v Nitre. – Nitra (Slovensko) : Univerzita Konštantína Filozofa v Nitre. – ISSN 1338-3272. – Roč. 24, č. 2 (2020), s. 33-33 [tlačená forma] </t>
  </si>
  <si>
    <t xml:space="preserve">Eva Kleinová: baví ma dialóg s mladými ľuďmi / Černáková, Jana [Autor, UKFREKTOR, 100%]. – text. – [slovenčina]. – [OV 020]. – [iný] In: Náš čas [textový dokument (print)] : časopis Univerzity Konštatnína Filozofa v Nitre. – Nitra (Slovensko) : Univerzita Konštantína Filozofa v Nitre. – ISSN 1338-3272. – Roč. 24, č. 2 (2020), s. 8-9 [tlačená forma] </t>
  </si>
  <si>
    <t xml:space="preserve">Exkurzia v Prahe / Minarovičová, Katarína [Autor, UKFFSVKSP, 100%]. – text. – [slovenčina]. – [OV 060]. – [iný] In: Náš čas [textový dokument (print)] : časopis Univerzity Konštatnína Filozofa v Nitre. – Nitra (Slovensko) : Univerzita Konštantína Filozofa v Nitre. – ISSN 1338-3272. – Roč. 23, č. 4 (2019), s. 11-11 [tlačená forma] </t>
  </si>
  <si>
    <t xml:space="preserve">Extracellular vesicles microRNA cargo in porcine follicular fluids: the potential association with oocyte quality / Gad, Ahmed [Autor, 30%] ; Murín, Matej [Autor, 30%] ; Bartková, Alexandra [Autor, UKFFPVKBG, 25%] ; Marcollová, Kateřina [Autor, 5%] ; Laurinčík, Jozef [Autor, UKFFPVKZA, 5%] ; Procházka, Radek [Autor, 5%] ; 2nd conference of the Visegrád group society for developmental biology, 2 [02.09.2021-05.09.2021, Szeged, Maďarsko]. – text. – [angličtina]. – [OV 200]. – [iný] In: 2nd conference of the Visegrád group society for developmental biology [textový dokument (print)] : abstracts oral and poster presentations, 2-5 September 2021, Szeged, Hungary / [bez zostavovateľa] [Zostavovateľ, editor]. – 1. vyd. – Budapešť (Maďarsko) : Hungarian Genetics Society, 2021, s. 19-19 [tlačená forma] </t>
  </si>
  <si>
    <t xml:space="preserve">Farewell to Mgr. Jaroslav Svatoň / Krumpálová, Zuzana [Autor, UKFFPVKEE, 50%] ; Gajdoš, Peter [Autor, 50%]. – text. – [angličtina]. – [OV 100]. – [iný] In: Arachnologische Mitteilungen [textový dokument (print)] [elektronický dokument] . – Basel (Švajčiarsko) : Arachnologische Gesellschaft. – ISSN 1018-4171. – ISSN (online) 2199-7233. – Roč. 60, č. 1 (2020), s. 1-5 [tlačená forma] [online] . – SJR: 0,292 ; CiteScore: 1,2 ; SNIP: 0,519 Scimago - Ecology, evolution, behavior and systematics - Q3, Insect science - Q3 </t>
  </si>
  <si>
    <t xml:space="preserve">Fauna polí, lúk a pasienkov / Krumpálová, Zuzana [Autor, UKFFPVKEE, 100%]. – [slovenčina]. – [OV 100]. – [iný] In: Veľká kniha živočíchov [textový dokument (print)] / Krumpál, Miroslav [Zostavovateľ, editor]. – 6. preprac. vyd. – Bratislava (Slovensko) : Ikar, 2019. – ISBN 978-80-551-6883-8, s. 33-34 [tlačená forma] </t>
  </si>
  <si>
    <t xml:space="preserve">Fauna urbánneho prostredia / Krumpálová, Zuzana [Autor, UKFFPVKEE, 100%]. – [slovenčina]. – [OV 100]. – [iný] In: Veľká kniha živočíchov [textový dokument (print)] / Krumpál, Miroslav [Zostavovateľ, editor]. – 6. preprac. vyd. – Bratislava (Slovensko) : Ikar, 2019. – ISBN 978-80-551-6883-8, s. 37-37 [tlačená forma] </t>
  </si>
  <si>
    <t xml:space="preserve">Fauna viatych (eolických) pieskov / Krumpálová, Zuzana [Autor, UKFFPVKEE, 100%]. – [slovenčina]. – [OV 100]. – [iný] In: Veľká kniha živočíchov [textový dokument (print)] / Krumpál, Miroslav [Zostavovateľ, editor]. – 6. preprac. vyd. – Bratislava (Slovensko) : Ikar, 2019. – ISBN 978-80-551-6883-8, s. 32-33 [tlačená forma] </t>
  </si>
  <si>
    <t xml:space="preserve">Fauna vôd / Krumpálová, Zuzana [Autor, UKFFPVKEE, 100%]. – [slovenčina]. – [OV 100]. – [iný] In: Veľká kniha živočíchov [textový dokument (print)] / Krumpál, Miroslav [Zostavovateľ, editor]. – 6. preprac. vyd. – Bratislava (Slovensko) : Ikar, 2019. – ISBN 978-80-551-6883-8, s. 35-36 [tlačená forma] </t>
  </si>
  <si>
    <t xml:space="preserve">Faust je jablkom prekladateľských svárov / Čakanek, Ján [Autor účastník interview, UKFFFAKGE, 50%] ; Zumríková Kekeliaková, Monika [Autor interview, UKFFFASJL, 50%]. – text. – [slovenčina]. – [OV 020]. – [iný] In: Katolícke noviny [textový dokument (print)] [elektronický dokument] . – Trnava (Slovensko) : Spolok svätého Vojtecha. – ISSN 0139-8512. – ISSN (online) 1336-2399. – Roč. 134, č. 43 (2019), s. 12-13 [tlačená forma] [online] </t>
  </si>
  <si>
    <t xml:space="preserve">Fenomén postavy a jej prezentácia v súčasnej slovenskej a českej próze v stredoeurópskych súvislostiach (editoriál) = The Phenomenon of the Character and its Presentation in Contemporary Slovak and Czech Prose in the Central European Context (Editorial) / Timko, Štefan [Autor, UKFFSSUSJ, 50%] ; Tkáč-Zabáková, Lenka [Autor, UKFFSSUSJ, 50%]. – text. – [slovenčina]. – [OV 020]. – [iný] In: Stredoeurópske pohľady [textový dokument (print)] [elektronický dokument] : časopis pre jazyk, literatúru, kultúru a médiá. – Nitra (Slovensko) : Univerzita Konštantína Filozofa v Nitre. Fakulta stredoeurópskych štúdií. Ústav stredoeurópskych jazykov a kultúr. – ISSN 2644-6367. – ISSN (online) 2644-6472. – Roč. 3, č. 1 (2021), s. 3-3 [tlačená forma] [online] </t>
  </si>
  <si>
    <t xml:space="preserve">Festival slobody : kľúčovou témou sa stala reflexia slobody a neslobody v československom umení / Zeleňáková, Hana [Autor, UKFFFAULK, 50%] ; Pariláková, Eva [Autor, UKFFFAULK, 50%]. – text. – [slovenčina]. – [OV 060]. – [iný] In: Náš čas [textový dokument (print)] : časopis Univerzity Konštatnína Filozofa v Nitre. – Nitra (Slovensko) : Univerzita Konštantína Filozofa v Nitre. – ISSN 1338-3272. – Roč. 24, č. 1 (2020), s. 37-37 [tlačená forma] </t>
  </si>
  <si>
    <t xml:space="preserve">Festival umení Konfrontácie 2020 / Čierna, Alena [Autor, UKFPFAKHU, 100%]. – text. – [slovenčina]. – [OV 010]. – [iný] In: Náš čas [textový dokument (print)] : časopis Univerzity Konštatnína Filozofa v Nitre. – Nitra (Slovensko) : Univerzita Konštantína Filozofa v Nitre. – ISSN 1338-3272. – Roč. 24, č. 5 (2020), s. 25-25 [tlačená forma] </t>
  </si>
  <si>
    <t xml:space="preserve">Florence roka 2019 : naša študentka tretia / Krajčovičová, Jana [Autor, REKTOR, 100%]. – text. – [slovenčina]. – [OV 180]. – [iný] In: Náš čas [textový dokument (print)] : časopis Univerzity Konštatnína Filozofa v Nitre. – Nitra (Slovensko) : Univerzita Konštantína Filozofa v Nitre. – ISSN 1338-3272. – Roč. 24, č. 1 (2020), s. 30-31 [tlačená forma] </t>
  </si>
  <si>
    <t xml:space="preserve">Folklór online aj naživo : Akademická Nitra je festivalom života, krásy, mladosti, tradícií / Černáková, Jana [Autor, UKFREKTOR, 100%]. – text. – [slovenčina]. – [OV 030]. – [iný] In: Náš čas [textový dokument (print)] : časopis Univerzity Konštatnína Filozofa v Nitre. – Nitra (Slovensko) : Univerzita Konštantína Filozofa v Nitre. – ISSN 1338-3272. – Roč. 25, č. 2 (2021), s. 34-35 [tlačená forma] </t>
  </si>
  <si>
    <t xml:space="preserve">Folklór, aktívni seniori či ageizmus na Slovensku? : prítomnosť a budúcnosť seniorských folklórnych súborov / Beňušková, Zuzana [Autor, UKFFFAKEF, 100%]. – text. – [slovenčina]. – [OV 030]. – [iný] In: Kapitál [textový dokument (print)] [elektronický dokument] : angažovaný mesačník. – Bratislava (Slovensko) : Občianske združenie Literárny klub, Bratislava (Slovensko) : KPTL občianske združenie. – ISSN 2585-7851. – Roč. 3, č. 1 (2019), s. 14-15 [tlačená forma] </t>
  </si>
  <si>
    <t xml:space="preserve">Footpaths through the Kysihýbel Forest Arboretum : children's guidebook [textový dokument (print)]  [iný] / Jaloviarová, Veronika [Autor, UKFFPVKGR, 20%] ; Chlpošová, Dana [Autor, 20%] ; Sélešová, Dagmar [Autor, 20%] ; Sitková, Zuzana [Autor, 20%] ; Capuliak, Jozef [Autor, 20%]. – 1. vyd. – Zvolen (Slovensko) : Technická univerzita vo Zvolene, 2019. – 28 s. [tlačená forma] : text. – [angličtina]. – [OV 100]. – ISBN 978-80-8093-269-5 </t>
  </si>
  <si>
    <t xml:space="preserve">Frankofónny týždeň / Labancová, Veronika [Autor, UKFFFAKRO, 50%] ; Lalinská, Mária [Autor, UKFFFAKRO, 50%]. – text. – [slovenčina]. – [OV 020]. – [iný] In: Náš čas [textový dokument (print)] : časopis Univerzity Konštatnína Filozofa v Nitre. – Nitra (Slovensko) : Univerzita Konštantína Filozofa v Nitre. – ISSN 1338-3272. – Roč. 22, č. 2 (2018), s. 29-29 [tlačená forma] </t>
  </si>
  <si>
    <t xml:space="preserve">FS Ponitran oslávil polstoročnicu / Hrabovská, Martina [Autor, UKFFFAKEF, 100%]. – text. – [slovenčina]. – [OV 030]. – [iný] In: Náš čas [textový dokument (print)] : časopis Univerzity Konštatnína Filozofa v Nitre. – Nitra (Slovensko) : Univerzita Konštantína Filozofa v Nitre. – ISSN 1338-3272. – Roč. 22, č. 1 (2018), s. 44-45 [tlačená forma] </t>
  </si>
  <si>
    <t xml:space="preserve">FSŠ nadviazala novú výskumnú spoluprácu : súčasťou stretnutia bolo i hľadanie styčných bodov pre budúcu spoluprácu v oblasti výmenných prednáškových pobytov a stáží pedagógov i študentov prostredníctvom programu Erasmus+, spoločného vedeckého výskumu, projektovej a publikačnej činnosti / Palenčíková, Zuzana [Autor, UKFFSSKCR, 50%] ; Sándorová, Zuzana [Autor, UKFFSSKCR, 50%]. – text. – [slovenčina]. – [OV 010]. – [iný] In: Náš čas [textový dokument (print)] : časopis Univerzity Konštatnína Filozofa v Nitre. – Nitra (Slovensko) : Univerzita Konštantína Filozofa v Nitre. – ISSN 1338-3272. – Roč. 24, č. 2 (2020), s. 28-28 [tlačená forma] </t>
  </si>
  <si>
    <t xml:space="preserve">Fyzika všetkými zmyslami / Ondruška, Ján [Autor, UKFFPVKFY, 50%] ; Valovičová, Ľubomíra [Autor, UKFFPVKFY, 50%]. – text. – [slovenčina]. – [OV 010]. – [iný] In: Náš čas [textový dokument (print)] : časopis Univerzity Konštatnína Filozofa v Nitre. – Nitra (Slovensko) : Univerzita Konštantína Filozofa v Nitre. – ISSN 1338-3272. – Roč. 22, č. 1 (2018), s. 45-45 [tlačená forma] </t>
  </si>
  <si>
    <t xml:space="preserve">Fyzikálna šou odhalila záhady oka / Valovičová, Ľubomíra [Autor, UKFFPVKFY, 100%]. – text. – [slovenčina]. – [OV 091]. – [iný] In: Náš čas [textový dokument (print)] : časopis Univerzity Konštatnína Filozofa v Nitre. – Nitra (Slovensko) : Univerzita Konštantína Filozofa v Nitre. – ISSN 1338-3272. – Roč. 23, č. 1 (2019), s. 13-13 [tlačená forma] </t>
  </si>
  <si>
    <t xml:space="preserve">Fyzikálny adventný kalendár / Valovičová, Ľubomíra [Autor, UKFFPVKFY, 100%]. – text. – [slovenčina]. – [OV 010]. – [iný] In: Náš čas [textový dokument (print)] : časopis Univerzity Konštatnína Filozofa v Nitre. – Nitra (Slovensko) : Univerzita Konštantína Filozofa v Nitre. – ISSN 1338-3272. – Roč. 24, č. 5 (2020), s. 21-21 [tlačená forma] </t>
  </si>
  <si>
    <t xml:space="preserve">Gemológovia na VEDET 2019 / Štubňa, Ján [Autor, UKFFPVGMU, 100%]. – text. – [slovenčina]. – [OV 092]. – [iný] In: Gemologický spravodajca [textový dokument (print)] : časopis gemológov pri FPV UKF v Nitre. – Nitra (Slovensko) : Univerzita Konštantína Filozofa v Nitre. Fakulta prírodných vied. – ISSN 1337-6136. – ISSN (online) 1338-5275. – Roč. 9, č. 1 (2019), s. 38-38 [tlačená forma] </t>
  </si>
  <si>
    <t xml:space="preserve">Globalizovaná joga a jej autenticita / Hudecová, Ingrida [Autor, UKFFFAKKU, 100%]. – text. – [slovenčina]. – [OV 020]. – [iný] In: Culturologica Slovaca [elektronický dokument] : internetový kulturologický časopis. – Nitra (Slovensko) : Univerzita Konštantína Filozofa v Nitre. – ISSN 2453-9740. – Roč. 6, č. 2 (2021), s. 174-191 [online] </t>
  </si>
  <si>
    <t xml:space="preserve">Globálne kontexty ochrany práv a slobôd človeka / Štefaňak, Ondrej [Autor, UKFFFAKSO, 100%]. – text. – [slovenčina]. – [OV 010]. – [iný] In: Náš čas [textový dokument (print)] : časopis Univerzity Konštatnína Filozofa v Nitre. – Nitra (Slovensko) : Univerzita Konštantína Filozofa v Nitre. – ISSN 1338-3272. – Roč. 25, č. 1 (2021), s. 41-41 [tlačená forma] </t>
  </si>
  <si>
    <t xml:space="preserve">Goetheho "Faust" v preklade Karola Strmeňa; „Mení to mapu faustovských prekladov na Slovensku...". : rozhovor s germanistom Jánom Čakankom / Čakanek, Ján [Autor účastník interview, UKFFFAKGE, 50%] ; Teplan, Dušan [Autor interview, UKFFFASJL, 50%]. – text. – [slovenčina]. – [OV 020]. – [iný] In: Fraktál [textový dokument (print)] : literatúra horizontálne a vertikálne. – Závod (Slovensko) : Fraktál. – ISSN 2585-8912. – Roč. 3, č. 4 (2020), s. 65-80 [tlačená forma] </t>
  </si>
  <si>
    <t xml:space="preserve">Granaslavic 2019 / Adamická, Monika [Autor, UKFFSSUSJ, 100%]. – text. – [slovenčina]. – [OV 020]. – [iný] In: Náš čas [textový dokument (print)] : časopis Univerzity Konštatnína Filozofa v Nitre. – Nitra (Slovensko) : Univerzita Konštantína Filozofa v Nitre. – ISSN 1338-3272. – Roč. 23, č. 8 (2019), s. 29-29 [tlačená forma] </t>
  </si>
  <si>
    <t xml:space="preserve">Hádzanárky UKF víťazne v Cluji / Šimonek, Jaromír [Autor, UKFPFAKTV, 100%]. – text. – [slovenčina]. – [OV 010]. – [iný] In: Náš čas [textový dokument (print)] : časopis Univerzity Konštatnína Filozofa v Nitre. – Nitra (Slovensko) : Univerzita Konštantína Filozofa v Nitre. – ISSN 1338-3272. – Roč. 22, č. 2 (2018), s. 59-59 [tlačená forma] </t>
  </si>
  <si>
    <t xml:space="preserve">Health‐related quality of life and functional fitness in   relation to total antioxidant capacity and hs‐CRP in old  women after strength training / Krčmárová, Bohumila [Autor, UKFPFAKTV, 80%] ; Krčmár, Matúš [Autor, UKOTVDKCH, 20%] ; International conference on healthiness and fitness across the lifespan [12.09.2018-15.09.2018, Magdeburg, Nemecko]. – text. – [angličtina]. – [OV 210]. – [iný]. – SIGN-UKO TV In: Health across lifespan [textový dokument (print)] : international conference on healthiness and fitness across the lifespan, Magdeburg September 12–15, 2018 / [bez zostavovateľa] [Zostavovateľ, editor]. – 1. vyd. – Magdeburg (Nemecko) : University Magdeburg, 2018, P6 , s. 75-76 [tlačená forma] </t>
  </si>
  <si>
    <t xml:space="preserve">Hevhetia fest 2020 - Oáza kultúrnej výmeny uprostred letnej koronapúšte / Fuják, Július [Autor, UKFFFAKKU, 100%]. – [slovenčina]. – [OV 020]. – [iný] In: Vlna [textový dokument (print)] : časopis o súčasnom umení a kultúre. – Bratislava (Slovensko) : Drewo a srd. – ISSN 1335-5341. – ISSN (chybné) ISSN 1335-969X. – Roč. 22, č. 82 (2020), s. 120-125 [tlačená forma] </t>
  </si>
  <si>
    <t xml:space="preserve">Historické dni na tému každodenný život v stredoveku / Rigová, Viktória [Autor, UKFFFAKHI, 100%]. – text. – [slovenčina]. – [OV 030]. – [iný] In: Náš čas [textový dokument (print)] : časopis Univerzity Konštatnína Filozofa v Nitre. – Nitra (Slovensko) : Univerzita Konštantína Filozofa v Nitre. – ISSN 1338-3272. – Roč. 24, č. 2 (2020), s. 34-34 [tlačená forma] </t>
  </si>
  <si>
    <t xml:space="preserve">Hľadá sa číslo 10 : kampaň s vyšším cieľom / Krajčovičová, Jana [Autor, REKTOR, 100%]. – text. – [slovenčina]. – [OV 010]. – [iný] In: Náš čas [textový dokument (print)] : časopis Univerzity Konštatnína Filozofa v Nitre. – Nitra (Slovensko) : Univerzita Konštantína Filozofa v Nitre. – ISSN 1338-3272. – Roč. 24, č. 4 (2020), s. 41-41 [tlačená forma] </t>
  </si>
  <si>
    <t xml:space="preserve">Hľadieť na svet celým bytím : spomienka na básnika Janka Silana / Mitková, Natália [Autor, UKFFFASJL, 100%]. – text. – [slovenčina]. – [OV 020]. – [iný] In: Literárny týždenník [textový dokument (print)] : časopis Spolku slovenských spisovateľov. – Bratislava (Slovensko) : Kultúrno-literárna akadémia. – ISSN 0862-5999. – Roč. 31, č. 21-22 (2018), s. 11-11 [tlačená forma] </t>
  </si>
  <si>
    <t xml:space="preserve">Hokejový tím UKF Philosophers úspešný / Kamenická, Tímea [Autor, REKTOR, 100%]. – text. – [slovenčina]. – [OV 010]. – [iný] In: Náš čas [textový dokument (print)] : časopis Univerzity Konštatnína Filozofa v Nitre. – Nitra (Slovensko) : Univerzita Konštantína Filozofa v Nitre. – ISSN 1338-3272. – Roč. 24, č. 2 (2020), s. 42-43 [tlačená forma] </t>
  </si>
  <si>
    <t xml:space="preserve">Hroboň v interpretácii : Rozhovor s Jánom Zamborom, literárnym vedcom, básnikom a prekladateľom / Teplan, Dušan [Autor interview, UKFFFASJL, 100%]. – text. – [slovenčina]. – [OV 020]. – [iný] In: Fraktál [textový dokument (print)] : literatúra horizontálne a vertikálne. – Závod (Slovensko) : Fraktál. – ISSN 2585-8912. – Roč. 4, č. 1 (2021), s. 154-155 [tlačená forma] </t>
  </si>
  <si>
    <t xml:space="preserve">Hudobné obrázky starého sveta / Moravčíková, Erika [Autor, UKFFFAKKU, 100%]. – text. – [slovenčina]. – [OV 020]. – [iný] In: Veľké Zálužie [textový dokument (print)] : časopis obyvateľov Obce Veľké Zálužie. – Veľké Zálužie (Slovensko) : Obecný úrad vo Veľkom Záluží. – ISSN 2453-9627. – Roč. 11, č. 1 (2021), s. 26-26 [tlačená forma] </t>
  </si>
  <si>
    <t xml:space="preserve">Changes in the use of agricultural land and soil quality properties in the conditions of the submountain countryside land in the Slovak part of the Carpathians / Petluš, Peter [Autor, UKFFPVKEE, 34%] ; Petlušová, Viera [Autor, UKFFPVKEE, 33%] ; Moravčík, Marek [Autor, UKFFPVKEE, 33%] ; 6th Forum Carpaticum - Linking the Environmental, Political and Societal Aspects for Carpathian Sustainability, 6 [21.06.2021-25.06.2021, Brno, Česko]. – text. – [angličtina]. – [OV 100]. – [iný] In: 6th Forum Carpaticum - Linking the Environmental, Political and Societal Aspects for Carpathian Sustainability [elektronický dokument] : Book of  Abstracts, 21st June to 25th June, 2021, Brno Czech Repubic / Cudlín, Pavel [Zostavovateľ, editor] ; Plch, Radek [Zostavovateľ, editor]. – 1. vyd. – Brno (Česko) : Mendelova univerzita v Brně, 2021, s. 114-114 [online] </t>
  </si>
  <si>
    <t xml:space="preserve">Chaya Czernowin with Ondrej Veselý : Music In Conversation / Veselý, Ondrej [Autor, UKFFFAULK, 100%]. – text. – [angličtina]. – [OV 010, 020]. – [iný] In: The Brooklyn rail [textový dokument (print)] : Critical Perspectives on Arts, Politics, and Culture. – New York (USA) : The Brooklyn Rail, Inc. – ISSN 2157-2151. – Roč. 21, č. 3 (2020), s. 2-3 [tlačená forma] </t>
  </si>
  <si>
    <t xml:space="preserve">Images of remote countries in the literatures of Central and Eastern Europe / Pokrivčák, Anton [Autor, TUTPFKAJ, 50%] ; Zelenka, Miloš [Autor, UKFFSSUSJ, 50%]. – text. – [angličtina]. – [OV 020]. – [iný]. – TUTPFKAJ signatúra E076590. – CCC In: World Literature Studies [textový dokument (print)] [elektronický dokument] . – Bratislava (Slovensko) : Slovenská akadémia vied. Pracoviská SAV. Ústav svetovej literatúry. – ISSN 1337-9275. – ISSN (online) 1337-9690. – Roč. 11, č. 2 (2019), s. 2-2 [tlačená forma] [online] . – SNIP: 0.646 ; SJR: 0.147 ; CiteScore: 0.2 Scimago - Literature and literary theory - Q1 </t>
  </si>
  <si>
    <t xml:space="preserve">Imidž Slovenska je v očiach Britov dobrý : Andy Garth tlmočil rétoriku premiérky Theresy Mayovej o brexite / Veselý, Matúš [Autor, UKFFFAKMR, 50%] ; Račeková, Ľubica [Autor, UKFFFAKZU, 50%]. – text. – [slovenčina]. – [OV 060]. – [iný] In: Náš čas [textový dokument (print)] : časopis Univerzity Konštatnína Filozofa v Nitre. – Nitra (Slovensko) : Univerzita Konštantína Filozofa v Nitre. – ISSN 1338-3272. – Roč. 23, č. 1 (2019), s. 22-23 [tlačená forma] </t>
  </si>
  <si>
    <t xml:space="preserve">Inovácia tradície  a tradícia inovácie : organizátori medzinárodnej translatologickej konferencie doktorandov a postdoktorandov Tradícia a inovácia v translatologickom výskume privítali v Nitre účastníkov zo šiestich krajín / Jánošíková, Zuzana [Autor, UKFFFAKTR, 100%]. – text. – [slovenčina]. – [OV 020]. – [iný] In: Náš čas [textový dokument (print)] : časopis Univerzity Konštatnína Filozofa v Nitre. – Nitra (Slovensko) : Univerzita Konštantína Filozofa v Nitre. – ISSN 1338-3272. – Roč. 23, č. 2 (2019), s. 15-15 [tlačená forma] </t>
  </si>
  <si>
    <t xml:space="preserve">Intercultural Communication in the Educational Process / Havettová, Romana [Autor, UKFFFAKRO, 34%] ; Szabó, Erzsébet [Autor, UKFFFAKGE, 33%] ; Stranovská, Eva [Autor, UKFFFAKGE, 33%] ; Madaniyatlararo kommunikatsiya matnida til va adabiyotning roli [23.04.2021-24.04.2021, Qarshi, Uzbekistan]. – text. – [angličtina]. – [OV 010]. – [iný] In: “Madaniyatlararo kommunikatsiya matnida til va adabiyotning roli” Xalqaro ilmiy-nazariy anjuman [elektronický dokument] / [bez zostavovateľa] [Zostavovateľ, editor]. – 1. vyd. – Roč. 1. – Qarshi (Uzbekistan) : Qarshi Davlat Universiteti, 2021, s. 288-293 </t>
  </si>
  <si>
    <t xml:space="preserve">International University Week of Social Work 2019 / Jašeková, Nina [Autor, UKFFSVKSP, 50%] ; Tomášik, Vesna [Autor, UKFFSVKSP, 50%]. – text. – [slovenčina]. – [OV 060]. – [iný] In: Náš čas [textový dokument (print)] : časopis Univerzity Konštatnína Filozofa v Nitre. – Nitra (Slovensko) : Univerzita Konštantína Filozofa v Nitre. – ISSN 1338-3272. – Roč. 23, č. 4 (2019), s. 10-10 [tlačená forma] </t>
  </si>
  <si>
    <t xml:space="preserve">Into the Wild : sloboda a krása sveta sú príliš dobré na to, aby sme si ich v živote nechali ujsť / Mitková, Natália [Autor, UKFFFASJL, 100%]. – text. – [slovenčina]. – [OV 020]. – [iný] In: Slnečník [textový dokument (print)] : kultúrno-literárny časopis. – ISSN 1336-4499. – Roč. 3, č. 10 (2018), s. 52-52 [tlačená forma] </t>
  </si>
  <si>
    <t xml:space="preserve">Introducción: traducción de la cultura, cultura de la traducción / Lampis, Mirko [Autor, UKFFFAKRO, 100%]. – text. – [španielčina]. – [OV 020]. – [iný] In: Las fronteras de la traducción [textový dokument (print)] : las prácticas traductivas como cuestión sociocultural / Lampis, Mirko [Zostavovateľ, editor] ; González de Ávila, Manuel [Recenzent] ; Linares Alés, Francisco [Recenzent]. – 1. vyd. – Sevilla (Španielsko) : Alfar, 2019. – ISBN 978-84-7898-824-2, s. 7-18 [tlačená forma] </t>
  </si>
  <si>
    <t xml:space="preserve">Introduction / Pawlowski, Adam [Autor, 25%] ; Embleton, Sheila [Autor, 25%] ; Mačutek, Ján [Autor, UKFFPVKMA, 25%] ; Mikros, George [Autor, 25%]. – text. – [angličtina]. – [OV 240, 020]. – [iný]. – SCO In: Current Issues in Linguistic Theory [textový dokument (print)] / Pawlowski, Adam [Zostavovateľ, editor] ; Mačutek, Ján [Zostavovateľ, editor] ; Embleton, Sheila [Zostavovateľ, editor] ; Mikros, George [Zostavovateľ, editor]. – 1. vyd. – č. 356. – Amsterdam (Holandsko) : John Benjamins Publishing Company, 2021. – ISBN 9789027258380. – ISSN 03040763, s. 1-6 [tlačená forma] </t>
  </si>
  <si>
    <t xml:space="preserve">Intuícia a imaginácia vo filozofii a vede [iný] : zborník abstraktov z medzinárodnej vedeckej konferencie, Stará Lesná 10. - 12. 10. 2018 / Javorská, Andrea [Zostavovateľ, editor, UKFFFAKFI, 100%] ; Intuícia a imaginácia vo filozofii a vede [10.10.2018-12.10.2018, Stará Lesná, Slovensko]. – 1. vyd. – Bratislava (Slovensko) : Slovenská akadémia vied, 2018. – 26 s. [tlačená forma] : text. – [slovenčina]. – [OV 020]. – ISBN 978-80-973092-1-3 </t>
  </si>
  <si>
    <t xml:space="preserve">Invaderi - potenciálne invázne živočíchy / Krumpálová, Zuzana [Autor, UKFFPVKEE, 50%] ; Slobodník, Miroslav [Autor, 50%]. – [slovenčina]. – [OV 100]. – [iný] In: Veľká kniha živočíchov [textový dokument (print)] / Krumpál, Miroslav [Zostavovateľ, editor]. – 6. preprac. vyd. – Bratislava (Slovensko) : Ikar, 2019. – ISBN 978-80-551-6883-8, s. 330-331 [tlačená forma] </t>
  </si>
  <si>
    <t xml:space="preserve">Ivana Plachá : učiteľka, zástupkyňa riaditeľa Základnej školy v Bystričanoch a členka komisie Človek a svet práce pri Štátnom pedagogickom ústave / Krajčovičová, Jana [Autor interview, REKTOR, 50%] ; Plachá, Ivana [Autor účastník interview, 50%]. – text. – [slovenčina]. – [OV 020]. – [iný] In: Náš čas [textový dokument (print)] : časopis Univerzity Konštatnína Filozofa v Nitre. – Nitra (Slovensko) : Univerzita Konštantína Filozofa v Nitre. – ISSN 1338-3272. – Roč. 22, č. 2 (2018), s. 54-55 [tlačená forma] </t>
  </si>
  <si>
    <t xml:space="preserve">Iveta Radičová: Žijeme vo svete neistoty / Krajčovičová, Jana [Autor interview, UKFREKTOR, 50%] ; Radičová, Iveta [Autor účastník interview, 50%]. – text. – [slovenčina]. – [OV 010]. – [iný] In: Náš čas [textový dokument (print)] : časopis Univerzity Konštatnína Filozofa v Nitre. – Nitra (Slovensko) : Univerzita Konštantína Filozofa v Nitre. – ISSN 1338-3272. – Roč. 22, č. 2 (2018), s. 32-33 [tlačená forma] </t>
  </si>
  <si>
    <t xml:space="preserve">J. R. R. Tolkien ťažko prijímal zmeny v bohoslužbe / Juričková, Martina [Autor, UKFFFAKAA, 100%]. – [slovenčina]. – [OV 020]. – [iný]. – SIGN-UKO RK 69/21 In: Katolícke noviny [textový dokument (print)] [elektronický dokument] . – Trnava (Slovensko) : Spolok svätého Vojtecha. – ISSN 0139-8512. – ISSN (online) 1336-2399. – Roč. 134, č. 49 (2019), s. 10-10 [tlačená forma] [online] </t>
  </si>
  <si>
    <t xml:space="preserve">Jama : medzinárodný festival intermediálneho umenia, 4. a 5. októbra, Banská Štiavnica, Banská Belá a okolie / Veselý, Ondrej [Autor, UKFFFAULK, 100%]. – text. – [slovenčina]. – [OV 020]. – [iný] In: Hudobný život [textový dokument (print)] [elektronický dokument] : jediný odborný mesačník pre klasickú hudbu a jazz na Slovensku. – Bratislava (Slovensko) : Hudobné centrum. – ISSN 1335-4140. – ISSN (online) 2729-7586. – ISSN (zrušené) 0323-133X. – Roč. 51, č. 11 (2019), s. 24-24 [tlačená forma] [online] </t>
  </si>
  <si>
    <t xml:space="preserve">Jarná škola teórie vyučovania matematiky na katedre matematiky / Bočková, Veronika [Autor, UKFFPVKMA, 50%] ; Laššová, Katarína [Autor, UKFFPVKMA, 50%]. – text. – [slovenčina]. – [OV 010]. – [iný] In: Náš čas [textový dokument (print)] : časopis Univerzity Konštatnína Filozofa v Nitre. – Nitra (Slovensko) : Univerzita Konštantína Filozofa v Nitre. – ISSN 1338-3272. – Roč. 25, č. 2 (2021), s. 19-19 [tlačená forma] </t>
  </si>
  <si>
    <t xml:space="preserve">Jaro Košš. Wellness : Objekty, inštalácie. Dom umenia - Kunsthalle,  Bratislava,  12. júl - 12. august 2018 / Kapsová, Eva [Autor, UKFFFAULK, 100%]. – [slovenčina]. – [OV 020]. – [iný] In: Dom umenia Bratislava [textový dokument (print)] : bulletin. – Bratislava (Slovensko) : Dom umenia Bratislava. – 2018, s. 3-4 [tlačená forma] </t>
  </si>
  <si>
    <t xml:space="preserve">Jaroslav Svatoň - arachnológ, múzejník a priateľ / Gajdoš, Peter [Autor, 45%] ; Krumpálová, Zuzana [Autor, UKFFPVKEE, 45%] ; Astaloš, Boris [Autor, 10%]. – text. – [slovenčina]. – [OV 100, 130]. – [iný] In: Bulletin Slovenskej zoologickej spoločnosti pri SAV [elektronický dokument] . – Bratislava (Slovensko) : Slovenská akadémia vied. Slovenská zoologická spoločnosť pri SAV. – ISSN (online) 1339-178X. – Roč. 9, č. 1 (2020), s. 2-9 [online] </t>
  </si>
  <si>
    <t xml:space="preserve">Jazyk ako nástroj odporu: lingvistické stratégie v poskoloniálnej literatúre [textový dokument (print)]  [iný] : habilitačné prednášky / Klimková, Simona [Autor, UKFFFAKAA, 100%]. – 1. vyd. – Nitra (Slovensko) : Univerzita Konštantína Filozofa v Nitre, 2020. – 26 s. [tlačená forma] : text. – [slovenčina]. – [OV 020]. – ISBN 978-80-558-1529-9 </t>
  </si>
  <si>
    <t xml:space="preserve">Jazykové centrum otvorilo kurz slovenčiny / Machová, Renáta [Autor, UKFFFAJZC, 100%]. – text. – [slovenčina]. – [OV 020]. – [iný] In: Náš čas [textový dokument (print)] : časopis Univerzity Konštatnína Filozofa v Nitre. – Nitra (Slovensko) : Univerzita Konštantína Filozofa v Nitre. – ISSN 1338-3272. – Roč. 22, č. 4 (2018), s. 15-15 [tlačená forma] </t>
  </si>
  <si>
    <t xml:space="preserve">Je environmentálna výchova potrebná? / Petlušová, Viera [Autor, UKFFPVKEE, 50%] ; Jakab, Imrich [Autor, UKFFPVKEE, 50%]. – text. – [slovenčina]. – [OV 010]. – [iný] In: Náš čas [textový dokument (print)] : časopis Univerzity Konštatnína Filozofa v Nitre. – Nitra (Slovensko) : Univerzita Konštantína Filozofa v Nitre. – ISSN 1338-3272. – Roč. 22, č. 2 (2018), s. 38-38 [tlačená forma] </t>
  </si>
  <si>
    <t xml:space="preserve">Jean Francais (1912 - 1997) - Ouverture anacréontique; Ottorino Respighi (1879 - 1997) - Adagio con variazioni pre violončelo a orchester; Camille Saint-Saens (1835 - 1921) - Koncert pre violončelo a orchester č. 1 a mol op. 33; Manuel de Falla (1876 - 1946) - Čarodejná láska, symfonická verzia pre mezzosoprán a orchester; Arturo Márquez (1950) - Danzón č. 2 / Čierna, Alena [Autor, UKFPFAKHU, 100%]. – text. – [slovenčina]. – [OV 010]. – [iný] In: Bratislavské hudobné slávnosti [textový dokument (print)] / [bez zostavovateľa] [Zostavovateľ, editor]. – 1. vyd. – [s.l.] (Slovensko) : [s.n.], 2018, s. 1-5 [tlačená forma] </t>
  </si>
  <si>
    <t xml:space="preserve">Johannes Brahms (1833 - 1897) - Intermezzo b mol op. 117/2, Intermezzo es mol op. 118/6, Zdeněk Fibich (1850 - 1897) - Nálady, dojmy a upomínky op. 41 (výber), Leoš Janáček (1854 - 1928) - Sonáta 1.X.1905 Z ulice, Eugen Suchoň (1908 - 1993) - Malá suita s passacagliou op. 3 ESD 48b, Isaac Albéniz (1860 - 1909) - Granada, Sevilla (zo Španielskej suity č. 1 op. 47), El Puerto (zo suity Ibéria), Castilla (zo Španielskej suity č. 1 op. 47) / Čierna, Alena [Autor, UKFPFAKHU, 100%]. – text. – [slovenčina]. – [OV 010]. – [iný] In: Bratislavské hudobné slávnosti [textový dokument (print)] / [bez zostavovateľa] [Zostavovateľ, editor]. – 1. vyd. – [s.l.] (Slovensko) : [s.n.], 2018, s. 1-7 [tlačená forma] </t>
  </si>
  <si>
    <t xml:space="preserve">Jubilejná rakúsko-slovenská letná škola / Wrede, Oľga [Autor, UKFFFAKGE, 100%]. – text. – [slovenčina]. – [OV 010]. – [iný] In: Náš čas [textový dokument (print)] : časopis Univerzity Konštatnína Filozofa v Nitre. – Nitra (Slovensko) : Univerzita Konštantína Filozofa v Nitre. – ISSN 1338-3272. – Roč. 23, č. 8 (2019), s. 22-22 [tlačená forma] </t>
  </si>
  <si>
    <t xml:space="preserve">Jubilejný ročník tvorivých prekladateľských reflexií : nová éra tlmočenia slovenského posunkového jazyka? / Koscelníková, Mária [Autor, UKFFFAKTR, 100%]. – text. – [slovenčina]. – [OV 010, 020]. – [iný] In: Náš čas [textový dokument (print)] : časopis Univerzity Konštatnína Filozofa v Nitre. – Nitra (Slovensko) : Univerzita Konštantína Filozofa v Nitre. – ISSN 1338-3272. – Roč. 25, č. 2 (2021), s. 28-28 [tlačená forma] </t>
  </si>
  <si>
    <t xml:space="preserve">Július Fujak hosťom v Minsku / Kočiš, Michal [Autor, UKFFFAKKU, 100%]. – text. – [slovenčina]. – [OV 020]. – [iný] In: Náš čas [textový dokument (print)] : časopis Univerzity Konštatnína Filozofa v Nitre. – Nitra (Slovensko) : Univerzita Konštantína Filozofa v Nitre. – ISSN 1338-3272. – Roč. 22, č. 2 (2018), s. 56-56 [tlačená forma] </t>
  </si>
  <si>
    <t xml:space="preserve">Kabaret Normalizácia alebo Modlitba pre Martu [textový dokument (print)]  [iný] : bulletin k inscenácii / Mihalová, Lucia [Zostavovateľ, editor, UKFFFAULK, 100%]. – 1. vyd. – Bratislava (Slovensko) : Slovenské národné divadlo, 2018. – 14 s. [tlačená forma] : text. – [slovenčina]. – [OV 020] </t>
  </si>
  <si>
    <t xml:space="preserve">Kafka dnes / Teplan, Dušan [Autor, UKFFFASJL, 100%]. – text. – [slovenčina]. – [OV 020]. – [iný] In: Fraktál [textový dokument (print)] : literatúra horizontálne a vertikálne. – Závod (Slovensko) : Fraktál. – ISSN 2585-8912. – Roč. 1, č. 3 (2018), s. 66-66 [tlačená forma] </t>
  </si>
  <si>
    <t xml:space="preserve">Kalvária v Oščadnici oslávi výročie vysviacky / Drábová, Dominika [Autor, UKFFFAKHI, 100%]. – text. – [slovenčina]. – [OV 030]. – [iný] In: My - Kysucké noviny [textový dokument (print)] . – Čadca (Slovensko) : Petit Press. – Roč. 19, č. 30 (2019), s. 6-6 [tlačená forma] </t>
  </si>
  <si>
    <t xml:space="preserve">Kariérny deň prilákal vyše sto študentov / Černáková, Jana [Autor, UKFREKTOR, 100%]. – text. – [slovenčina]. – [OV 010]. – [iný] In: Náš čas [textový dokument (print)] : časopis Univerzity Konštatnína Filozofa v Nitre. – Nitra (Slovensko) : Univerzita Konštantína Filozofa v Nitre. – ISSN 1338-3272. – Roč. 22, č. 4 (2018), s. 26-27 [tlačená forma] </t>
  </si>
  <si>
    <t xml:space="preserve">Katalóg / Repka, Dominik [Autor, UKFFFAKAR, 50%] ; Romsauer, Peter [Autor, 50%]. – text, obr. – [slovenčina]. – [OV 030]. – [iný] In: Chotín 7 (7) [textový dokument (print)] : Sídlisko z doby halštatskej, rímskej a stredoveku / Romsauer, Peter [Autor] ; Hečková, Janka [Autor] ; Repka, Dominik [Autor] ; Březinová, Gertrúda [Autor] ; Kuzmová, Klára [Autor] ; Miroššayová, Elena [Recenzent] ; Rajtár, Ján [Recenzent] ; Borzová, Zuzana [Recenzent]. – 1. vyd. – Nitra (Slovensko) : Univerzita Konštantína Filozofa v Nitre, 2019. – ISBN 978-80-558-1403-2, s. 196-235 [tlačená forma] </t>
  </si>
  <si>
    <t xml:space="preserve">Katalóg ekosystémových služieb Slovenska / Černáková, Jana [Autor, UKFREKTOR, 100%]. – text. – [slovenčina]. – [OV 100]. – [iný] In: Náš čas [textový dokument (print)] : časopis Univerzity Konštatnína Filozofa v Nitre. – Nitra (Slovensko) : Univerzita Konštantína Filozofa v Nitre. – ISSN 1338-3272. – Roč. 24, č. 1 (2020), s. 22-22 [tlačená forma] </t>
  </si>
  <si>
    <t xml:space="preserve">Katedra manažmentu kultúry a turizmu na konferencii „SMART VIDIEK“, 2019 / Kompasová, Katarína [Autor, UKFFFAKMK, 100%]. – text. – [slovenčina]. – [OV 020]. – [iný] In: Kontexty kultúry a turizmu [textový dokument (print)] . – Nitra (Slovensko) : Univerzita Konštantína Filozofa v Nitre. Filozofická fakulta. – ISSN 1337-7760. – Roč. 13, č. 2 (2020), s. 117-118 [tlačená forma] </t>
  </si>
  <si>
    <t xml:space="preserve">Klub informatikov / Krajčovičová, Jana [Autor interview, UKFREKTOR, 100%]. – text. – [slovenčina]. – [OV 010]. – [iný] In: Náš čas [textový dokument (print)] : časopis Univerzity Konštatnína Filozofa v Nitre. – Nitra (Slovensko) : Univerzita Konštantína Filozofa v Nitre. – ISSN 1338-3272. – Roč. 22, č. 4 (2018), s. 30-31 [tlačená forma] </t>
  </si>
  <si>
    <t xml:space="preserve">Klub informatikov / Švec, Peter [Autor, UKFFPVKIN, 100%]. – text. – [slovenčina]. – [OV 010]. – [iný] In: Náš čas [textový dokument (print)] : časopis Univerzity Konštatnína Filozofa v Nitre. – Nitra (Slovensko) : Univerzita Konštantína Filozofa v Nitre. – ISSN 1338-3272. – Roč. 22, č. 2 (2018), s. 58-58 [tlačená forma] </t>
  </si>
  <si>
    <t xml:space="preserve">Koexistencia dvoch typov ženského tradičného odevu v severnej časti subregiónu Horné Požitavie / Báreková, Barbora [Autor, UKFFFAKET, 100%]. – text. – [slovenčina]. – [OV 030]. – [iný] In: Prohuman [elektronický dokument] : vedecko-odborný interdisciplinárny recenzovaný časopis, zameraný na oblasť spoločenských, sociálnych a humanitných vied : vedecko-odborný internetový časopis. – Bratislava (Slovensko) : Business Intelligence Club. – ISSN (online) 1338-1415. – č. 16. november (2021), s. 1-2 [online] </t>
  </si>
  <si>
    <t xml:space="preserve">Koľko matematiky je v žonglovaní s loptičkami? / Čeretková, Soňa [Autor, UKFFPVKMA, 100%]. – text. – [slovenčina]. – [OV 010]. – [iný] In: Náš čas [textový dokument (print)] : časopis Univerzity Konštatnína Filozofa v Nitre. – Nitra (Slovensko) : Univerzita Konštantína Filozofa v Nitre. – ISSN 1338-3272. – Roč. 25, č. 1 (2021), s. 22-22 [tlačená forma] </t>
  </si>
  <si>
    <t xml:space="preserve">Kolokvium doktorandov študijného odboru  kulturológia / Válek, Ján [Autor, UKFFFAKMK, 100%]. – text. – [slovenčina]. – [OV 020]. – [iný] In: Kontexty kultúry a turizmu [textový dokument (print)] . – Nitra (Slovensko) : Univerzita Konštantína Filozofa v Nitre. Filozofická fakulta. – ISSN 1337-7760. – Roč. 14, č. 1 (2021), s. 99-100 [tlačená forma] </t>
  </si>
  <si>
    <t xml:space="preserve">Konalo sa online zasadnutie Vedeckej rady UKF / Bauerová, Mária [Autor, UKFFPVKBG, 100%]. – text. – [slovenčina]. – [OV 010]. – [iný] In: Náš čas [textový dokument (print)] : časopis Univerzity Konštatnína Filozofa v Nitre. – Nitra (Slovensko) : Univerzita Konštantína Filozofa v Nitre. – ISSN 1338-3272. – Roč. 24, č. 5 (2020), s. 12-12 [tlačená forma] </t>
  </si>
  <si>
    <t xml:space="preserve">Koncept Nitra Smart City / Krajčovičová, Jana [Autor, UKFREKTOR, 100%]. – text. – [slovenčina]. – [OV 010]. – [iný] In: Náš čas [textový dokument (print)] : časopis Univerzity Konštatnína Filozofa v Nitre. – Nitra (Slovensko) : Univerzita Konštantína Filozofa v Nitre. – ISSN 1338-3272. – Roč. 22, č. 1 (2018), s. 40-40 [tlačená forma] </t>
  </si>
  <si>
    <t xml:space="preserve">Konferencia o historickom skle / Illášová, Ľudmila [Autor, UKFFPVGMU, 100%]. – text. – [slovenčina]. – [OV 092]. – [iný] In: Gemologický spravodajca [textový dokument (print)] : časopis gemológov pri FPV UKF v Nitre. – Nitra (Slovensko) : Univerzita Konštantína Filozofa v Nitre. Fakulta prírodných vied. – ISSN 1337-6136. – ISSN (online) 1338-5275. – Roč. 9, č. 1 (2019), s. 41-42 [tlačená forma] </t>
  </si>
  <si>
    <t xml:space="preserve">Konfrontácie na knihu Jaro Vlnka: Podvečer v Saigone : závan retro atmosféry / Mitková, Natália [Autor, UKFFFASJL, 100%]. – text. – [slovenčina]. – [OV 020]. – [iný] In: Romboid [textový dokument (print)] : časopis pre literatúru a umeleckú komunikáciu. – Bratislava (Slovensko) : Zväz slovenských spisovateľov, Bratislava (Slovensko) : Asociácia organizácií spisovateľov Slovenska. – ISSN 0231-6714. – Roč. 53, č. 7 (2018), s. 17-18 [tlačená forma] </t>
  </si>
  <si>
    <t xml:space="preserve">Kostely a kapličky farnosti Jablunkov [textový dokument (print)]  [iný] / Zifčák, Dobromil [Autor, UKFFFAKMR, 100%]. – 1. vyd. – Jablůnkov (Česko) : Bontia, 2018. – 40 s. [tlačená forma] : text. – [čeština]. – [OV 060] </t>
  </si>
  <si>
    <t xml:space="preserve">Kreatívne myslenie je ako bicyklovanie – dá sa naučiť / Miššíková, Gabriela [Autor, UKFFFAKAA, 100%]. – text. – [slovenčina]. – [OV 010]. – [iný] In: Náš čas [textový dokument (print)] : časopis Univerzity Konštatnína Filozofa v Nitre. – Nitra (Slovensko) : Univerzita Konštantína Filozofa v Nitre. – ISSN 1338-3272. – Roč. 25, č. 2 (2021), s. 29-29 [tlačená forma] </t>
  </si>
  <si>
    <t xml:space="preserve">Kritické a tvorivé myslenie / Duchovičová, Jana [Autor, UKFPFAKPE, 50%] ; Gunišová, Denisa [Autor, UKFPFAKPE, 50%]. – text. – [slovenčina]. – [OV 010]. – [iný] In: Náš čas [textový dokument (print)] : časopis Univerzity Konštatnína Filozofa v Nitre. – Nitra (Slovensko) : Univerzita Konštantína Filozofa v Nitre. – ISSN 1338-3272. – Roč. 22, č. 1 (2018), s. 38-39 [tlačená forma] </t>
  </si>
  <si>
    <t xml:space="preserve">Ku koreňom nitrianskej geografie / Boltižiar, Martin [Autor, UKFFPVKGR, 100%]. – text. – [slovenčina]. – [OV 010]. – [iný] In: Náš čas [textový dokument (print)] : časopis Univerzity Konštatnína Filozofa v Nitre. – Nitra (Slovensko) : Univerzita Konštantína Filozofa v Nitre. – ISSN 1338-3272. – Roč. 24, č. 2 (2020), s. 22-23 [tlačená forma] </t>
  </si>
  <si>
    <t xml:space="preserve">Kuba 2020 - nové čínske električky, staré veterány a pár slov o ekológii / Kocina, Petr [Autor, UKFFFAKAE 06.2022, 100%]. – text. – [slovenčina]. – [OV 020, 092]. – [iný] In: motoride.sk [elektronický dokument] : nezávislý internetový denne aktualizovaný magazín o motorkároch, motorkách a dianí okolo nic. – Košice (Slovensko) : Motoride s.r.o. – ISSN (online) 1336-6491. – Roč. 19 (2020), s. 1-4 [online] </t>
  </si>
  <si>
    <t xml:space="preserve">Kurz negatívneho myslenia [textový dokument (print)]  [iný] : bulletin k inscenácii / Mihalová, Lucia [Zostavovateľ, editor, UKFFFAULK, 100%]. – 1. vyd. – Bratislava (Slovensko) : Vysoká škola múzických umení v Bratislave, 2018. – 4 s. [tlačená forma] : text. – [slovenčina]. – [OV 020] </t>
  </si>
  <si>
    <t xml:space="preserve">Kvíz preveril znalosti / Popovicsová, Jana [Autor, UKFFFASJL, 100%]. – text. – [slovenčina]. – [OV 010]. – [iný] In: Náš čas [textový dokument (print)] : časopis Univerzity Konštatnína Filozofa v Nitre. – Nitra (Slovensko) : Univerzita Konštantína Filozofa v Nitre. – ISSN 1338-3272. – Roč. 22, č. 2 (2018), s. 57-57 [tlačená forma] </t>
  </si>
  <si>
    <t xml:space="preserve">La recepción de la literatura y cultura mexicana en Eslovaquia / Kučerková, Magda [Autor, UKFFFAKRO, 100%]. – [španielčina]. – [OV 020]. – [iný] In: Memoria de la Identidad [textový dokument (print)] : Una mirada panorámica a la diversidad Cultural Mexicana / Comparán, Hariet Kristl Quint Berdac [Zostavovateľ, editor]. – 1. vyd. – Guadalajara (Mexico) : Universidad de Guadalajara, 2018, s. 181-190 [tlačená forma] </t>
  </si>
  <si>
    <t xml:space="preserve">Landscape diversity and biodiversity [elektronický dokument]  [iný] : 18th International Symposium on Problems of Landscape Ecological Research / Kalivodová, Michaela [Zostavovateľ, editor, UKFFPVKEE, 33.334%] ; Laco, Ivan [Zostavovateľ, editor, UKFFPVKEE, 33.333%] ; Raniak, Andrej [Zostavovateľ, editor, 33.333%] ; Landscape diversity and biodiversity, 18 [23.04.2019-27.04.2019, Smolenice, Slovensko]. – 1. vyd. – Bratislava (Slovensko) : Slovenská akadémia vied, 2019. – 91 s. [online] : text. – [angličtina]. – [OV 100]. – [recenzované] </t>
  </si>
  <si>
    <t xml:space="preserve">Láska ako sebapoznanie / Vaško, Lukáš [Autor, TUTPFSPD, 20%] ; Lukšík, Ivan [Autor, TUTPFSPD, 20%] ; Marková, D. [Autor, 20%] ; Guillaume, Michaela [Autor, TUTPFPVU, 20%] ; Šebíková, Lívia [Autor, UKFFFAKAE 06.2022, 20%] ; Kvalitatívny prístup a metódy vo vedách o človeku, 19 [26.01.2020-28.01.2020, Bratislava, Slovensko]. – [slovenčina]. – [OV 010]. – [iný]. – TUTPFSPD signatúra E078775. – TUTPFPVU signatúra E078775 In: 19. konferencia Kvalitatívny prístup a metódy vo vedách o človeku "Poznaj sám seba" [textový dokument (print)] : zborník abstraktov / Lášticová, Barbara [Zostavovateľ, editor] ; Masaryk, Radomír [Zostavovateľ, editor]. – 1. vyd. – Bratislava (Slovensko) : Univerzita Komenského v Bratislave. Centrálne súčasti UK. Vydavateľstvo Univerzity Komenského, 2020. – ISBN 978-80-223-4883-6. – SIGN-UKO FS20-0154, s. 42-42 [tlačená forma] </t>
  </si>
  <si>
    <t xml:space="preserve">Lenka Gálisová : prečo jazz? Lebo šťava. Lebo krása. Lebo sloboda / Černáková, Jana [Autor interview, UKFREKTOR, 100%]. – text. – [slovenčina]. – [OV 010]. – [iný] In: Náš čas [textový dokument (print)] : časopis Univerzity Konštatnína Filozofa v Nitre. – Nitra (Slovensko) : Univerzita Konštantína Filozofa v Nitre. – ISSN 1338-3272. – Roč. 25, č. 2 (2021), s. 36-41 [tlačená forma] </t>
  </si>
  <si>
    <t xml:space="preserve">Lesy a roviny / Urbanová, Lucia [Autor, UKFFFAKMK, 100%]. – text. – [slovenčina]. – [OV 010]. – [iný] In: Náš čas [textový dokument (print)] : časopis Univerzity Konštatnína Filozofa v Nitre. – Nitra (Slovensko) : Univerzita Konštantína Filozofa v Nitre. – ISSN 1338-3272. – Roč. 22, č. 1 (2018), s. 36-36 [tlačená forma] </t>
  </si>
  <si>
    <t xml:space="preserve">Letná škola projektu Erasmus+ Inclusme / Čeretková, Soňa [Autor, UKFFPVKMA, 25%] ; Bulková, Kristína [Autor, UKFFPVKMA, 25%] ; Šovčíková, Petronela [Autor, UKFFPVKMA, 25%] ; Vargová, Lucia [Autor, UKFFPVKMA, 25%]. – text. – [slovenčina]. – [OV 010]. – [iný] In: Náš čas [textový dokument (print)] : časopis Univerzity Konštatnína Filozofa v Nitre. – Nitra (Slovensko) : Univerzita Konštantína Filozofa v Nitre. – ISSN 1338-3272. – Roč. 23, č. 8 (2019), s. 20-21 [tlačená forma] </t>
  </si>
  <si>
    <t xml:space="preserve">Lingvafest 2019 / Horváthová, Ivana [Autor, UKFFFAKAA, 33.334%] ; Koscelníková, Mária [Autor, UKFFFAKTR, 33.333%] ; Brezováková, Monika [Autor, UKFFFAKRO, 33.333%]. – text. – [slovenčina]. – [OV 020]. – [iný] In: Náš čas [textový dokument (print)] : časopis Univerzity Konštatnína Filozofa v Nitre. – Nitra (Slovensko) : Univerzita Konštantína Filozofa v Nitre. – ISSN 1338-3272. – Roč. 24, č. 1 (2020), s. 23-23 [tlačená forma] </t>
  </si>
  <si>
    <t xml:space="preserve">Listáreň. Odpúšťajúce srdce sa otvára Bohu / Hlad, Ľubomír [Autor, UKFFFAKNS, 100%]. – text. – [slovenčina]. – [OV 020]. – [iný] In: Katolícke noviny [textový dokument (print)] [elektronický dokument] . – Trnava (Slovensko) : Spolok svätého Vojtecha. – ISSN 0139-8512. – ISSN (online) 1336-2399. – Roč. 136, č. 3 (2021), s. 14-14 [tlačená forma] [online] </t>
  </si>
  <si>
    <t xml:space="preserve">Literárna súťaž Legere / Benyovszky, Kristian [Autor, UKFFSSUML, 100%]. – [slovenčina]. – [OV 020]. – [iný] In: Náš čas [textový dokument (print)] : časopis Univerzity Konštatnína Filozofa v Nitre. – Nitra (Slovensko) : Univerzita Konštantína Filozofa v Nitre. – ISSN 1338-3272. – Roč. 22, č. 5 (2018), s. 15-15 [tlačená forma] </t>
  </si>
  <si>
    <t xml:space="preserve">Literárna súťaž Legere trochu inak / Tóth, Anikó [Autor, UKFFSSUML, 100%]. – text. – [slovenčina]. – [OV 010]. – [iný] In: Náš čas [textový dokument (print)] : časopis Univerzity Konštatnína Filozofa v Nitre. – Nitra (Slovensko) : Univerzita Konštantína Filozofa v Nitre. – ISSN 1338-3272. – Roč. 25, č. 1 (2021), s. 37-37 [tlačená forma] </t>
  </si>
  <si>
    <t xml:space="preserve">Literature and its film adaptation in the Central European context / Timko, Štefan [Autor, UKFFSSUSJ, 100%]. – text. – [angličtina]. – [OV 020]. – [iný]. – WOS CC ; CCC In: World Literature Studies [textový dokument (print)] [elektronický dokument] . – Bratislava (Slovensko) : Slovenská akadémia vied. Pracoviská SAV. Ústav svetovej literatúry. – ISSN 1337-9275. – ISSN (online) 1337-9690. – Roč. 11, č. 3 (2019), 2-4 [tlačená forma] [online] . – SNIP: 0.646 ; SJR: 0.147 ; CiteScore: 0.2 Scimago - Literature and literary theory - Q1 </t>
  </si>
  <si>
    <t xml:space="preserve">Mágia sa vyvíjala spolu s ľuďmi. Mnohých ovplyvňuje dodnes / Štosel, Marek [Autor, UKFFFAKMR, 100%]. – text. – [slovenčina]. – [OV 060]. – [ŠO 7205]. – [iný] In: Občas nečas [textový dokument (print)] : časopis študentov Univerzity Konštantína Filozofa. – Nitra (Slovensko) : Univerzita Konštantína Filozofa v Nitre. – ISSN 1338-1083. – Roč. 25, č. 1 (2019), s. 16-17 [tlačená forma] </t>
  </si>
  <si>
    <t xml:space="preserve">Maliarom je v práci i doma. Cez umenie uniká z tohto sveta / Černáková, Jana [Autor, UKFREKTOR, 100%]. – text. – [slovenčina]. – [OV 010]. – [iný] In: Náš čas [textový dokument (print)] : časopis Univerzity Konštatnína Filozofa v Nitre. – Nitra (Slovensko) : Univerzita Konštantína Filozofa v Nitre. – ISSN 1338-3272. – Roč. 24, č. 2 (2020), s. 36-37 [tlačená forma] </t>
  </si>
  <si>
    <t xml:space="preserve">Matematická trasa so Slovenska bola trasou apríla [projekt Erasmus] / Čeretková, Soňa [Autor, UKFFPVKMA, 100%]. – text. – [slovenčina]. – [OV 010, 240]. – [iný] In: Náš čas [textový dokument (print)] : časopis Univerzity Konštatnína Filozofa v Nitre. – Nitra (Slovensko) : Univerzita Konštantína Filozofa v Nitre. – ISSN 1338-3272. – Roč. 25, č. 2 (2021), s. 15-15 [tlačená forma] </t>
  </si>
  <si>
    <t xml:space="preserve">Matematika a technika spájajú sily v projekte / Čeretková, Soňa [Autor, UKFFPVKMA, 100%]. – text. – [slovenčina]. – [OV 010]. – [iný] In: Náš čas [textový dokument (print)] : časopis Univerzity Konštatnína Filozofa v Nitre. – Nitra (Slovensko) : Univerzita Konštantína Filozofa v Nitre. – ISSN 1338-3272. – Roč. 25, č. 1 (2021), s. 27-27 [tlačená forma] </t>
  </si>
  <si>
    <t xml:space="preserve">Matematika v hudbe : už niekoľko rokov trvá spolupráca odborníkov z katedier filozofie, romanistiky a kulturológie Filozofickej fakulty Univerzity Konštantína Filozofa v Nitre a Hudobnej a umeleckej akadémie Jána Albrechta v Banskej Štiavnici. O tejto kooperácii, ale aj o mnohom inom sa s jej spoluzakladateľkou a významnou slovenskou muzikologičkou Zuzanou Martinákovou zhováral Július Fuják / Fuják, Július [Autor interview, UKFFFAKKU, 30%] ; Martináková, Zuzana [Autor účastník interview, 70%]. – text. – [slovenčina]. – [OV 020]. – [iný] In: Náš čas [textový dokument (print)] : časopis Univerzity Konštatnína Filozofa v Nitre. – Nitra (Slovensko) : Univerzita Konštantína Filozofa v Nitre. – ISSN 1338-3272. – Roč. 22, č. 2 (2018), s. 52-53 [tlačená forma] </t>
  </si>
  <si>
    <t xml:space="preserve">Matka milosrdenstva je autentické označenie / Hlad, Ľubomír [Autor, UKFFFAKNS, 100%]. – text. – [slovenčina]. – [OV 020]. – [iný] In: Katolícke noviny [textový dokument (print)] [elektronický dokument] . – Trnava (Slovensko) : Spolok svätého Vojtecha. – ISSN 0139-8512. – ISSN (online) 1336-2399. – Roč. 134, č. 27 (2019), s. 14-14 [tlačená forma] [online] </t>
  </si>
  <si>
    <t xml:space="preserve">Média v čase koronakrízy : ako sa zmenili / Štrbová, Edita [Autor, UKFFFAKMR, 100%]. – text. – [slovenčina]. – [OV 060]. – [iný] In: Náš čas [textový dokument (print)] : časopis Univerzity Konštatnína Filozofa v Nitre. – Nitra (Slovensko) : Univerzita Konštantína Filozofa v Nitre. – ISSN 1338-3272. – Roč. 25, č. 2 (2021), s. 13-13 [tlačená forma] </t>
  </si>
  <si>
    <t xml:space="preserve">Medzinárodná interdisciplinárna konferencia Národy - mestá - ľudia - slávnosti / Arpáš, Róbert [Autor, UKFFFAKHI, 100%]. – text. – [slovenčina]. – [OV 030]. – [iný] In: Historický časopis [textový dokument (print)] [elektronický dokument] : vedecký časopis o dejinách Slovenska a strednej Európy = an academic journal on the history of Slovakia and Central Europe. – Bratislava (Slovensko) : Slovenská akadémia vied. Pracoviská SAV. Historický ústav. – ISSN 0018-2575. – ISSN (online) 2585-9099. – Roč. 66, č. 1 (2018), s. 182-183 [tlačená forma] [online] . – SJR: 0,111 ; SNIP: 0,005 ; CiteScore: 0,2 Scimago - History - Q3 </t>
  </si>
  <si>
    <t xml:space="preserve">Medzinárodná konferencia v Moskve s účasťou FPV / Petrikovičová, Lucia [Autor, UKFFPVKGR, 100%]. – text. – [slovenčina]. – [OV 010]. – [iný] In: Náš čas [textový dokument (print)] : časopis Univerzity Konštatnína Filozofa v Nitre. – Nitra (Slovensko) : Univerzita Konštantína Filozofa v Nitre. – ISSN 1338-3272. – Roč. 25, č. 1 (2021), s. 35-35 [tlačená forma] </t>
  </si>
  <si>
    <t xml:space="preserve">Medzinárodná konferencia v Singapúre / Tkáč-Zabáková, Lenka [Autor, UKFFSSUSJ, 100%]. – text. – [slovenčina]. – [OV 010]. – [iný] In: Náš čas [textový dokument (print)] : časopis Univerzity Konštatnína Filozofa v Nitre. – Nitra (Slovensko) : Univerzita Konštantína Filozofa v Nitre. – ISSN 1338-3272. – Roč. 22, č. 1 (2018), s. 28-29 [tlačená forma] </t>
  </si>
  <si>
    <t xml:space="preserve">Medzinárodná spolupráca s Mendelovou univerzitou / Pavlíková, Martina [Autor, UKFFFAKZU, 50%] ; Drlík, Martin [Autor, UKFFPVKIN, 50%]. – text. – [slovenčina]. – [OV 010]. – [iný] In: Náš čas [textový dokument (print)] : časopis Univerzity Konštatnína Filozofa v Nitre. – Nitra (Slovensko) : Univerzita Konštantína Filozofa v Nitre. – ISSN 1338-3272. – Roč. 25, č. 2 (2021), s. 18-18 [tlačená forma] </t>
  </si>
  <si>
    <t xml:space="preserve">Medzinárodná spolupráca s univerzitami v Petrohrade / Pavlíková, Martina [Autor, UKFFFAKZU, 100%]. – text. – [slovenčina]. – [OV 010]. – [iný] In: Náš čas [textový dokument (print)] : časopis Univerzity Konštatnína Filozofa v Nitre. – Nitra (Slovensko) : Univerzita Konštantína Filozofa v Nitre. – ISSN 1338-3272. – Roč. 23, č. 8 (2019), s. 15-15 [tlačená forma] </t>
  </si>
  <si>
    <t xml:space="preserve">Medzinárodná spolupráca v oblasti biológie : profesor Sirotkin spolupracuje s univerzitamiv Saudskej Arábii a Iráne. Úspechom je aj vydanie monografie v zahraničných vydavateľstvách / Pavlíková, Martina [Autor, UKFFFAKZU, 100%]. – text. – [slovenčina]. – [OV 010, 130]. – [iný] In: Náš čas [textový dokument (print)] : časopis Univerzity Konštatnína Filozofa v Nitre. – Nitra (Slovensko) : Univerzita Konštantína Filozofa v Nitre. – ISSN 1338-3272. – Roč. 25, č. 2 (2021), s. 22-22 [tlačená forma] </t>
  </si>
  <si>
    <t xml:space="preserve">Medzinárodné kolokvium : na Katedre anglistiky  sa už po jedenástykrát  konalo viacdňové  vedecké kolokvium  určené pre študentov  humanitných vied / Klimková, Simona [Autor, UKFFFAKAA, 100%]. – text. – [slovenčina]. – [OV 010]. – [iný] In: Náš čas [textový dokument (print)] : časopis Univerzity Konštatnína Filozofa v Nitre. – Nitra (Slovensko) : Univerzita Konštantína Filozofa v Nitre. – ISSN 1338-3272. – Roč. 22, č. 1 (2018), s. 31-31 [tlačená forma] </t>
  </si>
  <si>
    <t xml:space="preserve">Medzinárodný deň matematiky / Čeretková, Soňa [Autor, UKFFPVKMA, 100%]. – text. – [slovenčina]. – [OV 240, 010]. – [iný] In: Náš čas [textový dokument (print)] : časopis Univerzity Konštatnína Filozofa v Nitre. – Nitra (Slovensko) : Univerzita Konštantína Filozofa v Nitre. – ISSN 1338-3272. – Roč. 25, č. 2 (2021), s. 33-33 [tlačená forma] </t>
  </si>
  <si>
    <t xml:space="preserve">Medzinárodný gitarový festival BRNO’19 : 28. ročník festivalu, 4.-10. augusta, Česká kytarová společnost z. s. [Reportáž/Spravodajstvo] / Veselý, Ondrej [Autor, UKFFFAULK, 100%]. – text. – [slovenčina]. – [OV 020]. – [iný] In: Hudobný život [textový dokument (print)] [elektronický dokument] : jediný odborný mesačník pre klasickú hudbu a jazz na Slovensku. – Bratislava (Slovensko) : Hudobné centrum. – ISSN 1335-4140. – ISSN (online) 2729-7586. – ISSN (zrušené) 0323-133X. – Roč. 51, č. 9 (2019), s. 18-19 [tlačená forma] [online] </t>
  </si>
  <si>
    <t xml:space="preserve">Medzinárodný úspech slovenských gemológov / Štubňa, Ján [Autor, UKFFPVGMU, 100%]. – text. – [slovenčina]. – [OV 092]. – [iný] In: Gemologický spravodajca [textový dokument (print)] : časopis gemológov pri FPV UKF v Nitre. – Nitra (Slovensko) : Univerzita Konštantína Filozofa v Nitre. Fakulta prírodných vied. – ISSN 1337-6136. – ISSN (online) 1338-5275. – Roč. 9, č. 1 (2019), s. 37-37 [tlačená forma] </t>
  </si>
  <si>
    <t xml:space="preserve">Medzinárodný workshop na Inštitúte slavistiky v Berlíne / Pavlová, Renáta [Autor, UKFFFAJZC, 100%]. – text. – [slovenčina]. – [OV 010]. – [iný] In: Náš čas [textový dokument (print)] : časopis Univerzity Konštatnína Filozofa v Nitre. – Nitra (Slovensko) : Univerzita Konštantína Filozofa v Nitre. – ISSN 1338-3272. – Roč. 23, č. 8 (2019), s. 27-27 [tlačená forma] </t>
  </si>
  <si>
    <t xml:space="preserve">Mesto je mesto je mesto... / Teplan, Dušan [Autor, UKFFFASJL, 100%]. – text. – [slovenčina]. – [OV 020]. – [iný] In: Fraktál [textový dokument (print)] : literatúra horizontálne a vertikálne. – Závod (Slovensko) : Fraktál. – ISSN 2585-8912. – Roč. 1, č. 2 (2018), s. 85-85 [tlačená forma] </t>
  </si>
  <si>
    <t xml:space="preserve">Methods of identification of soil risk by water erosion / Petlušová, Viera [Autor, UKFFPVKEE, 20%] ; Petluš, Peter [Autor, UKFFPVKEE, 20%] ; Hreško, Juraj [Autor, UKFFPVKEE, 20%] ; Tobiašová, Erika [Autor, 20%] ; Zemko, Martin [Autor, UKFFPVKEE, 20%] ; Global megatrends and landscape 2018 [17.04.2018-19.04.2018, Smolenice, Slovensko]. – [angličtina]. – [OV 100]. – [iný] In: Global megatrends and landscape [textový dokument (print)] : proceedings from conference Smolenice / Kozelová, Ivana [Zostavovateľ, editor]. – 1. vyd. – Bratislava (Slovensko) : Slovenská akadémia vied, 2018, s. 33-34 [tlačená forma] </t>
  </si>
  <si>
    <t xml:space="preserve">Metodicko-organizačné pokyny 48. ročník Geografickej olympiády kategórie E, F, G (ZŠ a OG) školský rok 2019/2020 [textový dokument (print)]  [iný] / Nováková, Gabriela [Autor, 50%] ; Kramáreková, Hilda [Autor, UKFFPVKGR, 50%]. – 1. vyd. – Bratislava (Slovensko) : IUVENTA – Slovenský inštitút mládeže, 2019. – 6 s. [tlačená forma] : text. – [slovenčina]. – [OV 010, 092] </t>
  </si>
  <si>
    <t xml:space="preserve">Milan Majtán (1934–2018) / Bauko, Ján [Autor, UKFFSSUML, 100%]. – text. – [angličtina]. – [OV 020]. – [iný] In: Névtani Értesítő [textový dokument (print)] [elektronický dokument] . – Budapešť (Maďarsko) : Magyar nyelvtudományi társaság, Budapešť (Maďarsko) : Eötvös Loránd Tudományegyetem. ELTE Bölcsészettudományi Kar. Magyar Nyelvtudományi és Finnugor Intézet. – ISSN 0139-2190. – ISSN (online) 2064-7484. – Roč. 40, č. 2 (2018), s. 283-284 [tlačená forma] . – SJR: 0,316 ; CiteScore: 0,5 ; SNIP: 0,671 Scimago - Language and linguistics - Q1, Linguistics and language - Q2 </t>
  </si>
  <si>
    <t xml:space="preserve">Mladý prekladateľ / Hodáková, Soňa [Autor, UKFFFAKTR, 100%]. – [slovenčina]. – [OV 020]. – [iný] In: Náš čas [textový dokument (print)] : časopis Univerzity Konštatnína Filozofa v Nitre. – Nitra (Slovensko) : Univerzita Konštantína Filozofa v Nitre. – ISSN 1338-3272. – Roč. 22, č. 5 (2018), s. 25-25 [tlačená forma] </t>
  </si>
  <si>
    <t xml:space="preserve">Modus nezávislosti v kultúre a umení / Kočiš, Michal [Autor, UKFFFAKKU, 100%]. – [slovenčina]. – [OV 060]. – [iný] In: Culturologica Slovaca [elektronický dokument] / Palitefka, Jozef [Zostavovateľ, editor]. – 1. vyd. – Roč. 4. – Nitra (Slovensko) : Univerzita Konštantína Filozofa v Nitre, 2019. – ISSN 2453-9740, s. 194-195 [online] </t>
  </si>
  <si>
    <t xml:space="preserve">Možno to znie až veľmi rozprávkovo : anketa o súčasnom výskume literatúry pre deti a mládež / Magalová, Gabriela [Autor, TUTPFSJL, 11.112%] ; Malý, Radek [Autor, 11.111%] ; Řeřichová, Vlasta [Autor, 11.111%] ; Stanislavová, Zuzana [Autor, 11.111%] ; Šimonová, Brigita [Autor, 11.111%] ; Šubrtová, Milena [Autor, 11.111%] ; Urbanová, Svatava [Autor, 11.111%] ; Vitézová, Eva [Autor, TUTPFSJL, 11.111%] ; Žilková, Marta [Autor, UKF.Nitra, 11.111%]. – [slovenčina]. – [OV 020]. – [iný]. – TUTPFSJL signatúra E071907 In: Litikon [textový dokument (print)] : časopis pre výskum literatúry = journal for literature research. – Nitra (Slovensko) : Univerzita Konštantína Filozofa v Nitre. – ISSN 2453-8507. – Roč. 3, č. 1 (2018), s. 167-177 [tlačená forma] </t>
  </si>
  <si>
    <t xml:space="preserve">Môj vlnený svet : autorkou výstavy je absolventka Pedagogickej fakulty Eva Pokorná / Récka, Adriana [Autor, UKFPFAKVV, 100%]. – text. – [slovenčina]. – [OV 010]. – [iný] In: Náš čas [textový dokument (print)] : časopis Univerzity Konštatnína Filozofa v Nitre. – Nitra (Slovensko) : Univerzita Konštantína Filozofa v Nitre. – ISSN 1338-3272. – Roč. 23, č. 1 (2019), s. 14-15 [tlačená forma] </t>
  </si>
  <si>
    <t xml:space="preserve">Mystická spisba a obrazy vnútorného sveta [editoriál] = Mystical Writings and Images of the Inner World [Editorial] / Gallik, Ján [Autor, UKFFSSUSJ, 50%] ; Vargová, Zuzana [Autor, UKFFSSUSJ, 50%]. – text. – [slovenčina]. – [OV 020]. – [iný] In: Stredoeurópske pohľady [textový dokument (print)] [elektronický dokument] : časopis pre jazyk, literatúru, kultúru a médiá. – Nitra (Slovensko) : Univerzita Konštantína Filozofa v Nitre. Fakulta stredoeurópskych štúdií. Ústav stredoeurópskych jazykov a kultúr. – ISSN 2644-6367. – ISSN (online) 2644-6472. – Roč. 2, č. 2 (2020), s. 2-3 [tlačená forma] [online] </t>
  </si>
  <si>
    <t xml:space="preserve">Na 17. november spomínali čítaním / Zeleňáková, Hana [Autor, UKFFFAULK, 100%]. – text. – [slovenčina]. – [OV 010]. – [iný] In: Náš čas [textový dokument (print)] : časopis Univerzity Konštatnína Filozofa v Nitre. – Nitra (Slovensko) : Univerzita Konštantína Filozofa v Nitre. – ISSN 1338-3272. – Roč. 24, č. 5 (2020), s. 24-24 [tlačená forma] </t>
  </si>
  <si>
    <t xml:space="preserve">Na katedre translatológie diskutovali mladí vedeckí pracovníci / Ukušová, Jana [Autor, UKFFFAKTR, 100%]. – text. – [slovenčina]. – [OV 010]. – [iný] In: Náš čas [textový dokument (print)] : časopis Univerzity Konštatnína Filozofa v Nitre. – Nitra (Slovensko) : Univerzita Konštantína Filozofa v Nitre. – ISSN 1338-3272. – Roč. 22, č. 1 (2018), s. 44-44 [tlačená forma] </t>
  </si>
  <si>
    <t xml:space="preserve">Na krásnu záhradu Viliama Turčányho : Na krásnu záhradu Viliama Turčányho / Kamenčík, Marián [Autor, UCMFIFKSJL, 34%] ; Navrátil, Martin [Autor, 33%] ; Šavelová, Monika [Autor, UKFFFAKRO, 33%]. – text. – [slovenčina]. – [OV 020]. – [iný] In: Fraktál [textový dokument (print)] : literatúra horizontálne a vertikálne. – Závod (Slovensko) : Fraktál. – ISSN 2585-8912. – Roč. 4, č. 3 (2021), s. 43-45 [tlačená forma] </t>
  </si>
  <si>
    <t xml:space="preserve">Na medzinárodnej konferencii v Ríme / Tkáč-Zabáková, Lenka [Autor, UKFFSSUSJ, 100%]. – text. – [slovenčina]. – [OV 010]. – [iný] In: Náš čas [textový dokument (print)] : časopis Univerzity Konštatnína Filozofa v Nitre. – Nitra (Slovensko) : Univerzita Konštantína Filozofa v Nitre. – ISSN 1338-3272. – Roč. 24, č. 2 (2020), s. 33-33 [tlačená forma] </t>
  </si>
  <si>
    <t xml:space="preserve">Na našej univerzite prednášal prof. Tarasti / Fuják, Július [Autor, UKFFFAKKU, 100%]. – text. – [slovenčina]. – [OV 020]. – [iný] In: Náš čas [textový dokument (print)] : časopis Univerzity Konštatnína Filozofa v Nitre. – Nitra (Slovensko) : Univerzita Konštantína Filozofa v Nitre. – ISSN 1338-3272. – Roč. 24, č. 1 (2020), s. 15-15 [tlačená forma] </t>
  </si>
  <si>
    <t xml:space="preserve">Na neefektívnosť nižšieho stredného odborného vzdelávania doplácajú najmä Rómovia / Havírová, Zuzana [Autor, UKFFSVURS, 100%]. – text. – [slovenčina]. – [OV 060]. – [iný] In: Menšinová politika na Slovensku [textový dokument (print)] : kritický štvrťročník. – Bratislava (Slovensko) : Centrum pre výskum etnicity a kultúry. – ISSN 1338-4864. – Roč. 2, č. 1 (2021), s. 1-4 [tlačená forma] </t>
  </si>
  <si>
    <t xml:space="preserve">Na prahu 61. akademického roka na UKF / Vozár, Libor [Autor, UKFFPVKFY, 100%]. – text. – [slovenčina]. – [OV 240]. – [iný] In: Náš čas [textový dokument (print)] : časopis Univerzity Konštatnína Filozofa v Nitre. – Nitra (Slovensko) : Univerzita Konštantína Filozofa v Nitre. – ISSN 1338-3272. – Roč. 23, č. 8 (2019), s. 3-3 [tlačená forma] </t>
  </si>
  <si>
    <t xml:space="preserve">Na Študentskú kvapku krvi prišlo 36 darcov / Černáková, Jana [Autor, UKFREKTOR, 100%]. – text. – [slovenčina]. – [OV 020]. – [iný] In: Náš čas [textový dokument (print)] : časopis Univerzity Konštatnína Filozofa v Nitre. – Nitra (Slovensko) : Univerzita Konštantína Filozofa v Nitre. – ISSN 1338-3272. – Roč. 22, č. 4 (2018), s. 24-25 [tlačená forma] </t>
  </si>
  <si>
    <t xml:space="preserve">Na UKF prednášal profesor z viedenskej univerzity : podujatia zorganizovali Katedra kulturológie a Katedra filozofie FF UKF v Nitre v spolupráci  so Slovenským filozofickým združením pri SAV pod záštitou predsedníčky doc. Mgr. Andrey Javorskej, PhD. / Gabašová, Katarína [Autor, UKFFFAKKU, 100%]. – text. – [slovenčina]. – [OV 010]. – [iný] In: Náš čas [textový dokument (print)] : časopis Univerzity Konštatnína Filozofa v Nitre. – Nitra (Slovensko) : Univerzita Konštantína Filozofa v Nitre. – ISSN 1338-3272. – Roč. 24, č. 2 (2020), s. 30-31 [tlačená forma] </t>
  </si>
  <si>
    <t xml:space="preserve">Na UKF sa stretli členovia projektu Erasmus+ Direkt / Horváthová, Božena [Autor, UKFPFAKLI, 100%]. – text. – [slovenčina]. – [OV 010]. – [iný] In: Náš čas [textový dokument (print)] : časopis Univerzity Konštatnína Filozofa v Nitre. – Nitra (Slovensko) : Univerzita Konštantína Filozofa v Nitre. – ISSN 1338-3272. – Roč. 23, č. 8 (2019), s. 21-21 [tlačená forma] </t>
  </si>
  <si>
    <t xml:space="preserve">Na UKF zavítal Vladimír Merta / Fuják, Július [Autor, UKFFFAKKU, 100%]. – text. – [slovenčina]. – [OV 020]. – [iný] In: Náš čas [textový dokument (print)] : časopis Univerzity Konštatnína Filozofa v Nitre. – Nitra (Slovensko) : Univerzita Konštantína Filozofa v Nitre. – ISSN 1338-3272. – Roč. 24, č. 1 (2020), s. 28-28 [tlačená forma] </t>
  </si>
  <si>
    <t xml:space="preserve">Nacvičovali poskytovanie prvej pomoci / Brázdilová, Dana [Autor, UKFFSVKUM, 100%]. – text. – [slovenčina]. – [OV 180]. – [iný] In: Náš čas [textový dokument (print)] : časopis Univerzity Konštatnína Filozofa v Nitre. – Nitra (Slovensko) : Univerzita Konštantína Filozofa v Nitre. – ISSN 1338-3272. – Roč. 24, č. 1 (2020), s. 15-15 [tlačená forma] </t>
  </si>
  <si>
    <t xml:space="preserve">Najdrahšou a najťažšou bola biblia s dielami Dalího / Černáková, Jana [Autor, UKFREKTOR, 100%]. – text. – [slovenčina]. – [OV 020]. – [iný] In: Náš čas [textový dokument (print)] : časopis Univerzity Konštatnína Filozofa v Nitre. – Nitra (Slovensko) : Univerzita Konštantína Filozofa v Nitre. – ISSN 1338-3272. – Roč. 22, č. 4 (2018), s. 19-19 [tlačená forma] </t>
  </si>
  <si>
    <t xml:space="preserve">Namiesto záveru : [60 výročie vzdelávania učiteľov na UKF v Nitre] / Pintes, Gábor [Autor, UKFPFAKPE, 100%]. – text. – [slovenčina]. – [OV 010]. – [iný] In: Zo svitania [textový dokument (print)] : Spomienky. Publikácia vydaná pri príležitosti 60. výročia vzdelávania učiteľov na Univerzite Konštantína Filozofa v Nitre / Récka, Adriana [Zostavovateľ, editor]. – 1. vyd. – Nitra (Slovensko) : Univerzita Konštantína Filozofa v Nitre, 2019. – ISBN 978-80-558-1437-7, s. 92-93 [tlačená forma] </t>
  </si>
  <si>
    <t xml:space="preserve">Náš Elo Havetta a pátos nablýskaných osláv / Kočiš, Michal [Autor, UKFFFAKKU, 100%]. – [slovenčina]. – [OV 060]. – [iný] In: Culturologica Slovaca [elektronický dokument] / Palitefka, Jozef [Zostavovateľ, editor]. – 1. vyd. – Roč. 4. – Nitra (Slovensko) : Univerzita Konštantína Filozofa v Nitre, 2019. – ISSN 2453-9740, s. 195-197 [online] </t>
  </si>
  <si>
    <t xml:space="preserve">Náš kolega najlepší na celosvetovej konferencii : [XIV. International Con-ference  on  Neuropsychology  and  Brain  Research] / Verešová, Marcela [Autor, UKFPFAKAP, 100%]. – [slovenčina]. – [OV 010]. – [iný] In: Náš čas [textový dokument (print)] : časopis Univerzity Konštatnína Filozofa v Nitre. – Nitra (Slovensko) : Univerzita Konštantína Filozofa v Nitre. – ISSN 1338-3272. – Roč. 24, č. 3 (2020), s. 27-27 [tlačená forma] </t>
  </si>
  <si>
    <t xml:space="preserve">Náš pedagóg hral v Kuala Lumpur / Čierna, Alena [Autor, UKFPFAKHU, 100%]. – text. – [slovenčina]. – [OV 010]. – [iný] In: Náš čas [textový dokument (print)] : časopis Univerzity Konštatnína Filozofa v Nitre. – Nitra (Slovensko) : Univerzita Konštantína Filozofa v Nitre. – ISSN 1338-3272. – Roč. 23, č. 1 (2019), s. 9-9 [tlačená forma] </t>
  </si>
  <si>
    <t xml:space="preserve">Naša univerzita privítala prvákov po novom / Kamenická, Tímea [Autor, UKFREKTOR, 80%] ; Pitoňáková, Gabriela [Autor, 20%]. – text. – [slovenčina]. – [OV 010]. – [iný] In: Náš čas [textový dokument (print)] : časopis Univerzity Konštatnína Filozofa v Nitre. – Nitra (Slovensko) : Univerzita Konštantína Filozofa v Nitre. – ISSN 1338-3272. – Roč. 23, č. 8 (2019), s. 10-10 [tlačená forma] </t>
  </si>
  <si>
    <t xml:space="preserve">Naše študentky učili žiakov v čase pandémie / Síthová, Svetlana [Autor, UKFPFAKPE, 100%]. – text. – [slovenčina]. – [OV 010]. – [iný] In: Náš čas [textový dokument (print)] : časopis Univerzity Konštatnína Filozofa v Nitre. – Nitra (Slovensko) : Univerzita Konštantína Filozofa v Nitre. – ISSN 1338-3272. – Roč. 24, č. 3 (2020), s. 27-27 [tlačená forma] </t>
  </si>
  <si>
    <t xml:space="preserve">Našli unikátnu bronzovú figúrku Kelta / Repka, Dominik [Autor, UKFFFAKAR, 100%]. – text. – [slovenčina]. – [OV 030]. – [iný] In: Náš čas [textový dokument (print)] : časopis Univerzity Konštatnína Filozofa v Nitre. – Nitra (Slovensko) : Univerzita Konštantína Filozofa v Nitre. – ISSN 1338-3272. – Roč. 25, č. 1 (2021), s. 35-35 [tlačená forma] </t>
  </si>
  <si>
    <t xml:space="preserve">Náučný chodník Považský Inovec [textový dokument (print)]  [iný] / Bieliková, Jana [Autor, 33.334%] ; Kramáreková, Hilda [Autor, UKFFPVKGR, 33.333%] ; Stanček, Andrej [Autor, 33.333%]. – 1. vyd. – Topoľčany (Slovensko) : Regionálna rozvojová agentúra Topoľčiansko, 2019. – 57 s. [tlačená forma] : text. – [slovenčina]. – [OV 092]. – ISBN 978-80-973617-0-9 </t>
  </si>
  <si>
    <t xml:space="preserve">Návrhy riešení pre zefektívnenie práce verejnej správy a samosprávy vo vzťahu k prístupnosti predprimárneho vzdelávania detí zo sociálne znevýhodneného prostredia [elektronický dokument]  [iný] / Kahanec, Martin [Autor, 10%] ; Petrasová, Alica [Autor, PUPPESP, 40%] ; Rusnák, Július [Autor, 10%] ; Rusnáková, Jurina [Autor, UKFFSVURS, 40%]. – 1. vyd. – Prešov (Slovensko) : Občianske združenie Tobiáš, 2019. – 39 s. [online]. – [slovenčina]. – [OV 010]. – SIGN-PU PF-19 235/19 </t>
  </si>
  <si>
    <t xml:space="preserve">Návšteva diplomata Branislava Hitku : S vedením UKF diskutoval o spolupráci s univerzitami v Argentíne, Čile, Paraguaji a Uruguaji, študentom prednášal o Latinskej Amerike ako o svetadiele paradoxov / Pavlíková, Martina [Autor, UKFFFAKZU, 100%]. – text. – [slovenčina]. – [OV 010]. – [iný] In: Náš čas [textový dokument (print)] : časopis Univerzity Konštatnína Filozofa v Nitre. – Nitra (Slovensko) : Univerzita Konštantína Filozofa v Nitre. – ISSN 1338-3272. – Roč. 24, č. 2 (2020), s. 27-27 [tlačená forma] </t>
  </si>
  <si>
    <t xml:space="preserve">Návšteva z Ruského centra vedy a kultúry / Vakoš, Pavol [Autor, UKFREKTOR, 100%]. – text. – [slovenčina]. – [OV 010]. – [iný] In: Náš čas [textový dokument (print)] : časopis Univerzity Konštatnína Filozofa v Nitre. – Nitra (Slovensko) : Univerzita Konštantína Filozofa v Nitre. – ISSN 1338-3272. – Roč. 25, č. 1 (2021), s. 31-31 [tlačená forma] </t>
  </si>
  <si>
    <t xml:space="preserve">Navždy nás opustil profesor Peter Liba / Černáková, Jana [Autor, UKFREKTOR, 50%] ; Lauková, Silvia [Autor, UKFFFASJL, 50%]. – text. – [slovenčina]. – [OV 010]. – [iný] In: Náš čas [textový dokument (print)] : časopis Univerzity Konštatnína Filozofa v Nitre. – Nitra (Slovensko) : Univerzita Konštantína Filozofa v Nitre. – ISSN 1338-3272. – Roč. 24, č. 4 (2020), s. 4-5 [tlačená forma] </t>
  </si>
  <si>
    <t xml:space="preserve">Nechávam sa tetovať, teda som / Boszorád, Martin [Autor, UKFFFAULK, 100%]. – text. – [slovenčina]. – [OV 020]. – [iný] In: Týždeň [textový dokument (print)] [elektronický dokument] . – Bratislava (Slovensko) : W Press. – ISSN 1336-5932. – ISSN (online) 1336-653X. – Roč. 15, č. 32 (2018), s. 18-20 [tlačená forma] [online] </t>
  </si>
  <si>
    <t xml:space="preserve">Nepateticky o láske s Divadlom z Pasáže / Ballay, Miroslav [Autor, UKFFFAKKU, 100%]. – text. – [slovenčina]. – [OV 020]. – [iný] In: Príbehy 20. storočia [textový dokument (print)] . – Bratislava (Slovensko) : Post Bellum SK. – ISSN 2585-9048. – Roč. 2, č. 1 (2019), s. 30-31 [tlačená forma] </t>
  </si>
  <si>
    <t xml:space="preserve">Nepôvodné a invázne druhy / Krumpálová, Zuzana [Autor, UKFFPVKEE, 50%] ; Slobodník, Miroslav [Autor, 50%]. – [slovenčina]. – [OV 100]. – [iný] In: Veľká kniha živočíchov [textový dokument (print)] / Krumpál, Miroslav [Zostavovateľ, editor]. – 6. preprac. vyd. – Bratislava (Slovensko) : Ikar, 2019. – ISBN 978-80-551-6883-8, s. 328-329 [tlačená forma] </t>
  </si>
  <si>
    <t xml:space="preserve">Neuzatvárajme sa do náboženského sebaklamu / Hlad, Ľubomír [Autor, UKFFFAKNS, 100%]. – text. – [slovenčina]. – [OV 020]. – [iný] In: Katolícke noviny [textový dokument (print)] [elektronický dokument] . – Trnava (Slovensko) : Spolok svätého Vojtecha. – ISSN 0139-8512. – ISSN (online) 1336-2399. – Roč. 134, č. 40 (2019), s. 14-14 [tlačená forma] [online] </t>
  </si>
  <si>
    <t xml:space="preserve">Nikolaj Rimskij-Korsakov (1844 - 1908) - Symfonické obrazy z opery Legenda o neviditeľnom meste Kiteži a panne Fevronii; Sergej Prokofiev (1891 - 1953) - Koncert pre klavír a orchester č. 2 g mol op. 16; Piotr Iľjič Čajkovskij (1840 - 1893) - Symfónia č. 6 h mol op. 74 Patetická / Čierna, Alena [Autor, UKFPFAKHU, 100%]. – text. – [slovenčina]. – [OV 010]. – [iný] In: Bratislavské hudobné slávnosti [textový dokument (print)] / [bez zostavovateľa] [Zostavovateľ, editor]. – 1. vyd. – [s.l.] (Slovensko) : [s.n.], 2018, s. 1-5 [tlačená forma] </t>
  </si>
  <si>
    <t xml:space="preserve">Nitra privítala mladých jazykovedcov / Nemčeková, Jana [Autor, UKFFFASJL, 100%]. – text. – [slovenčina]. – [OV 020]. – [iný] In: Kultúra slova [textový dokument (print)] [elektronický dokument] : vedecko-popularizačný časopis pre jazykovú kultúru a terminológiu. – Martin (Slovensko) : Matica slovenská. Vydavateľstvo Matice slovenskej. – ISSN 0023-5202. – Roč. 54, č. 1 (2020), s. 51-54 [tlačená forma] [online] </t>
  </si>
  <si>
    <t xml:space="preserve">Nitrianska letná univerzita má 69  nových absolventov : na pôde SPU mali deti slávnostné imatrikulácie, v Aule UKF si počas promócií prevzali certifikát s titulom Academicus Nitriensis Junior / Černáková, Jana [Autor, UKFREKTOR, 100%]. – text. – [slovenčina]. – [OV 010]. – [iný] In: Náš čas [textový dokument (print)] : časopis Univerzity Konštatnína Filozofa v Nitre. – Nitra (Slovensko) : Univerzita Konštantína Filozofa v Nitre. – ISSN 1338-3272. – Roč. 23, č. 8 (2019), s. 14-14 [tlačená forma] </t>
  </si>
  <si>
    <t xml:space="preserve">Nová bilaterálna dohoda s Čínskou univerzitou : prorektorka pre medzinárodné vzťahy UKF PhDr. Martina Pavlíková, PhD., v dňoch 10. – 19. septembra pracovne navštívila prestížnu čínsku univerzitu Beijing International Studies University (BISU) v Pekingu. V rámci návštevy prijala pozvanie na stretnutie s rektorom BISU profesorom Ji Jinbiao / Pavlíková, Martina [Autor, UKFFFAKZU, 100%]. – text. – [slovenčina]. – [OV 010]. – [iný] In: Náš čas [textový dokument (print)] : časopis Univerzity Konštatnína Filozofa v Nitre. – Nitra (Slovensko) : Univerzita Konštantína Filozofa v Nitre. – ISSN 1338-3272. – Roč. 23, č. 8 (2019), s. 7-7 [tlačená forma] </t>
  </si>
  <si>
    <t xml:space="preserve">Nové monografie v Jazykovom centre FF / Burcl, Pavol [Autor, UKFFFAJZC, 100%]. – [slovenčina]. – [OV 020]. – [iný] In: Náš čas [textový dokument (print)] : časopis Univerzity Konštatnína Filozofa v Nitre. – Nitra (Slovensko) : Univerzita Konštantína Filozofa v Nitre. – ISSN 1338-3272. – Roč. 24, č. 5 (2020), s. 46-47 [tlačená forma] </t>
  </si>
  <si>
    <t xml:space="preserve">Nové publikácie o nezávislej kultúre a umení / Švajdová, Adriana [Autor, UKFFFAKKU, 100%]. – text. – [slovenčina]. – [OV 020]. – [iný] In: Náš čas [textový dokument (print)] : časopis Univerzity Konštatnína Filozofa v Nitre. – Nitra (Slovensko) : Univerzita Konštantína Filozofa v Nitre. – ISSN 1338-3272. – Roč. 24, č. 5 (2020), s. 44-45 [tlačená forma] </t>
  </si>
  <si>
    <t xml:space="preserve">Nové publikácie o témach nezávislej kultúry a umenia / Švajdová, Adriana [Autor, UKFFFAKKU, 100%]. – text. – [slovenčina]. – [OV 020]. – [iný] In: Culturologica Slovaca [elektronický dokument] : internetový kulturologický časopis. – Nitra (Slovensko) : Univerzita Konštantína Filozofa v Nitre. – ISSN 2453-9740. – Roč. 6, č. 1 (2021), s. 172-174 [online] </t>
  </si>
  <si>
    <t xml:space="preserve">NUD 2018 : Ďalší úspešný ročník Nitrianskych univerzitných dní je za nami / Kamenická, Tímea [Autor, UKFREKTOR, 12.5%] ; Mojtová, Martina [Autor, UKFFSVKSP, 12.5%] ; Haringová, Silvia [Autor, 12.5%] ; Paška, Ľubomír [Autor, UKFPFAKTV, 12.5%] ; Horička, Pavol [Autor, UKFPFAKTV, 12.5%] ; Broďáni, Jaroslav [Autor, UKFPFAKTV, 12.5%] ; Fellnerová, Nikoleta [Autor, UKFFSVKSP, 12.5%] ; Krajčovičová, Jana [Autor, UKFREKTOR, 12.5%]. – text. – [slovenčina]. – [OV 010]. – [iný] In: Náš čas [textový dokument (print)] : časopis Univerzity Konštatnína Filozofa v Nitre. – Nitra (Slovensko) : Univerzita Konštantína Filozofa v Nitre. – ISSN 1338-3272. – Roč. 22, č. 2 (2018), s. 8-13 [tlačená forma] </t>
  </si>
  <si>
    <t xml:space="preserve">O artovo ambicióznom animáku / Boszorád, Martin [Autor, UKFFFAULK, 100%]. – text. – [slovenčina]. – [OV 020]. – [iný] In: Týždeň [textový dokument (print)] [elektronický dokument] . – Bratislava (Slovensko) : W Press. – ISSN 1336-5932. – ISSN (online) 1336-653X. – Roč. 15, č. 24 (2018), s. 49-49 [tlačená forma] [online] </t>
  </si>
  <si>
    <t xml:space="preserve">O bratstve a sociálnom priateľstve pre svet / Štefaňak, Ondrej [Autor, UKFFFAKSO, 100%]. – text. – [slovenčina]. – [OV 020]. – [iný] In: Náš čas [textový dokument (print)] : časopis Univerzity Konštatnína Filozofa v Nitre. – Nitra (Slovensko) : Univerzita Konštantína Filozofa v Nitre. – ISSN 1338-3272. – Roč. 25, č. 2 (2021), s. 13-13 [tlačená forma] </t>
  </si>
  <si>
    <t xml:space="preserve">O kérkach z lochu / Boszorád, Martin [Autor, UKFFFAULK, 100%]. – text. – [slovenčina]. – [OV 020]. – [iný] In: Kapitál [textový dokument (print)] [elektronický dokument] : angažovaný mesačník. – Bratislava (Slovensko) : Občianske združenie Literárny klub, Bratislava (Slovensko) : KPTL občianske združenie. – ISSN 2585-7851. – Roč. 4, č. 3 (2021), s. 22-22 [tlačená forma] </t>
  </si>
  <si>
    <t xml:space="preserve">O motorkách, filozofii a slobode na dvoch kolesách - rozhovor s Petrom Kocinom / Turčan, Ciprian [Autor, UKFFFAKAE 06.2022, 100%]. – [slovenčina]. – [OV 020]. – [iný] In: MotoRoute Magazín [textový dokument (print)] . – Praha (Česko) : MotoRoute. – ISSN 1801-0997. – Roč. 15, č. 1 (2019), s. 5-6 [tlačená forma] </t>
  </si>
  <si>
    <t xml:space="preserve">O terénnom výskume v etnológii / Ambrózová, Jana [Autor, UKFFFAKEF, 100%]. – [slovenčina]. – [OV 030]. – [iný] In: Náš čas [textový dokument (print)] : časopis Univerzity Konštatnína Filozofa v Nitre. – Nitra (Slovensko) : Univerzita Konštantína Filozofa v Nitre. – ISSN 1338-3272. – Roč. 24, č. 3 (2020), s. 25-25 [tlačená forma] </t>
  </si>
  <si>
    <t xml:space="preserve">Ó, H2O - editoriál : (TJ Vjuga) / Fuják, Július [Autor, UKFFFAKKU, 100%]. – text. – [slovenčina]. – [OV 020]. – [iný] In: Vlna [textový dokument (print)] : časopis o súčasnom umení a kultúre. – Bratislava (Slovensko) : Drewo a srd. – ISSN 1335-5341. – ISSN (chybné) ISSN 1335-969X. – Roč. 21, č. 79 (2019), s. 5-5 [tlačená forma] </t>
  </si>
  <si>
    <t xml:space="preserve">Ocenenie pre našu zamestnankyňu / Matejovičová, Barbora [Autor, UKFFPVKZA, 100%]. – text. – [slovenčina]. – [OV 010]. – [iný] In: Náš čas [textový dokument (print)] : časopis Univerzity Konštatnína Filozofa v Nitre. – Nitra (Slovensko) : Univerzita Konštantína Filozofa v Nitre. – ISSN 1338-3272. – Roč. 22, č. 4 (2018), s. 28-28 [tlačená forma] </t>
  </si>
  <si>
    <t xml:space="preserve">Ocenili úspešných študentov / Černáková, Jana [Autor, UKFREKTOR, 100%]. – text. – [slovenčina]. – [OV 010]. – [iný] In: Náš čas [textový dokument (print)] : časopis Univerzity Konštatnína Filozofa v Nitre. – Nitra (Slovensko) : Univerzita Konštantína Filozofa v Nitre. – ISSN 1338-3272. – Roč. 24, č. 1 (2020), s. 32-33 [tlačená forma] </t>
  </si>
  <si>
    <t xml:space="preserve">Od teórii k praxi : alebo ako sme projektovali / Kóňová, Terézia [Autor, 33%] ; Šranková, Monika [Autor, 33%] ; Kramáreková, Hilda [Autor, UKFFPVKGR, 34%]. – text. – [slovenčina]. – [OV 010]. – [iný] In: Náš čas [textový dokument (print)] : časopis Univerzity Konštatnína Filozofa v Nitre. – Nitra (Slovensko) : Univerzita Konštantína Filozofa v Nitre. – ISSN 1338-3272. – Roč. 22, č. 2 (2018), s. 46-47 [tlačená forma] </t>
  </si>
  <si>
    <t xml:space="preserve">Odborná prax pre študentov prekladateľstva a tlmočníctva / Gromová, Edita [Autor, UKFFFAKTR, 100%]. – text. – [slovenčina]. – [OV 020]. – [iný] In: Náš čas [textový dokument (print)] : časopis Univerzity Konštatnína Filozofa v Nitre. – Nitra (Slovensko) : Univerzita Konštantína Filozofa v Nitre. – ISSN 1338-3272. – Roč. 23, č. 3 (2019), s. 21-21 [tlačená forma] </t>
  </si>
  <si>
    <t xml:space="preserve">Odborná prednáška so Slavomírom Pačutom - výkonným riaditeľom a šéftrénerom spoločnosti STAGEMAN / Kompasová, Katarína [Autor, UKFFFAKMK, 100%]. – text. – [slovenčina]. – [OV 060]. – [iný] In: Kontexty kultúry a turizmu [textový dokument (print)] . – Nitra (Slovensko) : Univerzita Konštantína Filozofa v Nitre. Filozofická fakulta. – ISSN 1337-7760. – Roč. 12, č. 1 (2019), s. 114-115 [tlačená forma] </t>
  </si>
  <si>
    <t xml:space="preserve">Odborná prednáška so zástupcami cestovnej kancelárie HYDROTOUR, a. s. / Kurpašová, Lucia [Autor, UKFFFAKMK, 100%]. – [slovenčina]. – [OV 020]. – [iný] In: Kontexty kultúry a turizmu [textový dokument (print)] . – Nitra (Slovensko) : Univerzita Konštantína Filozofa v Nitre. Filozofická fakulta. – ISSN 1337-7760. – Roč. 11, č. 2 (2018), s. 151-152 [tlačená forma] </t>
  </si>
  <si>
    <t xml:space="preserve">Odborné minimum tlmočníka a prekladateľa / Miššíková, Gabriela [Autor, UKFFFAKAA, 100%]. – text. – [slovenčina]. – [OV 010, 020]. – [iný] In: Náš čas [textový dokument (print)] : časopis Univerzity Konštatnína Filozofa v Nitre. – Nitra (Slovensko) : Univerzita Konštantína Filozofa v Nitre. – ISSN 1338-3272. – Roč. 25, č. 2 (2021), s. 21-21 [tlačená forma] </t>
  </si>
  <si>
    <t xml:space="preserve">Októberfest prilákal tisíce návštevníkov / Kamenická, Tímea [Autor, UKFREKTOR, 100%]. – text. – [slovenčina]. – [OV 010]. – [iný] In: Náš čas [textový dokument (print)] : časopis Univerzity Konštatnína Filozofa v Nitre. – Nitra (Slovensko) : Univerzita Konštantína Filozofa v Nitre. – ISSN 1338-3272. – Roč. 22, č. 4 (2018), s. 4-5 [tlačená forma] </t>
  </si>
  <si>
    <t xml:space="preserve">Online nás reprezentovali na univerzite v Prahe / Broďáni, Jaroslav [Autor, UKFPFAKTV, 100%]. – [slovenčina]. – [OV 010]. – [iný] In: Náš čas [textový dokument (print)] : časopis Univerzity Konštatnína Filozofa v Nitre. – Nitra (Slovensko) : Univerzita Konštantína Filozofa v Nitre. – ISSN 1338-3272. – Roč. 24, č. 3 (2020), s. 37-37 [tlačená forma] </t>
  </si>
  <si>
    <t xml:space="preserve">Online prednášky od odborníkov zaujali / Zahorák, Andrej [Autor, UKFFFAKTR, 100%]. – text. – [slovenčina]. – [OV 010]. – [iný] In: Náš čas [textový dokument (print)] : časopis Univerzity Konštatnína Filozofa v Nitre. – Nitra (Slovensko) : Univerzita Konštantína Filozofa v Nitre. – ISSN 1338-3272. – Roč. 25, č. 1 (2021), s. 34-34 [tlačená forma] </t>
  </si>
  <si>
    <t xml:space="preserve">Online workshop pre portugalských študentov / Pavlíková, Martina [Autor, UKFFFAKZU, 100%]. – text. – [slovenčina]. – [OV 010]. – [iný] In: Náš čas [textový dokument (print)] : časopis Univerzity Konštatnína Filozofa v Nitre. – Nitra (Slovensko) : Univerzita Konštantína Filozofa v Nitre. – ISSN 1338-3272. – Roč. 25, č. 2 (2021), s. 16-16 [tlačená forma] </t>
  </si>
  <si>
    <t xml:space="preserve">Online workshop so študentmi gymnázia / Hvozdíková, Silvia [Autor, UKFFFAKAA, 50%] ; Horváthová, Ivana [Autor, UKFFFAKAA, 50%]. – text. – [slovenčina]. – [OV 010]. – [iný] In: Náš čas [textový dokument (print)] : časopis Univerzity Konštatnína Filozofa v Nitre. – Nitra (Slovensko) : Univerzita Konštantína Filozofa v Nitre. – ISSN 1338-3272. – Roč. 25, č. 2 (2021), s. 43-43 [tlačená forma] </t>
  </si>
  <si>
    <t xml:space="preserve">Ontologická sondáž revolúcie : (TJ Vjuga) / Fuják, Július [Autor, UKFFFAKKU, 100%]. – text. – [slovenčina]. – [OV 020]. – [iný] In: Vlna [textový dokument (print)] : časopis o súčasnom umení a kultúre. – Bratislava (Slovensko) : Drewo a srd. – ISSN 1335-5341. – ISSN (chybné) ISSN 1335-969X. – Roč. 21, č. 80 (2019), s. 45-45 [tlačená forma] </t>
  </si>
  <si>
    <t xml:space="preserve">Operní hostia prinášajú energiu a nové pohľady : predstavujeme inscenátorov z hosťujúcich divadiel / Smolík, Pavol [Autor, UKFPFAKHU, 50%] ; Pažítková, Izabela [Autor, 50%]. – text. – [slovenčina]. – [OV 020]. – [iný] In: Portál Slovenského národného divadla [textový dokument (print)] . – Bratislava (Slovensko) : Slovenské národné divadlo. – ISSN 1339-5122. – Roč. 7, č. 6 (2018), s. 6-9 [tlačená forma] </t>
  </si>
  <si>
    <t xml:space="preserve">Oponický hrad v premenách času [textový dokument (print)]  [iný] : Archeologický výskum stredovekého a včasnonovovekého hradu / Repka, Dominik [Autor, UKFFFAKAR, 100%]. – 1. vyd. – Nitra (Slovensko) : Univerzita Konštantína Filozofa v Nitre, 2021. – 38 s. [tlačená forma] : text. – [slovenčina]. – [OV 030]. – ISBN 978-80-558-1757-6 </t>
  </si>
  <si>
    <t xml:space="preserve">Oslavy Medzinárodného dňa sestier na UKF / Spáčilová, Zuzana [Autor, UKFFSVKOS, 100%]. – text. – [slovenčina]. – [OV 060]. – [iný] In: Náš čas [textový dokument (print)] : časopis Univerzity Konštatnína Filozofa v Nitre. – Nitra (Slovensko) : Univerzita Konštantína Filozofa v Nitre. – ISSN 1338-3272. – Roč. 23, č. 5 (2019), s. 31-31 [tlačená forma] </t>
  </si>
  <si>
    <t xml:space="preserve">Otvorenie 60. akademického roka / Kamenická, Tímea [Autor, UKFREKTOR, 100%]. – text. – [slovenčina]. – [OV 010]. – [iný] In: Náš čas [textový dokument (print)] : časopis Univerzity Konštatnína Filozofa v Nitre. – Nitra (Slovensko) : Univerzita Konštantína Filozofa v Nitre. – ISSN 1338-3272. – Roč. 22, č. 4 (2018), s. 1-2 [tlačená forma] </t>
  </si>
  <si>
    <t xml:space="preserve">P. Smolík: Osobnosti tvorcov : predstavujeme inscenátorov z hosťujúcich divadiel / Smolík, Pavol [Autor, UKFPFAKHU, 50%] ; Pažítková, Izabela [Autor, 50%]. – text. – [slovenčina]. – [OV 020]. – [iný] In: Portál Slovenského národného divadla [textový dokument (print)] . – Bratislava (Slovensko) : Slovenské národné divadlo. – ISSN 1339-5122. – Roč. 7, č. 5 (2018), s. 19-21 [tlačená forma] </t>
  </si>
  <si>
    <t xml:space="preserve">Pamäť v kultúre. Kultúra v pamäti / Selická, Denisa [Autor, UKFFFAKSO, 100%]. – text. – [slovenčina]. – [OV 060]. – [iný] In: Mládež a spoločnosť [textový dokument (print)] : slovenský časopis pre štátnu politiku a výskum mládeže = Slovak journal for state policy and youth research. – Bratislava (Slovensko) : Centrum vedecko-technických informácií SR. – ISSN 1335-1109. – Roč. 26, č. 1 (2020), s. 78-79 [tlačená forma] </t>
  </si>
  <si>
    <t xml:space="preserve">Pamätná minca pre doc. Ivanu Turekovú / Récka, Adriana [Autor, UKFPFAKVV, 100%]. – text. – [slovenčina]. – [OV 010]. – [iný] In: Náš čas [textový dokument (print)] : časopis Univerzity Konštatnína Filozofa v Nitre. – Nitra (Slovensko) : Univerzita Konštantína Filozofa v Nitre. – ISSN 1338-3272. – Roč. 23, č. 1 (2019), s. 30-30 [tlačená forma] </t>
  </si>
  <si>
    <t xml:space="preserve">PamiatKAR [textový dokument (print)]  [iný] : bulletin k inscenácii / Mihalová, Lucia [Zostavovateľ, editor, UKFFFAULK, 100%]. – 1. vyd. – Bratislava (Slovensko) : Divadlo SĽUK, 2018. – 18 s. [tlačená forma] : text. – [slovenčina]. – [OV 020] </t>
  </si>
  <si>
    <t xml:space="preserve">Pár slov o živočíchoch / Krumpálová, Zuzana [Autor, UKFFPVKEE, 100%]. – [slovenčina]. – [OV 100]. – [iný] In: Veľká kniha živočíchov [textový dokument (print)] / Krumpál, Miroslav [Zostavovateľ, editor]. – 6. preprac. vyd. – Bratislava (Slovensko) : Ikar, 2019. – ISBN 978-80-551-6883-8, s. 9-10 [tlačená forma] </t>
  </si>
  <si>
    <t xml:space="preserve">Pár slov od priateľa : "Maťa a Janko, česť a hlboká úcta vašej pamiatke.“ / Veselovská, Katarína [Autor, UKFFPVKEE, 100%]. – text. – [slovenčina]. – [OV 010]. – [iný] In: Náš čas [textový dokument (print)] : časopis Univerzity Konštatnína Filozofa v Nitre. – Nitra (Slovensko) : Univerzita Konštantína Filozofa v Nitre. – ISSN 1338-3272. – Roč. 22, č. 2 (2018), s. 34-35 [tlačená forma] </t>
  </si>
  <si>
    <t xml:space="preserve">Pavúkovce / Krumpálová, Zuzana [Autor, UKFFPVKEE, 100%]. – [slovenčina]. – [OV 100]. – [iný] In: Veľká kniha živočíchov [textový dokument (print)] / Krumpál, Miroslav [Zostavovateľ, editor]. – 6. preprac. vyd. – Bratislava (Slovensko) : Ikar, 2019. – ISBN 978-80-551-6883-8, s. 78-78 [tlačená forma] </t>
  </si>
  <si>
    <t xml:space="preserve">Perspektívy teatrológie v Brne / Ballay, Miroslav [Autor, UKFFFAKKU, 100%]. – text. – [slovenčina]. – [OV 060]. – [iný] In: Culturologica Slovaca [elektronický dokument] / Palitefka, Jozef [Zostavovateľ, editor]. – 1. vyd. – Roč. 4. – Nitra (Slovensko) : Univerzita Konštantína Filozofa v Nitre, 2019. – ISSN 2453-9740, s. 216-217 [online] </t>
  </si>
  <si>
    <t xml:space="preserve">Peter Mazalán "Umelecká sloboda je relatívna" / Veselý, Ondrej [Autor interview, UKFFFAULK, 50%] ; Mazalán, Peter [Autor účastník interview, STUFADUIV, 50%]. – text. – [slovenčina]. – [OV 010]. – [iný] In: Hudobný život [textový dokument (print)] [elektronický dokument] : jediný odborný mesačník pre klasickú hudbu a jazz na Slovensku. – Bratislava (Slovensko) : Hudobné centrum. – ISSN 1335-4140. – ISSN (online) 2729-7586. – ISSN (zrušené) 0323-133X. – Roč. 51, č. 5 (2019), s. 24-26 [tlačená forma] [online] </t>
  </si>
  <si>
    <t xml:space="preserve">Péteris Vasks (1946) - Cantabile pre sláčikový orchester; Dmitrij Šostakovič (1906-1975) - Koncert pre violončelo a orchester č. 1 Es dur op. 107; Felix Mendelssohn-Bartholdy (1809 - 1847) - Symfónia č. 4 A dur op. 90 Talianska / Čierna, Alena [Autor, UKFPFAKHU, 100%]. – text. – [slovenčina]. – [OV 010]. – [iný] In: Bratislavské hudobné slávnosti [textový dokument (print)] / [bez zostavovateľa] [Zostavovateľ, editor]. – 1. vyd. – [s.l.] (Slovensko) : [s.n.], 2018, s. 1-6 [tlačená forma] </t>
  </si>
  <si>
    <t xml:space="preserve">Petr Kotík: "Staré veci nemôžete vyhrabať z hrobu a oprášiť. Musíte sa zamerať na to, s čím sa stretnete dnes." / Veselý, Ondrej [Autor interview, UKFFFAULK, 50%] ; Kotík, Petr [Autor účastník interview, 50%]. – text. – [slovenčina]. – [OV 010]. – [iný] In: Hudobný život [textový dokument (print)] [elektronický dokument] : jediný odborný mesačník pre klasickú hudbu a jazz na Slovensku. – Bratislava (Slovensko) : Hudobné centrum. – ISSN 1335-4140. – ISSN (online) 2729-7586. – ISSN (zrušené) 0323-133X. – Roč. 51, č. 7-8 (2019), s. 25-26 [tlačená forma] [online] </t>
  </si>
  <si>
    <t xml:space="preserve">Piotr Iľjič Čajkovskij (1843 - 1893) - Koncert pre husle a orchester D dur op. 35; Sergej Rachmaninov (1873 - 1943) - Symfonické tance op. 45 / Čierna, Alena [Autor, UKFPFAKHU, 100%]. – text. – [slovenčina]. – [OV 010]. – [iný] In: Bratislavské hudobné slávnosti [textový dokument (print)] / [bez zostavovateľa] [Zostavovateľ, editor]. – 1. vyd. – [s.l.] (Slovensko) : [s.n.], 2018, s. 1-5 [tlačená forma] </t>
  </si>
  <si>
    <t xml:space="preserve">Platforma pre literatúru a výskum / Teplan, Dušan [Autor, UKFFFASJL, 50%] ; Passia, Radoslav [Autor, 50%]. – text. – [slovenčina]. – [OV 020]. – [iný] In: Litikon [textový dokument (print)] : časopis pre výskum literatúry = journal for literature research. – Nitra (Slovensko) : Univerzita Konštantína Filozofa v Nitre. – ISSN 2453-8507. – Roč. 4, č. 1 (2019), s. 231-233 [tlačená forma] </t>
  </si>
  <si>
    <t xml:space="preserve">Plus ø mínus / Ballay, Miroslav [Autor, UKFFFAKKU, 100%]. – text. – [slovenčina]. – [OV 020]. – [iný] In: Konkrétne o divadle [textový dokument (print)] [elektronický dokument] : mesačník o divadle na Slovensku. – Bratislava (Slovensko) : Divadelný ústav. – ISSN 1337-1800. – ISSN (online) 2336-4548. – Roč. 14, č. 8 (2020), s. 60-60 [tlačená forma] [online] . – SJR: 0,1 Scimago - Cultural studies - Q4, History - Q4, Visual arts and performing arts - Q4 </t>
  </si>
  <si>
    <t xml:space="preserve">Po štvrtý raz najmenej / Krno, Svetozár [Autor, UKFFFAKPO, 100%]. – text. – [slovenčina]. – [OV 060]. – [iný] In: Civitas [textový dokument (print)] : časopis pre politické a sociálne vedy. – Nitra (Slovensko) : Univerzita Konštantína Filozofa v Nitre. Filozofická fakulta. Katedra politológie a euroázijských štúdií. – ISSN 1335-2652. – Roč. 25, č. 56 - 1 (2019), s. 1-1 [tlačená forma] </t>
  </si>
  <si>
    <t xml:space="preserve">Po týždni aktivít promovali účastníci XXL akadémie : týždeň plný aktivít absolvovali tridsiati účastníci XXL Akadémie. Na pôdu univerzity zavítali zo zariadení sociálnych služieb v zriaďovateľskej pôsobnosti Nitrianskeho samosprávneho kraja, ale aj z domáceho prostredia / Černáková, Jana [Autor, UKFREKTOR, 100%]. – text. – [slovenčina]. – [OV 010, 060]. – [iný] In: Náš čas [textový dokument (print)] : časopis Univerzity Konštatnína Filozofa v Nitre. – Nitra (Slovensko) : Univerzita Konštantína Filozofa v Nitre. – ISSN 1338-3272. – Roč. 23, č. 8 (2019), s. 12-13 [tlačená forma] </t>
  </si>
  <si>
    <t xml:space="preserve">Podcasty a ich príbehy / Wrede, Oľga [Autor, UKFFFAKGE, 60%] ; Nováčiková, Daša [Autor, UKFFFAKZU, 40%]. – text. – [slovenčina]. – [OV 020]. – [iný] In: Náš čas [textový dokument (print)] : časopis Univerzity Konštatnína Filozofa v Nitre. – Nitra (Slovensko) : Univerzita Konštantína Filozofa v Nitre. – ISSN 1338-3272. – Roč. 25, č. 3 (2021), s. 29-29 [tlačená forma] </t>
  </si>
  <si>
    <t xml:space="preserve">Podujatia na Katedre rusistiky / Bačová, Mária [Autor, UKFFFAKRU, 100%]. – text. – [slovenčina]. – [OV 020]. – [iný] In: Náš čas [textový dokument (print)] : časopis Univerzity Konštatnína Filozofa v Nitre. – Nitra (Slovensko) : Univerzita Konštantína Filozofa v Nitre. – ISSN 1338-3272. – Roč. 22, č. 5 (2018), s. 14-14 [tlačená forma] </t>
  </si>
  <si>
    <t xml:space="preserve">Pohľady na slovenskú politiku / Krno, Svetozár [Autor, UKFFFAKPO, 100%]. – text. – [slovenčina]. – [OV 020]. – [iný] In: Náš čas [textový dokument (print)] : časopis Univerzity Konštatnína Filozofa v Nitre. – Nitra (Slovensko) : Univerzita Konštantína Filozofa v Nitre. – ISSN 1338-3272. – Roč. 22, č. 2 (2018), s. 54-54 [tlačená forma] </t>
  </si>
  <si>
    <t xml:space="preserve">Pokrstili knihu Dejiny Podzoboria : za jej vznikom stojí pedagogička z Katedry histórie FF. Publikácia podrobne mapuje históriu obcí ležiacich v blízkom i širšom okolí Zobora / Pintérová, Beáta [Autor, UKFFFAKHI, 100%]. – text. – [slovenčina]. – [OV 030]. – [iný] In: Náš čas [textový dokument (print)] : časopis Univerzity Konštatnína Filozofa v Nitre. – Nitra (Slovensko) : Univerzita Konštantína Filozofa v Nitre. – ISSN 1338-3272. – Roč. 23, č. 2 (2019), s. 23-23 [tlačená forma] </t>
  </si>
  <si>
    <t xml:space="preserve">Politika nemá čo hľadať nad dvetisíc metrami / Krno, Svetozár [Autor, UKFFFAKPO, 100%]. – text. – [slovenčina]. – [OV 060]. – [iný] In: Civitas [textový dokument (print)] : časopis pre politické a sociálne vedy. – Nitra (Slovensko) : Univerzita Konštantína Filozofa v Nitre. Filozofická fakulta. Katedra politológie a euroázijských štúdií. – ISSN 1335-2652. – Roč. 24, č. 55 - 2 (2018), s. 1-1 [tlačená forma] </t>
  </si>
  <si>
    <t xml:space="preserve">Poradenské a servisné centrum / Krajčovičová, Jana [Autor, UKFREKTOR, 100%]. – text. – [slovenčina]. – [OV 010]. – [iný] In: Náš čas [textový dokument (print)] : časopis Univerzity Konštatnína Filozofa v Nitre. – Nitra (Slovensko) : Univerzita Konštantína Filozofa v Nitre. – ISSN 1338-3272. – Roč. 22, č. 2 (2018), s. 7-7 [tlačená forma] </t>
  </si>
  <si>
    <t xml:space="preserve">Porno ako civilizačný manifest potreby intimity / Malíček, Juraj [Autor, UKFFFAULK, 100%]. – text. – [slovenčina]. – [OV 020]. – [iný] In: Kapitál [textový dokument (print)] [elektronický dokument] : angažovaný mesačník. – Bratislava (Slovensko) : Občianske združenie Literárny klub, Bratislava (Slovensko) : KPTL občianske združenie. – ISSN 2585-7851. – Roč. 3, č. 7 (2019), s. 4-4 [tlačená forma] </t>
  </si>
  <si>
    <t xml:space="preserve">Poznáš svojho suseda? My už áno! / Tkáč-Zabáková, Lenka [Autor, UKFFSSUSJ, 100%]. – text. – [slovenčina]. – [OV 010]. – [iný] In: Náš čas [textový dokument (print)] : časopis Univerzity Konštatnína Filozofa v Nitre. – Nitra (Slovensko) : Univerzita Konštantína Filozofa v Nitre. – ISSN 1338-3272. – Roč. 22, č. 5 (2018), s. 46-46 [tlačená forma] </t>
  </si>
  <si>
    <t xml:space="preserve">Požiadavky na prijímacie skúšky z cudzích jazykov [textový dokument (print)]  [iný] : anglický jazyk / Felixová, Irena [Autor, SPUFEM06, 10%] ; Holúbeková, Andrea [Autor, SPUFEM06, 9%] ; Horváthová, Jarmila [Autor, SPUFEM06, 9%] ; Jakabovičová, Johanna [Autor, SPUFEM06, 9%] ; Klimentová, Katarína [Autor, SPUFEM06, 9%] ; Kováčiková, Elena [Autor, 9%] ; Maďarová, Ľudmila [Autor, SPUFEM06, 9%] ; Matušeková, Eva [Autor, SPUFEM06, 9%] ; Rebičová, Zuzana [Autor, SPUFEM06, 9%] ; Užáková, Mária [Autor, 9%] ; Gajdáčová Veselá, Katerina [Autor, UKFPFAKLI, 9%] ; Pokrivčáková, Silvia [Recenzent] ; Klimentová, Anna [Recenzent]. – 12. dopl. vyd. – Nitra (Slovensko) : Slovenská poľnohospodárska univerzita v Nitre, 2019. – 122 s. [tlačená forma]. – [slovenčina]. – [OV 020]. – ISBN 978-80-552-1961-5 </t>
  </si>
  <si>
    <t xml:space="preserve">Pracovníci Filozofickej fakulty prednášali v Paríži : rečníkmi z našej univerzity boli profesorka Dagmar Inštitorisová a doktor Peter Žiak, ktorí v Paríži reprezentovali našu univerzitu a výsledky svojho výskumu / Žiak, Peter [Autor, UKFFFAKTR, 100%]. – text. – [slovenčina]. – [OV 010]. – [iný] In: Náš čas [textový dokument (print)] : časopis Univerzity Konštatnína Filozofa v Nitre. – Nitra (Slovensko) : Univerzita Konštantína Filozofa v Nitre. – ISSN 1338-3272. – Roč. 24, č. 2 (2020), s. 32-32 [tlačená forma] </t>
  </si>
  <si>
    <t xml:space="preserve">Prebúdzanie z bezvedomia / Boszorád, Martin [Autor, UKFFFAULK, 100%]. – text. – [slovenčina]. – [OV 020]. – [iný] In: Týždeň [textový dokument (print)] [elektronický dokument] . – Bratislava (Slovensko) : W Press. – ISSN 1336-5932. – ISSN (online) 1336-653X. – Roč. 16, č. 46 (2019), s. 64-65 [tlačená forma] [online] </t>
  </si>
  <si>
    <t xml:space="preserve">Prečo sú slovenskí televízni diváci za sklom? / Boszorád, Martin [Autor, UKFFFAULK, 100%]. – text. – [slovenčina]. – [OV 020]. – [iný] In: Týždeň [textový dokument (print)] [elektronický dokument] . – Bratislava (Slovensko) : W Press. – ISSN 1336-5932. – ISSN (online) 1336-653X. – Roč. 15, č. 20 (2018), s. 48-48 [tlačená forma] [online] </t>
  </si>
  <si>
    <t xml:space="preserve">Prednášali o drogovej kriminalite i prevencii / Mojtová, Martina [Autor, UKFFSVKSP, 100%]. – text. – [slovenčina]. – [OV 180]. – [iný] In: Náš čas [textový dokument (print)] : časopis Univerzity Konštatnína Filozofa v Nitre. – Nitra (Slovensko) : Univerzita Konštantína Filozofa v Nitre. – ISSN 1338-3272. – Roč. 22, č. 5 (2018), s. 50-50 [tlačená forma] </t>
  </si>
  <si>
    <t xml:space="preserve">Prednáška o problematike bezdomovectva / Minarovičová, Katarína [Autor, UKFFSVKSP, 100%]. – text. – [slovenčina]. – [OV 180]. – [iný] In: Náš čas [textový dokument (print)] : časopis Univerzity Konštatnína Filozofa v Nitre. – Nitra (Slovensko) : Univerzita Konštantína Filozofa v Nitre. – ISSN 1338-3272. – Roč. 22, č. 5 (2018), s. 50-50 [tlačená forma] </t>
  </si>
  <si>
    <t xml:space="preserve">Prednáška profesora z University of Ottawa / Pavlíková, Martina [Autor, UKFFFAKZU, 100%]. – text. – [slovenčina]. – [OV 010]. – [iný] In: Náš čas [textový dokument (print)] : časopis Univerzity Konštatnína Filozofa v Nitre. – Nitra (Slovensko) : Univerzita Konštantína Filozofa v Nitre. – ISSN 1338-3272. – Roč. 23, č. 4 (2019), s. 9-9 [tlačená forma] </t>
  </si>
  <si>
    <t xml:space="preserve">Prednášky Andrieva Moskwina / Guzmická, Hana [Autor, UKFFSSUSJ, 100%]. – text. – [slovenčina]. – [OV 020]. – [iný] In: Náš čas [textový dokument (print)] : časopis Univerzity Konštatnína Filozofa v Nitre. – Nitra (Slovensko) : Univerzita Konštantína Filozofa v Nitre. – ISSN 1338-3272. – Roč. 22, č. 2 (2018), s. 22-22 [tlačená forma] </t>
  </si>
  <si>
    <t xml:space="preserve">Prednášky zamestnancov FPV na konferencii v Čile / Boltižiar, Martin [Autor, UKFFPVKGR, 100%]. – text. – [slovenčina]. – [OV 010]. – [iný] In: Náš čas [textový dokument (print)] : časopis Univerzity Konštatnína Filozofa v Nitre. – Nitra (Slovensko) : Univerzita Konštantína Filozofa v Nitre. – ISSN 1338-3272. – Roč. 24, č. 2 (2020), s. 19-19 [tlačená forma] </t>
  </si>
  <si>
    <t xml:space="preserve">Predstavenie fantastiky na Istrocone / Búry, Juraj [Autor, UKFFFAULK, 100%]. – text. – [slovenčina]. – [OV 020]. – [iný] In: Knižná revue [textový dokument (print)] [elektronický dokument] : mesačník o nových knihách. – Bratislava (Slovensko) : Literárne informačné centrum. – ISSN 1210-1982. – ISSN (online) 1336-247X. – Roč. 28, č. 9 (2018), s. 32-32 [tlačená forma] [online] </t>
  </si>
  <si>
    <t xml:space="preserve">Predstavili metodickú príručku Legere / Tóth, Anikó [Autor, UKFFSSUML, 100%]. – text. – [slovenčina]. – [OV 010, 020]. – [iný] In: Náš čas [textový dokument (print)] : časopis Univerzity Konštatnína Filozofa v Nitre. – Nitra (Slovensko) : Univerzita Konštantína Filozofa v Nitre. – ISSN 1338-3272. – Roč. 25, č. 1 (2021), s. 41-41 [tlačená forma] </t>
  </si>
  <si>
    <t xml:space="preserve">Predvianočné turné speváckeho zboru : naštudovanie diela od východoslovenského skladateľa Norberta Bodnára bolo nesmierne náročné, inštrumentalisti aj zboroví speváci ho zvládli so cťou na priam profesionálnej úrovni / Štrbák, Marek [Autor, UKFPFAKHU, 100%]. – text. – [slovenčina]. – [OV 010]. – [iný] In: Náš čas [textový dokument (print)] : časopis Univerzity Konštatnína Filozofa v Nitre. – Nitra (Slovensko) : Univerzita Konštantína Filozofa v Nitre. – ISSN 1338-3272. – Roč. 23, č. 1 (2019), s. 16-17 [tlačená forma] </t>
  </si>
  <si>
    <t xml:space="preserve">Preface / Vančo, Ildikó [Autor, UKFFSSUML, 25%] ; Kozmács, István [Autor, UKFFSSUML, 25%] ; Muhr, Rudolf [Autor, 25%] ; Hubert, Maté [Autor, 25%]. – text. – [angličtina]. – [OV 010]. – [iný]. – SCO In: Hungarian as a Plucentric Language  in Language and Literature [textový dokument (print)] / Muhr, Rudolf [Zostavovateľ, editor] ; Vančo, Ildikó [Zostavovateľ, editor] ; Kozmács, István [Zostavovateľ, editor] ; Huber, Maté [Zostavovateľ, editor]. – 1. vyd. – č. 22. – Berlín (Nemecko) : Peter Lang, 2020. – ISBN 978-3-631-80975-4. – ISBN (online) 978-36-318-2219-7. – ISSN 1618-5714, s. 5-7 [tlačená forma] </t>
  </si>
  <si>
    <t xml:space="preserve">Preface : [A Catalogue of Ecosystem Services in Slovakia] / Mederly, Peter [Autor, UKFFPVKEE, 50%] ; Černecký, Ján [Autor, UKFFPVKEE, 50%]. – text. – [angličtina]. – [OV 100, 190]. – [iný] In: A Catalogue of Ecosystem Services in Slovakia [textový dokument (print)] [elektronický dokument] : Benefits to Society / Mederly, Peter [Zostavovateľ, editor] ; Černecký, Ján [Zostavovateľ, editor]. – 1. vyd. – Cham (Švajčiarsko) : Springer Verlag, 2020. – ISBN 978-3-030-46507-0. – ISBN (online) 978-3-030-46508-7, s. 1-2 [tlačená forma] </t>
  </si>
  <si>
    <t xml:space="preserve">Preface [The Acta Kierkegaardiana] / Králik, Roman [Autor, UKFFFAKAE 06.2022, 70%] ; Podmore, Simon [Autor, 30%]. – [angličtina]. – [OV 020]. – [iný] In: Acta Kierkegaardiana Series [textový dokument (print)] : Kierkegaard and Classical Greek Thought / McDonald, William [Zostavovateľ, editor]. – 1. vyd. – Toronto (Kanada) : University of Toronto. University of Toronto Press, 2018. – ISBN 978-0-9878168-5-6, s. 13-14 </t>
  </si>
  <si>
    <t xml:space="preserve">Prefazione di Michelangelo Zaccarello : Premessa a Guidotto Prestinari / Zaccarello, Michelangelo [Autor, UKFFFAKRO, 100%]. – text. – [taliančina]. – [OV 020]. – [iný] In: Canzoniere [textový dokument (print)] : Edizione critica del codice Scatola 59, fascicolo 536 (olim X.2) della Biblioteca dell’Accademia Carrara / Robecchi, Marco [Zostavovateľ, editor]. – 1. vyd. – Bergamo (Taliansko) : Centro Studi e Ricerche Archivio Bergamasco, 2019. – ISBN 978-88-99755-14-0, s. 7-10 [tlačená forma] </t>
  </si>
  <si>
    <t xml:space="preserve">Prekladateľské reflexie : Ôsmy ročník spojený s 15. výročím prekladateľstva - tlmočníctva / Zahorák, Andrej [Autor, UKFFFAKTR, 100%]. – text. – [slovenčina]. – [OV 020]. – [iný] In: Náš čas [textový dokument (print)] : časopis Univerzity Konštatnína Filozofa v Nitre. – Nitra (Slovensko) : Univerzita Konštantína Filozofa v Nitre. – ISSN 1338-3272. – Roč. 22, č. 2 (2018), s. 26-26 [tlačená forma] </t>
  </si>
  <si>
    <t xml:space="preserve">Prekladateľských reflexií nebude nikdy dosť / Koscelníková, Mária [Autor, UKFFFAKTR, 100%]. – text. – [slovenčina]. – [OV 020]. – [iný] In: Náš čas [textový dokument (print)] : časopis Univerzity Konštatnína Filozofa v Nitre. – Nitra (Slovensko) : Univerzita Konštantína Filozofa v Nitre. – ISSN 1338-3272. – Roč. 23, č. 3 (2019), s. 21-21 [tlačená forma] </t>
  </si>
  <si>
    <t xml:space="preserve">Prepojenie vzdelávania s praxou aj dištančne / Verešová, Marcela [Autor, UKFPFAKAP, 100%]. – text. – [slovenčina]. – [OV 010]. – [iný] In: Náš čas [textový dokument (print)] : časopis Univerzity Konštatnína Filozofa v Nitre. – Nitra (Slovensko) : Univerzita Konštantína Filozofa v Nitre. – ISSN 1338-3272. – Roč. 25, č. 2 (2021), s. 14-14 [tlačená forma] </t>
  </si>
  <si>
    <t xml:space="preserve">Pretože našim študentom Nitra chutí! : výstupom projektu bude aj elektronický sprievodca, ktorého cieľom je poskytnúť obyvateľom a návštevníkom prehľad o gastronomických možnostiach v meste / Martinčeková, Simona [Autor, UKFFFAKMK, 100%]. – text. – [slovenčina]. – [OV 080]. – [iný] In: Náš čas [textový dokument (print)] : časopis Univerzity Konštatnína Filozofa v Nitre. – Nitra (Slovensko) : Univerzita Konštantína Filozofa v Nitre. – ISSN 1338-3272. – Roč. 23, č. 8 (2019), s. 26-26 [tlačená forma] </t>
  </si>
  <si>
    <t xml:space="preserve">Prežijú (humanitné) vedy? / Michalovič, Peter [Autor, UKOFIES, 10%] ; Tancer, Jozef [Autor, UKOFIGN, 10%] ; Passia, Radoslav [Autor, 10%] ; Bílik, René [Autor, TUTPFSJL, 10%] ; Zajac, Peter [Autor, 10%] ; Taranenková, Ivana [Autor, 10%] ; Gavura, Ján [Autor, 10%] ; Ivánová, Ivana [Autor, 010130 01.2021, 10%] ; Sťahel, Richard [Autor, UKFFFAKFI, 10%] ; Novotný, Róbert [Autor, 10%]. – text. – [slovenčina]. – [OV 020]. – [iný]. – TUTPFSJL signatúra E071906 In: Litikon [textový dokument (print)] : časopis pre výskum literatúry = journal for literature research. – Nitra (Slovensko) : Univerzita Konštantína Filozofa v Nitre. – ISSN 2453-8507. – Roč. 3, č. 1 (2018), s. 147-166 [tlačená forma] </t>
  </si>
  <si>
    <t xml:space="preserve">Priateľské  stretnutie  v  Gemologickom  laboratóriu  s členom brúsičského klubu z Austrálie / Štubňa, Ján [Autor, UKFFPVGMU, 100%]. – text. – [slovenčina]. – [OV 092]. – [iný] In: Gemologický spravodajca [textový dokument (print)] : časopis gemológov pri FPV UKF v Nitre. – Nitra (Slovensko) : Univerzita Konštantína Filozofa v Nitre. Fakulta prírodných vied. – ISSN 1337-6136. – ISSN (online) 1338-5275. – Roč. 9, č. 2 (2019), s. 43-44 [tlačená forma] </t>
  </si>
  <si>
    <t xml:space="preserve">Príležitosť na expedíciu : Krátky rozhovor s literárnym vedcom Matúšom Mikšíkom / Teplan, Dušan [Autor, UKFFFASJL, 100%]. – text. – [slovenčina]. – [OV 020]. – [iný] In: Fraktál [textový dokument (print)] : literatúra horizontálne a vertikálne. – Závod (Slovensko) : Fraktál. – ISSN 2585-8912. – Roč. 4, č. 2 (2021), s. 168-169 [tlačená forma] </t>
  </si>
  <si>
    <t xml:space="preserve">Prof. Jaroslav Čukan laureátom Ceny Ondreja Štefanka / Válek, Ján [Autor, UKFFFAKMK, 100%]. – text. – [slovenčina]. – [OV 020]. – [iný] In: Kontexty kultúry a turizmu [textový dokument (print)] . – Nitra (Slovensko) : Univerzita Konštantína Filozofa v Nitre. Filozofická fakulta. – ISSN 1337-7760. – Roč. 13, č. 2 (2020), s. 167-168 [tlačená forma] </t>
  </si>
  <si>
    <t xml:space="preserve">Profesorka Janka Hečková, CSc. / Molnárová, Mária [Autor, UKFFFAKHI, 100%]. – text. – [slovenčina]. – [OV 020]. – [iný] In: Informátor SAS [elektronický dokument] . – Nitra (Slovensko) : Slovenská archeologická spoločnosť. – Roč. 30, č. 1-2 (2019), s. 48-48 [online] </t>
  </si>
  <si>
    <t xml:space="preserve">Programovanie, ako ho nepoznáme / Cápay, Martin [Autor, UKFFPVKIN, 100%]. – text. – [slovenčina]. – [OV 010]. – [iný] In: Náš čas [textový dokument (print)] : časopis Univerzity Konštatnína Filozofa v Nitre. – Nitra (Slovensko) : Univerzita Konštantína Filozofa v Nitre. – ISSN 1338-3272. – Roč. 22, č. 4 (2018), s. 10-10 [tlačená forma] </t>
  </si>
  <si>
    <t xml:space="preserve">Projekt DIYPES / Czaková, Natália [Autor, UKFPFAKTV, 100%]. – text. – [slovenčina]. – [OV 010]. – [iný] In: Náš čas [textový dokument (print)] : časopis Univerzity Konštatnína Filozofa v Nitre. – Nitra (Slovensko) : Univerzita Konštantína Filozofa v Nitre. – ISSN 1338-3272. – Roč. 22, č. 2 (2018), s. 47-47 [tlačená forma] </t>
  </si>
  <si>
    <t xml:space="preserve">Projekt duálnych diplomov pokračuje / Janková, Györgyi [Autor, UKFFFAKMR, 100%]. – text. – [slovenčina]. – [OV 010]. – [iný] In: Náš čas [textový dokument (print)] : časopis Univerzity Konštatnína Filozofa v Nitre. – Nitra (Slovensko) : Univerzita Konštantína Filozofa v Nitre. – ISSN 1338-3272. – Roč. 23, č. 1 (2019), s. 13-13 [tlačená forma] </t>
  </si>
  <si>
    <t xml:space="preserve">Projekt internacionalizácie : cyklus pozvaných prednášok v akademickom roku 2017/18 úspešný / Miššíková, Gabriela [Autor, UKFFFAKAA, 100%]. – text. – [slovenčina]. – [OV 020]. – [iný] In: Náš čas [textový dokument (print)] : časopis Univerzity Konštatnína Filozofa v Nitre. – Nitra (Slovensko) : Univerzita Konštantína Filozofa v Nitre. – ISSN 1338-3272. – Roč. 22, č. 2 (2018), s. 48-48 [tlačená forma] </t>
  </si>
  <si>
    <t xml:space="preserve">Projekt MENTRA úspešne napreduje / Pavlíková, Martina [Autor, UKFFFAKZU, 100%]. – text. – [slovenčina]. – [OV 010]. – [iný] In: Náš čas [textový dokument (print)] : časopis Univerzity Konštatnína Filozofa v Nitre. – Nitra (Slovensko) : Univerzita Konštantína Filozofa v Nitre. – ISSN 1338-3272. – Roč. 25, č. 2 (2021), s. 16-16 [tlačená forma] </t>
  </si>
  <si>
    <t xml:space="preserve">Projekt SPOT na prahu druhého roka riešenia : V projekte s účasťou UKF analyzujú rozmanitosti kultúrneho cestovného ruchu a ich výhody pre hostiteľské komunity a regionálne ekonomiky / Ivanič, Peter [Autor, UKFFFAUKD, 50%] ; Kramáreková, Hilda [Autor, UKFFPVKGR, 50%]. – text. – [slovenčina]. – [OV 020]. – [iný] In: Náš čas [textový dokument (print)] : časopis Univerzity Konštatnína Filozofa v Nitre. – Nitra (Slovensko) : Univerzita Konštantína Filozofa v Nitre. – ISSN 1338-3272. – Roč. 25, č. 2 (2021), s. 23-23 [tlačená forma] </t>
  </si>
  <si>
    <t xml:space="preserve">Projekt študentov ukf pochválil minister školstva / Čeretková, Soňa [Autor, UKFFPVKMA, 100%]. – text. – [slovenčina]. – [OV 010]. – [iný] In: Náš čas [textový dokument (print)] : časopis Univerzity Konštatnína Filozofa v Nitre. – Nitra (Slovensko) : Univerzita Konštantína Filozofa v Nitre. – ISSN 1338-3272. – Roč. 25, č. 1 (2021), s. 21-21 [tlačená forma] </t>
  </si>
  <si>
    <t xml:space="preserve">Projekt zlúčil navonok nezlúčiteľné : študenti Katedry anglistiky a amerikanistiky FF UKF úspešne obstáli v konkurencii študentov technických univerzít v rámci projektu LIVING 2050 / Nekolová, Veronika [Autor, 50%] ; Miššíková, Gabriela [Autor, UKFFFAKAA, 50%]. – text. – [slovenčina]. – [OV 010]. – [iný] In: Náš čas [textový dokument (print)] : časopis Univerzity Konštatnína Filozofa v Nitre. – Nitra (Slovensko) : Univerzita Konštantína Filozofa v Nitre. – ISSN 1338-3272. – Roč. 24, č. 2 (2020), s. 26-26 [tlačená forma] </t>
  </si>
  <si>
    <t xml:space="preserve">Prológ / Inštitorisová, Dagmar [Autor, UKFFFAKMR, 34%] ; Škripková, Iveta [Autor, 33%] ; Zaťková, Dominika [Autor, 33%]. – text. – [slovenčina]. – [OV 020]. – [iný] In: Bábky na česko-slovenskej medzi [textový dokument (print)] : 1918 - 2018 / Inštitorisová, Dagmar [Zostavovateľ, editor] ; Škripková, Iveta [Zostavovateľ, editor] ; Zaťková, Dominika [Zostavovateľ, editor]. – 1. vyd. – Banská Bystrica (Slovensko) : Bábkové divadlo na Rázcestí, 2018. – ISBN 978-80-570-0275-8, s. 10-11 [tlačená forma] </t>
  </si>
  <si>
    <t xml:space="preserve">Promócie majú za sebou aj škôlkári / Valovičová, Ľubomíra [Autor, UKFFPVKFY, 100%]. – text. – [slovenčina]. – [OV 010]. – [iný] In: Náš čas [textový dokument (print)] : časopis Univerzity Konštatnína Filozofa v Nitre. – Nitra (Slovensko) : Univerzita Konštantína Filozofa v Nitre. – ISSN 1338-3272. – Roč. 23, č. 8 (2019), s. 15-15 [tlačená forma] </t>
  </si>
  <si>
    <t xml:space="preserve">Prvý ročník zimnej školy filozofie výchovy / Svobodová, Zuzana [Autor, 40%] ; Blaščíková, Andrea [Autor, UKFFFAKNS, 60%]. – text. – [slovenčina]. – [OV 020, 010]. – [iný] In: Náš čas [textový dokument (print)] : časopis Univerzity Konštatnína Filozofa v Nitre. – Nitra (Slovensko) : Univerzita Konštantína Filozofa v Nitre. – ISSN 1338-3272. – Roč. 25, č. 2 (2021), s. 43-43 [tlačená forma] </t>
  </si>
  <si>
    <t xml:space="preserve">Rada skúšam nové veci / Benža, Matúš [Autor interview, VSMUREK, 50%] ; Ďurčeková, Zuzana [Autor účastník interview, UKFFSVKSP, 50%]. – text, fotogr. – [slovenčina]. – [OV 020, 040]. – [iný] In: Múza [textový dokument (print)] [elektronický dokument] / Koszoruová, Valéria [Zostavovateľ, editor]. – 1. vyd. – Roč. 2. – Bratislava (Slovensko) : Vysoká škola múzických umení v Bratislave, 2020. – ISSN 2644-612X, s. 15-15 </t>
  </si>
  <si>
    <t xml:space="preserve">Rastliny, rovnako ako ľudia, pociťujú stres / Černáková, Jana [Autor, UKFREKTOR, 100%]. – text. – [slovenčina]. – [OV 130]. – [iný] In: Náš čas [textový dokument (print)] : časopis Univerzity Konštatnína Filozofa v Nitre. – Nitra (Slovensko) : Univerzita Konštantína Filozofa v Nitre. – ISSN 1338-3272. – Roč. 24, č. 1 (2020), s. 24-25 [tlačená forma] </t>
  </si>
  <si>
    <t xml:space="preserve">Reagujete/Emanácie hudobnej semiosféry / Fuják, Július [Autor, UKFFFAKKU, 100%]. – text. – [slovenčina]. – [OV 020]. – [iný] In: Hudobný život [textový dokument (print)] [elektronický dokument] : jediný odborný mesačník pre klasickú hudbu a jazz na Slovensku. – Bratislava (Slovensko) : Hudobné centrum. – ISSN 1335-4140. – ISSN (online) 2729-7586. – ISSN (zrušené) 0323-133X. – Roč. 51, č. 5 (2019), s. 2-2 [tlačená forma] [online] </t>
  </si>
  <si>
    <t xml:space="preserve">Rektor ocenil pedagógov : pri príležitosti Dňa učiteľov bolo ocenených pätnásť pedagógov zo všetkých piatich fakúlt univerzity / Krajčovičová, Jana [Autor, UKFREKTOR, 100%]. – text. – [slovenčina]. – [OV 010]. – [iný] In: Náš čas [textový dokument (print)] : časopis Univerzity Konštatnína Filozofa v Nitre. – Nitra (Slovensko) : Univerzita Konštantína Filozofa v Nitre. – ISSN 1338-3272. – Roč. 22, č. 2 (2018), s. 18-19 [tlačená forma] </t>
  </si>
  <si>
    <t xml:space="preserve">Rektor udelil ocenenia za mimoriadne výsledky / Bauerová, Mária [Autor, UKFFPVKBG, 100%]. – text. – [slovenčina]. – [OV 010]. – [iný] In: Náš čas [textový dokument (print)] : časopis Univerzity Konštatnína Filozofa v Nitre. – Nitra (Slovensko) : Univerzita Konštantína Filozofa v Nitre. – ISSN 1338-3272. – Roč. 24, č. 5 (2020), s. 4-4 [tlačená forma] </t>
  </si>
  <si>
    <t xml:space="preserve">Rektora UKF navštívila veľvyslankyňa Čile : veľvyslankyňa J. E. Gloria Navarrete Pinto ponúkla pomoc ambasády pri rozvíjaní medzinárodných aktivít UKF v Čile / Pavlíková, Martina [Autor, UKFFFAKZU, 100%]. – text. – [slovenčina]. – [OV 010]. – [iný] In: Náš čas [textový dokument (print)] : časopis Univerzity Konštatnína Filozofa v Nitre. – Nitra (Slovensko) : Univerzita Konštantína Filozofa v Nitre. – ISSN 1338-3272. – Roč. 23, č. 8 (2019), s. 4-4 [tlačená forma] </t>
  </si>
  <si>
    <t xml:space="preserve">Religiózny cestovný ruch v Nitrianskej diecéze / Krogmann, Alfred [Autor, UKFFPVKGR, 100%]. – text. – [slovenčina]. – [OV 092]. – [iný] In: Náš čas [textový dokument (print)] : časopis Univerzity Konštatnína Filozofa v Nitre. – Nitra (Slovensko) : Univerzita Konštantína Filozofa v Nitre. – ISSN 1338-3272. – Roč. 25, č. 2 (2021), s. 20-21 [tlačená forma] </t>
  </si>
  <si>
    <t xml:space="preserve">Reminiscencie / Inštitorisová, Dagmar [Autor, UKFFFAKMR, 100%]. – text. – [slovenčina]. – [OV 020]. – [iný] In: Bábky na česko-slovenskej medzi [textový dokument (print)] : 1918 - 2018 / Inštitorisová, Dagmar [Zostavovateľ, editor] ; Škripková, Iveta [Zostavovateľ, editor] ; Zaťková, Dominika [Zostavovateľ, editor]. – 1. vyd. – Banská Bystrica (Slovensko) : Bábkové divadlo na Rázcestí, 2018. – ISBN 978-80-570-0275-8, s. 204-204 [tlačená forma] </t>
  </si>
  <si>
    <t xml:space="preserve">Reminiscencie na konferenciu Romologické diskurzy RODI 2019 / Čerešníková, Miroslava [Autor, UKFFSVURS, 100%]. – text. – [slovenčina]. – [OV 060]. – [iný] In: Náš čas [textový dokument (print)] : časopis Univerzity Konštatnína Filozofa v Nitre. – Nitra (Slovensko) : Univerzita Konštantína Filozofa v Nitre. – ISSN 1338-3272. – Roč. 24, č. 1 (2020), s. 18-18 [tlačená forma] </t>
  </si>
  <si>
    <t xml:space="preserve">Renáta Spisarova: "Sami si robíme obrovskú radosť tým, čo chceme počuť." / Veselý, Ondrej [Autor interview, UKFFFAULK, 50%] ; Spisarová, Renáta [Autor účastník interview, 50%]. – text. – [slovenčina]. – [OV 010]. – [iný] In: Hudobný život [textový dokument (print)] [elektronický dokument] : jediný odborný mesačník pre klasickú hudbu a jazz na Slovensku. – Bratislava (Slovensko) : Hudobné centrum. – ISSN 1335-4140. – ISSN (online) 2729-7586. – ISSN (zrušené) 0323-133X. – Roč. 51, č. 7-8 (2019), s. 24-25 [tlačená forma] [online] </t>
  </si>
  <si>
    <t xml:space="preserve">Revival. Modré Hrušky [textový dokument (print)]  [iný] : katalóg k výstave, Oravská galéria, Dolný Kubín, 21. jún - 2. september 2018 / Baus, Jozef [Zostavovateľ, editor, UKFPFAKVV, 100%] ; Revival. Modré hrušky [02.06.2018-02.09.2018, Dolný Kubín, Slovensko]. – 1. vyd. – Dolný Kubín (Slovensko) : Voľné združenie Modré hrušky, 2018. – 32 s. [tlačená forma] : text. – [slovenčina]. – [OV 010]. – [recenzované]. – ISBN 978-80-88918-36-3 </t>
  </si>
  <si>
    <t xml:space="preserve">Re-Vízia 20 : Výstava  súčasného slovenského umenia. Február - marec 2018. Dom umenia - Kunsthalle  Bratislava / Kapsová, Eva [Autor, UKFFFAULK, 100%]. – [slovenčina]. – [OV 020]. – [iný] In: Dom umenia Bratislava [textový dokument (print)] : bulletin. – Bratislava (Slovensko) : Dom umenia Bratislava. – 2018, s. 1-2 [tlačená forma] </t>
  </si>
  <si>
    <t xml:space="preserve">Rezidencia v Divadle Pôtoň / Ballay, Miroslav [Autor, UKFFFAKKU, 100%]. – text. – [slovenčina]. – [OV 060]. – [iný] In: Culturologica Slovaca [elektronický dokument] / Palitefka, Jozef [Zostavovateľ, editor]. – 1. vyd. – Roč. 4. – Nitra (Slovensko) : Univerzita Konštantína Filozofa v Nitre, 2019. – ISSN 2453-9740, s. 216-216 [online] </t>
  </si>
  <si>
    <t xml:space="preserve">Rok 2021: slovenský film oslavoval na pokračovanie : Správa z 20. česko-slovenskej filmologickej konferencie, 21. – 24. októbra 2021, Krpáčovo / Malíčková, Michaela [Autor, UKFFFAULK, 100%]. – [slovenčina]. – [OV 020]. – [ŠO 6107]. – [iný] In: ESPES [elektronický dokument] : Electronic Magazine of the Society for Aesthetics in Slovakia : Journal of Society for Aesthetics in Slovakia and Institute of Aesthetics and Art Culture = Elektronický časopis Spoločnosti pre estetiku na Slovensku. – Prešov (Slovensko) : Prešovská univerzita v Prešove. Filozofická fakulta. Inštitút estetiky a umeleckej kultúry. – ISSN (online) 1339-1119. – Roč. 10, č. 2 (2021), s. 228-236 [online] </t>
  </si>
  <si>
    <t xml:space="preserve">Roland Schimmelpfenning : Na druhom brehu [textový dokument (print)]  [iný] : bulletin k inscenácii / Mihalová, Lucia [Zostavovateľ, editor, UKFFFAULK, 100%]. – 1. vyd. – Trnava (Slovensko) : Divadlo Jána Palárika v Trnave, 2018. – 23 s. [tlačená forma] : text. – [slovenčina]. – [OV 020] </t>
  </si>
  <si>
    <t xml:space="preserve">Roman Slobodník, ornitológ a odborný koordinátor občianskeho združenia Ochrana dravcov na Slovensku / Krajčovičová, Jana [Autor interview, UKFREKTOR, 100%]. – text. – [slovenčina]. – [OV 010]. – [iný] In: Náš čas [textový dokument (print)] : časopis Univerzity Konštatnína Filozofa v Nitre. – Nitra (Slovensko) : Univerzita Konštantína Filozofa v Nitre. – ISSN 1338-3272. – Roč. 22, č. 1 (2018), s. 56-57 [tlačená forma] </t>
  </si>
  <si>
    <t xml:space="preserve">Rozvoj Katedry kulturológie FF UKF v Nitre (dôležité medzníky, udalosti a osobnosti) / Palitefka, Jozef [Autor, UKFFFAKKU, 100%]. – text. – [slovenčina]. – [OV 060]. – [iný] In: Culturologica Slovaca [elektronický dokument] : internetový kulturologický časopis. – Nitra (Slovensko) : Univerzita Konštantína Filozofa v Nitre. – ISSN 2453-9740. – Roč. 6, č. 1 (2021), s. 60-72 [online] </t>
  </si>
  <si>
    <t xml:space="preserve">Rozvoj spolupráce FSVaZ s Nórskom / Mojtová, Martina [Autor, UKFFSVKSP, 50%] ; Gažiková, Elena [Autor, UKFFSVKSP, 50%]. – text. – [slovenčina]. – [OV 060]. – [iný] In: Náš čas [textový dokument (print)] : časopis Univerzity Konštatnína Filozofa v Nitre. – Nitra (Slovensko) : Univerzita Konštantína Filozofa v Nitre. – ISSN 1338-3272. – Roč. 23, č. 4 (2019), s. 11-11 [tlačená forma] </t>
  </si>
  <si>
    <t xml:space="preserve">Selfcheck / Tomková, Viera [Autor, UKFPFAKTT, 100%]. – text. – [slovenčina]. – [OV 020]. – [iný] In: Náš čas [textový dokument (print)] : časopis Univerzity Konštatnína Filozofa v Nitre. – Nitra (Slovensko) : Univerzita Konštantína Filozofa v Nitre. – ISSN 1338-3272. – Roč. 22, č. 2 (2018), s. 27-27 [tlačená forma] </t>
  </si>
  <si>
    <t xml:space="preserve">Seminár o možnosti získania dvojitého diplomu / Ukušová, Jana [Autor, UKFFFAKTR, 100%]. – text. – [slovenčina]. – [OV 020]. – [iný] In: Náš čas [textový dokument (print)] : časopis Univerzity Konštatnína Filozofa v Nitre. – Nitra (Slovensko) : Univerzita Konštantína Filozofa v Nitre. – ISSN 1338-3272. – Roč. 24, č. 1 (2020), s. 29-29 [tlačená forma] </t>
  </si>
  <si>
    <t xml:space="preserve">Sérgio Assad: Vlastný prístup môže priniesť zaujímavejšie výsledky : rozhovor / Veselý, Ondrej [Autor, UKFFFAULK, 100%]. – text. – [slovenčina]. – [OV 010]. – [iný] In: Hudobný život [textový dokument (print)] [elektronický dokument] : jediný odborný mesačník pre klasickú hudbu a jazz na Slovensku. – Bratislava (Slovensko) : Hudobné centrum. – ISSN 1335-4140. – ISSN (online) 2729-7586. – ISSN (zrušené) 0323-133X. – Roč. 51, č. 9 (2019), s. 16-18 [tlačená forma] [online] </t>
  </si>
  <si>
    <t xml:space="preserve">Seriálová jeseň made in Slovakia / Boszorád, Martin [Autor, UKFFFAULK, 100%]. – text. – [slovenčina]. – [OV 060]. – [iný] In: Týždeň [textový dokument (print)] [elektronický dokument] . – Bratislava (Slovensko) : W Press. – ISSN 1336-5932. – ISSN (online) 1336-653X. – Roč. 15, č. 41 (2018), s. 45-45 [tlačená forma] [online] </t>
  </si>
  <si>
    <t xml:space="preserve">Seriálové aktuality bodka sk / Boszorád, Martin [Autor, UKFFFAULK, 100%]. – text. – [slovenčina]. – [OV 060, 020]. – [iný] In: Týždeň [textový dokument (print)] [elektronický dokument] . – Bratislava (Slovensko) : W Press. – ISSN 1336-5932. – ISSN (online) 1336-653X. – Roč. 16, č. 43 (2019), s. 54-57 [tlačená forma] [online] </t>
  </si>
  <si>
    <t xml:space="preserve">Slávna dobrodružná rozprávka plná prekvapení. Taká je nová hra v Starom divadle / Štosel, Marek [Autor, UKFFFAKMR, 100%]. – text. – [slovenčina]. – [OV 060]. – [ŠO 7205]. – [iný] In: Občas nečas [textový dokument (print)] : časopis študentov Univerzity Konštantína Filozofa. – Nitra (Slovensko) : Univerzita Konštantína Filozofa v Nitre. – ISSN 1338-1083. – Roč. 25, č. 3 (2019), s. 12-13 [tlačená forma] </t>
  </si>
  <si>
    <t xml:space="preserve">Slávnostné otvorenie Registratúrneho strediska / Baláž, Ivan [Autor, UKFFPVKEE, 100%]. – text. – [slovenčina]. – [OV 010]. – [iný] In: Náš čas [textový dokument (print)] : časopis Univerzity Konštatnína Filozofa v Nitre. – Nitra (Slovensko) : Univerzita Konštantína Filozofa v Nitre. – ISSN 1338-3272. – Roč. 22, č. 1 (2018), s. 44-44 [tlačená forma] </t>
  </si>
  <si>
    <t xml:space="preserve">Slnko svieti, kino láka! / Boszorád, Martin [Autor, UKFFFAULK, 100%]. – text. – [slovenčina]. – [OV 020]. – [iný] In: Týždeň [textový dokument (print)] [elektronický dokument] . – Bratislava (Slovensko) : W Press. – ISSN 1336-5932. – ISSN (online) 1336-653X. – Roč. 15, č. 29 (2018), s. 55-57 [tlačená forma] [online] </t>
  </si>
  <si>
    <t xml:space="preserve">Slová chvály a uznania na záver / Inštitorisová, Dagmar [Autor, UKFFFAKMR, 100%]. – text. – [slovenčina]. – [OV 020]. – [iný] In: Dramatická edukácia na Slovensku [textový dokument (print)] : zborník príspevkov o východiskách dramatickej edukácie na Slovensku / Inštitorisová, Dagmar [Zostavovateľ, editor] ; Evjáková, Daniela [Zostavovateľ, editor] ; Hyža, Ján [Zostavovateľ, editor] ; Felix, Belo [Recenzent] ; Provazník, Jaroslav [Recenzent]. – 1. vyd. – Senica (Slovensko) : Iniciatíva EDUdrama , 2018. – ISBN 978-80-971188-1-5, s. 159-159 [tlačená forma] </t>
  </si>
  <si>
    <t xml:space="preserve">Slovenská a anglická výslovnosť [textový dokument (print)]  [iný] / Kráľová, Zdena [Autor, UKFPFAKLI, 50%] ; Kováčiková, Elena [Autor, UKFPFAKLI, 30%] ; Datko, Juraj [Autor, UKFPFAKLI, 10%] ; Gulliver, James H. [Autor, 10%]. – 1. vyd. – Nitra (Slovensko) : Univerzita Konštantína Filozofa v Nitre, 2019. – 28 s. [tlačená forma]. – [angličtina]. – [OV 010]. – ISBN 978-80-558-1451-3 </t>
  </si>
  <si>
    <t xml:space="preserve">Slovenskí gemológovia na veľtrhu Hodiny a klenoty 2019 v Prahe / Štubňa, Ján [Autor, UKFFPVGMU, 100%]. – text. – [slovenčina]. – [OV 092]. – [iný] In: Gemologický spravodajca [textový dokument (print)] : časopis gemológov pri FPV UKF v Nitre. – Nitra (Slovensko) : Univerzita Konštantína Filozofa v Nitre. Fakulta prírodných vied. – ISSN 1337-6136. – ISSN (online) 1338-5275. – Roč. 9, č. 1 (2019), s. 36-36 [tlačená forma] </t>
  </si>
  <si>
    <t xml:space="preserve">Slovo na úvod : [60 výročie vzdelávania učiteľov na UKF v Nitre] / Vozár, Libor [Autor, UKFFPVKFY, 100%]. – text. – [slovenčina]. – [OV 010]. – [iný] In: Zo svitania [textový dokument (print)] : Spomienky. Publikácia vydaná pri príležitosti 60. výročia vzdelávania učiteľov na Univerzite Konštantína Filozofa v Nitre / Récka, Adriana [Zostavovateľ, editor]. – 1. vyd. – Nitra (Slovensko) : Univerzita Konštantína Filozofa v Nitre, 2019. – ISBN 978-80-558-1437-7, s. 4-5 [tlačená forma] </t>
  </si>
  <si>
    <t xml:space="preserve">Slovo poroty 53. ročníka Literárneho Kežmarku : Literárny Kežmarok - perspektíva literárnej budúcnosti / Brunclík, Jozef [Autor, UKFFFASJL, 100%]. – [slovenčina]. – [OV 020]. – [iný] In: Slovo : spravodaj 53. ročníka Literárneho Kežmarku. – Kežmarok (Slovensko) : Mestský úrad Kežmarok. – 2018, s. 28-29 [tlačená forma] </t>
  </si>
  <si>
    <t xml:space="preserve">Slovo poroty Literárneho Kežmarku : Literárny Kežmarok - pracovať s mládežou sa oplatí / Brunclík, Jozef [Autor, UKFFFASJL, 100%]. – text. – [slovenčina]. – [OV 020]. – [iný] In: Slovo : spravodaj 53. ročníka Literárneho Kežmarku. – Kežmarok (Slovensko) : Mestský úrad Kežmarok. – 2019, s. 31-33 [tlačená forma] </t>
  </si>
  <si>
    <t xml:space="preserve">So silnými rodinami pre silnú Európu / Tóth, Attila [Autor, UKFFSSUVP, 100%]. – text. – [slovenčina]. – [OV 010]. – [iný] In: Náš čas [textový dokument (print)] : časopis Univerzity Konštatnína Filozofa v Nitre. – Nitra (Slovensko) : Univerzita Konštantína Filozofa v Nitre. – ISSN 1338-3272. – Roč. 22, č. 2 (2018), s. 49-49 [tlačená forma] </t>
  </si>
  <si>
    <t xml:space="preserve">Sociálne siete sú populárnou platformou cestovateľov. Mnohé profily prezentujú aj Nitru / Štosel, Marek [Autor, UKFFFAKMR, 100%]. – text. – [slovenčina]. – [OV 060]. – [ŠO 7205]. – [iný] In: Občas nečas [textový dokument (print)] : časopis študentov Univerzity Konštantína Filozofa. – Nitra (Slovensko) : Univerzita Konštantína Filozofa v Nitre. – ISSN 1338-1083. – Roč. 25, č. 2 (2019), s. 14-16 [tlačená forma] </t>
  </si>
  <si>
    <t xml:space="preserve">Som človek. A ty? / Szabóová, Veronika [Autor, UKFFFAKMR, 100%]. – text. – [slovenčina]. – [OV 020]. – [iný] In: Náš čas [textový dokument (print)] : časopis Univerzity Konštatnína Filozofa v Nitre. – Nitra (Slovensko) : Univerzita Konštantína Filozofa v Nitre. – ISSN 1338-3272. – Roč. 22, č. 5 (2018), s. 13-13 [tlačená forma] </t>
  </si>
  <si>
    <t xml:space="preserve">Spiritualita v literatúre ako zdroj pre výskum imagológie / Adamická, Monika [Autor, UKFFSSUSJ, 100%]. – text. – [slovenčina]. – [OV 020]. – [iný] In: Náš čas [textový dokument (print)] : časopis Univerzity Konštatnína Filozofa v Nitre. – Nitra (Slovensko) : Univerzita Konštantína Filozofa v Nitre. – ISSN 1338-3272. – Roč. 25, č. 2 (2021), s. 30-31 [tlačená forma] </t>
  </si>
  <si>
    <t xml:space="preserve">Spojení knihami / Popovicsová, Jana [Autor, UKFFFASJL, 100%]. – text. – [slovenčina]. – [OV 020]. – [iný] In: Knižná revue [textový dokument (print)] [elektronický dokument] : mesačník o nových knihách. – Bratislava (Slovensko) : Literárne informačné centrum. – ISSN 1210-1982. – ISSN (online) 1336-247X. – Roč. 28, č. 5 (2018), s. 8-8 [tlačená forma] [online] </t>
  </si>
  <si>
    <t xml:space="preserve">Spolupráca katedry manažmentu kultúry a turizmu FF UKF v Nitre a mesta Nitra na projekte Európske hlavné mesto kultúry 2026 / Kompasová, Katarína [Autor, UKFFFAKMK, 100%]. – [slovenčina]. – [OV 060]. – [iný] In: Kontexty kultúry a turizmu [textový dokument (print)] . – Nitra (Slovensko) : Univerzita Konštantína Filozofa v Nitre. Filozofická fakulta. – ISSN 1337-7760. – Roč. 13, č. 1 (2020), s. 84-86 [tlačená forma] </t>
  </si>
  <si>
    <t xml:space="preserve">Spolupráca s Beloit College / Horváthová, Božena [Autor, UKFPFAKLI, 50%] ; Kováčiková, Elena [Autor, UKFPFAKLI, 50%]. – text. – [slovenčina]. – [OV 010]. – [iný] In: Náš čas [textový dokument (print)] : časopis Univerzity Konštatnína Filozofa v Nitre. – Nitra (Slovensko) : Univerzita Konštantína Filozofa v Nitre. – ISSN 1338-3272. – Roč. 22, č. 2 (2018), s. 17-17 [tlačená forma] </t>
  </si>
  <si>
    <t xml:space="preserve">Správa o Medzinárodnom festivale Divadelná Nitra 2021 / Ballay, Miroslav [Autor, UKFFFAKKU, 100%]. – text. – [slovenčina]. – [OV 060]. – [iný] In: Culturologica Slovaca [elektronický dokument] : internetový kulturologický časopis. – Nitra (Slovensko) : Univerzita Konštantína Filozofa v Nitre. – ISSN 2453-9740. – Roč. 6, č. 2 (2021), s. 212-214 [online] </t>
  </si>
  <si>
    <t xml:space="preserve">Správa o ŠVOČ na KMKaT 2018 / Mudrák, Marcel [Autor, UKFFFAKMK, 100%]. – text. – [slovenčina]. – [OV 030]. – [iný] In: Kontexty kultúry a turizmu [textový dokument (print)] . – Nitra (Slovensko) : Univerzita Konštantína Filozofa v Nitre. Filozofická fakulta. – ISSN 1337-7760. – Roč. 11, č. 1 (2018), s. 98-100 [tlačená forma] </t>
  </si>
  <si>
    <t xml:space="preserve">Správa z Historických dní Katedry histórie FF UKF v Nitre / Molnárová, Mária [Autor, UKFFFAKHI, 100%]. – text. – [slovenčina]. – [OV 030]. – [iný] In: Historický časopis [textový dokument (print)] [elektronický dokument] : vedecký časopis o dejinách Slovenska a strednej Európy = an academic journal on the history of Slovakia and Central Europe. – Bratislava (Slovensko) : Slovenská akadémia vied. Pracoviská SAV. Historický ústav. – ISSN 0018-2575. – ISSN (online) 2585-9099. – Roč. 68, č. 2 (2020), s. 381-381 [tlačená forma] [online] . – SJR: 0,114 ; CiteScore: 0,1 ; SNIP: 0,243 ; AIS: 0.126 AIS - History - Q4 Scimago - History - Q3 </t>
  </si>
  <si>
    <t xml:space="preserve">Správa z výskumu: Stratégia rozvoja cestovného ruchu v Pliešovciach / Žabenský, Marián [Autor, UKFFFAKMK, 100%]. – text, ilustr. – [slovenčina]. – [OV 030]. – [iný] In: Kontexty kultúry a turizmu [textový dokument (print)] . – Nitra (Slovensko) : Univerzita Konštantína Filozofa v Nitre. Filozofická fakulta. – ISSN 1337-7760. – Roč. 13, č. 2 (2020), s. 169-171 [tlačená forma] </t>
  </si>
  <si>
    <t xml:space="preserve">Stal sa z nás ostrov s padacím mostom, pevnina v nedohľadne : Rozhovor s Gudrun (Ľahká múza) / Fuják, Július [Autor, UKFFFAKKU, 50%] ; Šulej, Peter [Autor, 50%]. – [slovenčina]. – [OV 020]. – [iný] In: Vlna [textový dokument (print)] : časopis o súčasnom umení a kultúre. – Bratislava (Slovensko) : Drewo a srd. – ISSN 1335-5341. – ISSN (chybné) ISSN 1335-969X. – Roč. 21, č. 80 (2019), s. 100-105 [tlačená forma] </t>
  </si>
  <si>
    <t xml:space="preserve">Strafprozessrecht in der universitären Übersetzerausbildung / Wrede, Oľga [Autor, UKFFFAKGE, 100%] ; Germanistika segodnija [16.10.2018-17.10.2018, Kazaň, Ruská federácia]. – [ruština]. – [OV 020]. – [iný] In: Germanistika segodnija [textový dokument (print)] : materijaly naučno-praktičeskoj konferenciji, Kazaň 16. - 17. oktabrija 2018 goda / Kuľkova, М.А. [Zostavovateľ, editor]. – Kazaň (Ruská federácia) : Kazanskij Fedeľnyj Universitet, 2019, s. 15-22 </t>
  </si>
  <si>
    <t xml:space="preserve">Stretnite sa s nami na veľtrhoch vzdelávania / Krajčovičová, Jana [Autor, REKTOR, 100%]. – text. – [slovenčina]. – [OV 020, 010]. – [iný] In: Náš čas [textový dokument (print)] : časopis Univerzity Konštatnína Filozofa v Nitre. – Nitra (Slovensko) : Univerzita Konštantína Filozofa v Nitre. – ISSN 1338-3272. – Roč. 24, č. 1 (2020), s. 11-11 [tlačená forma] </t>
  </si>
  <si>
    <t xml:space="preserve">Stretnutie riešiteľov projektu APVV-14-0446 Hodnotenie kompetencií učiteľov / Magová, Lenka [Autor, UKFFFAKAE 06.2022, 50%] ; Baďová, Petra [Autor, UKFFFAULK, 50%]. – text. – [slovenčina]. – [OV 010]. – [iný] In: Mládež a spoločnosť [textový dokument (print)] : slovenský časopis pre štátnu politiku a výskum mládeže = Slovak journal for state policy and youth research. – Bratislava (Slovensko) : Centrum vedecko-technických informácií SR. – ISSN 1335-1109. – Roč. 24, č. 3-4 (2018), s. 95-96 [tlačená forma] </t>
  </si>
  <si>
    <t xml:space="preserve">Stretnutie s juhoafrickým básnikom / Klimková, Simona [Autor, UKFFFAKAA, 100%]. – text. – [slovenčina]. – [OV 020]. – [iný] In: Náš čas [textový dokument (print)] : časopis Univerzity Konštatnína Filozofa v Nitre. – Nitra (Slovensko) : Univerzita Konštantína Filozofa v Nitre. – ISSN 1338-3272. – Roč. 24, č. 1 (2020), s. 28-28 [tlačená forma] </t>
  </si>
  <si>
    <t xml:space="preserve">Středoevropský pohled na Stredoeurópske pohľady (editoriál) / Zelenka, Miloš [Autor, UKFFSSUSJ, 100%]. – [čeština]. – [OV 020]. – [iný] In: Stredoeurópske pohľady [textový dokument (print)] [elektronický dokument] : časopis pre jazyk, literatúru, kultúru a médiá. – Nitra (Slovensko) : Univerzita Konštantína Filozofa v Nitre. Fakulta stredoeurópskych štúdií. Ústav stredoeurópskych jazykov a kultúr. – ISSN 2644-6367. – ISSN (online) 2644-6472. – Roč. 1, č. 1 (2019), s. 3-4 [tlačená forma] [online] </t>
  </si>
  <si>
    <t xml:space="preserve">Studium teologiczno-pastoralne, kanoniczno-prawne i filozoficzne w Spišskiej Kapitule / Štefaňak, Ondrej [Autor, UKFFFAKSO, 100%]. – [poľština]. – [OV 020]. – [iný] In: Encyklopedia 100-lecia KUL [textový dokument (print)] / [bez zostavovateľa] [Zostavovateľ, editor]. – Lublin (Poľsko) : Katolicki Uniwersytet Lubelski Jana Pawła II.. Wydawnictwo KUL, 2018. – ISBN 978-83-8061-612-7, s. 408-409 </t>
  </si>
  <si>
    <t xml:space="preserve">Summary / Tkáč-Zabáková, Lenka [Autor, UKFFSSUSJ, 100%]. – text. – [angličtina]. – [OV 020]. – [iný] In: Kultúra a súčasnosť 17 [textový dokument (print)] / Gallik, Ján [Zostavovateľ, editor] ; Jozek, Milan [Zostavovateľ, editor] ; Magalová, Gabriela [Recenzent] ; Zelenka, Miloš [Recenzent]. – 1. vyd. – Nitra (Slovensko) : Univerzita Konštantína Filozofa v Nitre, 2018. – ISBN 978-80-558-1296-0, s. 183-184 [tlačená forma] </t>
  </si>
  <si>
    <t xml:space="preserve">Súťaž Komenský a my pozná víťazov / Pavličková, Alexandra [Autor, UKFPFAKPE, 100%]. – text. – [slovenčina]. – [OV 010]. – [iný] In: Náš čas [textový dokument (print)] : časopis Univerzity Konštatnína Filozofa v Nitre. – Nitra (Slovensko) : Univerzita Konštantína Filozofa v Nitre. – ISSN 1338-3272. – Roč. 24, č. 5 (2020), s. 11-11 [tlačená forma] </t>
  </si>
  <si>
    <t xml:space="preserve">Súťaž Life of Art 2021 s Katedrou hudby / Sondorová, Dominika [Autor, UKFPFAKHU, 50%] ; Hubinská, Zuzana [Autor, UKFPFAKHU, 50%]. – text. – [slovenčina]. – [OV 010]. – [iný] In: Náš čas [textový dokument (print)] : časopis Univerzity Konštatnína Filozofa v Nitre. – Nitra (Slovensko) : Univerzita Konštantína Filozofa v Nitre. – ISSN 1338-3272. – Roč. 25, č. 3 (2021), s. 30-30 [tlačená forma] </t>
  </si>
  <si>
    <t xml:space="preserve">Súťaž Mladý prekladateľ pozná svojich víťazov / Černáková, Jana [Autor, UKFREKTOR, 33.334%] ; Welnitzová, Katarína [Autor, UKFFFAKTR, 33.333%] ; Munková, Daša [Autor, UKFFFAKTR, 33.333%]. – text. – [slovenčina]. – [OV 020]. – [iný] In: Náš čas [textový dokument (print)] : časopis Univerzity Konštatnína Filozofa v Nitre. – Nitra (Slovensko) : Univerzita Konštantína Filozofa v Nitre. – ISSN 1338-3272. – Roč. 24, č. 1 (2020), s. 26-27 [tlačená forma] </t>
  </si>
  <si>
    <t xml:space="preserve">Svetová translatológia v Nitre / Ukušová, Jana [Autor, UKFFFAKTR, 50%] ; Zahorák, Andrej [Autor, UKFFFAKTR, 50%]. – [slovenčina]. – [OV 020]. – [iný] In: Náš čas [textový dokument (print)] : časopis Univerzity Konštatnína Filozofa v Nitre. – Nitra (Slovensko) : Univerzita Konštantína Filozofa v Nitre. – ISSN 1338-3272. – Roč. 22, č. 5 (2018), s. 27-27 [tlačená forma] </t>
  </si>
  <si>
    <t xml:space="preserve">Svetový deň cestovného ruchu si na UKF v Nitre pripomenuli aj v časoch pandémie koronavírusu / Válek, Ján [Autor, UKFFFAKMK, 100%]. – text. – [slovenčina]. – [OV 020]. – [iný] In: Kontexty kultúry a turizmu [textový dokument (print)] . – Nitra (Slovensko) : Univerzita Konštantína Filozofa v Nitre. Filozofická fakulta. – ISSN 1337-7760. – Roč. 13, č. 2 (2020), s. 172-173 [tlačená forma] </t>
  </si>
  <si>
    <t xml:space="preserve">Symbolická trojka pre slovenský film / Malíčková, Michaela [Autor, UKFFFAULK, 100%]. – text. – [slovenčina]. – [OV 020]. – [ŠO 6107]. – [iný] In: Film.sk [textový dokument (print)] [elektronický dokument] : mesačník o filmovom dianí na Slovensku. – Bratislava (Slovensko) : Slovenský filmový ústav. – ISSN 1335-8286. – ISSN (online) 1336-2712. – Roč. 22, č. 3 (2021), s. 43-43 [tlačená forma] [online] </t>
  </si>
  <si>
    <t xml:space="preserve">Šesť strún rôznych príchutí : gitarový festival J. K. Mertza, 44. ročník, 16.–22. júna, Bratislava, Spoločnosť J. K. Mertza / Veselý, Ondrej [Autor, UKFFFAULK, 100%]. – text. – [slovenčina]. – [OV 010]. – [iný] In: Hudobný život [textový dokument (print)] [elektronický dokument] : jediný odborný mesačník pre klasickú hudbu a jazz na Slovensku. – Bratislava (Slovensko) : Hudobné centrum. – ISSN 1335-4140. – ISSN (online) 2729-7586. – ISSN (zrušené) 0323-133X. – Roč. 51, č. 7-8 (2019), s. 9-9 [tlačená forma] [online] </t>
  </si>
  <si>
    <t xml:space="preserve">Špičkové hudobné aj výtvarné umenie / Černáková, Jana [Autor, UKFREKTOR, 100%]. – text. – [slovenčina]. – [OV 010]. – [iný] In: Náš čas [textový dokument (print)] : časopis Univerzity Konštatnína Filozofa v Nitre. – Nitra (Slovensko) : Univerzita Konštantína Filozofa v Nitre. – ISSN 1338-3272. – Roč. 24, č. 1 (2020), s. 34-35 [tlačená forma] </t>
  </si>
  <si>
    <t xml:space="preserve">Šport ako cesta z geta [elektronický dokument]  [iný] / Gallová Kriglerová, Elena [Autor, 34%] ; Havírová, Zuzana [Autor, UKFFSVURS, 33%] ; Holka Chudžíková, Alena [Autor, 33%]. – 1. vyd. – Bratislava (Slovensko) : Centrum pre výskum etnicity a kultúry, 2019. – 50 s. [3,12 AH] [online] : text. – [slovenčina]. – [OV 060] </t>
  </si>
  <si>
    <t xml:space="preserve">Štafeta festivalu je už na pôde našej univerzity : [42. ročník Medzinárodného festivalu akademických folklórnych súborov] / Černáková, Jana [Autor, UKFREKTOR, 100%]. – text. – [slovenčina]. – [OV 030]. – [iný] In: Náš čas [textový dokument (print)] : časopis Univerzity Konštatnína Filozofa v Nitre. – Nitra (Slovensko) : Univerzita Konštantína Filozofa v Nitre. – ISSN 1338-3272. – Roč. 23, č. 8 (2019), s. 29-29 [tlačená forma] </t>
  </si>
  <si>
    <t xml:space="preserve">Študenti študentom : pomáhali v ŠD Zobor / Krajčovičová, Jana [Autor, REKTOR, 100%]. – text. – [slovenčina]. – [OV 010]. – [iný] In: Náš čas [textový dokument (print)] : časopis Univerzity Konštatnína Filozofa v Nitre. – Nitra (Slovensko) : Univerzita Konštantína Filozofa v Nitre. – ISSN 1338-3272. – Roč. 24, č. 4 (2020), s. 15-15 [tlačená forma] </t>
  </si>
  <si>
    <t xml:space="preserve">Študentka UKF bodovala na halovom mítingu v Ostrave : zlepšenie na 8,72 s  znamená posun na 10. miesto v historických tabuľkách Slovenska / Broďáni, Jaroslav [Autor, UKFPFAKTV, 50%] ; Kamenická, Tímea [Autor, REKTOR, 50%]. – text. – [slovenčina]. – [OV 010]. – [iný] In: Náš čas [textový dokument (print)] : časopis Univerzity Konštatnína Filozofa v Nitre. – Nitra (Slovensko) : Univerzita Konštantína Filozofa v Nitre. – ISSN 1338-3272. – Roč. 24, č. 2 (2020), s. 43-43 [tlačená forma] </t>
  </si>
  <si>
    <t xml:space="preserve">Študentka UKF víťazkou súťaže Učiteľ Slovenska / Lukáčová, Danka [Autor, UKFPFAKTT, 100%]. – text. – [slovenčina]. – [OV 010]. – [iný] In: Náš čas [textový dokument (print)] : časopis Univerzity Konštatnína Filozofa v Nitre. – Nitra (Slovensko) : Univerzita Konštantína Filozofa v Nitre. – ISSN 1338-3272. – Roč. 22, č. 4 (2018), s. 1-2 [tlačená forma] </t>
  </si>
  <si>
    <t xml:space="preserve">Štyri dobré dôvody, prečo hrať Poľskú krv / Smolík, Pavol [Autor, UKFPFAKHU, 50%] ; Pažítková, Izabela [Autor, 50%]. – text. – [slovenčina]. – [OV 020]. – [iný] In: Portál Slovenského národného divadla [textový dokument (print)] . – Bratislava (Slovensko) : Slovenské národné divadlo. – ISSN 1339-5122. – Roč. 7, č. 4 (2018), s. 20-21 [tlačená forma] </t>
  </si>
  <si>
    <t xml:space="preserve">ŠVK 2018 / Adamkovičová, Mária [Autor, UKFFPVKBG, 100%]. – text. – [slovenčina]. – [OV 020]. – [iný] In: Náš čas [textový dokument (print)] : časopis Univerzity Konštatnína Filozofa v Nitre. – Nitra (Slovensko) : Univerzita Konštantína Filozofa v Nitre. – ISSN 1338-3272. – Roč. 22, č. 2 (2018), s. 16-16 [tlačená forma] </t>
  </si>
  <si>
    <t xml:space="preserve">ŠVOK v odbore ošetrovateľstvo tento rok počas svetového dňa kreativity a inovácií / Líšková, Miroslava [Autor, UKFFSVKOS, 100%]. – text. – [slovenčina]. – [OV 180]. – [iný] In: Náš čas [textový dokument (print)] : časopis Univerzity Konštatnína Filozofa v Nitre. – Nitra (Slovensko) : Univerzita Konštantína Filozofa v Nitre. – ISSN 1338-3272. – Roč. 25, č. 2 (2021), s. 11-11 [tlačená forma] </t>
  </si>
  <si>
    <t xml:space="preserve">ŠVOUČ 2018 na Filozofickej fakulte / Hetényi, Martin [Autor, UKFFFAUKD, 100%]. – text. – [slovenčina]. – [OV 020]. – [iný] In: Náš čas [textový dokument (print)] : časopis Univerzity Konštatnína Filozofa v Nitre. – Nitra (Slovensko) : Univerzita Konštantína Filozofa v Nitre. – ISSN 1338-3272. – Roč. 22, č. 2 (2018), s. 57-57 [tlačená forma] </t>
  </si>
  <si>
    <t xml:space="preserve">Tím „Chskym“ z UKF tretí na UNICUPE / Krajčovičová, Jana [Autor, REKTOR, 100%]. – text. – [slovenčina]. – [OV 010]. – [iný] In: Náš čas [textový dokument (print)] : časopis Univerzity Konštatnína Filozofa v Nitre. – Nitra (Slovensko) : Univerzita Konštantína Filozofa v Nitre. – ISSN 1338-3272. – Roč. 24, č. 2 (2020), s. 38-39 [tlačená forma] </t>
  </si>
  <si>
    <t xml:space="preserve">TJ Vjuga : kvíz z manifestov / Fuják, Július [Autor, UKFFFAKKU, 100%]. – text. – [slovenčina]. – [OV 020]. – [iný] In: Vlna [textový dokument (print)] : časopis o súčasnom umení a kultúre. – Bratislava (Slovensko) : Drewo a srd. – ISSN 1335-5341. – ISSN (chybné) ISSN 1335-969X. – Roč. 22, č. 82 (2020), s. 40-41 [tlačená forma] </t>
  </si>
  <si>
    <t xml:space="preserve">TJ Vjuga: A-mor-e / Fuják, Július [Autor, UKFFFAKKU, 100%]. – text. – [slovenčina]. – [OV 040]. – [iný] In: Vlna [textový dokument (print)] : časopis o súčasnom umení a kultúre. – Bratislava (Slovensko) : Drewo a srd. – ISSN 1335-5341. – ISSN (chybné) ISSN 1335-969X. – Roč. 23, č. 87 (2021), s. 55-55 [tlačená forma] </t>
  </si>
  <si>
    <t xml:space="preserve">TJ Vjuga: Dohoda o vykonaní lásky / Fuják, Július [Autor, UKFFFAKKU, 100%]. – text. – [slovenčina]. – [OV 020]. – [iný] In: Vlna [textový dokument (print)] : časopis o súčasnom umení a kultúre. – Bratislava (Slovensko) : Drewo a srd. – ISSN 1335-5341. – ISSN (chybné) ISSN 1335-969X. – Roč. 20, č. 76 (2018), s. 7-7 [tlačená forma] </t>
  </si>
  <si>
    <t xml:space="preserve">TJ Vjuga: Zviera U sa zviera / Fuják, Július [Autor, UKFFFAKKU, 100%]. – text. – [slovenčina]. – [OV 020]. – [iný] In: Vlna [textový dokument (print)] : časopis o súčasnom umení a kultúre. – Bratislava (Slovensko) : Drewo a srd. – ISSN 1335-5341. – ISSN (chybné) ISSN 1335-969X. – Roč. 22, č. 84 (2020), s. 68-69 [tlačená forma] </t>
  </si>
  <si>
    <t xml:space="preserve">Tlačili ochranné štíty, použili ich zdravotníci i herci : zamestnanci Katedry informatiky FPV UKF v Nitre sa prostredníctvom medzinárodného projektu zapojili do 3D tlače ochranných štítov / Koprda, Štefan [Autor, UKFFPVKIN, 50%] ; Balogh, Zoltán [Autor, UKFFPVKIN, 50%]. – [slovenčina]. – [OV 160]. – [iný] In: Náš čas [textový dokument (print)] : časopis Univerzity Konštatnína Filozofa v Nitre. – Nitra (Slovensko) : Univerzita Konštantína Filozofa v Nitre. – ISSN 1338-3272. – Roč. 24, č. 3 (2020), s. 28-29 [tlačená forma] </t>
  </si>
  <si>
    <t xml:space="preserve">Tolerancia k cudzím kultúram aj vďaka nám... / Kompasová, Katarína [Autor, UKFFFAKMK, 100%]. – text. – [slovenčina]. – [OV 060]. – [iný] In: Kontexty kultúry a turizmu [textový dokument (print)] . – Nitra (Slovensko) : Univerzita Konštantína Filozofa v Nitre. Filozofická fakulta. – ISSN 1337-7760. – Roč. 12, č. 1 (2019), s. 118-120 [tlačená forma] </t>
  </si>
  <si>
    <t xml:space="preserve">Tolkien “pilgrimage” itinerary. Part One, 2020 / Juričková, Martina [Autor, UKFFFAKAA, 100%]. – text. – [angličtina]. – [OV 020]. – [iný] In: Fellowship and Fairydust [elektronický dokument] . – 2020, s. 1-1 [online] </t>
  </si>
  <si>
    <t xml:space="preserve">Tolkien Reading Day / Juričková, Martina [Autor, UKFFFAKAA, 100%]. – text. – [slovenčina]. – [OV 010]. – [iný] In: Náš čas [textový dokument (print)] : časopis Univerzity Konštatnína Filozofa v Nitre. – Nitra (Slovensko) : Univerzita Konštantína Filozofa v Nitre. – ISSN 1338-3272. – Roč. 22, č. 2 (2018), s. 42-42 [tlačená forma] </t>
  </si>
  <si>
    <t xml:space="preserve">Tradícia a inovácia v translatologickom výskume : preklad v čase / Boltižiar, Jana [Autor, UKFFFAKTR, 34%] ; Koscelníková, Mária [Autor, UKFFFAKTR, 33%] ; Martinkovič, Matej [Autor, UKFFFAKTR, 33%]. – text. – [slovenčina]. – [OV 020]. – [iný] In: Náš čas [textový dokument (print)] : časopis Univerzity Konštatnína Filozofa v Nitre. – Nitra (Slovensko) : Univerzita Konštantína Filozofa v Nitre. – ISSN 1338-3272. – Roč. 25, č. 2 (2021), s. 32-33 [tlačená forma] </t>
  </si>
  <si>
    <t xml:space="preserve">Trinástka na fyzike šťastným číslom / Valovičová, Ľubomíra [Autor, UKFFPVKFY, 100%]. – text. – [slovenčina]. – [OV 010]. – [iný] In: Náš čas [textový dokument (print)] : časopis Univerzity Konštatnína Filozofa v Nitre. – Nitra (Slovensko) : Univerzita Konštantína Filozofa v Nitre. – ISSN 1338-3272. – Roč. 22, č. 4 (2018), s. 9-9 [tlačená forma] </t>
  </si>
  <si>
    <t xml:space="preserve">Turné akademického speváckeho zboru / Štrbák, Marek [Autor, UKFPFAKHU, 100%]. – text. – [slovenčina]. – [OV 010]. – [iný] In: Náš čas [textový dokument (print)] : časopis Univerzity Konštatnína Filozofa v Nitre. – Nitra (Slovensko) : Univerzita Konštantína Filozofa v Nitre. – ISSN 1338-3272. – Roč. 24, č. 2 (2020), s. 35-35 [tlačená forma] </t>
  </si>
  <si>
    <t xml:space="preserve">TVAT na UKF : historicky prvý online ročník / Černáková, Jana [Autor, UKFREKTOR, 10%] ; Waldnerová, Jana [Autor, UKFFFAKAA, 18%] ; Jakubovská, Viera [Autor, UKFFFAKFI, 18%] ; Moncoľ, Ján [Autor, 18%] ; Zrubcová, Dana [Autor, UKFFSVKOS, 18%] ; Solgajová, Andrea [Autor, UKFFSVKOS, 18%]. – text. – [slovenčina]. – [OV 010]. – [iný] In: Náš čas [textový dokument (print)] : časopis Univerzity Konštatnína Filozofa v Nitre. – Nitra (Slovensko) : Univerzita Konštantína Filozofa v Nitre. – ISSN 1338-3272. – Roč. 24, č. 5 (2020), s. 16-19 [tlačená forma] </t>
  </si>
  <si>
    <t xml:space="preserve">Týždeň rómskej kultúry / Rusnáková, Jurina [Autor, UKFFSVURS, 100%]. – text. – [slovenčina]. – [OV 010]. – [iný] In: Náš čas [textový dokument (print)] : časopis Univerzity Konštatnína Filozofa v Nitre. – Nitra (Slovensko) : Univerzita Konštantína Filozofa v Nitre. – ISSN 1338-3272. – Roč. 22, č. 2 (2018), s. 40-40 [tlačená forma] </t>
  </si>
  <si>
    <t xml:space="preserve">Týždeň slovenských knižníc v univerzitnej knižnici / Černáková, Jana [Autor, UKFREKTOR, 100%]. – text. – [slovenčina]. – [OV 020]. – [iný] In: Náš čas [textový dokument (print)] : časopis Univerzity Konštatnína Filozofa v Nitre. – Nitra (Slovensko) : Univerzita Konštantína Filozofa v Nitre. – ISSN 1338-3272. – Roč. 24, č. 2 (2020), s. 11-11 [tlačená forma] </t>
  </si>
  <si>
    <t xml:space="preserve">Týždňový vokálny maratón / Štrbák Pandiová, Iveta [Autor, UKFPFAKHU, 100%]. – [slovenčina]. – [OV 020]. – [iný] In: Náš čas [textový dokument (print)] : časopis Univerzity Konštatnína Filozofa v Nitre. – Nitra (Slovensko) : Univerzita Konštantína Filozofa v Nitre. – ISSN 1338-3272. – Roč. 22, č. 5 (2018), s. 34-34 [tlačená forma] </t>
  </si>
  <si>
    <t xml:space="preserve">UKF dostala darom vyše tristo hodnotných kníh : dar od Domu ruského zahraničia A. Solženicyna výrazne obohatí knižný fond našej univerzity. Stretnutie a oficiálna slávnosť sa stali aj prísľubom ďalšej spolupráce zúčastnených strán / Černáková, Jana [Autor, UKFREKTOR, 100%]. – text. – [slovenčina]. – [OV 020]. – [iný] In: Náš čas [textový dokument (print)] : časopis Univerzity Konštatnína Filozofa v Nitre. – Nitra (Slovensko) : Univerzita Konštantína Filozofa v Nitre. – ISSN 1338-3272. – Roč. 24, č. 2 (2020), s. 3-5 [tlačená forma] </t>
  </si>
  <si>
    <t xml:space="preserve">UKF je riešiteľom HORIZON 2020 [najväčší výskumný a inovačný program EÚ] / Kramáreková, Hilda [Autor, UKFFPVKGR, 100%]. – text. – [slovenčina]. – [OV 010, 092]. – [iný] In: Náš čas [textový dokument (print)] : časopis Univerzity Konštatnína Filozofa v Nitre. – Nitra (Slovensko) : Univerzita Konštantína Filozofa v Nitre. – ISSN 1338-3272. – Roč. 23, č. 8 (2019), s. 9-9 [tlačená forma] </t>
  </si>
  <si>
    <t xml:space="preserve">UKF je súčasťou projektu New Nurse Educator / Pavelová, Ľuboslava [Autor, UKFFSVKOS, 100%]. – text. – [slovenčina]. – [OV 180]. – [iný] In: Náš čas [textový dokument (print)] : časopis Univerzity Konštatnína Filozofa v Nitre. – Nitra (Slovensko) : Univerzita Konštantína Filozofa v Nitre. – ISSN 1338-3272. – Roč. 25, č. 1 (2021), s. 23-23 [tlačená forma] </t>
  </si>
  <si>
    <t xml:space="preserve">UKF má šesť nových profesorov / Kamenická, Tímea [Autor, UKFREKTOR, 100%]. – text. – [slovenčina]. – [OV 010]. – [iný] In: Náš čas [textový dokument (print)] : časopis Univerzity Konštatnína Filozofa v Nitre. – Nitra (Slovensko) : Univerzita Konštantína Filozofa v Nitre. – ISSN 1338-3272. – Roč. 22, č. 4 (2018), s. 1-2 [tlačená forma] </t>
  </si>
  <si>
    <t xml:space="preserve">UKF na International University Week 2019 / Mojtová, Martina [Autor, UKFFSVKSP, 34%] ; Morávková, Silvia [Autor, UKFFSVKSP, 33%] ; Pikna, Jakub [Autor, UKFFSVKSP, 33%]. – text. – [slovenčina]. – [OV 060]. – [iný] In: Náš čas [textový dokument (print)] : časopis Univerzity Konštatnína Filozofa v Nitre. – Nitra (Slovensko) : Univerzita Konštantína Filozofa v Nitre. – ISSN 1338-3272. – Roč. 23, č. 4 (2019), s. 5-5 [tlačená forma] </t>
  </si>
  <si>
    <t xml:space="preserve">UKF na medzinárodnej konferencii : (náboženstvo na periférii) / Štefaňak, Ondrej [Autor, UKFFFAKSO, 100%]. – text. – [slovenčina]. – [OV 010]. – [iný] In: Náš čas [textový dokument (print)] : časopis Univerzity Konštatnína Filozofa v Nitre. – Nitra (Slovensko) : Univerzita Konštantína Filozofa v Nitre. – ISSN 1338-3272. – Roč. 25, č. 2 (2021), s. 15-15 [tlačená forma] </t>
  </si>
  <si>
    <t xml:space="preserve">UKF navštívil minister Miroslav Lajčák : študentom prednášal o Slovensku a Európskej únii v multipolárnom svete, s predstaviteľmi univerzity hovoril o štúdiu a medzinárodných aktivitách / Pavlíková, Martina [Autor, UKFFFAKZU, 100%]. – text. – [slovenčina]. – [OV 060]. – [iný] In: Náš čas [textový dokument (print)] : časopis Univerzity Konštatnína Filozofa v Nitre. – Nitra (Slovensko) : Univerzita Konštantína Filozofa v Nitre. – ISSN 1338-3272. – Roč. 24, č. 1 (2020), s. 8-8 [tlačená forma] </t>
  </si>
  <si>
    <t xml:space="preserve">UKF opäť získala Zelený certifikát / Černáková, Jana [Autor, UKFREKTOR, 100%]. – text. – [slovenčina]. – [OV 100, 010]. – [iný] In: Náš čas [textový dokument (print)] : časopis Univerzity Konštatnína Filozofa v Nitre. – Nitra (Slovensko) : Univerzita Konštantína Filozofa v Nitre. – ISSN 1338-3272. – Roč. 25, č. 2 (2021), s. 17-17 [tlačená forma] </t>
  </si>
  <si>
    <t xml:space="preserve">UKF riešiteľom projektu v rámci programu Horizont 2020 / Nozdrovická, Jana [Autor, UKFFPVKEE, 100%]. – text. – [slovenčina]. – [OV 100]. – [iný] In: Náš čas [textový dokument (print)] : časopis Univerzity Konštatnína Filozofa v Nitre. – Nitra (Slovensko) : Univerzita Konštantína Filozofa v Nitre. – ISSN 1338-3272. – Roč. 25, č. 2 (2021), s. 31-31 [tlačená forma] </t>
  </si>
  <si>
    <t xml:space="preserve">UKF tradične na veľtrhu Gaudeamus / Krajčovičová, Jana [Autor, UKFREKTOR, 100%]. – text. – [slovenčina]. – [OV 010]. – [iný] In: Náš čas [textový dokument (print)] : časopis Univerzity Konštatnína Filozofa v Nitre. – Nitra (Slovensko) : Univerzita Konštantína Filozofa v Nitre. – ISSN 1338-3272. – Roč. 22, č. 4 (2018), s. 3-4 [tlačená forma] </t>
  </si>
  <si>
    <t xml:space="preserve">UKF v Nitre investuje do efektívneho energetického riešenia budov / Lachká, Ľubica [Autor, REKTOR, 100%]. – text. – [slovenčina]. – [OV 010]. – [iný] In: Náš čas [textový dokument (print)] : časopis Univerzity Konštatnína Filozofa v Nitre. – Nitra (Slovensko) : Univerzita Konštantína Filozofa v Nitre. – ISSN 1338-3272. – Roč. 25, č. 1 (2021), s. 17-17 [tlačená forma] </t>
  </si>
  <si>
    <t xml:space="preserve">UKF získala chartu VŠ vzdelávania (ECHE) / Pavlíková, Martina [Autor, UKFFFAKZU, 100%]. – text. – [slovenčina]. – [OV 010]. – [iný] In: Náš čas [textový dokument (print)] : časopis Univerzity Konštatnína Filozofa v Nitre. – Nitra (Slovensko) : Univerzita Konštantína Filozofa v Nitre. – ISSN 1338-3272. – Roč. 25, č. 2 (2021), s. 6-6 [tlačená forma] </t>
  </si>
  <si>
    <t xml:space="preserve">UKF získala prístup do SketchEngine : [SketchEngine je vynikajúci nástroj pre jazykovedcov] / Debnár, Marek [Autor, UKFFFAKAE 06.2022, 100%]. – text. – [slovenčina]. – [OV 010]. – [iný] In: Náš čas [textový dokument (print)] : časopis Univerzity Konštatnína Filozofa v Nitre. – Nitra (Slovensko) : Univerzita Konštantína Filozofa v Nitre. – ISSN 1338-3272. – Roč. 23, č. 8 (2019), s. 27-27 [tlačená forma] </t>
  </si>
  <si>
    <t xml:space="preserve">Umenie a moc / Teplan, Dušan [Autor, UKFFFASJL, 100%]. – text. – [slovenčina]. – [OV 020]. – [iný] In: Fraktál [textový dokument (print)] : literatúra horizontálne a vertikálne. – Závod (Slovensko) : Fraktál. – ISSN 2585-8912. – Roč. 1, č. 1 (2018), s. 78-78 [tlačená forma] </t>
  </si>
  <si>
    <t xml:space="preserve">Univerzita a Smart City / Krajčovičová, Jana [Autor interview, UKFREKTOR, 100%]. – text. – [slovenčina]. – [OV 010]. – [iný] In: Náš čas [textový dokument (print)] : časopis Univerzity Konštatnína Filozofa v Nitre. – Nitra (Slovensko) : Univerzita Konštantína Filozofa v Nitre. – ISSN 1338-3272. – Roč. 22, č. 2 (2018), s. 40-40 [tlačená forma] </t>
  </si>
  <si>
    <t xml:space="preserve">Univerzita na Profesia days - nezmysel či nová príležitosť? / Černáková, Jana [Autor, UKFREKTOR, 100%]. – text. – [slovenčina]. – [OV 020]. – [iný] In: Náš čas [textový dokument (print)] : časopis Univerzity Konštatnína Filozofa v Nitre. – Nitra (Slovensko) : Univerzita Konštantína Filozofa v Nitre. – ISSN 1338-3272. – Roč. 24, č. 2 (2020), s. 6-7 [tlačená forma] </t>
  </si>
  <si>
    <t xml:space="preserve">Univerzita tretieho veku / Balko, Ľubomír [Autor interview, UKFREKTOR, 100%]. – text. – [slovenčina]. – [OV 020]. – [iný] In: Náš čas [textový dokument (print)] : časopis Univerzity Konštatnína Filozofa v Nitre. – Nitra (Slovensko) : Univerzita Konštantína Filozofa v Nitre. – ISSN 1338-3272. – Roč. 22, č. 2 (2018), s. 50-51 [tlačená forma] </t>
  </si>
  <si>
    <t xml:space="preserve">Univerzity formujúce Európu : na pôde zürišskej univerzity sa stretli najvyšší predstavitelia európskych univerzít / Miššíková, Gabriela [Autor, UKFFFAKAA, 100%]. – text. – [slovenčina]. – [OV 010]. – [iný] In: Náš čas [textový dokument (print)] : časopis Univerzity Konštatnína Filozofa v Nitre. – Nitra (Slovensko) : Univerzita Konštantína Filozofa v Nitre. – ISSN 1338-3272. – Roč. 22, č. 2 (2018), s. 14-15 [tlačená forma] </t>
  </si>
  <si>
    <t xml:space="preserve">Úspech v elitnej súťaži IT SPY 2017 / Švec, Peter [Autor, UKFFPVKIN, 100%]. – text. – [slovenčina]. – [OV 010]. – [iný] In: Náš čas [textový dokument (print)] : časopis Univerzity Konštatnína Filozofa v Nitre. – Nitra (Slovensko) : Univerzita Konštantína Filozofa v Nitre. – ISSN 1338-3272. – Roč. 22, č. 1 (2018), s. 43-43 [tlačená forma] </t>
  </si>
  <si>
    <t xml:space="preserve">Úspešná séria podcastov o historických témach / Mikulášová, Alena [Autor, UKFFFAKHI, 100%]. – text. – [slovenčina]. – [OV 030]. – [iný] In: Náš čas [textový dokument (print)] : časopis Univerzity Konštatnína Filozofa v Nitre. – Nitra (Slovensko) : Univerzita Konštantína Filozofa v Nitre. – ISSN 1338-3272. – Roč. 25, č. 4 (2021), s. 25-25 [tlačená forma] </t>
  </si>
  <si>
    <t xml:space="preserve">Úspešná žiadosť Erasmus+ KA107 / Pavlíková, Martina [Autor, UKFFFAKZU, 100%]. – [slovenčina]. – [OV 010]. – [iný] In: Náš čas [textový dokument (print)] : časopis Univerzity Konštatnína Filozofa v Nitre. – Nitra (Slovensko) : Univerzita Konštantína Filozofa v Nitre. – ISSN 1338-3272. – Roč. 24, č. 3 (2020), s. 38-38 [tlačená forma] </t>
  </si>
  <si>
    <t xml:space="preserve">Úspešný 20. ročník divadelného festivalu / Hvozdíková, Silvia [Autor, UKFFFAKAA, 20%] ; Stranovská, Eva [Autor, UKFFFAKGE, 20%] ; Hricková, Mária [Autor, UKF.Nitra, 20%] ; Harťanská, Jana [Autor, UKFFFAKAA, 20%] ; Horváthová, Ivana [Autor, UKFFFAKAA, 20%]. – text. – [slovenčina]. – [OV 020]. – [iný] In: Náš čas [textový dokument (print)] : časopis Univerzity Konštatnína Filozofa v Nitre. – Nitra (Slovensko) : Univerzita Konštantína Filozofa v Nitre. – ISSN 1338-3272. – Roč. 23, č. 4 (2019), s. 22-23 [tlačená forma] </t>
  </si>
  <si>
    <t xml:space="preserve">Úspešný projekt základného výskumu / Danišová, Nikola [Autor, UKFFFAULK, 100%]. – text. – [slovenčina]. – [OV 010]. – [iný] In: Náš čas [textový dokument (print)] : časopis Univerzity Konštatnína Filozofa v Nitre. – Nitra (Slovensko) : Univerzita Konštantína Filozofa v Nitre. – ISSN 1338-3272. – Roč. 24, č. 3 (2020), s. 39-39 [tlačená forma] </t>
  </si>
  <si>
    <t xml:space="preserve">Ustanovujúce zasadnutie Rady kvalit y UKF / Duchovičová, Jana [Autor, UKFPFAKPE, 100%]. – text. – [slovenčina]. – [OV 010]. – [iný] In: Náš čas [textový dokument (print)] : časopis Univerzity Konštatnína Filozofa v Nitre. – Nitra (Slovensko) : Univerzita Konštantína Filozofa v Nitre. – ISSN 1338-3272. – Roč. 25, č. 2 (2021), s. 4-5 [tlačená forma] </t>
  </si>
  <si>
    <t xml:space="preserve">Úvod / Debnár, Marek [Autor, UKFFFAKAE 06.2022, 100%] ; Pragmatické dimenzie umenia a estetiky [19.09.2017-21.09.2017, Bratislava, Slovensko]. – text. – [slovenčina]. – [OV 020]. – [iný] In: Pragmatické dimenzie umenia a estetiky [textový dokument (print)] : zborník príspevkov z medzinárodnej konferencie Pragmatické dimenzie umenia a estetiky, ktorá sa konala v dňoch 19. až 21. septembra 2017 / Pašteková, Michaela [Zostavovateľ, editor] ; Debnár, Marek [Zostavovateľ, editor]. – 1. vyd. – Bratislava (Slovensko) : Slovenská asociácia pre estetiku, 2018. – ISBN 978-80-972624-1-9, s. 9-12 [tlačená forma] </t>
  </si>
  <si>
    <t xml:space="preserve">Úvod / Hečková, Janka [Autor, UKFFFAKHI, 100%]. – text. – [slovenčina]. – [OV 030]. – [iný] In: Úvahy o histórii alebo povedz mi, čo čítaš [textový dokument (print)] / Palárik, Miroslav [Zostavovateľ, editor] ; Hečková, Janka [Zostavovateľ, editor]. – 1. vyd. – Nitra (Slovensko) : Univerzita Konštantína Filozofa v Nitre, 2018. – ISBN 978-80-558-1297-7, s. 5-10 [tlačená forma] </t>
  </si>
  <si>
    <t xml:space="preserve">Úvod : onemocnění vulvy / Mlynček, Miloš [Autor, UKFFSVKOS, 100%]. – text. – [čeština]. – [OV 180]. – [iný] In: Moderní gynekologie a porodnictví [textový dokument (print)] : časopis pro celoživotní vzdělávání lékařů. – Praha (Česko) : Levret. – ISSN 1211-1058. – Roč. 28, č. 2 (2021), s. 200-201 [tlačená forma] </t>
  </si>
  <si>
    <t xml:space="preserve">Úvod [k zborníku Imagológia ako výskum obrazov kultúry (k reflexii etnických stereotypov krajín V4)] / Zelenka, Miloš [Autor, UKFFSSUSJ, 50%] ; Tkáč-Zabáková, Lenka [Autor, UKFFSSUSJ, 50%] ; Gbúr, Ján [Recenzent] ; Kučera, Petr [Recenzent]. – text. – [slovenčina]. – [OV 020]. – [iný] In: Imagológia ako výskum obrazov kultúry [textový dokument (print)] : (k reflexii etnických stereotypov krajín V4) / Zelenka, Miloš [Zostavovateľ, editor] ; Tkáč-Zabáková, Lenka [Zostavovateľ, editor]. – 1. vyd. – Nitra (Slovensko) : Univerzita Konštantína Filozofa v Nitre, 2018. – ISBN 978-80-558-1294-6, s. 5-6 [tlačená forma] </t>
  </si>
  <si>
    <t xml:space="preserve">Úvod [Kontextuálna analýza princípu náboženskej a etickej neutrality štátu] / Korený, Peter [Autor, UKFFFAKAE 06.2022, 100%]. – [slovenčina]. – [OV 020]. – [iný] In: Kontextuálna analýza princípu náboženskej a etickej neutrality štátu [textový dokument (print)] / Korený, Peter [Zostavovateľ, editor] ; Plašienková, Zlatica [Recenzent] ; Diatka, Cyril [Recenzent]. – 1. vyd. – Nitra (Slovensko) : Univerzita Konštantína Filozofa v Nitre, 2019. – ISBN 978-80-558-1495-7, s. 7-12 </t>
  </si>
  <si>
    <t xml:space="preserve">Úvod [ku knihe Od demokracie k autoritárstvu] / Arpáš, Róbert [Autor, UKFFFAKHI, 100%]. – text. – [slovenčina]. – [OV 030]. – [iný] In: Od demokracie k autoritárstvu. Ponitrie v období autonómie (1938 – 1939) [textový dokument (print)] [elektronický dokument] / Arpáš, Róbert [Zostavovateľ, editor] ; Ruman, Ladislav [Recenzent] ; Mičko, Peter [Recenzent]. – 1. vyd. – Nitra (Slovensko) : Univerzita Konštantína Filozofa v Nitre, 2021. – ISBN 978-80-558-1672-2, s. 5-9 [tlačená forma] [online] </t>
  </si>
  <si>
    <t xml:space="preserve">Úvod [Stredoveké hrady na strednom Pohroní] / Beljak Pažinová, Noémi [Autor, UKFFFAKAR, 100%]. – text. – [slovenčina]. – [OV 030]. – [iný] In: Stredoveké hrady na strednom Pohroní [textový dokument (print)] / Beljak Pažinová, Noémi [Zostavovateľ, editor] ; Mordovin, Maxim [Recenzent] ; Labuda, Jozef [Recenzent]. – 1. vyd. – Nitra (Slovensko) : Slovenská akadémia vied. Pracoviská SAV. Archeologický ústav, 2021. – ISBN 978-80-8196-052-9, s. 5-6 [tlačená forma] </t>
  </si>
  <si>
    <t xml:space="preserve">V hudobnom pavilóne tradičné jedlá aj piesne : novinkou tohto ročníka boli prezentácie regionálnych výrobcov a ich produktov. V závere nechýbala degustácia jedál, ktoré pripravili študenti / Černáková, Jana [Autor, UKFREKTOR, 100%]. – text. – [slovenčina]. – [OV 060]. – [iný] In: Náš čas [textový dokument (print)] : časopis Univerzity Konštatnína Filozofa v Nitre. – Nitra (Slovensko) : Univerzita Konštantína Filozofa v Nitre. – ISSN 1338-3272. – Roč. 24, č. 1 (2020), s. 20-21 [tlačená forma] </t>
  </si>
  <si>
    <t xml:space="preserve">V IT tábore deti "omladli" / Valovičová, Ľubomíra [Autor, UKFFPVKFY, 34%] ; Ondruška, Ján [Autor, UKFFPVKFY, 33%] ; Cápay, Martin [Autor, UKFFPVKIN, 33%]. – text. – [slovenčina]. – [OV 010]. – [iný] In: Náš čas [textový dokument (print)] : časopis Univerzity Konštatnína Filozofa v Nitre. – Nitra (Slovensko) : Univerzita Konštantína Filozofa v Nitre. – ISSN 1338-3272. – Roč. 24, č. 4 (2020), s. 34-35 [tlačená forma] </t>
  </si>
  <si>
    <t xml:space="preserve">V labirinte kosodreviny / Krno, Svetozár [Autor, UKFFFAKPO, 100%]. – [slovenčina]. – [OV 060]. – [iný] In: Civitas [textový dokument (print)] : časopis pre politické a sociálne vedy. – Nitra (Slovensko) : Univerzita Konštantína Filozofa v Nitre. Filozofická fakulta. Katedra politológie a euroázijských štúdií. – ISSN 1335-2652. – Roč. 25, č. 57 - 2 (2019), s. 1-1 [tlačená forma] </t>
  </si>
  <si>
    <t xml:space="preserve">V roku 2018 promovali noví gemológovia / Štubňa, Ján [Autor, UKFFPVGMU, 100%]. – text. – [slovenčina]. – [OV 092]. – [iný] In: Gemologický spravodajca [textový dokument (print)] : časopis gemológov pri FPV UKF v Nitre. – Nitra (Slovensko) : Univerzita Konštantína Filozofa v Nitre. Fakulta prírodných vied. – ISSN 1337-6136. – ISSN (online) 1338-5275. – Roč. 8, č. 1 (2018), s. 34-34 [tlačená forma] </t>
  </si>
  <si>
    <t xml:space="preserve">V roku 2019 promovali noví gemológovia / Štubňa, Ján [Autor, UKFFPVGMU, 100%]. – text. – [slovenčina]. – [OV 092]. – [iný] In: Gemologický spravodajca [textový dokument (print)] : časopis gemológov pri FPV UKF v Nitre. – Nitra (Slovensko) : Univerzita Konštantína Filozofa v Nitre. Fakulta prírodných vied. – ISSN 1337-6136. – ISSN (online) 1338-5275. – Roč. 9, č. 1 (2019), s. 34-35 [tlačená forma] </t>
  </si>
  <si>
    <t xml:space="preserve">V termolaboratóriu o materiáloch / Černáková, Jana [Autor, UKFREKTOR, 100%]. – text. – [slovenčina]. – [OV 010]. – [iný] In: Náš čas [textový dokument (print)] : časopis Univerzity Konštatnína Filozofa v Nitre. – Nitra (Slovensko) : Univerzita Konštantína Filozofa v Nitre. – ISSN 1338-3272. – Roč. 24, č. 1 (2020), s. 10-10 [tlačená forma] </t>
  </si>
  <si>
    <t xml:space="preserve">Večný mier nie je samozejmosťou / Krno, Svetozár [Autor, UKFFFAKPO, 100%]. – text. – [slovenčina]. – [OV 060]. – [iný] In: Civitas [textový dokument (print)] : časopis pre politické a sociálne vedy. – Nitra (Slovensko) : Univerzita Konštantína Filozofa v Nitre. Filozofická fakulta. Katedra politológie a euroázijských štúdií. – ISSN 1335-2652. – Roč. 24, č. 54 - 1 (2018), s. 1-2 [tlačená forma] </t>
  </si>
  <si>
    <t xml:space="preserve">Vedecká konferencia Charakter a vývoj nezávislej kultúry a umenia na Slovensku po roku 1989 : správa / Valková, Lucia [Autor, UKFFFAKKU, 100%]. – [slovenčina]. – [OV 010]. – [iný] In: Culturologica Slovaca [elektronický dokument] / Palitefka, Jozef [Zostavovateľ, editor]. – 1. vyd. – Roč. 4. – Nitra (Slovensko) : Univerzita Konštantína Filozofa v Nitre, 2019. – ISSN 2453-9740, s. 205-208 [online] </t>
  </si>
  <si>
    <t xml:space="preserve">Vedecká rada schválila štatút rady kvality UKF / Duchovičová, Jana [Autor, UKFPFAKPE, 100%]. – text. – [slovenčina]. – [OV 010]. – [iný] In: Náš čas [textový dokument (print)] : časopis Univerzity Konštatnína Filozofa v Nitre. – Nitra (Slovensko) : Univerzita Konštantína Filozofa v Nitre. – ISSN 1338-3272. – Roč. 25, č. 2 (2021), s. 4-4 [tlačená forma] </t>
  </si>
  <si>
    <t xml:space="preserve">Venovali sa téme rizík v súčasnej spoločnosti : na medzinárodnej konferencii, ktorú organizovala Katedra sociológie FF UKF, vystúpilo 16 prednášajúcich a zúčastnilo sa viac než 120 účastníkov / Zozuľaková, Viera [Autor, UKFFFAKSO, 100%]. – text. – [slovenčina]. – [OV 060]. – [iný] In: Náš čas [textový dokument (print)] : časopis Univerzity Konštatnína Filozofa v Nitre. – Nitra (Slovensko) : Univerzita Konštantína Filozofa v Nitre. – ISSN 1338-3272. – Roč. 25, č. 2 (2021), s. 42-42 [tlačená forma] </t>
  </si>
  <si>
    <t xml:space="preserve">Videokonferencia o novom kurikule náboženskej výchovy / Lyko, Miroslav [Autor, UKFFFAKNS, 100%]. – text. – [slovenčina]. – [OV 020, 010]. – [iný] In: Náš čas [textový dokument (print)] : časopis Univerzity Konštatnína Filozofa v Nitre. – Nitra (Slovensko) : Univerzita Konštantína Filozofa v Nitre. – ISSN 1338-3272. – Roč. 25, č. 2 (2021), s. 7-7 [tlačená forma] </t>
  </si>
  <si>
    <t xml:space="preserve">Videos for Foreign Language Learning: Cognition and Emotion / Kamenická, Jana [Autor, UKFPFAKLI, 100%] ; ICEPS 2021, 8 [26.05.2021-26.05.2021, Fukuoka, Japonsko]. – text. – [angličtina]. – [OV 010]. – [iný] In: ICEPS 2021 [elektronický dokument] : 8th International Conference on Education and Psychological Sciences, Fukuoa January 29-31, 2021 / [bez zostavovateľa] [Zostavovateľ, editor]. – 1. vyd. – Fukuoka (Japonsko) : Nishinippon Institute of Technology, 2021, s. 44-44 </t>
  </si>
  <si>
    <t xml:space="preserve">Vietnam sa otvára spolupráci / Valčo, Michal [Autor, UKFFFAKAE 06.2022, 100%]. – text. – [slovenčina]. – [OV 020]. – [iný] In: Náš čas [textový dokument (print)] : časopis Univerzity Konštatnína Filozofa v Nitre. – Nitra (Slovensko) : Univerzita Konštantína Filozofa v Nitre. – ISSN 1338-3272. – Roč. 22, č. 2 (2018), s. 39-39 [tlačená forma] </t>
  </si>
  <si>
    <t xml:space="preserve">Virtuálna ŠVOK na FSVaZ / Líšková, Miroslava [Autor, UKFFSVKOS, 100%]. – [slovenčina]. – [OV 180]. – [iný] In: Náš čas [textový dokument (print)] : časopis Univerzity Konštatnína Filozofa v Nitre. – Nitra (Slovensko) : Univerzita Konštantína Filozofa v Nitre. – ISSN 1338-3272. – Roč. 24, č. 3 (2020), s. 27-27 [tlačená forma] </t>
  </si>
  <si>
    <t xml:space="preserve">Vláda tmy [textový dokument (print)]  [iný] : bulletin k inscenácii / Mihalová, Lucia [Zostavovateľ, editor, UKFFFAULK, 100%]. – 1. vyd. – Trnava (Slovensko) : Divadlo Jána Palárika v Trnave, 2018. – 36 s. [tlačená forma] : text. – [slovenčina]. – [OV 020] </t>
  </si>
  <si>
    <t xml:space="preserve">Vladimír Bokes: „Slabé skladby ešte nikdy v histórii škandál nespôsobili.“ / Veselý, Ondrej [Autor interview, UKFFFAULK, 50%] ; Bokes, Vladimír [Autor účastník interview, 50%]. – text. – [slovenčina]. – [OV 010]. – [iný] In: Hudobný život [textový dokument (print)] [elektronický dokument] : jediný odborný mesačník pre klasickú hudbu a jazz na Slovensku. – Bratislava (Slovensko) : Hudobné centrum. – ISSN 1335-4140. – ISSN (online) 2729-7586. – ISSN (zrušené) 0323-133X. – Roč. 51, č. 6 (2019), s. 3-3 [tlačená forma] [online] </t>
  </si>
  <si>
    <t xml:space="preserve">Vplyv osobnostných premenných na osvojovanie si cudzieho jazyka [textový dokument (print)]  [iný] : inauguračné prednášky / Stranovská, Eva [Autor, UKFFFAKGE, 100%]. – 1. vyd. – Nitra (Slovensko) : Univerzita Konštantína Filozofa v Nitre, 2020. – 56 s. [tlačená forma] : text. – [slovenčina]. – [OV 010]. – ISBN 978-80-558-1528-2 </t>
  </si>
  <si>
    <t xml:space="preserve">Vyberte sa s nami na matematické prechádzky / Čeretková, Soňa [Autor, UKFFPVKMA, 100%]. – text. – [slovenčina]. – [OV 010]. – [iný] In: Náš čas [textový dokument (print)] : časopis Univerzity Konštatnína Filozofa v Nitre. – Nitra (Slovensko) : Univerzita Konštantína Filozofa v Nitre. – ISSN 1338-3272. – Roč. 24, č. 3 (2020), s. 39-39 [tlačená forma] </t>
  </si>
  <si>
    <t xml:space="preserve">Výmenné pobyty v rámci sociálnej práce : myšlienkou a cieľom siete je nielen zintenzívniť bilaterálnu výmenu, ale vytvoriť širšiu sieť európskych univerzitných škôl sociálnej práce / Mojtová, Martina [Autor, UKFFSVKSP, 100%]. – text. – [slovenčina]. – [OV 060]. – [iný] In: Náš čas [textový dokument (print)] : časopis Univerzity Konštatnína Filozofa v Nitre. – Nitra (Slovensko) : Univerzita Konštantína Filozofa v Nitre. – ISSN 1338-3272. – Roč. 23, č. 2 (2019), s. 14-14 [tlačená forma] </t>
  </si>
  <si>
    <t xml:space="preserve">Výňatky z pamäti na moje deväťdesiate / Fuják, Július [Autor, UKFFFAKKU, 100%]. – text. – [slovenčina]. – [OV 020]. – [iný] In: Vlna [textový dokument (print)] : časopis o súčasnom umení a kultúre. – Bratislava (Slovensko) : Drewo a srd. – ISSN 1335-5341. – ISSN (chybné) ISSN 1335-969X. – Roč. 21, č. 78 (2019), s. 118-120 [tlačená forma] </t>
  </si>
  <si>
    <t xml:space="preserve">Výpočtová štatistika 2019 [textový dokument (print)]  [iný] : zborník abstraktov z 28. medzinárodného vedeckého seminára Výpočtová štatistika 2019  a z konferencie Prehliadka prác mladých štatistikov a demografov 2019 konaných v Bratislave v dňoch 5. – 6. decembra 2019 / Stankovičová, Iveta [Zostavovateľ, editor, UKOMAKIS, 50%] ; Medová, Janka [Zostavovateľ, editor, UKFFPVKMA, 50%] ; Výpočtová štatistika 2019, 28 [05.12.2019-06.12.2019, Bratislava, Slovensko]. – 1. vyd. – Bratislava (Slovensko) : Slovenská štatistická a demografická spoločnosť, 2019. – 30 s. [tlačená forma] : text. – [slovenčina]. – [OV 240, 080]. – ISBN 978-80-88946-87-8 </t>
  </si>
  <si>
    <t xml:space="preserve">Výskum stredovekého baníctva v okolí Nitrianskeho Pravna / Žabenský, Marián [Autor, UKFFFAKMK, 100%]. – text. – [slovenčina]. – [OV 060]. – [iný] In: Argenti Fodina 2020 [elektronický dokument] / Harvan, Daniel [Zostavovateľ, editor] ; Labuda, Jozef [Zostavovateľ, editor] ; Jeleň, Stanislav [Recenzent] ; Kapustka, Katarína [Recenzent] ; Laučík, Peter [Recenzent]. – 1. vyd. – Banská Štiavnica (Slovensko) : Slovenské banské múzeum, 2021. – ISBN 978-80-85579-59-8, s. 12-12 [online] [DVD] </t>
  </si>
  <si>
    <t xml:space="preserve">Výskumná spolupráca s fínskou univerzitou / Solgajová, Andrea [Autor, UKFFSVKOS, 100%]. – text. – [slovenčina]. – [OV 010]. – [iný] In: Náš čas [textový dokument (print)] : časopis Univerzity Konštatnína Filozofa v Nitre. – Nitra (Slovensko) : Univerzita Konštantína Filozofa v Nitre. – ISSN 1338-3272. – Roč. 24, č. 2 (2020), s. 31-31 [tlačená forma] </t>
  </si>
  <si>
    <t xml:space="preserve">Výskumné laboratóriá / Krajčovičová, Jana [Autor, UKFREKTOR, 100%]. – text. – [slovenčina]. – [OV 010]. – [iný] In: Náš čas [textový dokument (print)] : časopis Univerzity Konštatnína Filozofa v Nitre. – Nitra (Slovensko) : Univerzita Konštantína Filozofa v Nitre. – ISSN 1338-3272. – Roč. 22, č. 2 (2018), s. 35-35 [tlačená forma] </t>
  </si>
  <si>
    <t xml:space="preserve">Vyvčenna rys schidnopoliskoho hovoru pivničnoho naričča na materiali etnohrafičnych zapysiv XIX st. [textový dokument (print)]  [iný] : navčal’no-metodyčny posibnyk / Kumeda, Olena [Autor, UKFFFAKRU, 100%]. – 1. vyd. – Sumy (Ukrajina) : SumDPU, 2018. – 67 s. [tlačená forma] : text. – [ukrajinčina]. – [OV 020] </t>
  </si>
  <si>
    <t xml:space="preserve">Významné publikačné ohlasy v oblasti gemológie / Štubňa, Ján [Autor, UKFFPVGMU, 100%]. – text. – [slovenčina]. – [OV 092]. – [iný] In: Gemologický spravodajca [textový dokument (print)] : časopis gemológov pri FPV UKF v Nitre. – Nitra (Slovensko) : Univerzita Konštantína Filozofa v Nitre. Fakulta prírodných vied. – ISSN 1337-6136. – ISSN (online) 1338-5275. – Roč. 9, č. 1 (2019), s. 37-38 [tlačená forma] </t>
  </si>
  <si>
    <t xml:space="preserve">Výzvou je pre mňa zvrchovaná báseň s významnými ľudskými obsahmi : rozhovor s Jánom Zamborom / Teplan, Dušan [Autor interview, UKFFFASJL, 50%] ; Zambor, Ján [Autor účastník interview, 50%]. – text. – [slovenčina]. – [OV 020]. – [iný] In: Poetika poézie a jej prekladu [textový dokument (print)] : venované životnému výročiu básnika, literárneho vedca a prekladateľa Jána Zambora / Bokníková, Andrea [Zostavovateľ, editor] ; Tollarovič, Peter [Zostavovateľ, editor] ; Hochel, Igor [Recenzent] ; Hermida de Blas, Alejandro [Recenzent]. – 1. vyd. – Bratislava (Slovensko) : Univerzita Komenského v Bratislave, 2018. – ISBN 978-80-223-4638-2. – SIGN-UKO FI 44/18 SL, s. 399-424 [tlačená forma] </t>
  </si>
  <si>
    <t xml:space="preserve">Vzdelanie o holokauste – holokaust vo vzdelaní / Tkáč-Zabáková, Lenka [Autor, UKFFSSUSJ, 100%]. – text. – [slovenčina]. – [OV 030, 010]. – [iný] In: Náš čas [textový dokument (print)] : časopis Univerzity Konštatnína Filozofa v Nitre. – Nitra (Slovensko) : Univerzita Konštantína Filozofa v Nitre. – ISSN 1338-3272. – Roč. 23, č. 1 (2019), s. 11-11 [tlačená forma] </t>
  </si>
  <si>
    <t xml:space="preserve">Wirkliche Solidarität lässt sich nicht einfach erklicken = Real solidarity doesn ́t come with a simple click / Vergeiner, Elisabeth [Autor, UKFFFAKGE, 100%]. – text. – [nemčina]. – [OV 010]. – [iný] In: 81 Sprüche zur Enthärtung unserer Welt [textový dokument (print)] / [bez zostavovateľa] [Zostavovateľ, editor]. – 1. vyd. – berlín (Nemecko) : Schibri Verlag, 2021. – ISBN 978-3-86863-227-9, s. 182-183 </t>
  </si>
  <si>
    <t xml:space="preserve">Workshop o viac ako ročnej skúsenosti s on-line výučbou / Jakubovská, Viera [Autor, UKFFFAKFI, 100%]. – text. – [slovenčina]. – [OV 020]. – [iný] In: Mládež a spoločnosť [textový dokument (print)] : slovenský časopis pre štátnu politiku a výskum mládeže = Slovak journal for state policy and youth research. – Bratislava (Slovensko) : Centrum vedecko-technických informácií SR. – ISSN 1335-1109. – Roč. 27, č. 2 (2021), s. 72-73 [tlačená forma] </t>
  </si>
  <si>
    <t xml:space="preserve">Z lásky k mame... / Lesková, Andrea [Autor, UKFFFAKAE 06.2022, 100%]. – text. – [slovenčina]. – [OV 020]. – [iný] In: Slovenské pohľady [textový dokument (print)] : na literatúru, umenie a vedu. – Bratislava (Slovensko) : Slovenský spisovateľ, Martin (Slovensko) : Matica slovenská, Bratislava (Slovensko) : Zväz slovenských spisovateľov. – ISSN 1335-7786. – Roč. 4+136, č. 5 (2020), s. 7-8 [tlačená forma] </t>
  </si>
  <si>
    <t xml:space="preserve">Za Jankom Kuciakom : (* 17. máj 1990 – † 21. február 2018) / Antošová, Marcela [Autor, UKFFFAKZU, 100%]. – text. – [slovenčina]. – [OV 020]. – [iný] In: Náš čas [textový dokument (print)] : časopis Univerzity Konštatnína Filozofa v Nitre. – Nitra (Slovensko) : Univerzita Konštantína Filozofa v Nitre. – ISSN 1338-3272. – Roč. 22, č. 2 (2018), s. 31-32 [tlačená forma] </t>
  </si>
  <si>
    <t xml:space="preserve">Za Martinou Kušnírovou : (* 3. apríl 1990 – † 21. február 2018) / Beljak Pažinová, Noémi [Autor, UKFFFAKAR, 100%]. – text. – [slovenčina]. – [OV 020]. – [iný] In: Náš čas [textový dokument (print)] : časopis Univerzity Konštatnína Filozofa v Nitre. – Nitra (Slovensko) : Univerzita Konštantína Filozofa v Nitre. – ISSN 1338-3272. – Roč. 22, č. 2 (2018), s. 30-30 [tlačená forma] </t>
  </si>
  <si>
    <t xml:space="preserve">Za príkladmi dobrej praxe / Kóňová, Terézia [Autor, 34%] ; Šranková, Monika [Autor, 33%] ; Kramáreková, Hilda [Autor, UKFFPVKGR, 33%]. – text. – [slovenčina]. – [OV 010]. – [iný] In: Náš čas [textový dokument (print)] : časopis Univerzity Konštatnína Filozofa v Nitre. – Nitra (Slovensko) : Univerzita Konštantína Filozofa v Nitre. – ISSN 1338-3272. – Roč. 22, č. 1 (2018), s. 58-59 [tlačená forma] </t>
  </si>
  <si>
    <t xml:space="preserve">Za profesorom Ľubomírom Chalupkom / Fuják, Július [Autor, UKFFFAKKU, 100%]. – text. – [slovenčina]. – [OV 020]. – [iný] In: Slovenská hudba [textový dokument (print)] : revue pre hudobnú kultúru. – Bratislava (Slovensko) : Slovenská muzikologická asociácia pri Slovenskej hudobnej únii. – ISSN 1335-2458. – ISSN (zrušené) 0037-6965. – Roč. 46, č. 2 (2020), s. 99-100 [tlačená forma] </t>
  </si>
  <si>
    <t xml:space="preserve">Za profesorom Michalovcom / Hetényi, Martin [Autor, UKFFFAUKD, 50%] ; Ivanič, Peter [Autor, UKFFFAUKD, 50%]. – [slovenčina]. – [OV 020]. – [iný] In: Konštantínove listy [textový dokument (print)] [elektronický dokument] . – Nitra (Slovensko) : Univerzita Konštantína Filozofa v Nitre. Filozofická fakulta. Ústav pre výskum kultúrneho dedičstva Konštantína a Metoda. – ISSN 1337-8740. – ISSN (online) 2453-7675. – Roč. 11, č. 1 (2018), s. 164-165 [tlačená forma] [online] . – SNIP: 0,941 ; SJR: 0,542 ; CiteScore: 1,1 Scimago - History - Q1, Philosophy - Q1, Religious studies - Q1 </t>
  </si>
  <si>
    <t xml:space="preserve">Za zábermi cestoval do Ghany i Bangladéša / Černáková, Jana [Autor, UKFREKTOR, 100%]. – text. – [slovenčina]. – [OV 020]. – [iný] In: Náš čas [textový dokument (print)] : časopis Univerzity Konštatnína Filozofa v Nitre. – Nitra (Slovensko) : Univerzita Konštantína Filozofa v Nitre. – ISSN 1338-3272. – Roč. 24, č. 1 (2020), s. 38-39 [tlačená forma] </t>
  </si>
  <si>
    <t xml:space="preserve">Zabudnutá avantgarda / Teplan, Dušan [Autor, UKFFFASJL, 100%]. – text. – [slovenčina]. – [OV 020]. – [iný] In: Fraktál [textový dokument (print)] : literatúra horizontálne a vertikálne. – Závod (Slovensko) : Fraktál. – ISSN 2585-8912. – Roč. 1, č. 1 (2018), s. 78-78 [tlačená forma] </t>
  </si>
  <si>
    <t xml:space="preserve">Zasadnutie vedeckej rady UKF sa konalo online / Bauerová, Mária [Autor, UKFFPVKBG, 100%]. – text. – [slovenčina]. – [OV 010]. – [iný] In: Náš čas [textový dokument (print)] : časopis Univerzity Konštatnína Filozofa v Nitre. – Nitra (Slovensko) : Univerzita Konštantína Filozofa v Nitre. – ISSN 1338-3272. – Roč. 25, č. 2 (2021), s. 3-3 [tlačená forma] </t>
  </si>
  <si>
    <t xml:space="preserve">Záver / Hečková, Janka [Autor, UKFFFAKHI, 100%]. – text. – [slovenčina]. – [OV 030]. – [iný] In: Úvahy o histórii alebo povedz mi, čo čítaš [textový dokument (print)] / Palárik, Miroslav [Zostavovateľ, editor] ; Hečková, Janka [Zostavovateľ, editor]. – 1. vyd. – Nitra (Slovensko) : Univerzita Konštantína Filozofa v Nitre, 2018. – ISBN 978-80-558-1297-7, s. 154-154 [tlačená forma] </t>
  </si>
  <si>
    <t xml:space="preserve">Záver [ku knihe Od demokracie k autoritárstvu] / Arpáš, Róbert [Autor, UKFFFAKHI, 100%]. – text. – [slovenčina]. – [OV 030]. – [iný] In: Od demokracie k autoritárstvu. Ponitrie v období autonómie (1938 – 1939) [textový dokument (print)] [elektronický dokument] / Arpáš, Róbert [Zostavovateľ, editor] ; Ruman, Ladislav [Recenzent] ; Mičko, Peter [Recenzent]. – 1. vyd. – Nitra (Slovensko) : Univerzita Konštantína Filozofa v Nitre, 2021. – ISBN 978-80-558-1672-2, s. 149-152 [tlačená forma] [online] </t>
  </si>
  <si>
    <t xml:space="preserve">Zlato z majstrovstiev SR pre našich študentov : v športovom zápolení sa šťastie usmialo na Dávida Mazúcha, študenta učiteľstva telesnej výchovy a etickej výchovy, a Simonu Takácsovú, študentku žurnalistiky. Obaja si odniesli po dve medaily,  dvakrát aj z toho najcennejšieho kovu / Kamenická, Tímea [Autor, REKTOR, 100%]. – text. – [slovenčina]. – [OV 010]. – [iný] In: Náš čas [textový dokument (print)] : časopis Univerzity Konštatnína Filozofa v Nitre. – Nitra (Slovensko) : Univerzita Konštantína Filozofa v Nitre. – ISSN 1338-3272. – Roč. 24, č. 2 (2020), s. 40-41 [tlačená forma] </t>
  </si>
  <si>
    <t xml:space="preserve">Zloženie našej fauny / Krumpálová, Zuzana [Autor, UKFFPVKEE, 100%]. – [slovenčina]. – [OV 100]. – [iný] In: Veľká kniha živočíchov [textový dokument (print)] / Krumpál, Miroslav [Zostavovateľ, editor]. – 6. preprac. vyd. – Bratislava (Slovensko) : Ikar, 2019. – ISBN 978-80-551-6883-8, s. 27-28 [tlačená forma] </t>
  </si>
  <si>
    <t xml:space="preserve">Známa česká teoretička výchovy na UKF : [Zuzana  Svobodová] / Blaščíková, Andrea [Autor, UKFFFAKNS, 100%]. – text. – [slovenčina]. – [OV 010]. – [iný] In: Náš čas [textový dokument (print)] : časopis Univerzity Konštatnína Filozofa v Nitre. – Nitra (Slovensko) : Univerzita Konštantína Filozofa v Nitre. – ISSN 1338-3272. – Roč. 24, č. 2 (2020), s. 39-39 [tlačená forma] </t>
  </si>
  <si>
    <t xml:space="preserve">Zo spomienok kolegov : na významnú vedeckú a pedagogickú osobnosť [Peter Liba] / Černáková, Jana [Autor, UKFREKTOR, 50%] ; Lauková, Silvia [Autor, UKFFFASJL, 50%]. – text. – [slovenčina]. – [OV 010]. – [iný] In: Náš čas [textový dokument (print)] : časopis Univerzity Konštatnína Filozofa v Nitre. – Nitra (Slovensko) : Univerzita Konštantína Filozofa v Nitre. – ISSN 1338-3272. – Roč. 24, č. 4 (2020), s. 6-9 [tlačená forma] </t>
  </si>
  <si>
    <t xml:space="preserve">Zomrel doc. Ing. Ivan Hečko, CSc. / Hegyi, Elena [Autor, UKFFFAKHI, 50%] ; Hečková, Janka [Autor, UKFFFAKHI, 50%]. – text. – [slovenčina]. – [OV 030]. – [iný] In: Múzeum [textový dokument (print)] : Metodický , študijný a  informačný recenzovaný časopis pre zamestnancov múzeí a galérií. – Bratislava (Slovensko) : Slovenské národné múzeum. – ISSN 0027-5263. – Roč. 64, č. 1 (2018), s. 54-54 [tlačená forma] </t>
  </si>
  <si>
    <t xml:space="preserve">Žatva ocenení : študenti Katedry hudby uspeli na interpretačnej súťaži v Čechách / Štrbák, Marek [Autor, UKFPFAKHU, 100%]. – text. – [slovenčina]. – [OV 010]. – [iný] In: Náš čas [textový dokument (print)] : časopis Univerzity Konštatnína Filozofa v Nitre. – Nitra (Slovensko) : Univerzita Konštantína Filozofa v Nitre. – ISSN 1338-3272. – Roč. 22, č. 2 (2018), s. 36-36 [tlačená forma] </t>
  </si>
  <si>
    <t xml:space="preserve">Židovská menšina v kontexte strednej Európy (editoriál) = The Jewish Minority in the Context of Central Europe (Editorial) / Hrbáček, Magdaléna [Autor, UKFFSSUSJ, 50%] ; Hrešková, Sylvia [Autor, UKFFSSUSJ, 50%]. – [slovenčina]. – [OV 020]. – [iný] In: Stredoeurópske pohľady [textový dokument (print)] [elektronický dokument] : časopis pre jazyk, literatúru, kultúru a médiá. – Nitra (Slovensko) : Univerzita Konštantína Filozofa v Nitre. Fakulta stredoeurópskych štúdií. Ústav stredoeurópskych jazykov a kultúr. – ISSN 2644-6367. – ISSN (online) 2644-6472. – Roč. 3, č. 2 (2021), s. 3-3 [tlačená forma] [online] </t>
  </si>
  <si>
    <t xml:space="preserve">Židovský kultúrny fenomén v strednej Európe (editoriál) = Jewish Cultural Phenomenon in Central Europe (Editorial) / Hlavinová Tekeliová, Dominika [Autor, UKFFSSUSJ, 50%] ; Žilka, Tibor [Autor, UKFFSSUSJ, 50%]. – text. – [slovenčina]. – [OV 020]. – [iný] In: Stredoeurópske pohľady [textový dokument (print)] [elektronický dokument] : časopis pre jazyk, literatúru, kultúru a médiá. – Nitra (Slovensko) : Univerzita Konštantína Filozofa v Nitre. Fakulta stredoeurópskych štúdií. Ústav stredoeurópskych jazykov a kultúr. – ISSN 2644-6367. – ISSN (online) 2644-6472. – Roč. 1, č. 2 (2019), s. 2-3 [tlačená forma] [online] </t>
  </si>
  <si>
    <t xml:space="preserve">Život s otcom je už prežitý a mal obrovskú cenu / Veselý, Ondrej [Autor interview, UKFFFAULK, 50%] ; Malovec, Pavol [Autor účastník interview, 50%]. – text. – [slovenčina]. – [OV 010]. – [iný] In: Hudobný život [textový dokument (print)] [elektronický dokument] : jediný odborný mesačník pre klasickú hudbu a jazz na Slovensku. – Bratislava (Slovensko) : Hudobné centrum. – ISSN 1335-4140. – ISSN (online) 2729-7586. – ISSN (zrušené) 0323-133X. – Roč. 51, č. 1-2 (2019), s. 2-2 [tlačená forma] [online]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</si>
</sst>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charset val="238"/>
      <scheme val="minor"/>
    </font>
    <font>
      <sz val="10"/>
      <name val="Arial"/>
      <family val="2"/>
      <charset val="238"/>
    </font>
    <font>
      <b/>
      <sz val="11"/>
      <color theme="1"/>
      <name val="Calibri"/>
      <family val="2"/>
      <charset val="238"/>
      <scheme val="minor"/>
    </font>
    <font>
      <b/>
      <sz val="22"/>
      <color rgb="FF333333"/>
      <name val="Arial"/>
      <family val="2"/>
      <charset val="238"/>
    </font>
    <font>
      <sz val="11"/>
      <color rgb="FF010000"/>
      <name val="Calibri"/>
      <family val="2"/>
      <charset val="238"/>
      <scheme val="minor"/>
    </font>
  </fonts>
  <fills count="5">
    <fill>
      <patternFill patternType="none"/>
    </fill>
    <fill>
      <patternFill patternType="gray125"/>
    </fill>
    <fill>
      <patternFill patternType="solid">
        <fgColor theme="4" tint="0.39994506668294322"/>
        <bgColor auto="1"/>
      </patternFill>
    </fill>
    <fill>
      <patternFill patternType="solid">
        <fgColor theme="4" tint="0.59999389629810485"/>
        <bgColor auto="1"/>
      </patternFill>
    </fill>
    <fill>
      <patternFill patternType="solid">
        <fgColor rgb="FFA6CAF0"/>
        <bgColor rgb="FF010000"/>
      </patternFill>
    </fill>
  </fills>
  <borders count="1">
    <border>
      <left/>
      <right/>
      <top/>
      <bottom/>
      <diagonal/>
    </border>
  </borders>
  <cellStyleXfs count="2">
    <xf numFmtId="0" fontId="0" fillId="0" borderId="0"/>
    <xf numFmtId="0" fontId="1" fillId="0" borderId="0"/>
  </cellStyleXfs>
  <cellXfs count="24">
    <xf numFmtId="0" fontId="0" fillId="0" borderId="0" xfId="0"/>
    <xf numFmtId="0" fontId="0" fillId="2" borderId="0" xfId="0" applyFill="1"/>
    <xf numFmtId="0" fontId="0" fillId="0" borderId="0" xfId="0"/>
    <xf numFmtId="0" fontId="0" fillId="2" borderId="0" xfId="0" applyFill="1" applyAlignment="1">
      <alignment wrapText="1"/>
    </xf>
    <xf numFmtId="0" fontId="0" fillId="0" borderId="0" xfId="0" applyAlignment="1">
      <alignment wrapText="1"/>
    </xf>
    <xf numFmtId="0" fontId="2" fillId="3" borderId="0" xfId="0" applyFont="1" applyFill="1" applyAlignment="1">
      <alignment horizontal="center" wrapText="1"/>
    </xf>
    <xf numFmtId="1" fontId="2" fillId="3" borderId="0" xfId="0" applyNumberFormat="1" applyFont="1" applyFill="1" applyAlignment="1">
      <alignment horizontal="center"/>
    </xf>
    <xf numFmtId="0" fontId="2" fillId="0" borderId="0" xfId="0" applyFont="1" applyAlignment="1">
      <alignment horizontal="right" wrapText="1"/>
    </xf>
    <xf numFmtId="1" fontId="2" fillId="2" borderId="0" xfId="0" applyNumberFormat="1" applyFont="1" applyFill="1" applyAlignment="1">
      <alignment horizontal="center" wrapText="1"/>
    </xf>
    <xf numFmtId="1" fontId="2" fillId="0" borderId="0" xfId="0" applyNumberFormat="1" applyFont="1" applyAlignment="1">
      <alignment horizontal="center" wrapText="1"/>
    </xf>
    <xf numFmtId="0" fontId="0" fillId="2" borderId="0" xfId="0" applyFont="1" applyFill="1" applyAlignment="1">
      <alignment horizontal="left" wrapText="1"/>
    </xf>
    <xf numFmtId="0" fontId="0" fillId="0" borderId="0" xfId="0" applyFont="1" applyAlignment="1">
      <alignment horizontal="left" wrapText="1"/>
    </xf>
    <xf numFmtId="0" fontId="0" fillId="2" borderId="0" xfId="0" applyFill="1" applyAlignment="1">
      <alignment horizontal="left" wrapText="1"/>
    </xf>
    <xf numFmtId="0" fontId="0" fillId="0" borderId="0" xfId="0" applyAlignment="1">
      <alignment horizontal="left" wrapText="1"/>
    </xf>
    <xf numFmtId="0" fontId="1" fillId="0" borderId="0" xfId="1"/>
    <xf numFmtId="0" fontId="2" fillId="0" borderId="0" xfId="0" applyFont="1" applyAlignment="1">
      <alignment horizontal="center" wrapText="1"/>
    </xf>
    <xf numFmtId="0" fontId="3" fillId="2" borderId="0" xfId="0" applyFont="1" applyFill="1" applyAlignment="1">
      <alignment horizontal="left" wrapText="1"/>
    </xf>
    <xf numFmtId="0" fontId="2" fillId="0" borderId="0" xfId="0" applyFont="1" applyAlignment="1">
      <alignment horizontal="left" wrapText="1"/>
    </xf>
    <xf numFmtId="0" fontId="0" fillId="0" borderId="0" xfId="0" applyFont="1" applyAlignment="1"/>
    <xf numFmtId="0" fontId="2" fillId="0" borderId="0" xfId="0" applyFont="1" applyAlignment="1">
      <alignment horizontal="right"/>
    </xf>
    <xf numFmtId="0" fontId="4" fillId="4" borderId="0" xfId="0" applyFont="1" applyFill="1"/>
    <xf numFmtId="0" fontId="2" fillId="0" borderId="0" xfId="0" applyFont="1" applyAlignment="1"/>
    <xf numFmtId="0" fontId="0" fillId="0" borderId="0" xfId="0" applyFont="1" applyAlignment="1">
      <alignment horizontal="left"/>
    </xf>
    <xf numFmtId="0" fontId="3" fillId="2" borderId="0" xfId="0" applyFont="1" applyFill="1" applyAlignment="1">
      <alignment horizontal="left" wrapText="1"/>
    </xf>
  </cellXfs>
  <cellStyles count="2">
    <cellStyle name="Normálna" xfId="0" builtinId="0"/>
    <cellStyle name="normálne_Publikačná činnosť 2004 a 2005"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Motív balíka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457"/>
  <sheetViews>
    <sheetView tabSelected="1" topLeftCell="A9449" workbookViewId="0">
      <selection activeCell="D1" sqref="D1"/>
    </sheetView>
  </sheetViews>
  <sheetFormatPr defaultColWidth="9.140625" defaultRowHeight="15" x14ac:dyDescent="0.25"/>
  <cols>
    <col min="1" max="1" width="56.85546875" style="4" customWidth="1"/>
    <col min="2" max="3" width="19.85546875" style="15" customWidth="1"/>
    <col min="4" max="4" width="132" style="4" customWidth="1"/>
    <col min="5" max="5" width="164.140625" style="4" customWidth="1"/>
    <col min="6" max="6" width="41.28515625" style="11" customWidth="1"/>
    <col min="7" max="7" width="15.42578125" style="9" customWidth="1"/>
    <col min="8" max="8" width="72.7109375" style="13" customWidth="1"/>
  </cols>
  <sheetData>
    <row r="1" spans="1:10" s="1" customFormat="1" ht="32.25" customHeight="1" x14ac:dyDescent="0.4">
      <c r="A1" s="23" t="s">
        <v>8</v>
      </c>
      <c r="B1" s="23"/>
      <c r="C1" s="16"/>
      <c r="D1" s="3" t="s">
        <v>11</v>
      </c>
      <c r="E1" s="3"/>
      <c r="F1" s="10"/>
      <c r="G1" s="8"/>
      <c r="H1" s="12"/>
    </row>
    <row r="2" spans="1:10" x14ac:dyDescent="0.25">
      <c r="A2" s="19" t="s">
        <v>7</v>
      </c>
      <c r="B2" s="22" t="s">
        <v>9</v>
      </c>
      <c r="C2" s="22"/>
      <c r="D2" s="22"/>
      <c r="E2" s="22"/>
      <c r="F2" s="18"/>
      <c r="G2" s="18"/>
      <c r="H2" s="18"/>
    </row>
    <row r="3" spans="1:10" x14ac:dyDescent="0.25">
      <c r="A3" s="7" t="s">
        <v>0</v>
      </c>
      <c r="B3" s="21" t="s">
        <v>10</v>
      </c>
      <c r="C3" s="21"/>
      <c r="D3" s="21"/>
      <c r="E3" s="21"/>
      <c r="F3" s="21"/>
      <c r="J3" s="2" t="s">
        <v>1</v>
      </c>
    </row>
    <row r="4" spans="1:10" x14ac:dyDescent="0.25">
      <c r="B4" s="17"/>
      <c r="C4" s="17"/>
    </row>
    <row r="5" spans="1:10" x14ac:dyDescent="0.25">
      <c r="A5" s="5" t="s">
        <v>6</v>
      </c>
      <c r="B5" s="6" t="s">
        <v>2</v>
      </c>
      <c r="C5" s="6" t="s">
        <v>5</v>
      </c>
      <c r="D5" s="5" t="s">
        <v>3</v>
      </c>
      <c r="E5" s="5" t="s">
        <v>4</v>
      </c>
      <c r="F5" s="14"/>
      <c r="G5" s="14"/>
      <c r="H5" s="14"/>
      <c r="I5" s="2"/>
    </row>
    <row r="6" spans="1:10" x14ac:dyDescent="0.25">
      <c r="A6" s="4" t="s">
        <v>12</v>
      </c>
      <c r="B6" s="15">
        <v>9</v>
      </c>
      <c r="I6" s="2"/>
    </row>
    <row r="7" spans="1:10" ht="45" x14ac:dyDescent="0.25">
      <c r="C7" s="15">
        <v>494177</v>
      </c>
      <c r="D7" s="4" t="s">
        <v>13</v>
      </c>
      <c r="E7" s="4" t="str">
        <f>HYPERLINK("https://app.crepc.sk/?fn=detailBiblioForm&amp;sid=60FA8604E60AFFFC128B3243C8")</f>
        <v>https://app.crepc.sk/?fn=detailBiblioForm&amp;sid=60FA8604E60AFFFC128B3243C8</v>
      </c>
      <c r="I7" s="2"/>
    </row>
    <row r="8" spans="1:10" ht="45" x14ac:dyDescent="0.25">
      <c r="C8" s="15">
        <v>475430</v>
      </c>
      <c r="D8" s="4" t="s">
        <v>14</v>
      </c>
      <c r="E8" s="4" t="str">
        <f>HYPERLINK("https://app.crepc.sk/?fn=detailBiblioForm&amp;sid=617ABF3FA69290793434871CBB")</f>
        <v>https://app.crepc.sk/?fn=detailBiblioForm&amp;sid=617ABF3FA69290793434871CBB</v>
      </c>
      <c r="I8" s="2"/>
    </row>
    <row r="9" spans="1:10" ht="45" x14ac:dyDescent="0.25">
      <c r="C9" s="15">
        <v>512313</v>
      </c>
      <c r="D9" s="4" t="s">
        <v>15</v>
      </c>
      <c r="E9" s="4" t="str">
        <f>HYPERLINK("https://app.crepc.sk/?fn=detailBiblioForm&amp;sid=C2C5387F66C91EC29D18AAF99D")</f>
        <v>https://app.crepc.sk/?fn=detailBiblioForm&amp;sid=C2C5387F66C91EC29D18AAF99D</v>
      </c>
      <c r="I9" s="2"/>
    </row>
    <row r="10" spans="1:10" ht="60" x14ac:dyDescent="0.25">
      <c r="C10" s="15">
        <v>461501</v>
      </c>
      <c r="D10" s="4" t="s">
        <v>16</v>
      </c>
      <c r="E10" s="4" t="str">
        <f>HYPERLINK("https://app.crepc.sk/?fn=detailBiblioForm&amp;sid=F4434308ED673541D84F4BC0F5")</f>
        <v>https://app.crepc.sk/?fn=detailBiblioForm&amp;sid=F4434308ED673541D84F4BC0F5</v>
      </c>
      <c r="I10" s="2"/>
    </row>
    <row r="11" spans="1:10" ht="60" x14ac:dyDescent="0.25">
      <c r="C11" s="15">
        <v>492729</v>
      </c>
      <c r="D11" s="4" t="s">
        <v>17</v>
      </c>
      <c r="E11" s="4" t="str">
        <f>HYPERLINK("https://app.crepc.sk/?fn=detailBiblioForm&amp;sid=D5F6245029F2FAC3B6A8F13C0F")</f>
        <v>https://app.crepc.sk/?fn=detailBiblioForm&amp;sid=D5F6245029F2FAC3B6A8F13C0F</v>
      </c>
      <c r="I11" s="2"/>
    </row>
    <row r="12" spans="1:10" ht="45" x14ac:dyDescent="0.25">
      <c r="C12" s="15">
        <v>458354</v>
      </c>
      <c r="D12" s="4" t="s">
        <v>18</v>
      </c>
      <c r="E12" s="4" t="str">
        <f>HYPERLINK("https://app.crepc.sk/?fn=detailBiblioForm&amp;sid=346931BA78C47867832D04304B")</f>
        <v>https://app.crepc.sk/?fn=detailBiblioForm&amp;sid=346931BA78C47867832D04304B</v>
      </c>
      <c r="I12" s="2"/>
    </row>
    <row r="13" spans="1:10" ht="45" x14ac:dyDescent="0.25">
      <c r="C13" s="15">
        <v>522460</v>
      </c>
      <c r="D13" s="4" t="s">
        <v>19</v>
      </c>
      <c r="E13" s="4" t="str">
        <f>HYPERLINK("https://app.crepc.sk/?fn=detailBiblioForm&amp;sid=987C43C12E015E1CAE8AE3739D")</f>
        <v>https://app.crepc.sk/?fn=detailBiblioForm&amp;sid=987C43C12E015E1CAE8AE3739D</v>
      </c>
      <c r="I13" s="2"/>
    </row>
    <row r="14" spans="1:10" ht="75" x14ac:dyDescent="0.25">
      <c r="C14" s="15">
        <v>461490</v>
      </c>
      <c r="D14" s="4" t="s">
        <v>20</v>
      </c>
      <c r="E14" s="4" t="str">
        <f>HYPERLINK("https://app.crepc.sk/?fn=detailBiblioForm&amp;sid=282A8926082B6C175D608FD4D6")</f>
        <v>https://app.crepc.sk/?fn=detailBiblioForm&amp;sid=282A8926082B6C175D608FD4D6</v>
      </c>
      <c r="I14" s="2"/>
    </row>
    <row r="15" spans="1:10" ht="60" x14ac:dyDescent="0.25">
      <c r="C15" s="15">
        <v>527018</v>
      </c>
      <c r="D15" s="4" t="s">
        <v>21</v>
      </c>
      <c r="E15" s="4" t="str">
        <f>HYPERLINK("https://app.crepc.sk/?fn=detailBiblioForm&amp;sid=13D36A8F2B69569F804556AB5F")</f>
        <v>https://app.crepc.sk/?fn=detailBiblioForm&amp;sid=13D36A8F2B69569F804556AB5F</v>
      </c>
      <c r="I15" s="2"/>
    </row>
    <row r="16" spans="1:10" ht="30" x14ac:dyDescent="0.25">
      <c r="A16" s="4" t="s">
        <v>22</v>
      </c>
      <c r="B16" s="15">
        <v>11</v>
      </c>
      <c r="I16" s="2"/>
    </row>
    <row r="17" spans="1:9" ht="90" x14ac:dyDescent="0.25">
      <c r="C17" s="15">
        <v>486757</v>
      </c>
      <c r="D17" s="4" t="s">
        <v>23</v>
      </c>
      <c r="E17" s="4" t="str">
        <f>HYPERLINK("https://app.crepc.sk/?fn=detailBiblioForm&amp;sid=BC75E240E19470701DCAE8B682")</f>
        <v>https://app.crepc.sk/?fn=detailBiblioForm&amp;sid=BC75E240E19470701DCAE8B682</v>
      </c>
      <c r="I17" s="2"/>
    </row>
    <row r="18" spans="1:9" ht="75" x14ac:dyDescent="0.25">
      <c r="C18" s="15">
        <v>486756</v>
      </c>
      <c r="D18" s="4" t="s">
        <v>24</v>
      </c>
      <c r="E18" s="4" t="str">
        <f>HYPERLINK("https://app.crepc.sk/?fn=detailBiblioForm&amp;sid=BC75E240E19470701DCBE8B682")</f>
        <v>https://app.crepc.sk/?fn=detailBiblioForm&amp;sid=BC75E240E19470701DCBE8B682</v>
      </c>
      <c r="I18" s="2"/>
    </row>
    <row r="19" spans="1:9" ht="45" x14ac:dyDescent="0.25">
      <c r="C19" s="15">
        <v>460885</v>
      </c>
      <c r="D19" s="4" t="s">
        <v>25</v>
      </c>
      <c r="E19" s="4" t="str">
        <f>HYPERLINK("https://app.crepc.sk/?fn=detailBiblioForm&amp;sid=88983A6D8031953B1BEB91249D")</f>
        <v>https://app.crepc.sk/?fn=detailBiblioForm&amp;sid=88983A6D8031953B1BEB91249D</v>
      </c>
      <c r="I19" s="2"/>
    </row>
    <row r="20" spans="1:9" ht="60" x14ac:dyDescent="0.25">
      <c r="C20" s="15">
        <v>472180</v>
      </c>
      <c r="D20" s="4" t="s">
        <v>26</v>
      </c>
      <c r="E20" s="4" t="str">
        <f>HYPERLINK("https://app.crepc.sk/?fn=detailBiblioForm&amp;sid=C302BC315079A03D04E416453B")</f>
        <v>https://app.crepc.sk/?fn=detailBiblioForm&amp;sid=C302BC315079A03D04E416453B</v>
      </c>
      <c r="I20" s="2"/>
    </row>
    <row r="21" spans="1:9" ht="60" x14ac:dyDescent="0.25">
      <c r="C21" s="15">
        <v>517557</v>
      </c>
      <c r="D21" s="4" t="s">
        <v>27</v>
      </c>
      <c r="E21" s="4" t="str">
        <f>HYPERLINK("https://app.crepc.sk/?fn=detailBiblioForm&amp;sid=6AA53790D5820772DBAEEED416")</f>
        <v>https://app.crepc.sk/?fn=detailBiblioForm&amp;sid=6AA53790D5820772DBAEEED416</v>
      </c>
      <c r="I21" s="2"/>
    </row>
    <row r="22" spans="1:9" ht="75" x14ac:dyDescent="0.25">
      <c r="C22" s="15">
        <v>473434</v>
      </c>
      <c r="D22" s="4" t="s">
        <v>28</v>
      </c>
      <c r="E22" s="4" t="str">
        <f>HYPERLINK("https://app.crepc.sk/?fn=detailBiblioForm&amp;sid=9237DA5C47AEF4D4022A545A14")</f>
        <v>https://app.crepc.sk/?fn=detailBiblioForm&amp;sid=9237DA5C47AEF4D4022A545A14</v>
      </c>
      <c r="I22" s="2"/>
    </row>
    <row r="23" spans="1:9" ht="45" x14ac:dyDescent="0.25">
      <c r="C23" s="15">
        <v>460882</v>
      </c>
      <c r="D23" s="4" t="s">
        <v>29</v>
      </c>
      <c r="E23" s="4" t="str">
        <f>HYPERLINK("https://app.crepc.sk/?fn=detailBiblioForm&amp;sid=88983A6D8031953B1BEC91249D")</f>
        <v>https://app.crepc.sk/?fn=detailBiblioForm&amp;sid=88983A6D8031953B1BEC91249D</v>
      </c>
      <c r="I23" s="2"/>
    </row>
    <row r="24" spans="1:9" ht="45" x14ac:dyDescent="0.25">
      <c r="C24" s="15">
        <v>505292</v>
      </c>
      <c r="D24" s="4" t="s">
        <v>30</v>
      </c>
      <c r="E24" s="4" t="str">
        <f>HYPERLINK("https://app.crepc.sk/?fn=detailBiblioForm&amp;sid=B2637568E27516263D1665062C")</f>
        <v>https://app.crepc.sk/?fn=detailBiblioForm&amp;sid=B2637568E27516263D1665062C</v>
      </c>
      <c r="I24" s="2"/>
    </row>
    <row r="25" spans="1:9" ht="75" x14ac:dyDescent="0.25">
      <c r="C25" s="15">
        <v>527093</v>
      </c>
      <c r="D25" s="4" t="s">
        <v>31</v>
      </c>
      <c r="E25" s="4" t="str">
        <f>HYPERLINK("https://app.crepc.sk/?fn=detailBiblioForm&amp;sid=13D36A8F2B69569F884E56AB5F")</f>
        <v>https://app.crepc.sk/?fn=detailBiblioForm&amp;sid=13D36A8F2B69569F884E56AB5F</v>
      </c>
      <c r="I25" s="2"/>
    </row>
    <row r="26" spans="1:9" ht="90" x14ac:dyDescent="0.25">
      <c r="C26" s="15">
        <v>486749</v>
      </c>
      <c r="D26" s="4" t="s">
        <v>32</v>
      </c>
      <c r="E26" s="4" t="str">
        <f>HYPERLINK("https://app.crepc.sk/?fn=detailBiblioForm&amp;sid=BC75E240E19470701CC4E8B682")</f>
        <v>https://app.crepc.sk/?fn=detailBiblioForm&amp;sid=BC75E240E19470701CC4E8B682</v>
      </c>
      <c r="I26" s="2"/>
    </row>
    <row r="27" spans="1:9" ht="60" x14ac:dyDescent="0.25">
      <c r="C27" s="15">
        <v>481508</v>
      </c>
      <c r="D27" s="4" t="s">
        <v>33</v>
      </c>
      <c r="E27" s="4" t="str">
        <f>HYPERLINK("https://app.crepc.sk/?fn=detailBiblioForm&amp;sid=2D19B3FD55874D6F71D7603105")</f>
        <v>https://app.crepc.sk/?fn=detailBiblioForm&amp;sid=2D19B3FD55874D6F71D7603105</v>
      </c>
      <c r="I27" s="2"/>
    </row>
    <row r="28" spans="1:9" x14ac:dyDescent="0.25">
      <c r="A28" s="4" t="s">
        <v>34</v>
      </c>
      <c r="B28" s="15">
        <v>105</v>
      </c>
      <c r="I28" s="2"/>
    </row>
    <row r="29" spans="1:9" ht="45" x14ac:dyDescent="0.25">
      <c r="C29" s="15">
        <v>495060</v>
      </c>
      <c r="D29" s="4" t="s">
        <v>35</v>
      </c>
      <c r="E29" s="4" t="str">
        <f>HYPERLINK("https://app.crepc.sk/?fn=detailBiblioForm&amp;sid=BBF5DCBAEAD8A021117AB1FFB8")</f>
        <v>https://app.crepc.sk/?fn=detailBiblioForm&amp;sid=BBF5DCBAEAD8A021117AB1FFB8</v>
      </c>
      <c r="I29" s="2"/>
    </row>
    <row r="30" spans="1:9" ht="45" x14ac:dyDescent="0.25">
      <c r="C30" s="15">
        <v>310074</v>
      </c>
      <c r="D30" s="4" t="s">
        <v>36</v>
      </c>
      <c r="E30" s="4" t="str">
        <f>HYPERLINK("https://app.crepc.sk/?fn=detailBiblioForm&amp;sid=F566C6E0CB47072BFBEA22F69C")</f>
        <v>https://app.crepc.sk/?fn=detailBiblioForm&amp;sid=F566C6E0CB47072BFBEA22F69C</v>
      </c>
      <c r="I30" s="2"/>
    </row>
    <row r="31" spans="1:9" ht="45" x14ac:dyDescent="0.25">
      <c r="C31" s="15">
        <v>508500</v>
      </c>
      <c r="D31" s="4" t="s">
        <v>37</v>
      </c>
      <c r="E31" s="4" t="str">
        <f>HYPERLINK("https://app.crepc.sk/?fn=detailBiblioForm&amp;sid=D2D833EB96BEA25A4B27CB94E7")</f>
        <v>https://app.crepc.sk/?fn=detailBiblioForm&amp;sid=D2D833EB96BEA25A4B27CB94E7</v>
      </c>
      <c r="I31" s="2"/>
    </row>
    <row r="32" spans="1:9" ht="60" x14ac:dyDescent="0.25">
      <c r="C32" s="15">
        <v>504594</v>
      </c>
      <c r="D32" s="4" t="s">
        <v>38</v>
      </c>
      <c r="E32" s="4" t="str">
        <f>HYPERLINK("https://app.crepc.sk/?fn=detailBiblioForm&amp;sid=7E2D778D3A367624E098FFD618")</f>
        <v>https://app.crepc.sk/?fn=detailBiblioForm&amp;sid=7E2D778D3A367624E098FFD618</v>
      </c>
      <c r="I32" s="2"/>
    </row>
    <row r="33" spans="3:9" ht="45" x14ac:dyDescent="0.25">
      <c r="C33" s="15">
        <v>508656</v>
      </c>
      <c r="D33" s="4" t="s">
        <v>39</v>
      </c>
      <c r="E33" s="4" t="str">
        <f>HYPERLINK("https://app.crepc.sk/?fn=detailBiblioForm&amp;sid=F555E6C16387A9B877FCAA94AE")</f>
        <v>https://app.crepc.sk/?fn=detailBiblioForm&amp;sid=F555E6C16387A9B877FCAA94AE</v>
      </c>
      <c r="I33" s="2"/>
    </row>
    <row r="34" spans="3:9" ht="45" x14ac:dyDescent="0.25">
      <c r="C34" s="15">
        <v>462316</v>
      </c>
      <c r="D34" s="4" t="s">
        <v>40</v>
      </c>
      <c r="E34" s="4" t="str">
        <f>HYPERLINK("https://app.crepc.sk/?fn=detailBiblioForm&amp;sid=244D3D63C8C011AC9C1F80D0B5")</f>
        <v>https://app.crepc.sk/?fn=detailBiblioForm&amp;sid=244D3D63C8C011AC9C1F80D0B5</v>
      </c>
      <c r="I34" s="2"/>
    </row>
    <row r="35" spans="3:9" ht="45" x14ac:dyDescent="0.25">
      <c r="C35" s="15">
        <v>508531</v>
      </c>
      <c r="D35" s="4" t="s">
        <v>41</v>
      </c>
      <c r="E35" s="4" t="str">
        <f>HYPERLINK("https://app.crepc.sk/?fn=detailBiblioForm&amp;sid=D2D833EB96BEA25A4826CB94E7")</f>
        <v>https://app.crepc.sk/?fn=detailBiblioForm&amp;sid=D2D833EB96BEA25A4826CB94E7</v>
      </c>
      <c r="I35" s="2"/>
    </row>
    <row r="36" spans="3:9" ht="45" x14ac:dyDescent="0.25">
      <c r="C36" s="15">
        <v>477461</v>
      </c>
      <c r="D36" s="4" t="s">
        <v>42</v>
      </c>
      <c r="E36" s="4" t="str">
        <f>HYPERLINK("https://app.crepc.sk/?fn=detailBiblioForm&amp;sid=5EF6B8BAD889B5BF39EC20A42E")</f>
        <v>https://app.crepc.sk/?fn=detailBiblioForm&amp;sid=5EF6B8BAD889B5BF39EC20A42E</v>
      </c>
      <c r="I36" s="2"/>
    </row>
    <row r="37" spans="3:9" ht="45" x14ac:dyDescent="0.25">
      <c r="C37" s="15">
        <v>491444</v>
      </c>
      <c r="D37" s="4" t="s">
        <v>43</v>
      </c>
      <c r="E37" s="4" t="str">
        <f>HYPERLINK("https://app.crepc.sk/?fn=detailBiblioForm&amp;sid=35B0BBEFBC05B9A2EF6FE7CC61")</f>
        <v>https://app.crepc.sk/?fn=detailBiblioForm&amp;sid=35B0BBEFBC05B9A2EF6FE7CC61</v>
      </c>
      <c r="I37" s="2"/>
    </row>
    <row r="38" spans="3:9" ht="45" x14ac:dyDescent="0.25">
      <c r="C38" s="15">
        <v>508547</v>
      </c>
      <c r="D38" s="4" t="s">
        <v>44</v>
      </c>
      <c r="E38" s="4" t="str">
        <f>HYPERLINK("https://app.crepc.sk/?fn=detailBiblioForm&amp;sid=D2D833EB96BEA25A4F20CB94E7")</f>
        <v>https://app.crepc.sk/?fn=detailBiblioForm&amp;sid=D2D833EB96BEA25A4F20CB94E7</v>
      </c>
      <c r="I38" s="2"/>
    </row>
    <row r="39" spans="3:9" ht="45" x14ac:dyDescent="0.25">
      <c r="C39" s="15">
        <v>468950</v>
      </c>
      <c r="D39" s="4" t="s">
        <v>45</v>
      </c>
      <c r="E39" s="4" t="str">
        <f>HYPERLINK("https://app.crepc.sk/?fn=detailBiblioForm&amp;sid=9431B7D510DB039550FD6BE17D")</f>
        <v>https://app.crepc.sk/?fn=detailBiblioForm&amp;sid=9431B7D510DB039550FD6BE17D</v>
      </c>
      <c r="I39" s="2"/>
    </row>
    <row r="40" spans="3:9" ht="45" x14ac:dyDescent="0.25">
      <c r="C40" s="15">
        <v>506738</v>
      </c>
      <c r="D40" s="4" t="s">
        <v>46</v>
      </c>
      <c r="E40" s="4" t="str">
        <f>HYPERLINK("https://app.crepc.sk/?fn=detailBiblioForm&amp;sid=AA397DACEC77CE69732E5FFD90")</f>
        <v>https://app.crepc.sk/?fn=detailBiblioForm&amp;sid=AA397DACEC77CE69732E5FFD90</v>
      </c>
      <c r="I40" s="2"/>
    </row>
    <row r="41" spans="3:9" ht="45" x14ac:dyDescent="0.25">
      <c r="C41" s="15">
        <v>508540</v>
      </c>
      <c r="D41" s="4" t="s">
        <v>47</v>
      </c>
      <c r="E41" s="4" t="str">
        <f>HYPERLINK("https://app.crepc.sk/?fn=detailBiblioForm&amp;sid=D2D833EB96BEA25A4F27CB94E7")</f>
        <v>https://app.crepc.sk/?fn=detailBiblioForm&amp;sid=D2D833EB96BEA25A4F27CB94E7</v>
      </c>
      <c r="I41" s="2"/>
    </row>
    <row r="42" spans="3:9" ht="45" x14ac:dyDescent="0.25">
      <c r="C42" s="15">
        <v>462511</v>
      </c>
      <c r="D42" s="4" t="s">
        <v>48</v>
      </c>
      <c r="E42" s="4" t="str">
        <f>HYPERLINK("https://app.crepc.sk/?fn=detailBiblioForm&amp;sid=CD293AE9D25EE1DAE3E6922931")</f>
        <v>https://app.crepc.sk/?fn=detailBiblioForm&amp;sid=CD293AE9D25EE1DAE3E6922931</v>
      </c>
      <c r="I42" s="2"/>
    </row>
    <row r="43" spans="3:9" ht="45" x14ac:dyDescent="0.25">
      <c r="C43" s="15">
        <v>462510</v>
      </c>
      <c r="D43" s="4" t="s">
        <v>49</v>
      </c>
      <c r="E43" s="4" t="str">
        <f>HYPERLINK("https://app.crepc.sk/?fn=detailBiblioForm&amp;sid=CD293AE9D25EE1DAE3E7922931")</f>
        <v>https://app.crepc.sk/?fn=detailBiblioForm&amp;sid=CD293AE9D25EE1DAE3E7922931</v>
      </c>
      <c r="I43" s="2"/>
    </row>
    <row r="44" spans="3:9" ht="45" x14ac:dyDescent="0.25">
      <c r="C44" s="15">
        <v>508519</v>
      </c>
      <c r="D44" s="4" t="s">
        <v>50</v>
      </c>
      <c r="E44" s="4" t="str">
        <f>HYPERLINK("https://app.crepc.sk/?fn=detailBiblioForm&amp;sid=D2D833EB96BEA25A4A2ECB94E7")</f>
        <v>https://app.crepc.sk/?fn=detailBiblioForm&amp;sid=D2D833EB96BEA25A4A2ECB94E7</v>
      </c>
      <c r="I44" s="2"/>
    </row>
    <row r="45" spans="3:9" ht="45" x14ac:dyDescent="0.25">
      <c r="C45" s="15">
        <v>508616</v>
      </c>
      <c r="D45" s="4" t="s">
        <v>51</v>
      </c>
      <c r="E45" s="4" t="str">
        <f>HYPERLINK("https://app.crepc.sk/?fn=detailBiblioForm&amp;sid=F555E6C16387A9B873FCAA94AE")</f>
        <v>https://app.crepc.sk/?fn=detailBiblioForm&amp;sid=F555E6C16387A9B873FCAA94AE</v>
      </c>
      <c r="I45" s="2"/>
    </row>
    <row r="46" spans="3:9" ht="45" x14ac:dyDescent="0.25">
      <c r="C46" s="15">
        <v>477487</v>
      </c>
      <c r="D46" s="4" t="s">
        <v>52</v>
      </c>
      <c r="E46" s="4" t="str">
        <f>HYPERLINK("https://app.crepc.sk/?fn=detailBiblioForm&amp;sid=5EF6B8BAD889B5BF37EA20A42E")</f>
        <v>https://app.crepc.sk/?fn=detailBiblioForm&amp;sid=5EF6B8BAD889B5BF37EA20A42E</v>
      </c>
      <c r="I46" s="2"/>
    </row>
    <row r="47" spans="3:9" ht="45" x14ac:dyDescent="0.25">
      <c r="C47" s="15">
        <v>462265</v>
      </c>
      <c r="D47" s="4" t="s">
        <v>53</v>
      </c>
      <c r="E47" s="4" t="str">
        <f>HYPERLINK("https://app.crepc.sk/?fn=detailBiblioForm&amp;sid=E68A28514C842E16DB95554337")</f>
        <v>https://app.crepc.sk/?fn=detailBiblioForm&amp;sid=E68A28514C842E16DB95554337</v>
      </c>
      <c r="I47" s="2"/>
    </row>
    <row r="48" spans="3:9" ht="45" x14ac:dyDescent="0.25">
      <c r="C48" s="15">
        <v>462331</v>
      </c>
      <c r="D48" s="4" t="s">
        <v>54</v>
      </c>
      <c r="E48" s="4" t="str">
        <f>HYPERLINK("https://app.crepc.sk/?fn=detailBiblioForm&amp;sid=244D3D63C8C011AC9E1880D0B5")</f>
        <v>https://app.crepc.sk/?fn=detailBiblioForm&amp;sid=244D3D63C8C011AC9E1880D0B5</v>
      </c>
      <c r="I48" s="2"/>
    </row>
    <row r="49" spans="3:9" ht="45" x14ac:dyDescent="0.25">
      <c r="C49" s="15">
        <v>527094</v>
      </c>
      <c r="D49" s="4" t="s">
        <v>55</v>
      </c>
      <c r="E49" s="4" t="str">
        <f>HYPERLINK("https://app.crepc.sk/?fn=detailBiblioForm&amp;sid=13D36A8F2B69569F884956AB5F")</f>
        <v>https://app.crepc.sk/?fn=detailBiblioForm&amp;sid=13D36A8F2B69569F884956AB5F</v>
      </c>
      <c r="I49" s="2"/>
    </row>
    <row r="50" spans="3:9" ht="45" x14ac:dyDescent="0.25">
      <c r="C50" s="15">
        <v>477481</v>
      </c>
      <c r="D50" s="4" t="s">
        <v>56</v>
      </c>
      <c r="E50" s="4" t="str">
        <f>HYPERLINK("https://app.crepc.sk/?fn=detailBiblioForm&amp;sid=5EF6B8BAD889B5BF37EC20A42E")</f>
        <v>https://app.crepc.sk/?fn=detailBiblioForm&amp;sid=5EF6B8BAD889B5BF37EC20A42E</v>
      </c>
      <c r="I50" s="2"/>
    </row>
    <row r="51" spans="3:9" ht="45" x14ac:dyDescent="0.25">
      <c r="C51" s="15">
        <v>507240</v>
      </c>
      <c r="D51" s="4" t="s">
        <v>57</v>
      </c>
      <c r="E51" s="4" t="str">
        <f>HYPERLINK("https://app.crepc.sk/?fn=detailBiblioForm&amp;sid=8349C347D7968E4F1CCC040494")</f>
        <v>https://app.crepc.sk/?fn=detailBiblioForm&amp;sid=8349C347D7968E4F1CCC040494</v>
      </c>
      <c r="I51" s="2"/>
    </row>
    <row r="52" spans="3:9" ht="45" x14ac:dyDescent="0.25">
      <c r="C52" s="15">
        <v>508511</v>
      </c>
      <c r="D52" s="4" t="s">
        <v>58</v>
      </c>
      <c r="E52" s="4" t="str">
        <f>HYPERLINK("https://app.crepc.sk/?fn=detailBiblioForm&amp;sid=D2D833EB96BEA25A4A26CB94E7")</f>
        <v>https://app.crepc.sk/?fn=detailBiblioForm&amp;sid=D2D833EB96BEA25A4A26CB94E7</v>
      </c>
      <c r="I52" s="2"/>
    </row>
    <row r="53" spans="3:9" ht="45" x14ac:dyDescent="0.25">
      <c r="C53" s="15">
        <v>482469</v>
      </c>
      <c r="D53" s="4" t="s">
        <v>59</v>
      </c>
      <c r="E53" s="4" t="str">
        <f>HYPERLINK("https://app.crepc.sk/?fn=detailBiblioForm&amp;sid=C8F3D29AFF8F079A289D0A5CCE")</f>
        <v>https://app.crepc.sk/?fn=detailBiblioForm&amp;sid=C8F3D29AFF8F079A289D0A5CCE</v>
      </c>
      <c r="I53" s="2"/>
    </row>
    <row r="54" spans="3:9" ht="45" x14ac:dyDescent="0.25">
      <c r="C54" s="15">
        <v>508641</v>
      </c>
      <c r="D54" s="4" t="s">
        <v>60</v>
      </c>
      <c r="E54" s="4" t="str">
        <f>HYPERLINK("https://app.crepc.sk/?fn=detailBiblioForm&amp;sid=F555E6C16387A9B876FBAA94AE")</f>
        <v>https://app.crepc.sk/?fn=detailBiblioForm&amp;sid=F555E6C16387A9B876FBAA94AE</v>
      </c>
      <c r="I54" s="2"/>
    </row>
    <row r="55" spans="3:9" ht="45" x14ac:dyDescent="0.25">
      <c r="C55" s="15">
        <v>460879</v>
      </c>
      <c r="D55" s="4" t="s">
        <v>61</v>
      </c>
      <c r="E55" s="4" t="str">
        <f>HYPERLINK("https://app.crepc.sk/?fn=detailBiblioForm&amp;sid=88983A6D8031953B14E791249D")</f>
        <v>https://app.crepc.sk/?fn=detailBiblioForm&amp;sid=88983A6D8031953B14E791249D</v>
      </c>
      <c r="I55" s="2"/>
    </row>
    <row r="56" spans="3:9" ht="45" x14ac:dyDescent="0.25">
      <c r="C56" s="15">
        <v>508553</v>
      </c>
      <c r="D56" s="4" t="s">
        <v>62</v>
      </c>
      <c r="E56" s="4" t="str">
        <f>HYPERLINK("https://app.crepc.sk/?fn=detailBiblioForm&amp;sid=D2D833EB96BEA25A4E24CB94E7")</f>
        <v>https://app.crepc.sk/?fn=detailBiblioForm&amp;sid=D2D833EB96BEA25A4E24CB94E7</v>
      </c>
      <c r="I56" s="2"/>
    </row>
    <row r="57" spans="3:9" ht="45" x14ac:dyDescent="0.25">
      <c r="C57" s="15">
        <v>459853</v>
      </c>
      <c r="D57" s="4" t="s">
        <v>63</v>
      </c>
      <c r="E57" s="4" t="str">
        <f>HYPERLINK("https://app.crepc.sk/?fn=detailBiblioForm&amp;sid=3E84F9FC946DB3DA44FFA9AAFC")</f>
        <v>https://app.crepc.sk/?fn=detailBiblioForm&amp;sid=3E84F9FC946DB3DA44FFA9AAFC</v>
      </c>
      <c r="I57" s="2"/>
    </row>
    <row r="58" spans="3:9" ht="60" x14ac:dyDescent="0.25">
      <c r="C58" s="15">
        <v>463201</v>
      </c>
      <c r="D58" s="4" t="s">
        <v>64</v>
      </c>
      <c r="E58" s="4" t="str">
        <f>HYPERLINK("https://app.crepc.sk/?fn=detailBiblioForm&amp;sid=E236139526BBCA0A267A918529")</f>
        <v>https://app.crepc.sk/?fn=detailBiblioForm&amp;sid=E236139526BBCA0A267A918529</v>
      </c>
      <c r="I58" s="2"/>
    </row>
    <row r="59" spans="3:9" ht="45" x14ac:dyDescent="0.25">
      <c r="C59" s="15">
        <v>477488</v>
      </c>
      <c r="D59" s="4" t="s">
        <v>65</v>
      </c>
      <c r="E59" s="4" t="str">
        <f>HYPERLINK("https://app.crepc.sk/?fn=detailBiblioForm&amp;sid=5EF6B8BAD889B5BF37E520A42E")</f>
        <v>https://app.crepc.sk/?fn=detailBiblioForm&amp;sid=5EF6B8BAD889B5BF37E520A42E</v>
      </c>
      <c r="I59" s="2"/>
    </row>
    <row r="60" spans="3:9" ht="45" x14ac:dyDescent="0.25">
      <c r="C60" s="15">
        <v>462509</v>
      </c>
      <c r="D60" s="4" t="s">
        <v>66</v>
      </c>
      <c r="E60" s="4" t="str">
        <f>HYPERLINK("https://app.crepc.sk/?fn=detailBiblioForm&amp;sid=CD293AE9D25EE1DAE2EE922931")</f>
        <v>https://app.crepc.sk/?fn=detailBiblioForm&amp;sid=CD293AE9D25EE1DAE2EE922931</v>
      </c>
      <c r="I60" s="2"/>
    </row>
    <row r="61" spans="3:9" ht="45" x14ac:dyDescent="0.25">
      <c r="C61" s="15">
        <v>462321</v>
      </c>
      <c r="D61" s="4" t="s">
        <v>67</v>
      </c>
      <c r="E61" s="4" t="str">
        <f>HYPERLINK("https://app.crepc.sk/?fn=detailBiblioForm&amp;sid=244D3D63C8C011AC9F1880D0B5")</f>
        <v>https://app.crepc.sk/?fn=detailBiblioForm&amp;sid=244D3D63C8C011AC9F1880D0B5</v>
      </c>
      <c r="I61" s="2"/>
    </row>
    <row r="62" spans="3:9" ht="45" x14ac:dyDescent="0.25">
      <c r="C62" s="15">
        <v>508507</v>
      </c>
      <c r="D62" s="4" t="s">
        <v>68</v>
      </c>
      <c r="E62" s="4" t="str">
        <f>HYPERLINK("https://app.crepc.sk/?fn=detailBiblioForm&amp;sid=D2D833EB96BEA25A4B20CB94E7")</f>
        <v>https://app.crepc.sk/?fn=detailBiblioForm&amp;sid=D2D833EB96BEA25A4B20CB94E7</v>
      </c>
      <c r="I62" s="2"/>
    </row>
    <row r="63" spans="3:9" ht="60" x14ac:dyDescent="0.25">
      <c r="C63" s="15">
        <v>458422</v>
      </c>
      <c r="D63" s="4" t="s">
        <v>69</v>
      </c>
      <c r="E63" s="4" t="str">
        <f>HYPERLINK("https://app.crepc.sk/?fn=detailBiblioForm&amp;sid=857B44300334F5300082B1656C")</f>
        <v>https://app.crepc.sk/?fn=detailBiblioForm&amp;sid=857B44300334F5300082B1656C</v>
      </c>
      <c r="I63" s="2"/>
    </row>
    <row r="64" spans="3:9" ht="45" x14ac:dyDescent="0.25">
      <c r="C64" s="15">
        <v>468832</v>
      </c>
      <c r="D64" s="4" t="s">
        <v>70</v>
      </c>
      <c r="E64" s="4" t="str">
        <f>HYPERLINK("https://app.crepc.sk/?fn=detailBiblioForm&amp;sid=B84E0B8E5D09D83E1F098C75B6")</f>
        <v>https://app.crepc.sk/?fn=detailBiblioForm&amp;sid=B84E0B8E5D09D83E1F098C75B6</v>
      </c>
      <c r="I64" s="2"/>
    </row>
    <row r="65" spans="3:9" ht="45" x14ac:dyDescent="0.25">
      <c r="C65" s="15">
        <v>477467</v>
      </c>
      <c r="D65" s="4" t="s">
        <v>71</v>
      </c>
      <c r="E65" s="4" t="str">
        <f>HYPERLINK("https://app.crepc.sk/?fn=detailBiblioForm&amp;sid=5EF6B8BAD889B5BF39EA20A42E")</f>
        <v>https://app.crepc.sk/?fn=detailBiblioForm&amp;sid=5EF6B8BAD889B5BF39EA20A42E</v>
      </c>
      <c r="I65" s="2"/>
    </row>
    <row r="66" spans="3:9" ht="60" x14ac:dyDescent="0.25">
      <c r="C66" s="15">
        <v>482083</v>
      </c>
      <c r="D66" s="4" t="s">
        <v>72</v>
      </c>
      <c r="E66" s="4" t="str">
        <f>HYPERLINK("https://app.crepc.sk/?fn=detailBiblioForm&amp;sid=C0E3D9FE3EAE50AEB0B18205C0")</f>
        <v>https://app.crepc.sk/?fn=detailBiblioForm&amp;sid=C0E3D9FE3EAE50AEB0B18205C0</v>
      </c>
      <c r="I66" s="2"/>
    </row>
    <row r="67" spans="3:9" ht="45" x14ac:dyDescent="0.25">
      <c r="C67" s="15">
        <v>491631</v>
      </c>
      <c r="D67" s="4" t="s">
        <v>73</v>
      </c>
      <c r="E67" s="4" t="str">
        <f>HYPERLINK("https://app.crepc.sk/?fn=detailBiblioForm&amp;sid=759C0C5DD6614817FEE3D70A3E")</f>
        <v>https://app.crepc.sk/?fn=detailBiblioForm&amp;sid=759C0C5DD6614817FEE3D70A3E</v>
      </c>
      <c r="I67" s="2"/>
    </row>
    <row r="68" spans="3:9" ht="45" x14ac:dyDescent="0.25">
      <c r="C68" s="15">
        <v>496239</v>
      </c>
      <c r="D68" s="4" t="s">
        <v>74</v>
      </c>
      <c r="E68" s="4" t="str">
        <f>HYPERLINK("https://app.crepc.sk/?fn=detailBiblioForm&amp;sid=A920A6B44AAA35D5D01C9E29A9")</f>
        <v>https://app.crepc.sk/?fn=detailBiblioForm&amp;sid=A920A6B44AAA35D5D01C9E29A9</v>
      </c>
      <c r="I68" s="2"/>
    </row>
    <row r="69" spans="3:9" ht="45" x14ac:dyDescent="0.25">
      <c r="C69" s="15">
        <v>462325</v>
      </c>
      <c r="D69" s="4" t="s">
        <v>75</v>
      </c>
      <c r="E69" s="4" t="str">
        <f>HYPERLINK("https://app.crepc.sk/?fn=detailBiblioForm&amp;sid=244D3D63C8C011AC9F1C80D0B5")</f>
        <v>https://app.crepc.sk/?fn=detailBiblioForm&amp;sid=244D3D63C8C011AC9F1C80D0B5</v>
      </c>
      <c r="I69" s="2"/>
    </row>
    <row r="70" spans="3:9" ht="45" x14ac:dyDescent="0.25">
      <c r="C70" s="15">
        <v>477497</v>
      </c>
      <c r="D70" s="4" t="s">
        <v>76</v>
      </c>
      <c r="E70" s="4" t="str">
        <f>HYPERLINK("https://app.crepc.sk/?fn=detailBiblioForm&amp;sid=5EF6B8BAD889B5BF36EA20A42E")</f>
        <v>https://app.crepc.sk/?fn=detailBiblioForm&amp;sid=5EF6B8BAD889B5BF36EA20A42E</v>
      </c>
      <c r="I70" s="2"/>
    </row>
    <row r="71" spans="3:9" ht="45" x14ac:dyDescent="0.25">
      <c r="C71" s="15">
        <v>524123</v>
      </c>
      <c r="D71" s="4" t="s">
        <v>77</v>
      </c>
      <c r="E71" s="4" t="str">
        <f>HYPERLINK("https://app.crepc.sk/?fn=detailBiblioForm&amp;sid=ED56F1347658F465AB4EB87EEA")</f>
        <v>https://app.crepc.sk/?fn=detailBiblioForm&amp;sid=ED56F1347658F465AB4EB87EEA</v>
      </c>
      <c r="I71" s="2"/>
    </row>
    <row r="72" spans="3:9" ht="45" x14ac:dyDescent="0.25">
      <c r="C72" s="15">
        <v>508647</v>
      </c>
      <c r="D72" s="4" t="s">
        <v>78</v>
      </c>
      <c r="E72" s="4" t="str">
        <f>HYPERLINK("https://app.crepc.sk/?fn=detailBiblioForm&amp;sid=F555E6C16387A9B876FDAA94AE")</f>
        <v>https://app.crepc.sk/?fn=detailBiblioForm&amp;sid=F555E6C16387A9B876FDAA94AE</v>
      </c>
      <c r="I72" s="2"/>
    </row>
    <row r="73" spans="3:9" ht="45" x14ac:dyDescent="0.25">
      <c r="C73" s="15">
        <v>508545</v>
      </c>
      <c r="D73" s="4" t="s">
        <v>79</v>
      </c>
      <c r="E73" s="4" t="str">
        <f>HYPERLINK("https://app.crepc.sk/?fn=detailBiblioForm&amp;sid=D2D833EB96BEA25A4F22CB94E7")</f>
        <v>https://app.crepc.sk/?fn=detailBiblioForm&amp;sid=D2D833EB96BEA25A4F22CB94E7</v>
      </c>
      <c r="I73" s="2"/>
    </row>
    <row r="74" spans="3:9" ht="45" x14ac:dyDescent="0.25">
      <c r="C74" s="15">
        <v>477458</v>
      </c>
      <c r="D74" s="4" t="s">
        <v>80</v>
      </c>
      <c r="E74" s="4" t="str">
        <f>HYPERLINK("https://app.crepc.sk/?fn=detailBiblioForm&amp;sid=5EF6B8BAD889B5BF3AE520A42E")</f>
        <v>https://app.crepc.sk/?fn=detailBiblioForm&amp;sid=5EF6B8BAD889B5BF3AE520A42E</v>
      </c>
      <c r="I74" s="2"/>
    </row>
    <row r="75" spans="3:9" ht="45" x14ac:dyDescent="0.25">
      <c r="C75" s="15">
        <v>462334</v>
      </c>
      <c r="D75" s="4" t="s">
        <v>81</v>
      </c>
      <c r="E75" s="4" t="str">
        <f>HYPERLINK("https://app.crepc.sk/?fn=detailBiblioForm&amp;sid=244D3D63C8C011AC9E1D80D0B5")</f>
        <v>https://app.crepc.sk/?fn=detailBiblioForm&amp;sid=244D3D63C8C011AC9E1D80D0B5</v>
      </c>
      <c r="I75" s="2"/>
    </row>
    <row r="76" spans="3:9" ht="45" x14ac:dyDescent="0.25">
      <c r="C76" s="15">
        <v>506731</v>
      </c>
      <c r="D76" s="4" t="s">
        <v>82</v>
      </c>
      <c r="E76" s="4" t="str">
        <f>HYPERLINK("https://app.crepc.sk/?fn=detailBiblioForm&amp;sid=AA397DACEC77CE6973275FFD90")</f>
        <v>https://app.crepc.sk/?fn=detailBiblioForm&amp;sid=AA397DACEC77CE6973275FFD90</v>
      </c>
      <c r="I76" s="2"/>
    </row>
    <row r="77" spans="3:9" ht="60" x14ac:dyDescent="0.25">
      <c r="C77" s="15">
        <v>462298</v>
      </c>
      <c r="D77" s="4" t="s">
        <v>83</v>
      </c>
      <c r="E77" s="4" t="str">
        <f>HYPERLINK("https://app.crepc.sk/?fn=detailBiblioForm&amp;sid=E68A28514C842E16D498554337")</f>
        <v>https://app.crepc.sk/?fn=detailBiblioForm&amp;sid=E68A28514C842E16D498554337</v>
      </c>
      <c r="I77" s="2"/>
    </row>
    <row r="78" spans="3:9" ht="75" x14ac:dyDescent="0.25">
      <c r="C78" s="15">
        <v>505282</v>
      </c>
      <c r="D78" s="4" t="s">
        <v>84</v>
      </c>
      <c r="E78" s="4" t="str">
        <f>HYPERLINK("https://app.crepc.sk/?fn=detailBiblioForm&amp;sid=B2637568E27516263C1665062C")</f>
        <v>https://app.crepc.sk/?fn=detailBiblioForm&amp;sid=B2637568E27516263C1665062C</v>
      </c>
      <c r="I78" s="2"/>
    </row>
    <row r="79" spans="3:9" ht="60" x14ac:dyDescent="0.25">
      <c r="C79" s="15">
        <v>477452</v>
      </c>
      <c r="D79" s="4" t="s">
        <v>85</v>
      </c>
      <c r="E79" s="4" t="str">
        <f>HYPERLINK("https://app.crepc.sk/?fn=detailBiblioForm&amp;sid=5EF6B8BAD889B5BF3AEF20A42E")</f>
        <v>https://app.crepc.sk/?fn=detailBiblioForm&amp;sid=5EF6B8BAD889B5BF3AEF20A42E</v>
      </c>
      <c r="I79" s="2"/>
    </row>
    <row r="80" spans="3:9" ht="45" x14ac:dyDescent="0.25">
      <c r="C80" s="15">
        <v>508556</v>
      </c>
      <c r="D80" s="4" t="s">
        <v>86</v>
      </c>
      <c r="E80" s="4" t="str">
        <f>HYPERLINK("https://app.crepc.sk/?fn=detailBiblioForm&amp;sid=D2D833EB96BEA25A4E21CB94E7")</f>
        <v>https://app.crepc.sk/?fn=detailBiblioForm&amp;sid=D2D833EB96BEA25A4E21CB94E7</v>
      </c>
      <c r="I80" s="2"/>
    </row>
    <row r="81" spans="3:9" ht="60" x14ac:dyDescent="0.25">
      <c r="C81" s="15">
        <v>519751</v>
      </c>
      <c r="D81" s="4" t="s">
        <v>87</v>
      </c>
      <c r="E81" s="4" t="str">
        <f>HYPERLINK("https://app.crepc.sk/?fn=detailBiblioForm&amp;sid=3CF9681F115FD6E29D61D3733A")</f>
        <v>https://app.crepc.sk/?fn=detailBiblioForm&amp;sid=3CF9681F115FD6E29D61D3733A</v>
      </c>
      <c r="I81" s="2"/>
    </row>
    <row r="82" spans="3:9" ht="45" x14ac:dyDescent="0.25">
      <c r="C82" s="15">
        <v>314022</v>
      </c>
      <c r="D82" s="4" t="s">
        <v>88</v>
      </c>
      <c r="E82" s="4" t="str">
        <f>HYPERLINK("https://app.crepc.sk/?fn=detailBiblioForm&amp;sid=52CF6327BC03DBAB5E11815F18")</f>
        <v>https://app.crepc.sk/?fn=detailBiblioForm&amp;sid=52CF6327BC03DBAB5E11815F18</v>
      </c>
      <c r="I82" s="2"/>
    </row>
    <row r="83" spans="3:9" ht="45" x14ac:dyDescent="0.25">
      <c r="C83" s="15">
        <v>508653</v>
      </c>
      <c r="D83" s="4" t="s">
        <v>89</v>
      </c>
      <c r="E83" s="4" t="str">
        <f>HYPERLINK("https://app.crepc.sk/?fn=detailBiblioForm&amp;sid=F555E6C16387A9B877F9AA94AE")</f>
        <v>https://app.crepc.sk/?fn=detailBiblioForm&amp;sid=F555E6C16387A9B877F9AA94AE</v>
      </c>
      <c r="I83" s="2"/>
    </row>
    <row r="84" spans="3:9" ht="45" x14ac:dyDescent="0.25">
      <c r="C84" s="15">
        <v>462326</v>
      </c>
      <c r="D84" s="4" t="s">
        <v>90</v>
      </c>
      <c r="E84" s="4" t="str">
        <f>HYPERLINK("https://app.crepc.sk/?fn=detailBiblioForm&amp;sid=244D3D63C8C011AC9F1F80D0B5")</f>
        <v>https://app.crepc.sk/?fn=detailBiblioForm&amp;sid=244D3D63C8C011AC9F1F80D0B5</v>
      </c>
      <c r="I84" s="2"/>
    </row>
    <row r="85" spans="3:9" ht="45" x14ac:dyDescent="0.25">
      <c r="C85" s="15">
        <v>462313</v>
      </c>
      <c r="D85" s="4" t="s">
        <v>91</v>
      </c>
      <c r="E85" s="4" t="str">
        <f>HYPERLINK("https://app.crepc.sk/?fn=detailBiblioForm&amp;sid=244D3D63C8C011AC9C1A80D0B5")</f>
        <v>https://app.crepc.sk/?fn=detailBiblioForm&amp;sid=244D3D63C8C011AC9C1A80D0B5</v>
      </c>
      <c r="I85" s="2"/>
    </row>
    <row r="86" spans="3:9" ht="45" x14ac:dyDescent="0.25">
      <c r="C86" s="15">
        <v>508548</v>
      </c>
      <c r="D86" s="4" t="s">
        <v>92</v>
      </c>
      <c r="E86" s="4" t="str">
        <f>HYPERLINK("https://app.crepc.sk/?fn=detailBiblioForm&amp;sid=D2D833EB96BEA25A4F2FCB94E7")</f>
        <v>https://app.crepc.sk/?fn=detailBiblioForm&amp;sid=D2D833EB96BEA25A4F2FCB94E7</v>
      </c>
      <c r="I86" s="2"/>
    </row>
    <row r="87" spans="3:9" ht="60" x14ac:dyDescent="0.25">
      <c r="C87" s="15">
        <v>477453</v>
      </c>
      <c r="D87" s="4" t="s">
        <v>93</v>
      </c>
      <c r="E87" s="4" t="str">
        <f>HYPERLINK("https://app.crepc.sk/?fn=detailBiblioForm&amp;sid=5EF6B8BAD889B5BF3AEE20A42E")</f>
        <v>https://app.crepc.sk/?fn=detailBiblioForm&amp;sid=5EF6B8BAD889B5BF3AEE20A42E</v>
      </c>
      <c r="I87" s="2"/>
    </row>
    <row r="88" spans="3:9" ht="60" x14ac:dyDescent="0.25">
      <c r="C88" s="15">
        <v>477477</v>
      </c>
      <c r="D88" s="4" t="s">
        <v>94</v>
      </c>
      <c r="E88" s="4" t="str">
        <f>HYPERLINK("https://app.crepc.sk/?fn=detailBiblioForm&amp;sid=5EF6B8BAD889B5BF38EA20A42E")</f>
        <v>https://app.crepc.sk/?fn=detailBiblioForm&amp;sid=5EF6B8BAD889B5BF38EA20A42E</v>
      </c>
      <c r="I88" s="2"/>
    </row>
    <row r="89" spans="3:9" ht="45" x14ac:dyDescent="0.25">
      <c r="C89" s="15">
        <v>508515</v>
      </c>
      <c r="D89" s="4" t="s">
        <v>95</v>
      </c>
      <c r="E89" s="4" t="str">
        <f>HYPERLINK("https://app.crepc.sk/?fn=detailBiblioForm&amp;sid=D2D833EB96BEA25A4A22CB94E7")</f>
        <v>https://app.crepc.sk/?fn=detailBiblioForm&amp;sid=D2D833EB96BEA25A4A22CB94E7</v>
      </c>
      <c r="I89" s="2"/>
    </row>
    <row r="90" spans="3:9" ht="45" x14ac:dyDescent="0.25">
      <c r="C90" s="15">
        <v>477494</v>
      </c>
      <c r="D90" s="4" t="s">
        <v>96</v>
      </c>
      <c r="E90" s="4" t="str">
        <f>HYPERLINK("https://app.crepc.sk/?fn=detailBiblioForm&amp;sid=5EF6B8BAD889B5BF36E920A42E")</f>
        <v>https://app.crepc.sk/?fn=detailBiblioForm&amp;sid=5EF6B8BAD889B5BF36E920A42E</v>
      </c>
      <c r="I90" s="2"/>
    </row>
    <row r="91" spans="3:9" ht="45" x14ac:dyDescent="0.25">
      <c r="C91" s="15">
        <v>477460</v>
      </c>
      <c r="D91" s="4" t="s">
        <v>97</v>
      </c>
      <c r="E91" s="4" t="str">
        <f>HYPERLINK("https://app.crepc.sk/?fn=detailBiblioForm&amp;sid=5EF6B8BAD889B5BF39ED20A42E")</f>
        <v>https://app.crepc.sk/?fn=detailBiblioForm&amp;sid=5EF6B8BAD889B5BF39ED20A42E</v>
      </c>
      <c r="I91" s="2"/>
    </row>
    <row r="92" spans="3:9" ht="45" x14ac:dyDescent="0.25">
      <c r="C92" s="15">
        <v>462290</v>
      </c>
      <c r="D92" s="4" t="s">
        <v>98</v>
      </c>
      <c r="E92" s="4" t="str">
        <f>HYPERLINK("https://app.crepc.sk/?fn=detailBiblioForm&amp;sid=E68A28514C842E16D490554337")</f>
        <v>https://app.crepc.sk/?fn=detailBiblioForm&amp;sid=E68A28514C842E16D490554337</v>
      </c>
      <c r="I92" s="2"/>
    </row>
    <row r="93" spans="3:9" ht="45" x14ac:dyDescent="0.25">
      <c r="C93" s="15">
        <v>477449</v>
      </c>
      <c r="D93" s="4" t="s">
        <v>99</v>
      </c>
      <c r="E93" s="4" t="str">
        <f>HYPERLINK("https://app.crepc.sk/?fn=detailBiblioForm&amp;sid=5EF6B8BAD889B5BF3BE420A42E")</f>
        <v>https://app.crepc.sk/?fn=detailBiblioForm&amp;sid=5EF6B8BAD889B5BF3BE420A42E</v>
      </c>
      <c r="I93" s="2"/>
    </row>
    <row r="94" spans="3:9" ht="45" x14ac:dyDescent="0.25">
      <c r="C94" s="15">
        <v>508621</v>
      </c>
      <c r="D94" s="4" t="s">
        <v>100</v>
      </c>
      <c r="E94" s="4" t="str">
        <f>HYPERLINK("https://app.crepc.sk/?fn=detailBiblioForm&amp;sid=F555E6C16387A9B870FBAA94AE")</f>
        <v>https://app.crepc.sk/?fn=detailBiblioForm&amp;sid=F555E6C16387A9B870FBAA94AE</v>
      </c>
      <c r="I94" s="2"/>
    </row>
    <row r="95" spans="3:9" ht="45" x14ac:dyDescent="0.25">
      <c r="C95" s="15">
        <v>488011</v>
      </c>
      <c r="D95" s="4" t="s">
        <v>101</v>
      </c>
      <c r="E95" s="4" t="str">
        <f>HYPERLINK("https://app.crepc.sk/?fn=detailBiblioForm&amp;sid=2685410F70B2C8E1E54ED804D9")</f>
        <v>https://app.crepc.sk/?fn=detailBiblioForm&amp;sid=2685410F70B2C8E1E54ED804D9</v>
      </c>
      <c r="I95" s="2"/>
    </row>
    <row r="96" spans="3:9" ht="45" x14ac:dyDescent="0.25">
      <c r="C96" s="15">
        <v>508524</v>
      </c>
      <c r="D96" s="4" t="s">
        <v>102</v>
      </c>
      <c r="E96" s="4" t="str">
        <f>HYPERLINK("https://app.crepc.sk/?fn=detailBiblioForm&amp;sid=D2D833EB96BEA25A4923CB94E7")</f>
        <v>https://app.crepc.sk/?fn=detailBiblioForm&amp;sid=D2D833EB96BEA25A4923CB94E7</v>
      </c>
      <c r="I96" s="2"/>
    </row>
    <row r="97" spans="3:9" ht="45" x14ac:dyDescent="0.25">
      <c r="C97" s="15">
        <v>468248</v>
      </c>
      <c r="D97" s="4" t="s">
        <v>103</v>
      </c>
      <c r="E97" s="4" t="str">
        <f>HYPERLINK("https://app.crepc.sk/?fn=detailBiblioForm&amp;sid=F7D93A9E98C532FCC01D523E26")</f>
        <v>https://app.crepc.sk/?fn=detailBiblioForm&amp;sid=F7D93A9E98C532FCC01D523E26</v>
      </c>
      <c r="I97" s="2"/>
    </row>
    <row r="98" spans="3:9" ht="45" x14ac:dyDescent="0.25">
      <c r="C98" s="15">
        <v>482472</v>
      </c>
      <c r="D98" s="4" t="s">
        <v>104</v>
      </c>
      <c r="E98" s="4" t="str">
        <f>HYPERLINK("https://app.crepc.sk/?fn=detailBiblioForm&amp;sid=C8F3D29AFF8F079A29960A5CCE")</f>
        <v>https://app.crepc.sk/?fn=detailBiblioForm&amp;sid=C8F3D29AFF8F079A29960A5CCE</v>
      </c>
      <c r="I98" s="2"/>
    </row>
    <row r="99" spans="3:9" ht="45" x14ac:dyDescent="0.25">
      <c r="C99" s="15">
        <v>508522</v>
      </c>
      <c r="D99" s="4" t="s">
        <v>105</v>
      </c>
      <c r="E99" s="4" t="str">
        <f>HYPERLINK("https://app.crepc.sk/?fn=detailBiblioForm&amp;sid=D2D833EB96BEA25A4925CB94E7")</f>
        <v>https://app.crepc.sk/?fn=detailBiblioForm&amp;sid=D2D833EB96BEA25A4925CB94E7</v>
      </c>
      <c r="I99" s="2"/>
    </row>
    <row r="100" spans="3:9" ht="45" x14ac:dyDescent="0.25">
      <c r="C100" s="15">
        <v>508542</v>
      </c>
      <c r="D100" s="4" t="s">
        <v>106</v>
      </c>
      <c r="E100" s="4" t="str">
        <f>HYPERLINK("https://app.crepc.sk/?fn=detailBiblioForm&amp;sid=D2D833EB96BEA25A4F25CB94E7")</f>
        <v>https://app.crepc.sk/?fn=detailBiblioForm&amp;sid=D2D833EB96BEA25A4F25CB94E7</v>
      </c>
      <c r="I100" s="2"/>
    </row>
    <row r="101" spans="3:9" ht="45" x14ac:dyDescent="0.25">
      <c r="C101" s="15">
        <v>508620</v>
      </c>
      <c r="D101" s="4" t="s">
        <v>107</v>
      </c>
      <c r="E101" s="4" t="str">
        <f>HYPERLINK("https://app.crepc.sk/?fn=detailBiblioForm&amp;sid=F555E6C16387A9B870FAAA94AE")</f>
        <v>https://app.crepc.sk/?fn=detailBiblioForm&amp;sid=F555E6C16387A9B870FAAA94AE</v>
      </c>
      <c r="I101" s="2"/>
    </row>
    <row r="102" spans="3:9" ht="45" x14ac:dyDescent="0.25">
      <c r="C102" s="15">
        <v>483714</v>
      </c>
      <c r="D102" s="4" t="s">
        <v>108</v>
      </c>
      <c r="E102" s="4" t="str">
        <f>HYPERLINK("https://app.crepc.sk/?fn=detailBiblioForm&amp;sid=AB6093B5D1C032CADE59149EC0")</f>
        <v>https://app.crepc.sk/?fn=detailBiblioForm&amp;sid=AB6093B5D1C032CADE59149EC0</v>
      </c>
      <c r="I102" s="2"/>
    </row>
    <row r="103" spans="3:9" ht="45" x14ac:dyDescent="0.25">
      <c r="C103" s="15">
        <v>477520</v>
      </c>
      <c r="D103" s="4" t="s">
        <v>109</v>
      </c>
      <c r="E103" s="4" t="str">
        <f>HYPERLINK("https://app.crepc.sk/?fn=detailBiblioForm&amp;sid=A3D6A821779C3EAD693538FA14")</f>
        <v>https://app.crepc.sk/?fn=detailBiblioForm&amp;sid=A3D6A821779C3EAD693538FA14</v>
      </c>
      <c r="I103" s="2"/>
    </row>
    <row r="104" spans="3:9" ht="45" x14ac:dyDescent="0.25">
      <c r="C104" s="15">
        <v>508629</v>
      </c>
      <c r="D104" s="4" t="s">
        <v>110</v>
      </c>
      <c r="E104" s="4" t="str">
        <f>HYPERLINK("https://app.crepc.sk/?fn=detailBiblioForm&amp;sid=F555E6C16387A9B870F3AA94AE")</f>
        <v>https://app.crepc.sk/?fn=detailBiblioForm&amp;sid=F555E6C16387A9B870F3AA94AE</v>
      </c>
      <c r="I104" s="2"/>
    </row>
    <row r="105" spans="3:9" ht="45" x14ac:dyDescent="0.25">
      <c r="C105" s="15">
        <v>508523</v>
      </c>
      <c r="D105" s="4" t="s">
        <v>111</v>
      </c>
      <c r="E105" s="4" t="str">
        <f>HYPERLINK("https://app.crepc.sk/?fn=detailBiblioForm&amp;sid=D2D833EB96BEA25A4924CB94E7")</f>
        <v>https://app.crepc.sk/?fn=detailBiblioForm&amp;sid=D2D833EB96BEA25A4924CB94E7</v>
      </c>
      <c r="I105" s="2"/>
    </row>
    <row r="106" spans="3:9" ht="45" x14ac:dyDescent="0.25">
      <c r="C106" s="15">
        <v>477451</v>
      </c>
      <c r="D106" s="4" t="s">
        <v>112</v>
      </c>
      <c r="E106" s="4" t="str">
        <f>HYPERLINK("https://app.crepc.sk/?fn=detailBiblioForm&amp;sid=5EF6B8BAD889B5BF3AEC20A42E")</f>
        <v>https://app.crepc.sk/?fn=detailBiblioForm&amp;sid=5EF6B8BAD889B5BF3AEC20A42E</v>
      </c>
      <c r="I106" s="2"/>
    </row>
    <row r="107" spans="3:9" ht="45" x14ac:dyDescent="0.25">
      <c r="C107" s="15">
        <v>508527</v>
      </c>
      <c r="D107" s="4" t="s">
        <v>113</v>
      </c>
      <c r="E107" s="4" t="str">
        <f>HYPERLINK("https://app.crepc.sk/?fn=detailBiblioForm&amp;sid=D2D833EB96BEA25A4920CB94E7")</f>
        <v>https://app.crepc.sk/?fn=detailBiblioForm&amp;sid=D2D833EB96BEA25A4920CB94E7</v>
      </c>
      <c r="I107" s="2"/>
    </row>
    <row r="108" spans="3:9" ht="45" x14ac:dyDescent="0.25">
      <c r="C108" s="15">
        <v>508624</v>
      </c>
      <c r="D108" s="4" t="s">
        <v>114</v>
      </c>
      <c r="E108" s="4" t="str">
        <f>HYPERLINK("https://app.crepc.sk/?fn=detailBiblioForm&amp;sid=F555E6C16387A9B870FEAA94AE")</f>
        <v>https://app.crepc.sk/?fn=detailBiblioForm&amp;sid=F555E6C16387A9B870FEAA94AE</v>
      </c>
      <c r="I108" s="2"/>
    </row>
    <row r="109" spans="3:9" ht="45" x14ac:dyDescent="0.25">
      <c r="C109" s="15">
        <v>508638</v>
      </c>
      <c r="D109" s="4" t="s">
        <v>115</v>
      </c>
      <c r="E109" s="4" t="str">
        <f>HYPERLINK("https://app.crepc.sk/?fn=detailBiblioForm&amp;sid=F555E6C16387A9B871F2AA94AE")</f>
        <v>https://app.crepc.sk/?fn=detailBiblioForm&amp;sid=F555E6C16387A9B871F2AA94AE</v>
      </c>
      <c r="I109" s="2"/>
    </row>
    <row r="110" spans="3:9" ht="60" x14ac:dyDescent="0.25">
      <c r="C110" s="15">
        <v>460875</v>
      </c>
      <c r="D110" s="4" t="s">
        <v>116</v>
      </c>
      <c r="E110" s="4" t="str">
        <f>HYPERLINK("https://app.crepc.sk/?fn=detailBiblioForm&amp;sid=88983A6D8031953B14EB91249D")</f>
        <v>https://app.crepc.sk/?fn=detailBiblioForm&amp;sid=88983A6D8031953B14EB91249D</v>
      </c>
      <c r="I110" s="2"/>
    </row>
    <row r="111" spans="3:9" ht="45" x14ac:dyDescent="0.25">
      <c r="C111" s="15">
        <v>506740</v>
      </c>
      <c r="D111" s="4" t="s">
        <v>117</v>
      </c>
      <c r="E111" s="4" t="str">
        <f>HYPERLINK("https://app.crepc.sk/?fn=detailBiblioForm&amp;sid=AA397DACEC77CE6974265FFD90")</f>
        <v>https://app.crepc.sk/?fn=detailBiblioForm&amp;sid=AA397DACEC77CE6974265FFD90</v>
      </c>
      <c r="I111" s="2"/>
    </row>
    <row r="112" spans="3:9" ht="45" x14ac:dyDescent="0.25">
      <c r="C112" s="15">
        <v>508655</v>
      </c>
      <c r="D112" s="4" t="s">
        <v>118</v>
      </c>
      <c r="E112" s="4" t="str">
        <f>HYPERLINK("https://app.crepc.sk/?fn=detailBiblioForm&amp;sid=F555E6C16387A9B877FFAA94AE")</f>
        <v>https://app.crepc.sk/?fn=detailBiblioForm&amp;sid=F555E6C16387A9B877FFAA94AE</v>
      </c>
      <c r="I112" s="2"/>
    </row>
    <row r="113" spans="3:9" ht="45" x14ac:dyDescent="0.25">
      <c r="C113" s="15">
        <v>511933</v>
      </c>
      <c r="D113" s="4" t="s">
        <v>119</v>
      </c>
      <c r="E113" s="4" t="str">
        <f>HYPERLINK("https://app.crepc.sk/?fn=detailBiblioForm&amp;sid=7C67099AC5BBA884296BA4E232")</f>
        <v>https://app.crepc.sk/?fn=detailBiblioForm&amp;sid=7C67099AC5BBA884296BA4E232</v>
      </c>
      <c r="I113" s="2"/>
    </row>
    <row r="114" spans="3:9" ht="45" x14ac:dyDescent="0.25">
      <c r="C114" s="15">
        <v>508649</v>
      </c>
      <c r="D114" s="4" t="s">
        <v>120</v>
      </c>
      <c r="E114" s="4" t="str">
        <f>HYPERLINK("https://app.crepc.sk/?fn=detailBiblioForm&amp;sid=F555E6C16387A9B876F3AA94AE")</f>
        <v>https://app.crepc.sk/?fn=detailBiblioForm&amp;sid=F555E6C16387A9B876F3AA94AE</v>
      </c>
      <c r="I114" s="2"/>
    </row>
    <row r="115" spans="3:9" ht="45" x14ac:dyDescent="0.25">
      <c r="C115" s="15">
        <v>462323</v>
      </c>
      <c r="D115" s="4" t="s">
        <v>121</v>
      </c>
      <c r="E115" s="4" t="str">
        <f>HYPERLINK("https://app.crepc.sk/?fn=detailBiblioForm&amp;sid=244D3D63C8C011AC9F1A80D0B5")</f>
        <v>https://app.crepc.sk/?fn=detailBiblioForm&amp;sid=244D3D63C8C011AC9F1A80D0B5</v>
      </c>
      <c r="I115" s="2"/>
    </row>
    <row r="116" spans="3:9" ht="45" x14ac:dyDescent="0.25">
      <c r="C116" s="15">
        <v>477456</v>
      </c>
      <c r="D116" s="4" t="s">
        <v>122</v>
      </c>
      <c r="E116" s="4" t="str">
        <f>HYPERLINK("https://app.crepc.sk/?fn=detailBiblioForm&amp;sid=5EF6B8BAD889B5BF3AEB20A42E")</f>
        <v>https://app.crepc.sk/?fn=detailBiblioForm&amp;sid=5EF6B8BAD889B5BF3AEB20A42E</v>
      </c>
      <c r="I116" s="2"/>
    </row>
    <row r="117" spans="3:9" ht="60" x14ac:dyDescent="0.25">
      <c r="C117" s="15">
        <v>487321</v>
      </c>
      <c r="D117" s="4" t="s">
        <v>123</v>
      </c>
      <c r="E117" s="4" t="str">
        <f>HYPERLINK("https://app.crepc.sk/?fn=detailBiblioForm&amp;sid=11D998CEAEDE9331F535BEA921")</f>
        <v>https://app.crepc.sk/?fn=detailBiblioForm&amp;sid=11D998CEAEDE9331F535BEA921</v>
      </c>
      <c r="I117" s="2"/>
    </row>
    <row r="118" spans="3:9" ht="45" x14ac:dyDescent="0.25">
      <c r="C118" s="15">
        <v>462534</v>
      </c>
      <c r="D118" s="4" t="s">
        <v>124</v>
      </c>
      <c r="E118" s="4" t="str">
        <f>HYPERLINK("https://app.crepc.sk/?fn=detailBiblioForm&amp;sid=CD293AE9D25EE1DAE1E3922931")</f>
        <v>https://app.crepc.sk/?fn=detailBiblioForm&amp;sid=CD293AE9D25EE1DAE1E3922931</v>
      </c>
      <c r="I118" s="2"/>
    </row>
    <row r="119" spans="3:9" ht="45" x14ac:dyDescent="0.25">
      <c r="C119" s="15">
        <v>477450</v>
      </c>
      <c r="D119" s="4" t="s">
        <v>125</v>
      </c>
      <c r="E119" s="4" t="str">
        <f>HYPERLINK("https://app.crepc.sk/?fn=detailBiblioForm&amp;sid=5EF6B8BAD889B5BF3AED20A42E")</f>
        <v>https://app.crepc.sk/?fn=detailBiblioForm&amp;sid=5EF6B8BAD889B5BF3AED20A42E</v>
      </c>
      <c r="I119" s="2"/>
    </row>
    <row r="120" spans="3:9" ht="45" x14ac:dyDescent="0.25">
      <c r="C120" s="15">
        <v>508630</v>
      </c>
      <c r="D120" s="4" t="s">
        <v>126</v>
      </c>
      <c r="E120" s="4" t="str">
        <f>HYPERLINK("https://app.crepc.sk/?fn=detailBiblioForm&amp;sid=F555E6C16387A9B871FAAA94AE")</f>
        <v>https://app.crepc.sk/?fn=detailBiblioForm&amp;sid=F555E6C16387A9B871FAAA94AE</v>
      </c>
      <c r="I120" s="2"/>
    </row>
    <row r="121" spans="3:9" ht="45" x14ac:dyDescent="0.25">
      <c r="C121" s="15">
        <v>477486</v>
      </c>
      <c r="D121" s="4" t="s">
        <v>127</v>
      </c>
      <c r="E121" s="4" t="str">
        <f>HYPERLINK("https://app.crepc.sk/?fn=detailBiblioForm&amp;sid=5EF6B8BAD889B5BF37EB20A42E")</f>
        <v>https://app.crepc.sk/?fn=detailBiblioForm&amp;sid=5EF6B8BAD889B5BF37EB20A42E</v>
      </c>
      <c r="I121" s="2"/>
    </row>
    <row r="122" spans="3:9" ht="45" x14ac:dyDescent="0.25">
      <c r="C122" s="15">
        <v>462324</v>
      </c>
      <c r="D122" s="4" t="s">
        <v>128</v>
      </c>
      <c r="E122" s="4" t="str">
        <f>HYPERLINK("https://app.crepc.sk/?fn=detailBiblioForm&amp;sid=244D3D63C8C011AC9F1D80D0B5")</f>
        <v>https://app.crepc.sk/?fn=detailBiblioForm&amp;sid=244D3D63C8C011AC9F1D80D0B5</v>
      </c>
      <c r="I122" s="2"/>
    </row>
    <row r="123" spans="3:9" ht="45" x14ac:dyDescent="0.25">
      <c r="C123" s="15">
        <v>527097</v>
      </c>
      <c r="D123" s="4" t="s">
        <v>129</v>
      </c>
      <c r="E123" s="4" t="str">
        <f>HYPERLINK("https://app.crepc.sk/?fn=detailBiblioForm&amp;sid=13D36A8F2B69569F884A56AB5F")</f>
        <v>https://app.crepc.sk/?fn=detailBiblioForm&amp;sid=13D36A8F2B69569F884A56AB5F</v>
      </c>
      <c r="I123" s="2"/>
    </row>
    <row r="124" spans="3:9" ht="45" x14ac:dyDescent="0.25">
      <c r="C124" s="15">
        <v>462332</v>
      </c>
      <c r="D124" s="4" t="s">
        <v>130</v>
      </c>
      <c r="E124" s="4" t="str">
        <f>HYPERLINK("https://app.crepc.sk/?fn=detailBiblioForm&amp;sid=244D3D63C8C011AC9E1B80D0B5")</f>
        <v>https://app.crepc.sk/?fn=detailBiblioForm&amp;sid=244D3D63C8C011AC9E1B80D0B5</v>
      </c>
      <c r="I124" s="2"/>
    </row>
    <row r="125" spans="3:9" ht="45" x14ac:dyDescent="0.25">
      <c r="C125" s="15">
        <v>477437</v>
      </c>
      <c r="D125" s="4" t="s">
        <v>131</v>
      </c>
      <c r="E125" s="4" t="str">
        <f>HYPERLINK("https://app.crepc.sk/?fn=detailBiblioForm&amp;sid=5EF6B8BAD889B5BF3CEA20A42E")</f>
        <v>https://app.crepc.sk/?fn=detailBiblioForm&amp;sid=5EF6B8BAD889B5BF3CEA20A42E</v>
      </c>
      <c r="I125" s="2"/>
    </row>
    <row r="126" spans="3:9" ht="45" x14ac:dyDescent="0.25">
      <c r="C126" s="15">
        <v>503968</v>
      </c>
      <c r="D126" s="4" t="s">
        <v>132</v>
      </c>
      <c r="E126" s="4" t="str">
        <f>HYPERLINK("https://app.crepc.sk/?fn=detailBiblioForm&amp;sid=E36E561CC42CD7EC139039BEF7")</f>
        <v>https://app.crepc.sk/?fn=detailBiblioForm&amp;sid=E36E561CC42CD7EC139039BEF7</v>
      </c>
      <c r="I126" s="2"/>
    </row>
    <row r="127" spans="3:9" ht="45" x14ac:dyDescent="0.25">
      <c r="C127" s="15">
        <v>477523</v>
      </c>
      <c r="D127" s="4" t="s">
        <v>133</v>
      </c>
      <c r="E127" s="4" t="str">
        <f>HYPERLINK("https://app.crepc.sk/?fn=detailBiblioForm&amp;sid=A3D6A821779C3EAD693638FA14")</f>
        <v>https://app.crepc.sk/?fn=detailBiblioForm&amp;sid=A3D6A821779C3EAD693638FA14</v>
      </c>
      <c r="I127" s="2"/>
    </row>
    <row r="128" spans="3:9" ht="45" x14ac:dyDescent="0.25">
      <c r="C128" s="15">
        <v>477457</v>
      </c>
      <c r="D128" s="4" t="s">
        <v>134</v>
      </c>
      <c r="E128" s="4" t="str">
        <f>HYPERLINK("https://app.crepc.sk/?fn=detailBiblioForm&amp;sid=5EF6B8BAD889B5BF3AEA20A42E")</f>
        <v>https://app.crepc.sk/?fn=detailBiblioForm&amp;sid=5EF6B8BAD889B5BF3AEA20A42E</v>
      </c>
      <c r="I128" s="2"/>
    </row>
    <row r="129" spans="1:9" ht="45" x14ac:dyDescent="0.25">
      <c r="C129" s="15">
        <v>527095</v>
      </c>
      <c r="D129" s="4" t="s">
        <v>135</v>
      </c>
      <c r="E129" s="4" t="str">
        <f>HYPERLINK("https://app.crepc.sk/?fn=detailBiblioForm&amp;sid=13D36A8F2B69569F884856AB5F")</f>
        <v>https://app.crepc.sk/?fn=detailBiblioForm&amp;sid=13D36A8F2B69569F884856AB5F</v>
      </c>
      <c r="I129" s="2"/>
    </row>
    <row r="130" spans="1:9" ht="45" x14ac:dyDescent="0.25">
      <c r="C130" s="15">
        <v>462486</v>
      </c>
      <c r="D130" s="4" t="s">
        <v>136</v>
      </c>
      <c r="E130" s="4" t="str">
        <f>HYPERLINK("https://app.crepc.sk/?fn=detailBiblioForm&amp;sid=1D75788F23803737A1EADBC549")</f>
        <v>https://app.crepc.sk/?fn=detailBiblioForm&amp;sid=1D75788F23803737A1EADBC549</v>
      </c>
      <c r="I130" s="2"/>
    </row>
    <row r="131" spans="1:9" ht="45" x14ac:dyDescent="0.25">
      <c r="C131" s="15">
        <v>462328</v>
      </c>
      <c r="D131" s="4" t="s">
        <v>137</v>
      </c>
      <c r="E131" s="4" t="str">
        <f>HYPERLINK("https://app.crepc.sk/?fn=detailBiblioForm&amp;sid=244D3D63C8C011AC9F1180D0B5")</f>
        <v>https://app.crepc.sk/?fn=detailBiblioForm&amp;sid=244D3D63C8C011AC9F1180D0B5</v>
      </c>
      <c r="I131" s="2"/>
    </row>
    <row r="132" spans="1:9" ht="60" x14ac:dyDescent="0.25">
      <c r="C132" s="15">
        <v>508535</v>
      </c>
      <c r="D132" s="4" t="s">
        <v>138</v>
      </c>
      <c r="E132" s="4" t="str">
        <f>HYPERLINK("https://app.crepc.sk/?fn=detailBiblioForm&amp;sid=D2D833EB96BEA25A4822CB94E7")</f>
        <v>https://app.crepc.sk/?fn=detailBiblioForm&amp;sid=D2D833EB96BEA25A4822CB94E7</v>
      </c>
      <c r="I132" s="2"/>
    </row>
    <row r="133" spans="1:9" ht="45" x14ac:dyDescent="0.25">
      <c r="C133" s="15">
        <v>527096</v>
      </c>
      <c r="D133" s="4" t="s">
        <v>139</v>
      </c>
      <c r="E133" s="4" t="str">
        <f>HYPERLINK("https://app.crepc.sk/?fn=detailBiblioForm&amp;sid=13D36A8F2B69569F884B56AB5F")</f>
        <v>https://app.crepc.sk/?fn=detailBiblioForm&amp;sid=13D36A8F2B69569F884B56AB5F</v>
      </c>
      <c r="I133" s="2"/>
    </row>
    <row r="134" spans="1:9" x14ac:dyDescent="0.25">
      <c r="A134" s="4" t="s">
        <v>140</v>
      </c>
      <c r="B134" s="15">
        <v>10</v>
      </c>
      <c r="I134" s="2"/>
    </row>
    <row r="135" spans="1:9" ht="75" x14ac:dyDescent="0.25">
      <c r="C135" s="15">
        <v>486747</v>
      </c>
      <c r="D135" s="4" t="s">
        <v>141</v>
      </c>
      <c r="E135" s="4" t="str">
        <f>HYPERLINK("https://app.crepc.sk/?fn=detailBiblioForm&amp;sid=BC75E240E19470701CCAE8B682")</f>
        <v>https://app.crepc.sk/?fn=detailBiblioForm&amp;sid=BC75E240E19470701CCAE8B682</v>
      </c>
      <c r="I135" s="2"/>
    </row>
    <row r="136" spans="1:9" ht="105" x14ac:dyDescent="0.25">
      <c r="C136" s="15">
        <v>503730</v>
      </c>
      <c r="D136" s="4" t="s">
        <v>142</v>
      </c>
      <c r="E136" s="4" t="str">
        <f>HYPERLINK("https://app.crepc.sk/?fn=detailBiblioForm&amp;sid=F38E5E66AEF45BDFA1D22FDFA6")</f>
        <v>https://app.crepc.sk/?fn=detailBiblioForm&amp;sid=F38E5E66AEF45BDFA1D22FDFA6</v>
      </c>
      <c r="I136" s="2"/>
    </row>
    <row r="137" spans="1:9" ht="60" x14ac:dyDescent="0.25">
      <c r="C137" s="15">
        <v>476929</v>
      </c>
      <c r="D137" s="4" t="s">
        <v>143</v>
      </c>
      <c r="E137" s="4" t="str">
        <f>HYPERLINK("https://app.crepc.sk/?fn=detailBiblioForm&amp;sid=2B6C9B3B6E03D6F40DA90DBAFD")</f>
        <v>https://app.crepc.sk/?fn=detailBiblioForm&amp;sid=2B6C9B3B6E03D6F40DA90DBAFD</v>
      </c>
      <c r="I137" s="2"/>
    </row>
    <row r="138" spans="1:9" ht="45" x14ac:dyDescent="0.25">
      <c r="C138" s="15">
        <v>527829</v>
      </c>
      <c r="D138" s="4" t="s">
        <v>144</v>
      </c>
      <c r="E138" s="4" t="str">
        <f>HYPERLINK("https://app.crepc.sk/?fn=detailBiblioForm&amp;sid=767E99C901140620FF0F0DAAC6")</f>
        <v>https://app.crepc.sk/?fn=detailBiblioForm&amp;sid=767E99C901140620FF0F0DAAC6</v>
      </c>
      <c r="I138" s="2"/>
    </row>
    <row r="139" spans="1:9" ht="45" x14ac:dyDescent="0.25">
      <c r="C139" s="15">
        <v>510875</v>
      </c>
      <c r="D139" s="4" t="s">
        <v>145</v>
      </c>
      <c r="E139" s="4" t="str">
        <f>HYPERLINK("https://app.crepc.sk/?fn=detailBiblioForm&amp;sid=8098A5EBC517294D59095F1619")</f>
        <v>https://app.crepc.sk/?fn=detailBiblioForm&amp;sid=8098A5EBC517294D59095F1619</v>
      </c>
      <c r="I139" s="2"/>
    </row>
    <row r="140" spans="1:9" ht="60" x14ac:dyDescent="0.25">
      <c r="C140" s="15">
        <v>519745</v>
      </c>
      <c r="D140" s="4" t="s">
        <v>146</v>
      </c>
      <c r="E140" s="4" t="str">
        <f>HYPERLINK("https://app.crepc.sk/?fn=detailBiblioForm&amp;sid=3CF9681F115FD6E29C65D3733A")</f>
        <v>https://app.crepc.sk/?fn=detailBiblioForm&amp;sid=3CF9681F115FD6E29C65D3733A</v>
      </c>
      <c r="I140" s="2"/>
    </row>
    <row r="141" spans="1:9" ht="60" x14ac:dyDescent="0.25">
      <c r="C141" s="15">
        <v>529235</v>
      </c>
      <c r="D141" s="4" t="s">
        <v>147</v>
      </c>
      <c r="E141" s="4" t="str">
        <f>HYPERLINK("https://app.crepc.sk/?fn=detailBiblioForm&amp;sid=C7EE819E36417AEFCAC8C0E72A")</f>
        <v>https://app.crepc.sk/?fn=detailBiblioForm&amp;sid=C7EE819E36417AEFCAC8C0E72A</v>
      </c>
      <c r="I141" s="2"/>
    </row>
    <row r="142" spans="1:9" ht="45" x14ac:dyDescent="0.25">
      <c r="C142" s="15">
        <v>521814</v>
      </c>
      <c r="D142" s="4" t="s">
        <v>148</v>
      </c>
      <c r="E142" s="4" t="str">
        <f>HYPERLINK("https://app.crepc.sk/?fn=detailBiblioForm&amp;sid=8845DFF785A051F399A965A665")</f>
        <v>https://app.crepc.sk/?fn=detailBiblioForm&amp;sid=8845DFF785A051F399A965A665</v>
      </c>
      <c r="I142" s="2"/>
    </row>
    <row r="143" spans="1:9" ht="60" x14ac:dyDescent="0.25">
      <c r="C143" s="15">
        <v>521578</v>
      </c>
      <c r="D143" s="4" t="s">
        <v>149</v>
      </c>
      <c r="E143" s="4" t="str">
        <f>HYPERLINK("https://app.crepc.sk/?fn=detailBiblioForm&amp;sid=69EDBD46E8091CB03CC3A8A439")</f>
        <v>https://app.crepc.sk/?fn=detailBiblioForm&amp;sid=69EDBD46E8091CB03CC3A8A439</v>
      </c>
      <c r="I143" s="2"/>
    </row>
    <row r="144" spans="1:9" ht="75" x14ac:dyDescent="0.25">
      <c r="C144" s="15">
        <v>469792</v>
      </c>
      <c r="D144" s="4" t="s">
        <v>150</v>
      </c>
      <c r="E144" s="4" t="str">
        <f>HYPERLINK("https://app.crepc.sk/?fn=detailBiblioForm&amp;sid=DB790A6B6DDF8D4B1B91ED1D12")</f>
        <v>https://app.crepc.sk/?fn=detailBiblioForm&amp;sid=DB790A6B6DDF8D4B1B91ED1D12</v>
      </c>
      <c r="I144" s="2"/>
    </row>
    <row r="145" spans="1:9" ht="30" x14ac:dyDescent="0.25">
      <c r="A145" s="4" t="s">
        <v>151</v>
      </c>
      <c r="B145" s="15">
        <v>60</v>
      </c>
      <c r="I145" s="2"/>
    </row>
    <row r="146" spans="1:9" ht="75" x14ac:dyDescent="0.25">
      <c r="C146" s="15">
        <v>523343</v>
      </c>
      <c r="D146" s="4" t="s">
        <v>152</v>
      </c>
      <c r="E146" s="4" t="str">
        <f>HYPERLINK("https://app.crepc.sk/?fn=detailBiblioForm&amp;sid=4DDB7F86E218AD26854E8C6577")</f>
        <v>https://app.crepc.sk/?fn=detailBiblioForm&amp;sid=4DDB7F86E218AD26854E8C6577</v>
      </c>
      <c r="I146" s="2"/>
    </row>
    <row r="147" spans="1:9" ht="120" x14ac:dyDescent="0.25">
      <c r="C147" s="15">
        <v>485929</v>
      </c>
      <c r="D147" s="4" t="s">
        <v>153</v>
      </c>
      <c r="E147" s="4" t="str">
        <f>HYPERLINK("https://app.crepc.sk/?fn=detailBiblioForm&amp;sid=E643C899C25A215CD70283813E")</f>
        <v>https://app.crepc.sk/?fn=detailBiblioForm&amp;sid=E643C899C25A215CD70283813E</v>
      </c>
      <c r="I147" s="2"/>
    </row>
    <row r="148" spans="1:9" ht="90" x14ac:dyDescent="0.25">
      <c r="C148" s="15">
        <v>490289</v>
      </c>
      <c r="D148" s="4" t="s">
        <v>154</v>
      </c>
      <c r="E148" s="4" t="str">
        <f>HYPERLINK("https://app.crepc.sk/?fn=detailBiblioForm&amp;sid=9B29CB501F30532D29F0BBDF19")</f>
        <v>https://app.crepc.sk/?fn=detailBiblioForm&amp;sid=9B29CB501F30532D29F0BBDF19</v>
      </c>
      <c r="I148" s="2"/>
    </row>
    <row r="149" spans="1:9" ht="75" x14ac:dyDescent="0.25">
      <c r="C149" s="15">
        <v>463485</v>
      </c>
      <c r="D149" s="4" t="s">
        <v>155</v>
      </c>
      <c r="E149" s="4" t="str">
        <f>HYPERLINK("https://app.crepc.sk/?fn=detailBiblioForm&amp;sid=796E8C6E642B47B1625F0D1BEB")</f>
        <v>https://app.crepc.sk/?fn=detailBiblioForm&amp;sid=796E8C6E642B47B1625F0D1BEB</v>
      </c>
      <c r="I149" s="2"/>
    </row>
    <row r="150" spans="1:9" ht="90" x14ac:dyDescent="0.25">
      <c r="C150" s="15">
        <v>514361</v>
      </c>
      <c r="D150" s="4" t="s">
        <v>156</v>
      </c>
      <c r="E150" s="4" t="str">
        <f>HYPERLINK("https://app.crepc.sk/?fn=detailBiblioForm&amp;sid=43751CCBED9CC5C544B85228B3")</f>
        <v>https://app.crepc.sk/?fn=detailBiblioForm&amp;sid=43751CCBED9CC5C544B85228B3</v>
      </c>
      <c r="I150" s="2"/>
    </row>
    <row r="151" spans="1:9" ht="150" x14ac:dyDescent="0.25">
      <c r="C151" s="15">
        <v>456469</v>
      </c>
      <c r="D151" s="4" t="s">
        <v>157</v>
      </c>
      <c r="E151" s="4" t="str">
        <f>HYPERLINK("https://app.crepc.sk/?fn=detailBiblioForm&amp;sid=89C527A66B6BDB3D517EDD8AB2")</f>
        <v>https://app.crepc.sk/?fn=detailBiblioForm&amp;sid=89C527A66B6BDB3D517EDD8AB2</v>
      </c>
      <c r="I151" s="2"/>
    </row>
    <row r="152" spans="1:9" ht="75" x14ac:dyDescent="0.25">
      <c r="C152" s="15">
        <v>498664</v>
      </c>
      <c r="D152" s="4" t="s">
        <v>158</v>
      </c>
      <c r="E152" s="4" t="str">
        <f>HYPERLINK("https://app.crepc.sk/?fn=detailBiblioForm&amp;sid=6CBD07FFF822E5E633701C6378")</f>
        <v>https://app.crepc.sk/?fn=detailBiblioForm&amp;sid=6CBD07FFF822E5E633701C6378</v>
      </c>
      <c r="I152" s="2"/>
    </row>
    <row r="153" spans="1:9" ht="45" x14ac:dyDescent="0.25">
      <c r="C153" s="15">
        <v>465494</v>
      </c>
      <c r="D153" s="4" t="s">
        <v>159</v>
      </c>
      <c r="E153" s="4" t="str">
        <f>HYPERLINK("https://app.crepc.sk/?fn=detailBiblioForm&amp;sid=6E0CEA70D9B2B0795FCCB7A8F4")</f>
        <v>https://app.crepc.sk/?fn=detailBiblioForm&amp;sid=6E0CEA70D9B2B0795FCCB7A8F4</v>
      </c>
      <c r="I153" s="2"/>
    </row>
    <row r="154" spans="1:9" ht="75" x14ac:dyDescent="0.25">
      <c r="C154" s="15">
        <v>458117</v>
      </c>
      <c r="D154" s="4" t="s">
        <v>160</v>
      </c>
      <c r="E154" s="4" t="str">
        <f>HYPERLINK("https://app.crepc.sk/?fn=detailBiblioForm&amp;sid=071A873BB8FAF95F5AD09A64F9")</f>
        <v>https://app.crepc.sk/?fn=detailBiblioForm&amp;sid=071A873BB8FAF95F5AD09A64F9</v>
      </c>
      <c r="I154" s="2"/>
    </row>
    <row r="155" spans="1:9" ht="60" x14ac:dyDescent="0.25">
      <c r="C155" s="15">
        <v>507666</v>
      </c>
      <c r="D155" s="4" t="s">
        <v>161</v>
      </c>
      <c r="E155" s="4" t="str">
        <f>HYPERLINK("https://app.crepc.sk/?fn=detailBiblioForm&amp;sid=A363D22A746428FBF2FC0C0F7A")</f>
        <v>https://app.crepc.sk/?fn=detailBiblioForm&amp;sid=A363D22A746428FBF2FC0C0F7A</v>
      </c>
      <c r="I155" s="2"/>
    </row>
    <row r="156" spans="1:9" ht="75" x14ac:dyDescent="0.25">
      <c r="C156" s="15">
        <v>490256</v>
      </c>
      <c r="D156" s="4" t="s">
        <v>162</v>
      </c>
      <c r="E156" s="4" t="str">
        <f>HYPERLINK("https://app.crepc.sk/?fn=detailBiblioForm&amp;sid=9B29CB501F30532D24FFBBDF19")</f>
        <v>https://app.crepc.sk/?fn=detailBiblioForm&amp;sid=9B29CB501F30532D24FFBBDF19</v>
      </c>
      <c r="I156" s="2"/>
    </row>
    <row r="157" spans="1:9" ht="75" x14ac:dyDescent="0.25">
      <c r="C157" s="15">
        <v>469974</v>
      </c>
      <c r="D157" s="4" t="s">
        <v>163</v>
      </c>
      <c r="E157" s="4" t="str">
        <f>HYPERLINK("https://app.crepc.sk/?fn=detailBiblioForm&amp;sid=1DCBB3ED1D56AB905602F47DE6")</f>
        <v>https://app.crepc.sk/?fn=detailBiblioForm&amp;sid=1DCBB3ED1D56AB905602F47DE6</v>
      </c>
      <c r="I157" s="2"/>
    </row>
    <row r="158" spans="1:9" ht="75" x14ac:dyDescent="0.25">
      <c r="C158" s="15">
        <v>515917</v>
      </c>
      <c r="D158" s="4" t="s">
        <v>164</v>
      </c>
      <c r="E158" s="4" t="str">
        <f>HYPERLINK("https://app.crepc.sk/?fn=detailBiblioForm&amp;sid=660F99232F1B2A5A336E05EBA2")</f>
        <v>https://app.crepc.sk/?fn=detailBiblioForm&amp;sid=660F99232F1B2A5A336E05EBA2</v>
      </c>
      <c r="I158" s="2"/>
    </row>
    <row r="159" spans="1:9" ht="75" x14ac:dyDescent="0.25">
      <c r="C159" s="15">
        <v>514341</v>
      </c>
      <c r="D159" s="4" t="s">
        <v>165</v>
      </c>
      <c r="E159" s="4" t="str">
        <f>HYPERLINK("https://app.crepc.sk/?fn=detailBiblioForm&amp;sid=43751CCBED9CC5C546B85228B3")</f>
        <v>https://app.crepc.sk/?fn=detailBiblioForm&amp;sid=43751CCBED9CC5C546B85228B3</v>
      </c>
      <c r="I159" s="2"/>
    </row>
    <row r="160" spans="1:9" ht="90" x14ac:dyDescent="0.25">
      <c r="C160" s="15">
        <v>509301</v>
      </c>
      <c r="D160" s="4" t="s">
        <v>166</v>
      </c>
      <c r="E160" s="4" t="str">
        <f>HYPERLINK("https://app.crepc.sk/?fn=detailBiblioForm&amp;sid=39DA9FE9ED6A814B3121FD0E71")</f>
        <v>https://app.crepc.sk/?fn=detailBiblioForm&amp;sid=39DA9FE9ED6A814B3121FD0E71</v>
      </c>
      <c r="I160" s="2"/>
    </row>
    <row r="161" spans="3:9" ht="45" x14ac:dyDescent="0.25">
      <c r="C161" s="15">
        <v>507649</v>
      </c>
      <c r="D161" s="4" t="s">
        <v>167</v>
      </c>
      <c r="E161" s="4" t="str">
        <f>HYPERLINK("https://app.crepc.sk/?fn=detailBiblioForm&amp;sid=A363D22A746428FBF0F30C0F7A")</f>
        <v>https://app.crepc.sk/?fn=detailBiblioForm&amp;sid=A363D22A746428FBF0F30C0F7A</v>
      </c>
      <c r="I161" s="2"/>
    </row>
    <row r="162" spans="3:9" ht="75" x14ac:dyDescent="0.25">
      <c r="C162" s="15">
        <v>493883</v>
      </c>
      <c r="D162" s="4" t="s">
        <v>168</v>
      </c>
      <c r="E162" s="4" t="str">
        <f>HYPERLINK("https://app.crepc.sk/?fn=detailBiblioForm&amp;sid=D4BFEB37CCCE8910BAFA1F0C52")</f>
        <v>https://app.crepc.sk/?fn=detailBiblioForm&amp;sid=D4BFEB37CCCE8910BAFA1F0C52</v>
      </c>
      <c r="I162" s="2"/>
    </row>
    <row r="163" spans="3:9" ht="75" x14ac:dyDescent="0.25">
      <c r="C163" s="15">
        <v>527943</v>
      </c>
      <c r="D163" s="4" t="s">
        <v>169</v>
      </c>
      <c r="E163" s="4" t="str">
        <f>HYPERLINK("https://app.crepc.sk/?fn=detailBiblioForm&amp;sid=3D2743D5EFB615AC07735E2FA8")</f>
        <v>https://app.crepc.sk/?fn=detailBiblioForm&amp;sid=3D2743D5EFB615AC07735E2FA8</v>
      </c>
      <c r="I163" s="2"/>
    </row>
    <row r="164" spans="3:9" ht="45" x14ac:dyDescent="0.25">
      <c r="C164" s="15">
        <v>465026</v>
      </c>
      <c r="D164" s="4" t="s">
        <v>170</v>
      </c>
      <c r="E164" s="4" t="str">
        <f>HYPERLINK("https://app.crepc.sk/?fn=detailBiblioForm&amp;sid=D488E57CA2FDE5C753BE7C2097")</f>
        <v>https://app.crepc.sk/?fn=detailBiblioForm&amp;sid=D488E57CA2FDE5C753BE7C2097</v>
      </c>
      <c r="I164" s="2"/>
    </row>
    <row r="165" spans="3:9" ht="120" x14ac:dyDescent="0.25">
      <c r="C165" s="15">
        <v>512552</v>
      </c>
      <c r="D165" s="4" t="s">
        <v>171</v>
      </c>
      <c r="E165" s="4" t="str">
        <f>HYPERLINK("https://app.crepc.sk/?fn=detailBiblioForm&amp;sid=A5213ECA03C20E558615CF8C0A")</f>
        <v>https://app.crepc.sk/?fn=detailBiblioForm&amp;sid=A5213ECA03C20E558615CF8C0A</v>
      </c>
      <c r="I165" s="2"/>
    </row>
    <row r="166" spans="3:9" ht="60" x14ac:dyDescent="0.25">
      <c r="C166" s="15">
        <v>466130</v>
      </c>
      <c r="D166" s="4" t="s">
        <v>172</v>
      </c>
      <c r="E166" s="4" t="str">
        <f>HYPERLINK("https://app.crepc.sk/?fn=detailBiblioForm&amp;sid=E9867566383D31CE77DDAD8EDB")</f>
        <v>https://app.crepc.sk/?fn=detailBiblioForm&amp;sid=E9867566383D31CE77DDAD8EDB</v>
      </c>
      <c r="I166" s="2"/>
    </row>
    <row r="167" spans="3:9" ht="90" x14ac:dyDescent="0.25">
      <c r="C167" s="15">
        <v>517245</v>
      </c>
      <c r="D167" s="4" t="s">
        <v>173</v>
      </c>
      <c r="E167" s="4" t="str">
        <f>HYPERLINK("https://app.crepc.sk/?fn=detailBiblioForm&amp;sid=62444EC8270434F9F6C450AF8C")</f>
        <v>https://app.crepc.sk/?fn=detailBiblioForm&amp;sid=62444EC8270434F9F6C450AF8C</v>
      </c>
      <c r="I167" s="2"/>
    </row>
    <row r="168" spans="3:9" ht="75" x14ac:dyDescent="0.25">
      <c r="C168" s="15">
        <v>486269</v>
      </c>
      <c r="D168" s="4" t="s">
        <v>174</v>
      </c>
      <c r="E168" s="4" t="str">
        <f>HYPERLINK("https://app.crepc.sk/?fn=detailBiblioForm&amp;sid=32F785CDFFF3BEF8B5BA99D93D")</f>
        <v>https://app.crepc.sk/?fn=detailBiblioForm&amp;sid=32F785CDFFF3BEF8B5BA99D93D</v>
      </c>
      <c r="I168" s="2"/>
    </row>
    <row r="169" spans="3:9" ht="75" x14ac:dyDescent="0.25">
      <c r="C169" s="15">
        <v>463484</v>
      </c>
      <c r="D169" s="4" t="s">
        <v>175</v>
      </c>
      <c r="E169" s="4" t="str">
        <f>HYPERLINK("https://app.crepc.sk/?fn=detailBiblioForm&amp;sid=796E8C6E642B47B1625E0D1BEB")</f>
        <v>https://app.crepc.sk/?fn=detailBiblioForm&amp;sid=796E8C6E642B47B1625E0D1BEB</v>
      </c>
      <c r="I169" s="2"/>
    </row>
    <row r="170" spans="3:9" ht="75" x14ac:dyDescent="0.25">
      <c r="C170" s="15">
        <v>486275</v>
      </c>
      <c r="D170" s="4" t="s">
        <v>176</v>
      </c>
      <c r="E170" s="4" t="str">
        <f>HYPERLINK("https://app.crepc.sk/?fn=detailBiblioForm&amp;sid=32F785CDFFF3BEF8B4B699D93D")</f>
        <v>https://app.crepc.sk/?fn=detailBiblioForm&amp;sid=32F785CDFFF3BEF8B4B699D93D</v>
      </c>
      <c r="I170" s="2"/>
    </row>
    <row r="171" spans="3:9" ht="75" x14ac:dyDescent="0.25">
      <c r="C171" s="15">
        <v>525508</v>
      </c>
      <c r="D171" s="4" t="s">
        <v>177</v>
      </c>
      <c r="E171" s="4" t="str">
        <f>HYPERLINK("https://app.crepc.sk/?fn=detailBiblioForm&amp;sid=2EE6BBBE64B1EAD1CB34D0E32D")</f>
        <v>https://app.crepc.sk/?fn=detailBiblioForm&amp;sid=2EE6BBBE64B1EAD1CB34D0E32D</v>
      </c>
      <c r="I171" s="2"/>
    </row>
    <row r="172" spans="3:9" ht="105" x14ac:dyDescent="0.25">
      <c r="C172" s="15">
        <v>519377</v>
      </c>
      <c r="D172" s="4" t="s">
        <v>178</v>
      </c>
      <c r="E172" s="4" t="str">
        <f>HYPERLINK("https://app.crepc.sk/?fn=detailBiblioForm&amp;sid=DEF8C469C283A3B60CBD5774FD")</f>
        <v>https://app.crepc.sk/?fn=detailBiblioForm&amp;sid=DEF8C469C283A3B60CBD5774FD</v>
      </c>
      <c r="I172" s="2"/>
    </row>
    <row r="173" spans="3:9" ht="75" x14ac:dyDescent="0.25">
      <c r="C173" s="15">
        <v>525170</v>
      </c>
      <c r="D173" s="4" t="s">
        <v>179</v>
      </c>
      <c r="E173" s="4" t="str">
        <f>HYPERLINK("https://app.crepc.sk/?fn=detailBiblioForm&amp;sid=DD3A4E4D185CCB4717EF1FBA51")</f>
        <v>https://app.crepc.sk/?fn=detailBiblioForm&amp;sid=DD3A4E4D185CCB4717EF1FBA51</v>
      </c>
      <c r="I173" s="2"/>
    </row>
    <row r="174" spans="3:9" ht="75" x14ac:dyDescent="0.25">
      <c r="C174" s="15">
        <v>525510</v>
      </c>
      <c r="D174" s="4" t="s">
        <v>180</v>
      </c>
      <c r="E174" s="4" t="str">
        <f>HYPERLINK("https://app.crepc.sk/?fn=detailBiblioForm&amp;sid=2EE6BBBE64B1EAD1CA3CD0E32D")</f>
        <v>https://app.crepc.sk/?fn=detailBiblioForm&amp;sid=2EE6BBBE64B1EAD1CA3CD0E32D</v>
      </c>
      <c r="I174" s="2"/>
    </row>
    <row r="175" spans="3:9" ht="60" x14ac:dyDescent="0.25">
      <c r="C175" s="15">
        <v>498665</v>
      </c>
      <c r="D175" s="4" t="s">
        <v>181</v>
      </c>
      <c r="E175" s="4" t="str">
        <f>HYPERLINK("https://app.crepc.sk/?fn=detailBiblioForm&amp;sid=6CBD07FFF822E5E633711C6378")</f>
        <v>https://app.crepc.sk/?fn=detailBiblioForm&amp;sid=6CBD07FFF822E5E633711C6378</v>
      </c>
      <c r="I175" s="2"/>
    </row>
    <row r="176" spans="3:9" ht="75" x14ac:dyDescent="0.25">
      <c r="C176" s="15">
        <v>466671</v>
      </c>
      <c r="D176" s="4" t="s">
        <v>182</v>
      </c>
      <c r="E176" s="4" t="str">
        <f>HYPERLINK("https://app.crepc.sk/?fn=detailBiblioForm&amp;sid=97284C91491757D9D2A15709B9")</f>
        <v>https://app.crepc.sk/?fn=detailBiblioForm&amp;sid=97284C91491757D9D2A15709B9</v>
      </c>
      <c r="I176" s="2"/>
    </row>
    <row r="177" spans="3:9" ht="90" x14ac:dyDescent="0.25">
      <c r="C177" s="15">
        <v>513850</v>
      </c>
      <c r="D177" s="4" t="s">
        <v>183</v>
      </c>
      <c r="E177" s="4" t="str">
        <f>HYPERLINK("https://app.crepc.sk/?fn=detailBiblioForm&amp;sid=BC45AE4EBD40543642C054140F")</f>
        <v>https://app.crepc.sk/?fn=detailBiblioForm&amp;sid=BC45AE4EBD40543642C054140F</v>
      </c>
      <c r="I177" s="2"/>
    </row>
    <row r="178" spans="3:9" ht="60" x14ac:dyDescent="0.25">
      <c r="C178" s="15">
        <v>466669</v>
      </c>
      <c r="D178" s="4" t="s">
        <v>184</v>
      </c>
      <c r="E178" s="4" t="str">
        <f>HYPERLINK("https://app.crepc.sk/?fn=detailBiblioForm&amp;sid=97284C91491757D9D3A95709B9")</f>
        <v>https://app.crepc.sk/?fn=detailBiblioForm&amp;sid=97284C91491757D9D3A95709B9</v>
      </c>
      <c r="I178" s="2"/>
    </row>
    <row r="179" spans="3:9" ht="60" x14ac:dyDescent="0.25">
      <c r="C179" s="15">
        <v>525950</v>
      </c>
      <c r="D179" s="4" t="s">
        <v>185</v>
      </c>
      <c r="E179" s="4" t="str">
        <f>HYPERLINK("https://app.crepc.sk/?fn=detailBiblioForm&amp;sid=0446DCEE7C6F4765D5B1BAEEE0")</f>
        <v>https://app.crepc.sk/?fn=detailBiblioForm&amp;sid=0446DCEE7C6F4765D5B1BAEEE0</v>
      </c>
      <c r="I179" s="2"/>
    </row>
    <row r="180" spans="3:9" ht="75" x14ac:dyDescent="0.25">
      <c r="C180" s="15">
        <v>469981</v>
      </c>
      <c r="D180" s="4" t="s">
        <v>186</v>
      </c>
      <c r="E180" s="4" t="str">
        <f>HYPERLINK("https://app.crepc.sk/?fn=detailBiblioForm&amp;sid=1DCBB3ED1D56AB905907F47DE6")</f>
        <v>https://app.crepc.sk/?fn=detailBiblioForm&amp;sid=1DCBB3ED1D56AB905907F47DE6</v>
      </c>
      <c r="I180" s="2"/>
    </row>
    <row r="181" spans="3:9" ht="60" x14ac:dyDescent="0.25">
      <c r="C181" s="15">
        <v>465433</v>
      </c>
      <c r="D181" s="4" t="s">
        <v>187</v>
      </c>
      <c r="E181" s="4" t="str">
        <f>HYPERLINK("https://app.crepc.sk/?fn=detailBiblioForm&amp;sid=6E0CEA70D9B2B07955CBB7A8F4")</f>
        <v>https://app.crepc.sk/?fn=detailBiblioForm&amp;sid=6E0CEA70D9B2B07955CBB7A8F4</v>
      </c>
      <c r="I181" s="2"/>
    </row>
    <row r="182" spans="3:9" ht="75" x14ac:dyDescent="0.25">
      <c r="C182" s="15">
        <v>513838</v>
      </c>
      <c r="D182" s="4" t="s">
        <v>188</v>
      </c>
      <c r="E182" s="4" t="str">
        <f>HYPERLINK("https://app.crepc.sk/?fn=detailBiblioForm&amp;sid=BC45AE4EBD40543644C854140F")</f>
        <v>https://app.crepc.sk/?fn=detailBiblioForm&amp;sid=BC45AE4EBD40543644C854140F</v>
      </c>
      <c r="I182" s="2"/>
    </row>
    <row r="183" spans="3:9" ht="75" x14ac:dyDescent="0.25">
      <c r="C183" s="15">
        <v>513848</v>
      </c>
      <c r="D183" s="4" t="s">
        <v>189</v>
      </c>
      <c r="E183" s="4" t="str">
        <f>HYPERLINK("https://app.crepc.sk/?fn=detailBiblioForm&amp;sid=BC45AE4EBD40543643C854140F")</f>
        <v>https://app.crepc.sk/?fn=detailBiblioForm&amp;sid=BC45AE4EBD40543643C854140F</v>
      </c>
      <c r="I183" s="2"/>
    </row>
    <row r="184" spans="3:9" ht="90" x14ac:dyDescent="0.25">
      <c r="C184" s="15">
        <v>507714</v>
      </c>
      <c r="D184" s="4" t="s">
        <v>190</v>
      </c>
      <c r="E184" s="4" t="str">
        <f>HYPERLINK("https://app.crepc.sk/?fn=detailBiblioForm&amp;sid=C04F301C819C39D13F8DBEF9DA")</f>
        <v>https://app.crepc.sk/?fn=detailBiblioForm&amp;sid=C04F301C819C39D13F8DBEF9DA</v>
      </c>
      <c r="I184" s="2"/>
    </row>
    <row r="185" spans="3:9" ht="45" x14ac:dyDescent="0.25">
      <c r="C185" s="15">
        <v>465024</v>
      </c>
      <c r="D185" s="4" t="s">
        <v>191</v>
      </c>
      <c r="E185" s="4" t="str">
        <f>HYPERLINK("https://app.crepc.sk/?fn=detailBiblioForm&amp;sid=D488E57CA2FDE5C753BC7C2097")</f>
        <v>https://app.crepc.sk/?fn=detailBiblioForm&amp;sid=D488E57CA2FDE5C753BC7C2097</v>
      </c>
      <c r="I185" s="2"/>
    </row>
    <row r="186" spans="3:9" ht="75" x14ac:dyDescent="0.25">
      <c r="C186" s="15">
        <v>525484</v>
      </c>
      <c r="D186" s="4" t="s">
        <v>192</v>
      </c>
      <c r="E186" s="4" t="str">
        <f>HYPERLINK("https://app.crepc.sk/?fn=detailBiblioForm&amp;sid=FEA95A9C78405D1B3C944F0FE1")</f>
        <v>https://app.crepc.sk/?fn=detailBiblioForm&amp;sid=FEA95A9C78405D1B3C944F0FE1</v>
      </c>
      <c r="I186" s="2"/>
    </row>
    <row r="187" spans="3:9" ht="105" x14ac:dyDescent="0.25">
      <c r="C187" s="15">
        <v>513830</v>
      </c>
      <c r="D187" s="4" t="s">
        <v>193</v>
      </c>
      <c r="E187" s="4" t="str">
        <f>HYPERLINK("https://app.crepc.sk/?fn=detailBiblioForm&amp;sid=BC45AE4EBD40543644C054140F")</f>
        <v>https://app.crepc.sk/?fn=detailBiblioForm&amp;sid=BC45AE4EBD40543644C054140F</v>
      </c>
      <c r="I187" s="2"/>
    </row>
    <row r="188" spans="3:9" ht="75" x14ac:dyDescent="0.25">
      <c r="C188" s="15">
        <v>493875</v>
      </c>
      <c r="D188" s="4" t="s">
        <v>194</v>
      </c>
      <c r="E188" s="4" t="str">
        <f>HYPERLINK("https://app.crepc.sk/?fn=detailBiblioForm&amp;sid=D4BFEB37CCCE8910B5FC1F0C52")</f>
        <v>https://app.crepc.sk/?fn=detailBiblioForm&amp;sid=D4BFEB37CCCE8910B5FC1F0C52</v>
      </c>
      <c r="I188" s="2"/>
    </row>
    <row r="189" spans="3:9" ht="45" x14ac:dyDescent="0.25">
      <c r="C189" s="15">
        <v>503463</v>
      </c>
      <c r="D189" s="4" t="s">
        <v>195</v>
      </c>
      <c r="E189" s="4" t="str">
        <f>HYPERLINK("https://app.crepc.sk/?fn=detailBiblioForm&amp;sid=B941131006BE2C1CE77A5E4878")</f>
        <v>https://app.crepc.sk/?fn=detailBiblioForm&amp;sid=B941131006BE2C1CE77A5E4878</v>
      </c>
      <c r="I189" s="2"/>
    </row>
    <row r="190" spans="3:9" ht="60" x14ac:dyDescent="0.25">
      <c r="C190" s="15">
        <v>507667</v>
      </c>
      <c r="D190" s="4" t="s">
        <v>196</v>
      </c>
      <c r="E190" s="4" t="str">
        <f>HYPERLINK("https://app.crepc.sk/?fn=detailBiblioForm&amp;sid=A363D22A746428FBF2FD0C0F7A")</f>
        <v>https://app.crepc.sk/?fn=detailBiblioForm&amp;sid=A363D22A746428FBF2FD0C0F7A</v>
      </c>
      <c r="I190" s="2"/>
    </row>
    <row r="191" spans="3:9" ht="60" x14ac:dyDescent="0.25">
      <c r="C191" s="15">
        <v>528749</v>
      </c>
      <c r="D191" s="4" t="s">
        <v>197</v>
      </c>
      <c r="E191" s="4" t="str">
        <f>HYPERLINK("https://app.crepc.sk/?fn=detailBiblioForm&amp;sid=078F9712C17872A83B32359FFA")</f>
        <v>https://app.crepc.sk/?fn=detailBiblioForm&amp;sid=078F9712C17872A83B32359FFA</v>
      </c>
      <c r="I191" s="2"/>
    </row>
    <row r="192" spans="3:9" ht="60" x14ac:dyDescent="0.25">
      <c r="C192" s="15">
        <v>465434</v>
      </c>
      <c r="D192" s="4" t="s">
        <v>198</v>
      </c>
      <c r="E192" s="4" t="str">
        <f>HYPERLINK("https://app.crepc.sk/?fn=detailBiblioForm&amp;sid=6E0CEA70D9B2B07955CCB7A8F4")</f>
        <v>https://app.crepc.sk/?fn=detailBiblioForm&amp;sid=6E0CEA70D9B2B07955CCB7A8F4</v>
      </c>
      <c r="I192" s="2"/>
    </row>
    <row r="193" spans="1:9" ht="90" x14ac:dyDescent="0.25">
      <c r="C193" s="15">
        <v>460099</v>
      </c>
      <c r="D193" s="4" t="s">
        <v>199</v>
      </c>
      <c r="E193" s="4" t="str">
        <f>HYPERLINK("https://app.crepc.sk/?fn=detailBiblioForm&amp;sid=C23948C2C0377DCC1B802576D6")</f>
        <v>https://app.crepc.sk/?fn=detailBiblioForm&amp;sid=C23948C2C0377DCC1B802576D6</v>
      </c>
      <c r="I193" s="2"/>
    </row>
    <row r="194" spans="1:9" ht="105" x14ac:dyDescent="0.25">
      <c r="C194" s="15">
        <v>490283</v>
      </c>
      <c r="D194" s="4" t="s">
        <v>200</v>
      </c>
      <c r="E194" s="4" t="str">
        <f>HYPERLINK("https://app.crepc.sk/?fn=detailBiblioForm&amp;sid=9B29CB501F30532D29FABBDF19")</f>
        <v>https://app.crepc.sk/?fn=detailBiblioForm&amp;sid=9B29CB501F30532D29FABBDF19</v>
      </c>
      <c r="I194" s="2"/>
    </row>
    <row r="195" spans="1:9" ht="75" x14ac:dyDescent="0.25">
      <c r="C195" s="15">
        <v>513855</v>
      </c>
      <c r="D195" s="4" t="s">
        <v>201</v>
      </c>
      <c r="E195" s="4" t="str">
        <f>HYPERLINK("https://app.crepc.sk/?fn=detailBiblioForm&amp;sid=BC45AE4EBD40543642C554140F")</f>
        <v>https://app.crepc.sk/?fn=detailBiblioForm&amp;sid=BC45AE4EBD40543642C554140F</v>
      </c>
      <c r="I195" s="2"/>
    </row>
    <row r="196" spans="1:9" ht="75" x14ac:dyDescent="0.25">
      <c r="C196" s="15">
        <v>513222</v>
      </c>
      <c r="D196" s="4" t="s">
        <v>202</v>
      </c>
      <c r="E196" s="4" t="str">
        <f>HYPERLINK("https://app.crepc.sk/?fn=detailBiblioForm&amp;sid=16189F8215C2FB46F5B1E9BAE5")</f>
        <v>https://app.crepc.sk/?fn=detailBiblioForm&amp;sid=16189F8215C2FB46F5B1E9BAE5</v>
      </c>
      <c r="I196" s="2"/>
    </row>
    <row r="197" spans="1:9" ht="75" x14ac:dyDescent="0.25">
      <c r="C197" s="15">
        <v>459501</v>
      </c>
      <c r="D197" s="4" t="s">
        <v>203</v>
      </c>
      <c r="E197" s="4" t="str">
        <f>HYPERLINK("https://app.crepc.sk/?fn=detailBiblioForm&amp;sid=05ADA12617B190A88EA2BBE908")</f>
        <v>https://app.crepc.sk/?fn=detailBiblioForm&amp;sid=05ADA12617B190A88EA2BBE908</v>
      </c>
      <c r="I197" s="2"/>
    </row>
    <row r="198" spans="1:9" ht="75" x14ac:dyDescent="0.25">
      <c r="C198" s="15">
        <v>512180</v>
      </c>
      <c r="D198" s="4" t="s">
        <v>204</v>
      </c>
      <c r="E198" s="4" t="str">
        <f>HYPERLINK("https://app.crepc.sk/?fn=detailBiblioForm&amp;sid=94F575F835BC0A0EBCBC90D1B3")</f>
        <v>https://app.crepc.sk/?fn=detailBiblioForm&amp;sid=94F575F835BC0A0EBCBC90D1B3</v>
      </c>
      <c r="I198" s="2"/>
    </row>
    <row r="199" spans="1:9" ht="75" x14ac:dyDescent="0.25">
      <c r="C199" s="15">
        <v>527941</v>
      </c>
      <c r="D199" s="4" t="s">
        <v>205</v>
      </c>
      <c r="E199" s="4" t="str">
        <f>HYPERLINK("https://app.crepc.sk/?fn=detailBiblioForm&amp;sid=3D2743D5EFB615AC07715E2FA8")</f>
        <v>https://app.crepc.sk/?fn=detailBiblioForm&amp;sid=3D2743D5EFB615AC07715E2FA8</v>
      </c>
      <c r="I199" s="2"/>
    </row>
    <row r="200" spans="1:9" ht="105" x14ac:dyDescent="0.25">
      <c r="C200" s="15">
        <v>462382</v>
      </c>
      <c r="D200" s="4" t="s">
        <v>206</v>
      </c>
      <c r="E200" s="4" t="str">
        <f>HYPERLINK("https://app.crepc.sk/?fn=detailBiblioForm&amp;sid=244D3D63C8C011AC951B80D0B5")</f>
        <v>https://app.crepc.sk/?fn=detailBiblioForm&amp;sid=244D3D63C8C011AC951B80D0B5</v>
      </c>
      <c r="I200" s="2"/>
    </row>
    <row r="201" spans="1:9" ht="75" x14ac:dyDescent="0.25">
      <c r="C201" s="15">
        <v>513853</v>
      </c>
      <c r="D201" s="4" t="s">
        <v>207</v>
      </c>
      <c r="E201" s="4" t="str">
        <f>HYPERLINK("https://app.crepc.sk/?fn=detailBiblioForm&amp;sid=BC45AE4EBD40543642C354140F")</f>
        <v>https://app.crepc.sk/?fn=detailBiblioForm&amp;sid=BC45AE4EBD40543642C354140F</v>
      </c>
      <c r="I201" s="2"/>
    </row>
    <row r="202" spans="1:9" ht="90" x14ac:dyDescent="0.25">
      <c r="C202" s="15">
        <v>486589</v>
      </c>
      <c r="D202" s="4" t="s">
        <v>208</v>
      </c>
      <c r="E202" s="4" t="str">
        <f>HYPERLINK("https://app.crepc.sk/?fn=detailBiblioForm&amp;sid=5A779C542B92DA12FC0B075FD2")</f>
        <v>https://app.crepc.sk/?fn=detailBiblioForm&amp;sid=5A779C542B92DA12FC0B075FD2</v>
      </c>
      <c r="I202" s="2"/>
    </row>
    <row r="203" spans="1:9" ht="60" x14ac:dyDescent="0.25">
      <c r="C203" s="15">
        <v>529805</v>
      </c>
      <c r="D203" s="4" t="s">
        <v>209</v>
      </c>
      <c r="E203" s="4" t="str">
        <f>HYPERLINK("https://app.crepc.sk/?fn=detailBiblioForm&amp;sid=E5489D6BC24E57899CA0605CBC")</f>
        <v>https://app.crepc.sk/?fn=detailBiblioForm&amp;sid=E5489D6BC24E57899CA0605CBC</v>
      </c>
      <c r="I203" s="2"/>
    </row>
    <row r="204" spans="1:9" ht="45" x14ac:dyDescent="0.25">
      <c r="C204" s="15">
        <v>491036</v>
      </c>
      <c r="D204" s="4" t="s">
        <v>210</v>
      </c>
      <c r="E204" s="4" t="str">
        <f>HYPERLINK("https://app.crepc.sk/?fn=detailBiblioForm&amp;sid=F7E0CB721122B253F203531D98")</f>
        <v>https://app.crepc.sk/?fn=detailBiblioForm&amp;sid=F7E0CB721122B253F203531D98</v>
      </c>
      <c r="I204" s="2"/>
    </row>
    <row r="205" spans="1:9" ht="90" x14ac:dyDescent="0.25">
      <c r="C205" s="15">
        <v>508023</v>
      </c>
      <c r="D205" s="4" t="s">
        <v>211</v>
      </c>
      <c r="E205" s="4" t="str">
        <f>HYPERLINK("https://app.crepc.sk/?fn=detailBiblioForm&amp;sid=156975FC17BD39E83356C350BC")</f>
        <v>https://app.crepc.sk/?fn=detailBiblioForm&amp;sid=156975FC17BD39E83356C350BC</v>
      </c>
      <c r="I205" s="2"/>
    </row>
    <row r="206" spans="1:9" x14ac:dyDescent="0.25">
      <c r="A206" s="4" t="s">
        <v>212</v>
      </c>
      <c r="B206" s="15">
        <v>127</v>
      </c>
      <c r="I206" s="2"/>
    </row>
    <row r="207" spans="1:9" ht="60" x14ac:dyDescent="0.25">
      <c r="C207" s="15">
        <v>513675</v>
      </c>
      <c r="D207" s="4" t="s">
        <v>213</v>
      </c>
      <c r="E207" s="4" t="str">
        <f>HYPERLINK("https://app.crepc.sk/?fn=detailBiblioForm&amp;sid=14EB7172A94AC8834A91E3C895")</f>
        <v>https://app.crepc.sk/?fn=detailBiblioForm&amp;sid=14EB7172A94AC8834A91E3C895</v>
      </c>
      <c r="I207" s="2"/>
    </row>
    <row r="208" spans="1:9" ht="60" x14ac:dyDescent="0.25">
      <c r="C208" s="15">
        <v>463206</v>
      </c>
      <c r="D208" s="4" t="s">
        <v>214</v>
      </c>
      <c r="E208" s="4" t="str">
        <f>HYPERLINK("https://app.crepc.sk/?fn=detailBiblioForm&amp;sid=E236139526BBCA0A267D918529")</f>
        <v>https://app.crepc.sk/?fn=detailBiblioForm&amp;sid=E236139526BBCA0A267D918529</v>
      </c>
      <c r="I208" s="2"/>
    </row>
    <row r="209" spans="3:9" ht="45" x14ac:dyDescent="0.25">
      <c r="C209" s="15">
        <v>524145</v>
      </c>
      <c r="D209" s="4" t="s">
        <v>215</v>
      </c>
      <c r="E209" s="4" t="str">
        <f>HYPERLINK("https://app.crepc.sk/?fn=detailBiblioForm&amp;sid=ED56F1347658F465AD48B87EEA")</f>
        <v>https://app.crepc.sk/?fn=detailBiblioForm&amp;sid=ED56F1347658F465AD48B87EEA</v>
      </c>
      <c r="I209" s="2"/>
    </row>
    <row r="210" spans="3:9" ht="45" x14ac:dyDescent="0.25">
      <c r="C210" s="15">
        <v>444685</v>
      </c>
      <c r="D210" s="4" t="s">
        <v>216</v>
      </c>
      <c r="E210" s="4" t="str">
        <f>HYPERLINK("https://app.crepc.sk/?fn=detailBiblioForm&amp;sid=A022A41D6D193BB221EA2A8B60")</f>
        <v>https://app.crepc.sk/?fn=detailBiblioForm&amp;sid=A022A41D6D193BB221EA2A8B60</v>
      </c>
      <c r="I210" s="2"/>
    </row>
    <row r="211" spans="3:9" ht="45" x14ac:dyDescent="0.25">
      <c r="C211" s="15">
        <v>508497</v>
      </c>
      <c r="D211" s="4" t="s">
        <v>217</v>
      </c>
      <c r="E211" s="4" t="str">
        <f>HYPERLINK("https://app.crepc.sk/?fn=detailBiblioForm&amp;sid=C18715C5A4B4FBAE463DFEBD0E")</f>
        <v>https://app.crepc.sk/?fn=detailBiblioForm&amp;sid=C18715C5A4B4FBAE463DFEBD0E</v>
      </c>
      <c r="I211" s="2"/>
    </row>
    <row r="212" spans="3:9" ht="75" x14ac:dyDescent="0.25">
      <c r="C212" s="15">
        <v>454147</v>
      </c>
      <c r="D212" s="4" t="s">
        <v>218</v>
      </c>
      <c r="E212" s="4" t="str">
        <f>HYPERLINK("https://app.crepc.sk/?fn=detailBiblioForm&amp;sid=50B02D7C387F61EFE478FE9C8B")</f>
        <v>https://app.crepc.sk/?fn=detailBiblioForm&amp;sid=50B02D7C387F61EFE478FE9C8B</v>
      </c>
      <c r="I212" s="2"/>
    </row>
    <row r="213" spans="3:9" ht="60" x14ac:dyDescent="0.25">
      <c r="C213" s="15">
        <v>490264</v>
      </c>
      <c r="D213" s="4" t="s">
        <v>219</v>
      </c>
      <c r="E213" s="4" t="str">
        <f>HYPERLINK("https://app.crepc.sk/?fn=detailBiblioForm&amp;sid=9B29CB501F30532D27FDBBDF19")</f>
        <v>https://app.crepc.sk/?fn=detailBiblioForm&amp;sid=9B29CB501F30532D27FDBBDF19</v>
      </c>
      <c r="I213" s="2"/>
    </row>
    <row r="214" spans="3:9" ht="45" x14ac:dyDescent="0.25">
      <c r="C214" s="15">
        <v>490260</v>
      </c>
      <c r="D214" s="4" t="s">
        <v>220</v>
      </c>
      <c r="E214" s="4" t="str">
        <f>HYPERLINK("https://app.crepc.sk/?fn=detailBiblioForm&amp;sid=9B29CB501F30532D27F9BBDF19")</f>
        <v>https://app.crepc.sk/?fn=detailBiblioForm&amp;sid=9B29CB501F30532D27F9BBDF19</v>
      </c>
      <c r="I214" s="2"/>
    </row>
    <row r="215" spans="3:9" ht="45" x14ac:dyDescent="0.25">
      <c r="C215" s="15">
        <v>509858</v>
      </c>
      <c r="D215" s="4" t="s">
        <v>221</v>
      </c>
      <c r="E215" s="4" t="str">
        <f>HYPERLINK("https://app.crepc.sk/?fn=detailBiblioForm&amp;sid=EA909239D832F78076CF72B10F")</f>
        <v>https://app.crepc.sk/?fn=detailBiblioForm&amp;sid=EA909239D832F78076CF72B10F</v>
      </c>
      <c r="I215" s="2"/>
    </row>
    <row r="216" spans="3:9" ht="60" x14ac:dyDescent="0.25">
      <c r="C216" s="15">
        <v>501093</v>
      </c>
      <c r="D216" s="4" t="s">
        <v>222</v>
      </c>
      <c r="E216" s="4" t="str">
        <f>HYPERLINK("https://app.crepc.sk/?fn=detailBiblioForm&amp;sid=1EA230A4C2FB54E2BD473C065C")</f>
        <v>https://app.crepc.sk/?fn=detailBiblioForm&amp;sid=1EA230A4C2FB54E2BD473C065C</v>
      </c>
      <c r="I216" s="2"/>
    </row>
    <row r="217" spans="3:9" ht="60" x14ac:dyDescent="0.25">
      <c r="C217" s="15">
        <v>461391</v>
      </c>
      <c r="D217" s="4" t="s">
        <v>223</v>
      </c>
      <c r="E217" s="4" t="str">
        <f>HYPERLINK("https://app.crepc.sk/?fn=detailBiblioForm&amp;sid=5D6BB94765B7C57DDA4184C2F9")</f>
        <v>https://app.crepc.sk/?fn=detailBiblioForm&amp;sid=5D6BB94765B7C57DDA4184C2F9</v>
      </c>
      <c r="I217" s="2"/>
    </row>
    <row r="218" spans="3:9" ht="60" x14ac:dyDescent="0.25">
      <c r="C218" s="15">
        <v>460102</v>
      </c>
      <c r="D218" s="4" t="s">
        <v>224</v>
      </c>
      <c r="E218" s="4" t="str">
        <f>HYPERLINK("https://app.crepc.sk/?fn=detailBiblioForm&amp;sid=19FBC5BF53E8FD0BBAB2ADF48F")</f>
        <v>https://app.crepc.sk/?fn=detailBiblioForm&amp;sid=19FBC5BF53E8FD0BBAB2ADF48F</v>
      </c>
      <c r="I218" s="2"/>
    </row>
    <row r="219" spans="3:9" ht="60" x14ac:dyDescent="0.25">
      <c r="C219" s="15">
        <v>499414</v>
      </c>
      <c r="D219" s="4" t="s">
        <v>225</v>
      </c>
      <c r="E219" s="4" t="str">
        <f>HYPERLINK("https://app.crepc.sk/?fn=detailBiblioForm&amp;sid=924C92DA1A499259416AA944A9")</f>
        <v>https://app.crepc.sk/?fn=detailBiblioForm&amp;sid=924C92DA1A499259416AA944A9</v>
      </c>
      <c r="I219" s="2"/>
    </row>
    <row r="220" spans="3:9" ht="45" x14ac:dyDescent="0.25">
      <c r="C220" s="15">
        <v>488537</v>
      </c>
      <c r="D220" s="4" t="s">
        <v>226</v>
      </c>
      <c r="E220" s="4" t="str">
        <f>HYPERLINK("https://app.crepc.sk/?fn=detailBiblioForm&amp;sid=42727544524542E07D06F70E7F")</f>
        <v>https://app.crepc.sk/?fn=detailBiblioForm&amp;sid=42727544524542E07D06F70E7F</v>
      </c>
      <c r="I220" s="2"/>
    </row>
    <row r="221" spans="3:9" ht="45" x14ac:dyDescent="0.25">
      <c r="C221" s="15">
        <v>508476</v>
      </c>
      <c r="D221" s="4" t="s">
        <v>227</v>
      </c>
      <c r="E221" s="4" t="str">
        <f>HYPERLINK("https://app.crepc.sk/?fn=detailBiblioForm&amp;sid=C18715C5A4B4FBAE483CFEBD0E")</f>
        <v>https://app.crepc.sk/?fn=detailBiblioForm&amp;sid=C18715C5A4B4FBAE483CFEBD0E</v>
      </c>
      <c r="I221" s="2"/>
    </row>
    <row r="222" spans="3:9" ht="45" x14ac:dyDescent="0.25">
      <c r="C222" s="15">
        <v>487309</v>
      </c>
      <c r="D222" s="4" t="s">
        <v>228</v>
      </c>
      <c r="E222" s="4" t="str">
        <f>HYPERLINK("https://app.crepc.sk/?fn=detailBiblioForm&amp;sid=11D998CEAEDE9331F73DBEA921")</f>
        <v>https://app.crepc.sk/?fn=detailBiblioForm&amp;sid=11D998CEAEDE9331F73DBEA921</v>
      </c>
      <c r="I222" s="2"/>
    </row>
    <row r="223" spans="3:9" ht="45" x14ac:dyDescent="0.25">
      <c r="C223" s="15">
        <v>500277</v>
      </c>
      <c r="D223" s="4" t="s">
        <v>229</v>
      </c>
      <c r="E223" s="4" t="str">
        <f>HYPERLINK("https://app.crepc.sk/?fn=detailBiblioForm&amp;sid=4A5F1E9E0F772776044FA5AF6B")</f>
        <v>https://app.crepc.sk/?fn=detailBiblioForm&amp;sid=4A5F1E9E0F772776044FA5AF6B</v>
      </c>
      <c r="I223" s="2"/>
    </row>
    <row r="224" spans="3:9" ht="60" x14ac:dyDescent="0.25">
      <c r="C224" s="15">
        <v>506305</v>
      </c>
      <c r="D224" s="4" t="s">
        <v>230</v>
      </c>
      <c r="E224" s="4" t="str">
        <f>HYPERLINK("https://app.crepc.sk/?fn=detailBiblioForm&amp;sid=BBEDD8EDEF499DA8116C5D0332")</f>
        <v>https://app.crepc.sk/?fn=detailBiblioForm&amp;sid=BBEDD8EDEF499DA8116C5D0332</v>
      </c>
      <c r="I224" s="2"/>
    </row>
    <row r="225" spans="3:9" ht="60" x14ac:dyDescent="0.25">
      <c r="C225" s="15">
        <v>466024</v>
      </c>
      <c r="D225" s="4" t="s">
        <v>231</v>
      </c>
      <c r="E225" s="4" t="str">
        <f>HYPERLINK("https://app.crepc.sk/?fn=detailBiblioForm&amp;sid=2B6274DA8AD2F1954F68BE7EEF")</f>
        <v>https://app.crepc.sk/?fn=detailBiblioForm&amp;sid=2B6274DA8AD2F1954F68BE7EEF</v>
      </c>
      <c r="I225" s="2"/>
    </row>
    <row r="226" spans="3:9" ht="45" x14ac:dyDescent="0.25">
      <c r="C226" s="15">
        <v>485844</v>
      </c>
      <c r="D226" s="4" t="s">
        <v>232</v>
      </c>
      <c r="E226" s="4" t="str">
        <f>HYPERLINK("https://app.crepc.sk/?fn=detailBiblioForm&amp;sid=3860ABA12A161077C3C18C5C24")</f>
        <v>https://app.crepc.sk/?fn=detailBiblioForm&amp;sid=3860ABA12A161077C3C18C5C24</v>
      </c>
      <c r="I226" s="2"/>
    </row>
    <row r="227" spans="3:9" ht="45" x14ac:dyDescent="0.25">
      <c r="C227" s="15">
        <v>508516</v>
      </c>
      <c r="D227" s="4" t="s">
        <v>233</v>
      </c>
      <c r="E227" s="4" t="str">
        <f>HYPERLINK("https://app.crepc.sk/?fn=detailBiblioForm&amp;sid=D2D833EB96BEA25A4A21CB94E7")</f>
        <v>https://app.crepc.sk/?fn=detailBiblioForm&amp;sid=D2D833EB96BEA25A4A21CB94E7</v>
      </c>
      <c r="I227" s="2"/>
    </row>
    <row r="228" spans="3:9" ht="60" x14ac:dyDescent="0.25">
      <c r="C228" s="15">
        <v>512818</v>
      </c>
      <c r="D228" s="4" t="s">
        <v>234</v>
      </c>
      <c r="E228" s="4" t="str">
        <f>HYPERLINK("https://app.crepc.sk/?fn=detailBiblioForm&amp;sid=10268AE5B07891EC79D3BA1363")</f>
        <v>https://app.crepc.sk/?fn=detailBiblioForm&amp;sid=10268AE5B07891EC79D3BA1363</v>
      </c>
      <c r="I228" s="2"/>
    </row>
    <row r="229" spans="3:9" ht="60" x14ac:dyDescent="0.25">
      <c r="C229" s="15">
        <v>491396</v>
      </c>
      <c r="D229" s="4" t="s">
        <v>235</v>
      </c>
      <c r="E229" s="4" t="str">
        <f>HYPERLINK("https://app.crepc.sk/?fn=detailBiblioForm&amp;sid=62641E98F8DA6A9D3222BC01C8")</f>
        <v>https://app.crepc.sk/?fn=detailBiblioForm&amp;sid=62641E98F8DA6A9D3222BC01C8</v>
      </c>
      <c r="I229" s="2"/>
    </row>
    <row r="230" spans="3:9" ht="45" x14ac:dyDescent="0.25">
      <c r="C230" s="15">
        <v>477485</v>
      </c>
      <c r="D230" s="4" t="s">
        <v>236</v>
      </c>
      <c r="E230" s="4" t="str">
        <f>HYPERLINK("https://app.crepc.sk/?fn=detailBiblioForm&amp;sid=5EF6B8BAD889B5BF37E820A42E")</f>
        <v>https://app.crepc.sk/?fn=detailBiblioForm&amp;sid=5EF6B8BAD889B5BF37E820A42E</v>
      </c>
      <c r="I230" s="2"/>
    </row>
    <row r="231" spans="3:9" ht="45" x14ac:dyDescent="0.25">
      <c r="C231" s="15">
        <v>467137</v>
      </c>
      <c r="D231" s="4" t="s">
        <v>237</v>
      </c>
      <c r="E231" s="4" t="str">
        <f>HYPERLINK("https://app.crepc.sk/?fn=detailBiblioForm&amp;sid=800EB402A1C7A222FDD27FB3F4")</f>
        <v>https://app.crepc.sk/?fn=detailBiblioForm&amp;sid=800EB402A1C7A222FDD27FB3F4</v>
      </c>
      <c r="I231" s="2"/>
    </row>
    <row r="232" spans="3:9" ht="60" x14ac:dyDescent="0.25">
      <c r="C232" s="15">
        <v>476553</v>
      </c>
      <c r="D232" s="4" t="s">
        <v>238</v>
      </c>
      <c r="E232" s="4" t="str">
        <f>HYPERLINK("https://app.crepc.sk/?fn=detailBiblioForm&amp;sid=2CFDAEBC85534155A4C069CE1E")</f>
        <v>https://app.crepc.sk/?fn=detailBiblioForm&amp;sid=2CFDAEBC85534155A4C069CE1E</v>
      </c>
      <c r="I232" s="2"/>
    </row>
    <row r="233" spans="3:9" ht="45" x14ac:dyDescent="0.25">
      <c r="C233" s="15">
        <v>515438</v>
      </c>
      <c r="D233" s="4" t="s">
        <v>239</v>
      </c>
      <c r="E233" s="4" t="str">
        <f>HYPERLINK("https://app.crepc.sk/?fn=detailBiblioForm&amp;sid=5FCAA1231872D5B47DE5A29306")</f>
        <v>https://app.crepc.sk/?fn=detailBiblioForm&amp;sid=5FCAA1231872D5B47DE5A29306</v>
      </c>
      <c r="I233" s="2"/>
    </row>
    <row r="234" spans="3:9" ht="45" x14ac:dyDescent="0.25">
      <c r="C234" s="15">
        <v>470378</v>
      </c>
      <c r="D234" s="4" t="s">
        <v>240</v>
      </c>
      <c r="E234" s="4" t="str">
        <f>HYPERLINK("https://app.crepc.sk/?fn=detailBiblioForm&amp;sid=37166900746EB0FDFFCD857C9A")</f>
        <v>https://app.crepc.sk/?fn=detailBiblioForm&amp;sid=37166900746EB0FDFFCD857C9A</v>
      </c>
      <c r="I234" s="2"/>
    </row>
    <row r="235" spans="3:9" ht="60" x14ac:dyDescent="0.25">
      <c r="C235" s="15">
        <v>473179</v>
      </c>
      <c r="D235" s="4" t="s">
        <v>241</v>
      </c>
      <c r="E235" s="4" t="str">
        <f>HYPERLINK("https://app.crepc.sk/?fn=detailBiblioForm&amp;sid=FEF7A5722FA4E7A31EEF4C9C50")</f>
        <v>https://app.crepc.sk/?fn=detailBiblioForm&amp;sid=FEF7A5722FA4E7A31EEF4C9C50</v>
      </c>
      <c r="I235" s="2"/>
    </row>
    <row r="236" spans="3:9" ht="45" x14ac:dyDescent="0.25">
      <c r="C236" s="15">
        <v>464036</v>
      </c>
      <c r="D236" s="4" t="s">
        <v>242</v>
      </c>
      <c r="E236" s="4" t="str">
        <f>HYPERLINK("https://app.crepc.sk/?fn=detailBiblioForm&amp;sid=2B0ECF27A8CB92A2EC26BDB664")</f>
        <v>https://app.crepc.sk/?fn=detailBiblioForm&amp;sid=2B0ECF27A8CB92A2EC26BDB664</v>
      </c>
      <c r="I236" s="2"/>
    </row>
    <row r="237" spans="3:9" ht="45" x14ac:dyDescent="0.25">
      <c r="C237" s="15">
        <v>462277</v>
      </c>
      <c r="D237" s="4" t="s">
        <v>243</v>
      </c>
      <c r="E237" s="4" t="str">
        <f>HYPERLINK("https://app.crepc.sk/?fn=detailBiblioForm&amp;sid=E68A28514C842E16DA97554337")</f>
        <v>https://app.crepc.sk/?fn=detailBiblioForm&amp;sid=E68A28514C842E16DA97554337</v>
      </c>
      <c r="I237" s="2"/>
    </row>
    <row r="238" spans="3:9" ht="45" x14ac:dyDescent="0.25">
      <c r="C238" s="15">
        <v>471249</v>
      </c>
      <c r="D238" s="4" t="s">
        <v>244</v>
      </c>
      <c r="E238" s="4" t="str">
        <f>HYPERLINK("https://app.crepc.sk/?fn=detailBiblioForm&amp;sid=F18E6BFEFEE1B05F25AE58BCE1")</f>
        <v>https://app.crepc.sk/?fn=detailBiblioForm&amp;sid=F18E6BFEFEE1B05F25AE58BCE1</v>
      </c>
      <c r="I238" s="2"/>
    </row>
    <row r="239" spans="3:9" ht="60" x14ac:dyDescent="0.25">
      <c r="C239" s="15">
        <v>474187</v>
      </c>
      <c r="D239" s="4" t="s">
        <v>245</v>
      </c>
      <c r="E239" s="4" t="str">
        <f>HYPERLINK("https://app.crepc.sk/?fn=detailBiblioForm&amp;sid=6E7D2EC44BD16DA118A32294C2")</f>
        <v>https://app.crepc.sk/?fn=detailBiblioForm&amp;sid=6E7D2EC44BD16DA118A32294C2</v>
      </c>
      <c r="I239" s="2"/>
    </row>
    <row r="240" spans="3:9" ht="45" x14ac:dyDescent="0.25">
      <c r="C240" s="15">
        <v>506360</v>
      </c>
      <c r="D240" s="4" t="s">
        <v>246</v>
      </c>
      <c r="E240" s="4" t="str">
        <f>HYPERLINK("https://app.crepc.sk/?fn=detailBiblioForm&amp;sid=BBEDD8EDEF499DA817695D0332")</f>
        <v>https://app.crepc.sk/?fn=detailBiblioForm&amp;sid=BBEDD8EDEF499DA817695D0332</v>
      </c>
      <c r="I240" s="2"/>
    </row>
    <row r="241" spans="3:9" ht="60" x14ac:dyDescent="0.25">
      <c r="C241" s="15">
        <v>511448</v>
      </c>
      <c r="D241" s="4" t="s">
        <v>247</v>
      </c>
      <c r="E241" s="4" t="str">
        <f>HYPERLINK("https://app.crepc.sk/?fn=detailBiblioForm&amp;sid=3663029739A3F24E1233EC1B3A")</f>
        <v>https://app.crepc.sk/?fn=detailBiblioForm&amp;sid=3663029739A3F24E1233EC1B3A</v>
      </c>
      <c r="I241" s="2"/>
    </row>
    <row r="242" spans="3:9" ht="45" x14ac:dyDescent="0.25">
      <c r="C242" s="15">
        <v>513674</v>
      </c>
      <c r="D242" s="4" t="s">
        <v>248</v>
      </c>
      <c r="E242" s="4" t="str">
        <f>HYPERLINK("https://app.crepc.sk/?fn=detailBiblioForm&amp;sid=14EB7172A94AC8834A90E3C895")</f>
        <v>https://app.crepc.sk/?fn=detailBiblioForm&amp;sid=14EB7172A94AC8834A90E3C895</v>
      </c>
      <c r="I242" s="2"/>
    </row>
    <row r="243" spans="3:9" ht="60" x14ac:dyDescent="0.25">
      <c r="C243" s="15">
        <v>459727</v>
      </c>
      <c r="D243" s="4" t="s">
        <v>249</v>
      </c>
      <c r="E243" s="4" t="str">
        <f>HYPERLINK("https://app.crepc.sk/?fn=detailBiblioForm&amp;sid=999A66B5A0C89A77BAF45494CD")</f>
        <v>https://app.crepc.sk/?fn=detailBiblioForm&amp;sid=999A66B5A0C89A77BAF45494CD</v>
      </c>
      <c r="I243" s="2"/>
    </row>
    <row r="244" spans="3:9" ht="45" x14ac:dyDescent="0.25">
      <c r="C244" s="15">
        <v>508079</v>
      </c>
      <c r="D244" s="4" t="s">
        <v>250</v>
      </c>
      <c r="E244" s="4" t="str">
        <f>HYPERLINK("https://app.crepc.sk/?fn=detailBiblioForm&amp;sid=156975FC17BD39E8365CC350BC")</f>
        <v>https://app.crepc.sk/?fn=detailBiblioForm&amp;sid=156975FC17BD39E8365CC350BC</v>
      </c>
      <c r="I244" s="2"/>
    </row>
    <row r="245" spans="3:9" ht="60" x14ac:dyDescent="0.25">
      <c r="C245" s="15">
        <v>472625</v>
      </c>
      <c r="D245" s="4" t="s">
        <v>251</v>
      </c>
      <c r="E245" s="4" t="str">
        <f>HYPERLINK("https://app.crepc.sk/?fn=detailBiblioForm&amp;sid=9AE86EE7FB8F2AA24CD69FA481")</f>
        <v>https://app.crepc.sk/?fn=detailBiblioForm&amp;sid=9AE86EE7FB8F2AA24CD69FA481</v>
      </c>
      <c r="I245" s="2"/>
    </row>
    <row r="246" spans="3:9" ht="60" x14ac:dyDescent="0.25">
      <c r="C246" s="15">
        <v>528902</v>
      </c>
      <c r="D246" s="4" t="s">
        <v>252</v>
      </c>
      <c r="E246" s="4" t="str">
        <f>HYPERLINK("https://app.crepc.sk/?fn=detailBiblioForm&amp;sid=86EB7E4E19690DEBDD00674BBD")</f>
        <v>https://app.crepc.sk/?fn=detailBiblioForm&amp;sid=86EB7E4E19690DEBDD00674BBD</v>
      </c>
      <c r="I246" s="2"/>
    </row>
    <row r="247" spans="3:9" ht="45" x14ac:dyDescent="0.25">
      <c r="C247" s="15">
        <v>459858</v>
      </c>
      <c r="D247" s="4" t="s">
        <v>253</v>
      </c>
      <c r="E247" s="4" t="str">
        <f>HYPERLINK("https://app.crepc.sk/?fn=detailBiblioForm&amp;sid=3E84F9FC946DB3DA44F4A9AAFC")</f>
        <v>https://app.crepc.sk/?fn=detailBiblioForm&amp;sid=3E84F9FC946DB3DA44F4A9AAFC</v>
      </c>
      <c r="I247" s="2"/>
    </row>
    <row r="248" spans="3:9" ht="60" x14ac:dyDescent="0.25">
      <c r="C248" s="15">
        <v>471097</v>
      </c>
      <c r="D248" s="4" t="s">
        <v>254</v>
      </c>
      <c r="E248" s="4" t="str">
        <f>HYPERLINK("https://app.crepc.sk/?fn=detailBiblioForm&amp;sid=BF1B9EEB57A8E20AB3DF23E47A")</f>
        <v>https://app.crepc.sk/?fn=detailBiblioForm&amp;sid=BF1B9EEB57A8E20AB3DF23E47A</v>
      </c>
      <c r="I248" s="2"/>
    </row>
    <row r="249" spans="3:9" ht="45" x14ac:dyDescent="0.25">
      <c r="C249" s="15">
        <v>529181</v>
      </c>
      <c r="D249" s="4" t="s">
        <v>255</v>
      </c>
      <c r="E249" s="4" t="str">
        <f>HYPERLINK("https://app.crepc.sk/?fn=detailBiblioForm&amp;sid=AADF8904DE55E08359F0055214")</f>
        <v>https://app.crepc.sk/?fn=detailBiblioForm&amp;sid=AADF8904DE55E08359F0055214</v>
      </c>
      <c r="I249" s="2"/>
    </row>
    <row r="250" spans="3:9" ht="60" x14ac:dyDescent="0.25">
      <c r="C250" s="15">
        <v>513671</v>
      </c>
      <c r="D250" s="4" t="s">
        <v>256</v>
      </c>
      <c r="E250" s="4" t="str">
        <f>HYPERLINK("https://app.crepc.sk/?fn=detailBiblioForm&amp;sid=14EB7172A94AC8834A95E3C895")</f>
        <v>https://app.crepc.sk/?fn=detailBiblioForm&amp;sid=14EB7172A94AC8834A95E3C895</v>
      </c>
      <c r="I250" s="2"/>
    </row>
    <row r="251" spans="3:9" ht="45" x14ac:dyDescent="0.25">
      <c r="C251" s="15">
        <v>515437</v>
      </c>
      <c r="D251" s="4" t="s">
        <v>257</v>
      </c>
      <c r="E251" s="4" t="str">
        <f>HYPERLINK("https://app.crepc.sk/?fn=detailBiblioForm&amp;sid=5FCAA1231872D5B47DEAA29306")</f>
        <v>https://app.crepc.sk/?fn=detailBiblioForm&amp;sid=5FCAA1231872D5B47DEAA29306</v>
      </c>
      <c r="I251" s="2"/>
    </row>
    <row r="252" spans="3:9" ht="90" x14ac:dyDescent="0.25">
      <c r="C252" s="15">
        <v>483095</v>
      </c>
      <c r="D252" s="4" t="s">
        <v>258</v>
      </c>
      <c r="E252" s="4" t="str">
        <f>HYPERLINK("https://app.crepc.sk/?fn=detailBiblioForm&amp;sid=266F5775B190D2B5A21034F145")</f>
        <v>https://app.crepc.sk/?fn=detailBiblioForm&amp;sid=266F5775B190D2B5A21034F145</v>
      </c>
      <c r="I252" s="2"/>
    </row>
    <row r="253" spans="3:9" ht="90" x14ac:dyDescent="0.25">
      <c r="C253" s="15">
        <v>458687</v>
      </c>
      <c r="D253" s="4" t="s">
        <v>259</v>
      </c>
      <c r="E253" s="4" t="str">
        <f>HYPERLINK("https://app.crepc.sk/?fn=detailBiblioForm&amp;sid=8CBF49421BBF0079F0C0AB89E5")</f>
        <v>https://app.crepc.sk/?fn=detailBiblioForm&amp;sid=8CBF49421BBF0079F0C0AB89E5</v>
      </c>
      <c r="I253" s="2"/>
    </row>
    <row r="254" spans="3:9" ht="60" x14ac:dyDescent="0.25">
      <c r="C254" s="15">
        <v>463276</v>
      </c>
      <c r="D254" s="4" t="s">
        <v>260</v>
      </c>
      <c r="E254" s="4" t="str">
        <f>HYPERLINK("https://app.crepc.sk/?fn=detailBiblioForm&amp;sid=E236139526BBCA0A217D918529")</f>
        <v>https://app.crepc.sk/?fn=detailBiblioForm&amp;sid=E236139526BBCA0A217D918529</v>
      </c>
      <c r="I254" s="2"/>
    </row>
    <row r="255" spans="3:9" ht="45" x14ac:dyDescent="0.25">
      <c r="C255" s="15">
        <v>506361</v>
      </c>
      <c r="D255" s="4" t="s">
        <v>261</v>
      </c>
      <c r="E255" s="4" t="str">
        <f>HYPERLINK("https://app.crepc.sk/?fn=detailBiblioForm&amp;sid=BBEDD8EDEF499DA817685D0332")</f>
        <v>https://app.crepc.sk/?fn=detailBiblioForm&amp;sid=BBEDD8EDEF499DA817685D0332</v>
      </c>
      <c r="I255" s="2"/>
    </row>
    <row r="256" spans="3:9" ht="60" x14ac:dyDescent="0.25">
      <c r="C256" s="15">
        <v>443744</v>
      </c>
      <c r="D256" s="4" t="s">
        <v>262</v>
      </c>
      <c r="E256" s="4" t="str">
        <f>HYPERLINK("https://app.crepc.sk/?fn=detailBiblioForm&amp;sid=E77CDBABEB1A7DFB01CFA0624C")</f>
        <v>https://app.crepc.sk/?fn=detailBiblioForm&amp;sid=E77CDBABEB1A7DFB01CFA0624C</v>
      </c>
      <c r="I256" s="2"/>
    </row>
    <row r="257" spans="3:9" ht="60" x14ac:dyDescent="0.25">
      <c r="C257" s="15">
        <v>460876</v>
      </c>
      <c r="D257" s="4" t="s">
        <v>263</v>
      </c>
      <c r="E257" s="4" t="str">
        <f>HYPERLINK("https://app.crepc.sk/?fn=detailBiblioForm&amp;sid=88983A6D8031953B14E891249D")</f>
        <v>https://app.crepc.sk/?fn=detailBiblioForm&amp;sid=88983A6D8031953B14E891249D</v>
      </c>
      <c r="I257" s="2"/>
    </row>
    <row r="258" spans="3:9" ht="60" x14ac:dyDescent="0.25">
      <c r="C258" s="15">
        <v>508114</v>
      </c>
      <c r="D258" s="4" t="s">
        <v>264</v>
      </c>
      <c r="E258" s="4" t="str">
        <f>HYPERLINK("https://app.crepc.sk/?fn=detailBiblioForm&amp;sid=C17845D2A992183BC2A5690444")</f>
        <v>https://app.crepc.sk/?fn=detailBiblioForm&amp;sid=C17845D2A992183BC2A5690444</v>
      </c>
      <c r="I258" s="2"/>
    </row>
    <row r="259" spans="3:9" ht="60" x14ac:dyDescent="0.25">
      <c r="C259" s="15">
        <v>505288</v>
      </c>
      <c r="D259" s="4" t="s">
        <v>265</v>
      </c>
      <c r="E259" s="4" t="str">
        <f>HYPERLINK("https://app.crepc.sk/?fn=detailBiblioForm&amp;sid=B2637568E27516263C1C65062C")</f>
        <v>https://app.crepc.sk/?fn=detailBiblioForm&amp;sid=B2637568E27516263C1C65062C</v>
      </c>
      <c r="I259" s="2"/>
    </row>
    <row r="260" spans="3:9" ht="45" x14ac:dyDescent="0.25">
      <c r="C260" s="15">
        <v>475433</v>
      </c>
      <c r="D260" s="4" t="s">
        <v>266</v>
      </c>
      <c r="E260" s="4" t="str">
        <f>HYPERLINK("https://app.crepc.sk/?fn=detailBiblioForm&amp;sid=617ABF3FA69290793437871CBB")</f>
        <v>https://app.crepc.sk/?fn=detailBiblioForm&amp;sid=617ABF3FA69290793437871CBB</v>
      </c>
      <c r="I260" s="2"/>
    </row>
    <row r="261" spans="3:9" ht="45" x14ac:dyDescent="0.25">
      <c r="C261" s="15">
        <v>459862</v>
      </c>
      <c r="D261" s="4" t="s">
        <v>267</v>
      </c>
      <c r="E261" s="4" t="str">
        <f>HYPERLINK("https://app.crepc.sk/?fn=detailBiblioForm&amp;sid=3E84F9FC946DB3DA47FEA9AAFC")</f>
        <v>https://app.crepc.sk/?fn=detailBiblioForm&amp;sid=3E84F9FC946DB3DA47FEA9AAFC</v>
      </c>
      <c r="I261" s="2"/>
    </row>
    <row r="262" spans="3:9" ht="60" x14ac:dyDescent="0.25">
      <c r="C262" s="15">
        <v>469791</v>
      </c>
      <c r="D262" s="4" t="s">
        <v>268</v>
      </c>
      <c r="E262" s="4" t="str">
        <f>HYPERLINK("https://app.crepc.sk/?fn=detailBiblioForm&amp;sid=DB790A6B6DDF8D4B1B92ED1D12")</f>
        <v>https://app.crepc.sk/?fn=detailBiblioForm&amp;sid=DB790A6B6DDF8D4B1B92ED1D12</v>
      </c>
      <c r="I262" s="2"/>
    </row>
    <row r="263" spans="3:9" ht="60" x14ac:dyDescent="0.25">
      <c r="C263" s="15">
        <v>460935</v>
      </c>
      <c r="D263" s="4" t="s">
        <v>269</v>
      </c>
      <c r="E263" s="4" t="str">
        <f>HYPERLINK("https://app.crepc.sk/?fn=detailBiblioForm&amp;sid=158A30981D61AB3F59FCAAEAC2")</f>
        <v>https://app.crepc.sk/?fn=detailBiblioForm&amp;sid=158A30981D61AB3F59FCAAEAC2</v>
      </c>
      <c r="I263" s="2"/>
    </row>
    <row r="264" spans="3:9" ht="90" x14ac:dyDescent="0.25">
      <c r="C264" s="15">
        <v>494326</v>
      </c>
      <c r="D264" s="4" t="s">
        <v>270</v>
      </c>
      <c r="E264" s="4" t="str">
        <f>HYPERLINK("https://app.crepc.sk/?fn=detailBiblioForm&amp;sid=6CB30B46E1EA2F44417DC54A53")</f>
        <v>https://app.crepc.sk/?fn=detailBiblioForm&amp;sid=6CB30B46E1EA2F44417DC54A53</v>
      </c>
      <c r="I264" s="2"/>
    </row>
    <row r="265" spans="3:9" ht="45" x14ac:dyDescent="0.25">
      <c r="C265" s="15">
        <v>458827</v>
      </c>
      <c r="D265" s="4" t="s">
        <v>271</v>
      </c>
      <c r="E265" s="4" t="str">
        <f>HYPERLINK("https://app.crepc.sk/?fn=detailBiblioForm&amp;sid=BDCE70B371BEE3D756BF497EC3")</f>
        <v>https://app.crepc.sk/?fn=detailBiblioForm&amp;sid=BDCE70B371BEE3D756BF497EC3</v>
      </c>
      <c r="I265" s="2"/>
    </row>
    <row r="266" spans="3:9" ht="90" x14ac:dyDescent="0.25">
      <c r="C266" s="15">
        <v>496357</v>
      </c>
      <c r="D266" s="4" t="s">
        <v>272</v>
      </c>
      <c r="E266" s="4" t="str">
        <f>HYPERLINK("https://app.crepc.sk/?fn=detailBiblioForm&amp;sid=899BCD1C33A86061167B428C2E")</f>
        <v>https://app.crepc.sk/?fn=detailBiblioForm&amp;sid=899BCD1C33A86061167B428C2E</v>
      </c>
      <c r="I266" s="2"/>
    </row>
    <row r="267" spans="3:9" ht="75" x14ac:dyDescent="0.25">
      <c r="C267" s="15">
        <v>481330</v>
      </c>
      <c r="D267" s="4" t="s">
        <v>273</v>
      </c>
      <c r="E267" s="4" t="str">
        <f>HYPERLINK("https://app.crepc.sk/?fn=detailBiblioForm&amp;sid=272C2BE0898E8394368D9FF37C")</f>
        <v>https://app.crepc.sk/?fn=detailBiblioForm&amp;sid=272C2BE0898E8394368D9FF37C</v>
      </c>
      <c r="I267" s="2"/>
    </row>
    <row r="268" spans="3:9" ht="45" x14ac:dyDescent="0.25">
      <c r="C268" s="15">
        <v>521918</v>
      </c>
      <c r="D268" s="4" t="s">
        <v>274</v>
      </c>
      <c r="E268" s="4" t="str">
        <f>HYPERLINK("https://app.crepc.sk/?fn=detailBiblioForm&amp;sid=8A1D1D56D765062E0D7B082253")</f>
        <v>https://app.crepc.sk/?fn=detailBiblioForm&amp;sid=8A1D1D56D765062E0D7B082253</v>
      </c>
      <c r="I268" s="2"/>
    </row>
    <row r="269" spans="3:9" ht="45" x14ac:dyDescent="0.25">
      <c r="C269" s="15">
        <v>521920</v>
      </c>
      <c r="D269" s="4" t="s">
        <v>275</v>
      </c>
      <c r="E269" s="4" t="str">
        <f>HYPERLINK("https://app.crepc.sk/?fn=detailBiblioForm&amp;sid=8A1D1D56D765062E0E73082253")</f>
        <v>https://app.crepc.sk/?fn=detailBiblioForm&amp;sid=8A1D1D56D765062E0E73082253</v>
      </c>
      <c r="I269" s="2"/>
    </row>
    <row r="270" spans="3:9" ht="75" x14ac:dyDescent="0.25">
      <c r="C270" s="15">
        <v>499484</v>
      </c>
      <c r="D270" s="4" t="s">
        <v>276</v>
      </c>
      <c r="E270" s="4" t="str">
        <f>HYPERLINK("https://app.crepc.sk/?fn=detailBiblioForm&amp;sid=924C92DA1A499259486AA944A9")</f>
        <v>https://app.crepc.sk/?fn=detailBiblioForm&amp;sid=924C92DA1A499259486AA944A9</v>
      </c>
      <c r="I270" s="2"/>
    </row>
    <row r="271" spans="3:9" ht="60" x14ac:dyDescent="0.25">
      <c r="C271" s="15">
        <v>463279</v>
      </c>
      <c r="D271" s="4" t="s">
        <v>277</v>
      </c>
      <c r="E271" s="4" t="str">
        <f>HYPERLINK("https://app.crepc.sk/?fn=detailBiblioForm&amp;sid=E236139526BBCA0A2172918529")</f>
        <v>https://app.crepc.sk/?fn=detailBiblioForm&amp;sid=E236139526BBCA0A2172918529</v>
      </c>
      <c r="I271" s="2"/>
    </row>
    <row r="272" spans="3:9" ht="45" x14ac:dyDescent="0.25">
      <c r="C272" s="15">
        <v>495159</v>
      </c>
      <c r="D272" s="4" t="s">
        <v>278</v>
      </c>
      <c r="E272" s="4" t="str">
        <f>HYPERLINK("https://app.crepc.sk/?fn=detailBiblioForm&amp;sid=6A891679F364FB5920D1774791")</f>
        <v>https://app.crepc.sk/?fn=detailBiblioForm&amp;sid=6A891679F364FB5920D1774791</v>
      </c>
      <c r="I272" s="2"/>
    </row>
    <row r="273" spans="3:9" ht="45" x14ac:dyDescent="0.25">
      <c r="C273" s="15">
        <v>458176</v>
      </c>
      <c r="D273" s="4" t="s">
        <v>279</v>
      </c>
      <c r="E273" s="4" t="str">
        <f>HYPERLINK("https://app.crepc.sk/?fn=detailBiblioForm&amp;sid=071A873BB8FAF95F5CD19A64F9")</f>
        <v>https://app.crepc.sk/?fn=detailBiblioForm&amp;sid=071A873BB8FAF95F5CD19A64F9</v>
      </c>
      <c r="I273" s="2"/>
    </row>
    <row r="274" spans="3:9" ht="60" x14ac:dyDescent="0.25">
      <c r="C274" s="15">
        <v>472843</v>
      </c>
      <c r="D274" s="4" t="s">
        <v>280</v>
      </c>
      <c r="E274" s="4" t="str">
        <f>HYPERLINK("https://app.crepc.sk/?fn=detailBiblioForm&amp;sid=D74D61C60D28D2C74AAD4B48C0")</f>
        <v>https://app.crepc.sk/?fn=detailBiblioForm&amp;sid=D74D61C60D28D2C74AAD4B48C0</v>
      </c>
      <c r="I274" s="2"/>
    </row>
    <row r="275" spans="3:9" ht="60" x14ac:dyDescent="0.25">
      <c r="C275" s="15">
        <v>472834</v>
      </c>
      <c r="D275" s="4" t="s">
        <v>281</v>
      </c>
      <c r="E275" s="4" t="str">
        <f>HYPERLINK("https://app.crepc.sk/?fn=detailBiblioForm&amp;sid=D74D61C60D28D2C74DAA4B48C0")</f>
        <v>https://app.crepc.sk/?fn=detailBiblioForm&amp;sid=D74D61C60D28D2C74DAA4B48C0</v>
      </c>
      <c r="I275" s="2"/>
    </row>
    <row r="276" spans="3:9" ht="60" x14ac:dyDescent="0.25">
      <c r="C276" s="15">
        <v>477107</v>
      </c>
      <c r="D276" s="4" t="s">
        <v>282</v>
      </c>
      <c r="E276" s="4" t="str">
        <f>HYPERLINK("https://app.crepc.sk/?fn=detailBiblioForm&amp;sid=638462AB682158D5BAD83DD61B")</f>
        <v>https://app.crepc.sk/?fn=detailBiblioForm&amp;sid=638462AB682158D5BAD83DD61B</v>
      </c>
      <c r="I276" s="2"/>
    </row>
    <row r="277" spans="3:9" ht="75" x14ac:dyDescent="0.25">
      <c r="C277" s="15">
        <v>486268</v>
      </c>
      <c r="D277" s="4" t="s">
        <v>283</v>
      </c>
      <c r="E277" s="4" t="str">
        <f>HYPERLINK("https://app.crepc.sk/?fn=detailBiblioForm&amp;sid=32F785CDFFF3BEF8B5BB99D93D")</f>
        <v>https://app.crepc.sk/?fn=detailBiblioForm&amp;sid=32F785CDFFF3BEF8B5BB99D93D</v>
      </c>
      <c r="I277" s="2"/>
    </row>
    <row r="278" spans="3:9" ht="45" x14ac:dyDescent="0.25">
      <c r="C278" s="15">
        <v>494076</v>
      </c>
      <c r="D278" s="4" t="s">
        <v>284</v>
      </c>
      <c r="E278" s="4" t="str">
        <f>HYPERLINK("https://app.crepc.sk/?fn=detailBiblioForm&amp;sid=A9856A5D97442438E9C39EE6DF")</f>
        <v>https://app.crepc.sk/?fn=detailBiblioForm&amp;sid=A9856A5D97442438E9C39EE6DF</v>
      </c>
      <c r="I278" s="2"/>
    </row>
    <row r="279" spans="3:9" ht="45" x14ac:dyDescent="0.25">
      <c r="C279" s="15">
        <v>496241</v>
      </c>
      <c r="D279" s="4" t="s">
        <v>285</v>
      </c>
      <c r="E279" s="4" t="str">
        <f>HYPERLINK("https://app.crepc.sk/?fn=detailBiblioForm&amp;sid=A920A6B44AAA35D5D7149E29A9")</f>
        <v>https://app.crepc.sk/?fn=detailBiblioForm&amp;sid=A920A6B44AAA35D5D7149E29A9</v>
      </c>
      <c r="I279" s="2"/>
    </row>
    <row r="280" spans="3:9" ht="60" x14ac:dyDescent="0.25">
      <c r="C280" s="15">
        <v>461235</v>
      </c>
      <c r="D280" s="4" t="s">
        <v>286</v>
      </c>
      <c r="E280" s="4" t="str">
        <f>HYPERLINK("https://app.crepc.sk/?fn=detailBiblioForm&amp;sid=8537F87F3D8705D8C6B952C7AA")</f>
        <v>https://app.crepc.sk/?fn=detailBiblioForm&amp;sid=8537F87F3D8705D8C6B952C7AA</v>
      </c>
      <c r="I280" s="2"/>
    </row>
    <row r="281" spans="3:9" ht="60" x14ac:dyDescent="0.25">
      <c r="C281" s="15">
        <v>529238</v>
      </c>
      <c r="D281" s="4" t="s">
        <v>287</v>
      </c>
      <c r="E281" s="4" t="str">
        <f>HYPERLINK("https://app.crepc.sk/?fn=detailBiblioForm&amp;sid=C7EE819E36417AEFCAC5C0E72A")</f>
        <v>https://app.crepc.sk/?fn=detailBiblioForm&amp;sid=C7EE819E36417AEFCAC5C0E72A</v>
      </c>
      <c r="I281" s="2"/>
    </row>
    <row r="282" spans="3:9" ht="75" x14ac:dyDescent="0.25">
      <c r="C282" s="15">
        <v>505286</v>
      </c>
      <c r="D282" s="4" t="s">
        <v>288</v>
      </c>
      <c r="E282" s="4" t="str">
        <f>HYPERLINK("https://app.crepc.sk/?fn=detailBiblioForm&amp;sid=B2637568E27516263C1265062C")</f>
        <v>https://app.crepc.sk/?fn=detailBiblioForm&amp;sid=B2637568E27516263C1265062C</v>
      </c>
      <c r="I282" s="2"/>
    </row>
    <row r="283" spans="3:9" ht="60" x14ac:dyDescent="0.25">
      <c r="C283" s="15">
        <v>511447</v>
      </c>
      <c r="D283" s="4" t="s">
        <v>289</v>
      </c>
      <c r="E283" s="4" t="str">
        <f>HYPERLINK("https://app.crepc.sk/?fn=detailBiblioForm&amp;sid=3663029739A3F24E123CEC1B3A")</f>
        <v>https://app.crepc.sk/?fn=detailBiblioForm&amp;sid=3663029739A3F24E123CEC1B3A</v>
      </c>
      <c r="I283" s="2"/>
    </row>
    <row r="284" spans="3:9" ht="45" x14ac:dyDescent="0.25">
      <c r="C284" s="15">
        <v>502143</v>
      </c>
      <c r="D284" s="4" t="s">
        <v>290</v>
      </c>
      <c r="E284" s="4" t="str">
        <f>HYPERLINK("https://app.crepc.sk/?fn=detailBiblioForm&amp;sid=A1A5DD38B8522D3352AECF0555")</f>
        <v>https://app.crepc.sk/?fn=detailBiblioForm&amp;sid=A1A5DD38B8522D3352AECF0555</v>
      </c>
      <c r="I284" s="2"/>
    </row>
    <row r="285" spans="3:9" ht="60" x14ac:dyDescent="0.25">
      <c r="C285" s="15">
        <v>502738</v>
      </c>
      <c r="D285" s="4" t="s">
        <v>291</v>
      </c>
      <c r="E285" s="4" t="str">
        <f>HYPERLINK("https://app.crepc.sk/?fn=detailBiblioForm&amp;sid=E9562E2F831297D9CBA7681950")</f>
        <v>https://app.crepc.sk/?fn=detailBiblioForm&amp;sid=E9562E2F831297D9CBA7681950</v>
      </c>
      <c r="I285" s="2"/>
    </row>
    <row r="286" spans="3:9" ht="45" x14ac:dyDescent="0.25">
      <c r="C286" s="15">
        <v>513672</v>
      </c>
      <c r="D286" s="4" t="s">
        <v>292</v>
      </c>
      <c r="E286" s="4" t="str">
        <f>HYPERLINK("https://app.crepc.sk/?fn=detailBiblioForm&amp;sid=14EB7172A94AC8834A96E3C895")</f>
        <v>https://app.crepc.sk/?fn=detailBiblioForm&amp;sid=14EB7172A94AC8834A96E3C895</v>
      </c>
      <c r="I286" s="2"/>
    </row>
    <row r="287" spans="3:9" ht="75" x14ac:dyDescent="0.25">
      <c r="C287" s="15">
        <v>510895</v>
      </c>
      <c r="D287" s="4" t="s">
        <v>293</v>
      </c>
      <c r="E287" s="4" t="str">
        <f>HYPERLINK("https://app.crepc.sk/?fn=detailBiblioForm&amp;sid=8098A5EBC517294D57095F1619")</f>
        <v>https://app.crepc.sk/?fn=detailBiblioForm&amp;sid=8098A5EBC517294D57095F1619</v>
      </c>
      <c r="I287" s="2"/>
    </row>
    <row r="288" spans="3:9" ht="45" x14ac:dyDescent="0.25">
      <c r="C288" s="15">
        <v>469091</v>
      </c>
      <c r="D288" s="4" t="s">
        <v>294</v>
      </c>
      <c r="E288" s="4" t="str">
        <f>HYPERLINK("https://app.crepc.sk/?fn=detailBiblioForm&amp;sid=90FB05A4E17E73705CF6345CE5")</f>
        <v>https://app.crepc.sk/?fn=detailBiblioForm&amp;sid=90FB05A4E17E73705CF6345CE5</v>
      </c>
      <c r="I288" s="2"/>
    </row>
    <row r="289" spans="3:9" ht="75" x14ac:dyDescent="0.25">
      <c r="C289" s="15">
        <v>499464</v>
      </c>
      <c r="D289" s="4" t="s">
        <v>295</v>
      </c>
      <c r="E289" s="4" t="str">
        <f>HYPERLINK("https://app.crepc.sk/?fn=detailBiblioForm&amp;sid=924C92DA1A499259466AA944A9")</f>
        <v>https://app.crepc.sk/?fn=detailBiblioForm&amp;sid=924C92DA1A499259466AA944A9</v>
      </c>
      <c r="I289" s="2"/>
    </row>
    <row r="290" spans="3:9" ht="45" x14ac:dyDescent="0.25">
      <c r="C290" s="15">
        <v>497757</v>
      </c>
      <c r="D290" s="4" t="s">
        <v>296</v>
      </c>
      <c r="E290" s="4" t="str">
        <f>HYPERLINK("https://app.crepc.sk/?fn=detailBiblioForm&amp;sid=09E545CD95BD83831C94B74827")</f>
        <v>https://app.crepc.sk/?fn=detailBiblioForm&amp;sid=09E545CD95BD83831C94B74827</v>
      </c>
      <c r="I290" s="2"/>
    </row>
    <row r="291" spans="3:9" ht="45" x14ac:dyDescent="0.25">
      <c r="C291" s="15">
        <v>510163</v>
      </c>
      <c r="D291" s="4" t="s">
        <v>297</v>
      </c>
      <c r="E291" s="4" t="str">
        <f>HYPERLINK("https://app.crepc.sk/?fn=detailBiblioForm&amp;sid=8425223069A9860C1CCF36A800")</f>
        <v>https://app.crepc.sk/?fn=detailBiblioForm&amp;sid=8425223069A9860C1CCF36A800</v>
      </c>
      <c r="I291" s="2"/>
    </row>
    <row r="292" spans="3:9" ht="60" x14ac:dyDescent="0.25">
      <c r="C292" s="15">
        <v>523404</v>
      </c>
      <c r="D292" s="4" t="s">
        <v>298</v>
      </c>
      <c r="E292" s="4" t="str">
        <f>HYPERLINK("https://app.crepc.sk/?fn=detailBiblioForm&amp;sid=134F7010F97786482F1D2EA1AF")</f>
        <v>https://app.crepc.sk/?fn=detailBiblioForm&amp;sid=134F7010F97786482F1D2EA1AF</v>
      </c>
      <c r="I292" s="2"/>
    </row>
    <row r="293" spans="3:9" ht="60" x14ac:dyDescent="0.25">
      <c r="C293" s="15">
        <v>490295</v>
      </c>
      <c r="D293" s="4" t="s">
        <v>299</v>
      </c>
      <c r="E293" s="4" t="str">
        <f>HYPERLINK("https://app.crepc.sk/?fn=detailBiblioForm&amp;sid=9B29CB501F30532D28FCBBDF19")</f>
        <v>https://app.crepc.sk/?fn=detailBiblioForm&amp;sid=9B29CB501F30532D28FCBBDF19</v>
      </c>
      <c r="I293" s="2"/>
    </row>
    <row r="294" spans="3:9" ht="45" x14ac:dyDescent="0.25">
      <c r="C294" s="15">
        <v>465800</v>
      </c>
      <c r="D294" s="4" t="s">
        <v>300</v>
      </c>
      <c r="E294" s="4" t="str">
        <f>HYPERLINK("https://app.crepc.sk/?fn=detailBiblioForm&amp;sid=F86629651EA85558F147CB7175")</f>
        <v>https://app.crepc.sk/?fn=detailBiblioForm&amp;sid=F86629651EA85558F147CB7175</v>
      </c>
      <c r="I294" s="2"/>
    </row>
    <row r="295" spans="3:9" ht="45" x14ac:dyDescent="0.25">
      <c r="C295" s="15">
        <v>529585</v>
      </c>
      <c r="D295" s="4" t="s">
        <v>301</v>
      </c>
      <c r="E295" s="4" t="str">
        <f>HYPERLINK("https://app.crepc.sk/?fn=detailBiblioForm&amp;sid=C1777F55D8EA2EA7FBDA86C723")</f>
        <v>https://app.crepc.sk/?fn=detailBiblioForm&amp;sid=C1777F55D8EA2EA7FBDA86C723</v>
      </c>
      <c r="I295" s="2"/>
    </row>
    <row r="296" spans="3:9" ht="60" x14ac:dyDescent="0.25">
      <c r="C296" s="15">
        <v>472619</v>
      </c>
      <c r="D296" s="4" t="s">
        <v>302</v>
      </c>
      <c r="E296" s="4" t="str">
        <f>HYPERLINK("https://app.crepc.sk/?fn=detailBiblioForm&amp;sid=9AE86EE7FB8F2AA24FDA9FA481")</f>
        <v>https://app.crepc.sk/?fn=detailBiblioForm&amp;sid=9AE86EE7FB8F2AA24FDA9FA481</v>
      </c>
      <c r="I296" s="2"/>
    </row>
    <row r="297" spans="3:9" ht="60" x14ac:dyDescent="0.25">
      <c r="C297" s="15">
        <v>484927</v>
      </c>
      <c r="D297" s="4" t="s">
        <v>303</v>
      </c>
      <c r="E297" s="4" t="str">
        <f>HYPERLINK("https://app.crepc.sk/?fn=detailBiblioForm&amp;sid=9C0A4806F762B32CC77D01F397")</f>
        <v>https://app.crepc.sk/?fn=detailBiblioForm&amp;sid=9C0A4806F762B32CC77D01F397</v>
      </c>
      <c r="I297" s="2"/>
    </row>
    <row r="298" spans="3:9" ht="45" x14ac:dyDescent="0.25">
      <c r="C298" s="15">
        <v>495753</v>
      </c>
      <c r="D298" s="4" t="s">
        <v>304</v>
      </c>
      <c r="E298" s="4" t="str">
        <f>HYPERLINK("https://app.crepc.sk/?fn=detailBiblioForm&amp;sid=9826E54EB6A861039E3E1E052C")</f>
        <v>https://app.crepc.sk/?fn=detailBiblioForm&amp;sid=9826E54EB6A861039E3E1E052C</v>
      </c>
      <c r="I298" s="2"/>
    </row>
    <row r="299" spans="3:9" ht="60" x14ac:dyDescent="0.25">
      <c r="C299" s="15">
        <v>495513</v>
      </c>
      <c r="D299" s="4" t="s">
        <v>305</v>
      </c>
      <c r="E299" s="4" t="str">
        <f>HYPERLINK("https://app.crepc.sk/?fn=detailBiblioForm&amp;sid=0A50110E008A045F07AF088294")</f>
        <v>https://app.crepc.sk/?fn=detailBiblioForm&amp;sid=0A50110E008A045F07AF088294</v>
      </c>
      <c r="I299" s="2"/>
    </row>
    <row r="300" spans="3:9" ht="45" x14ac:dyDescent="0.25">
      <c r="C300" s="15">
        <v>493632</v>
      </c>
      <c r="D300" s="4" t="s">
        <v>306</v>
      </c>
      <c r="E300" s="4" t="str">
        <f>HYPERLINK("https://app.crepc.sk/?fn=detailBiblioForm&amp;sid=AB5E9AE8A2CF3EF393CDF483EB")</f>
        <v>https://app.crepc.sk/?fn=detailBiblioForm&amp;sid=AB5E9AE8A2CF3EF393CDF483EB</v>
      </c>
      <c r="I300" s="2"/>
    </row>
    <row r="301" spans="3:9" ht="60" x14ac:dyDescent="0.25">
      <c r="C301" s="15">
        <v>460609</v>
      </c>
      <c r="D301" s="4" t="s">
        <v>307</v>
      </c>
      <c r="E301" s="4" t="str">
        <f>HYPERLINK("https://app.crepc.sk/?fn=detailBiblioForm&amp;sid=0937D15AF4279E72878AD35228")</f>
        <v>https://app.crepc.sk/?fn=detailBiblioForm&amp;sid=0937D15AF4279E72878AD35228</v>
      </c>
      <c r="I301" s="2"/>
    </row>
    <row r="302" spans="3:9" ht="45" x14ac:dyDescent="0.25">
      <c r="C302" s="15">
        <v>462307</v>
      </c>
      <c r="D302" s="4" t="s">
        <v>308</v>
      </c>
      <c r="E302" s="4" t="str">
        <f>HYPERLINK("https://app.crepc.sk/?fn=detailBiblioForm&amp;sid=244D3D63C8C011AC9D1E80D0B5")</f>
        <v>https://app.crepc.sk/?fn=detailBiblioForm&amp;sid=244D3D63C8C011AC9D1E80D0B5</v>
      </c>
      <c r="I302" s="2"/>
    </row>
    <row r="303" spans="3:9" ht="45" x14ac:dyDescent="0.25">
      <c r="C303" s="15">
        <v>461237</v>
      </c>
      <c r="D303" s="4" t="s">
        <v>309</v>
      </c>
      <c r="E303" s="4" t="str">
        <f>HYPERLINK("https://app.crepc.sk/?fn=detailBiblioForm&amp;sid=8537F87F3D8705D8C6BB52C7AA")</f>
        <v>https://app.crepc.sk/?fn=detailBiblioForm&amp;sid=8537F87F3D8705D8C6BB52C7AA</v>
      </c>
      <c r="I303" s="2"/>
    </row>
    <row r="304" spans="3:9" ht="60" x14ac:dyDescent="0.25">
      <c r="C304" s="15">
        <v>512070</v>
      </c>
      <c r="D304" s="4" t="s">
        <v>310</v>
      </c>
      <c r="E304" s="4" t="str">
        <f>HYPERLINK("https://app.crepc.sk/?fn=detailBiblioForm&amp;sid=8987D606B2B19273AC80E6F051")</f>
        <v>https://app.crepc.sk/?fn=detailBiblioForm&amp;sid=8987D606B2B19273AC80E6F051</v>
      </c>
      <c r="I304" s="2"/>
    </row>
    <row r="305" spans="3:9" ht="75" x14ac:dyDescent="0.25">
      <c r="C305" s="15">
        <v>465443</v>
      </c>
      <c r="D305" s="4" t="s">
        <v>311</v>
      </c>
      <c r="E305" s="4" t="str">
        <f>HYPERLINK("https://app.crepc.sk/?fn=detailBiblioForm&amp;sid=6E0CEA70D9B2B07952CBB7A8F4")</f>
        <v>https://app.crepc.sk/?fn=detailBiblioForm&amp;sid=6E0CEA70D9B2B07952CBB7A8F4</v>
      </c>
      <c r="I305" s="2"/>
    </row>
    <row r="306" spans="3:9" ht="60" x14ac:dyDescent="0.25">
      <c r="C306" s="15">
        <v>461236</v>
      </c>
      <c r="D306" s="4" t="s">
        <v>312</v>
      </c>
      <c r="E306" s="4" t="str">
        <f>HYPERLINK("https://app.crepc.sk/?fn=detailBiblioForm&amp;sid=8537F87F3D8705D8C6BA52C7AA")</f>
        <v>https://app.crepc.sk/?fn=detailBiblioForm&amp;sid=8537F87F3D8705D8C6BA52C7AA</v>
      </c>
      <c r="I306" s="2"/>
    </row>
    <row r="307" spans="3:9" ht="45" x14ac:dyDescent="0.25">
      <c r="C307" s="15">
        <v>466810</v>
      </c>
      <c r="D307" s="4" t="s">
        <v>313</v>
      </c>
      <c r="E307" s="4" t="str">
        <f>HYPERLINK("https://app.crepc.sk/?fn=detailBiblioForm&amp;sid=9157A8D966215C3E8AAAA12C4A")</f>
        <v>https://app.crepc.sk/?fn=detailBiblioForm&amp;sid=9157A8D966215C3E8AAAA12C4A</v>
      </c>
      <c r="I307" s="2"/>
    </row>
    <row r="308" spans="3:9" ht="45" x14ac:dyDescent="0.25">
      <c r="C308" s="15">
        <v>487734</v>
      </c>
      <c r="D308" s="4" t="s">
        <v>314</v>
      </c>
      <c r="E308" s="4" t="str">
        <f>HYPERLINK("https://app.crepc.sk/?fn=detailBiblioForm&amp;sid=ECB885A5B95E2A239E7ECD150A")</f>
        <v>https://app.crepc.sk/?fn=detailBiblioForm&amp;sid=ECB885A5B95E2A239E7ECD150A</v>
      </c>
      <c r="I308" s="2"/>
    </row>
    <row r="309" spans="3:9" ht="45" x14ac:dyDescent="0.25">
      <c r="C309" s="15">
        <v>506363</v>
      </c>
      <c r="D309" s="4" t="s">
        <v>315</v>
      </c>
      <c r="E309" s="4" t="str">
        <f>HYPERLINK("https://app.crepc.sk/?fn=detailBiblioForm&amp;sid=BBEDD8EDEF499DA8176A5D0332")</f>
        <v>https://app.crepc.sk/?fn=detailBiblioForm&amp;sid=BBEDD8EDEF499DA8176A5D0332</v>
      </c>
      <c r="I309" s="2"/>
    </row>
    <row r="310" spans="3:9" ht="45" x14ac:dyDescent="0.25">
      <c r="C310" s="15">
        <v>495081</v>
      </c>
      <c r="D310" s="4" t="s">
        <v>316</v>
      </c>
      <c r="E310" s="4" t="str">
        <f>HYPERLINK("https://app.crepc.sk/?fn=detailBiblioForm&amp;sid=BBF5DCBAEAD8A0211F7BB1FFB8")</f>
        <v>https://app.crepc.sk/?fn=detailBiblioForm&amp;sid=BBF5DCBAEAD8A0211F7BB1FFB8</v>
      </c>
      <c r="I310" s="2"/>
    </row>
    <row r="311" spans="3:9" ht="45" x14ac:dyDescent="0.25">
      <c r="C311" s="15">
        <v>513477</v>
      </c>
      <c r="D311" s="4" t="s">
        <v>317</v>
      </c>
      <c r="E311" s="4" t="str">
        <f>HYPERLINK("https://app.crepc.sk/?fn=detailBiblioForm&amp;sid=90FB1ACF428CDAC669D44B841D")</f>
        <v>https://app.crepc.sk/?fn=detailBiblioForm&amp;sid=90FB1ACF428CDAC669D44B841D</v>
      </c>
      <c r="I311" s="2"/>
    </row>
    <row r="312" spans="3:9" ht="45" x14ac:dyDescent="0.25">
      <c r="C312" s="15">
        <v>507194</v>
      </c>
      <c r="D312" s="4" t="s">
        <v>318</v>
      </c>
      <c r="E312" s="4" t="str">
        <f>HYPERLINK("https://app.crepc.sk/?fn=detailBiblioForm&amp;sid=039B1C2050F1DD8B33656BA384")</f>
        <v>https://app.crepc.sk/?fn=detailBiblioForm&amp;sid=039B1C2050F1DD8B33656BA384</v>
      </c>
      <c r="I312" s="2"/>
    </row>
    <row r="313" spans="3:9" ht="45" x14ac:dyDescent="0.25">
      <c r="C313" s="15">
        <v>527099</v>
      </c>
      <c r="D313" s="4" t="s">
        <v>319</v>
      </c>
      <c r="E313" s="4" t="str">
        <f>HYPERLINK("https://app.crepc.sk/?fn=detailBiblioForm&amp;sid=13D36A8F2B69569F884456AB5F")</f>
        <v>https://app.crepc.sk/?fn=detailBiblioForm&amp;sid=13D36A8F2B69569F884456AB5F</v>
      </c>
      <c r="I313" s="2"/>
    </row>
    <row r="314" spans="3:9" ht="105" x14ac:dyDescent="0.25">
      <c r="C314" s="15">
        <v>519779</v>
      </c>
      <c r="D314" s="4" t="s">
        <v>320</v>
      </c>
      <c r="E314" s="4" t="str">
        <f>HYPERLINK("https://app.crepc.sk/?fn=detailBiblioForm&amp;sid=3CF9681F115FD6E29F69D3733A")</f>
        <v>https://app.crepc.sk/?fn=detailBiblioForm&amp;sid=3CF9681F115FD6E29F69D3733A</v>
      </c>
      <c r="I314" s="2"/>
    </row>
    <row r="315" spans="3:9" ht="45" x14ac:dyDescent="0.25">
      <c r="C315" s="15">
        <v>476772</v>
      </c>
      <c r="D315" s="4" t="s">
        <v>321</v>
      </c>
      <c r="E315" s="4" t="str">
        <f>HYPERLINK("https://app.crepc.sk/?fn=detailBiblioForm&amp;sid=AC9F78CB6E2934C561BF82EE4C")</f>
        <v>https://app.crepc.sk/?fn=detailBiblioForm&amp;sid=AC9F78CB6E2934C561BF82EE4C</v>
      </c>
      <c r="I315" s="2"/>
    </row>
    <row r="316" spans="3:9" ht="75" x14ac:dyDescent="0.25">
      <c r="C316" s="15">
        <v>515247</v>
      </c>
      <c r="D316" s="4" t="s">
        <v>322</v>
      </c>
      <c r="E316" s="4" t="str">
        <f>HYPERLINK("https://app.crepc.sk/?fn=detailBiblioForm&amp;sid=5E1CBABE3600097C8576BBEB48")</f>
        <v>https://app.crepc.sk/?fn=detailBiblioForm&amp;sid=5E1CBABE3600097C8576BBEB48</v>
      </c>
      <c r="I316" s="2"/>
    </row>
    <row r="317" spans="3:9" ht="60" x14ac:dyDescent="0.25">
      <c r="C317" s="15">
        <v>459400</v>
      </c>
      <c r="D317" s="4" t="s">
        <v>323</v>
      </c>
      <c r="E317" s="4" t="str">
        <f>HYPERLINK("https://app.crepc.sk/?fn=detailBiblioForm&amp;sid=DB63CE845740017FC81E2CD14D")</f>
        <v>https://app.crepc.sk/?fn=detailBiblioForm&amp;sid=DB63CE845740017FC81E2CD14D</v>
      </c>
      <c r="I317" s="2"/>
    </row>
    <row r="318" spans="3:9" ht="45" x14ac:dyDescent="0.25">
      <c r="C318" s="15">
        <v>506312</v>
      </c>
      <c r="D318" s="4" t="s">
        <v>324</v>
      </c>
      <c r="E318" s="4" t="str">
        <f>HYPERLINK("https://app.crepc.sk/?fn=detailBiblioForm&amp;sid=BBEDD8EDEF499DA8106B5D0332")</f>
        <v>https://app.crepc.sk/?fn=detailBiblioForm&amp;sid=BBEDD8EDEF499DA8106B5D0332</v>
      </c>
      <c r="I318" s="2"/>
    </row>
    <row r="319" spans="3:9" ht="45" x14ac:dyDescent="0.25">
      <c r="C319" s="15">
        <v>529236</v>
      </c>
      <c r="D319" s="4" t="s">
        <v>325</v>
      </c>
      <c r="E319" s="4" t="str">
        <f>HYPERLINK("https://app.crepc.sk/?fn=detailBiblioForm&amp;sid=C7EE819E36417AEFCACBC0E72A")</f>
        <v>https://app.crepc.sk/?fn=detailBiblioForm&amp;sid=C7EE819E36417AEFCACBC0E72A</v>
      </c>
      <c r="I319" s="2"/>
    </row>
    <row r="320" spans="3:9" ht="75" x14ac:dyDescent="0.25">
      <c r="C320" s="15">
        <v>494597</v>
      </c>
      <c r="D320" s="4" t="s">
        <v>326</v>
      </c>
      <c r="E320" s="4" t="str">
        <f>HYPERLINK("https://app.crepc.sk/?fn=detailBiblioForm&amp;sid=220C200465061AC15C67BC9A19")</f>
        <v>https://app.crepc.sk/?fn=detailBiblioForm&amp;sid=220C200465061AC15C67BC9A19</v>
      </c>
      <c r="I320" s="2"/>
    </row>
    <row r="321" spans="1:9" ht="60" x14ac:dyDescent="0.25">
      <c r="C321" s="15">
        <v>493630</v>
      </c>
      <c r="D321" s="4" t="s">
        <v>327</v>
      </c>
      <c r="E321" s="4" t="str">
        <f>HYPERLINK("https://app.crepc.sk/?fn=detailBiblioForm&amp;sid=AB5E9AE8A2CF3EF393CFF483EB")</f>
        <v>https://app.crepc.sk/?fn=detailBiblioForm&amp;sid=AB5E9AE8A2CF3EF393CFF483EB</v>
      </c>
      <c r="I321" s="2"/>
    </row>
    <row r="322" spans="1:9" ht="60" x14ac:dyDescent="0.25">
      <c r="C322" s="15">
        <v>462319</v>
      </c>
      <c r="D322" s="4" t="s">
        <v>328</v>
      </c>
      <c r="E322" s="4" t="str">
        <f>HYPERLINK("https://app.crepc.sk/?fn=detailBiblioForm&amp;sid=244D3D63C8C011AC9C1080D0B5")</f>
        <v>https://app.crepc.sk/?fn=detailBiblioForm&amp;sid=244D3D63C8C011AC9C1080D0B5</v>
      </c>
      <c r="I322" s="2"/>
    </row>
    <row r="323" spans="1:9" ht="45" x14ac:dyDescent="0.25">
      <c r="C323" s="15">
        <v>508517</v>
      </c>
      <c r="D323" s="4" t="s">
        <v>329</v>
      </c>
      <c r="E323" s="4" t="str">
        <f>HYPERLINK("https://app.crepc.sk/?fn=detailBiblioForm&amp;sid=D2D833EB96BEA25A4A20CB94E7")</f>
        <v>https://app.crepc.sk/?fn=detailBiblioForm&amp;sid=D2D833EB96BEA25A4A20CB94E7</v>
      </c>
      <c r="I323" s="2"/>
    </row>
    <row r="324" spans="1:9" ht="45" x14ac:dyDescent="0.25">
      <c r="C324" s="15">
        <v>520445</v>
      </c>
      <c r="D324" s="4" t="s">
        <v>330</v>
      </c>
      <c r="E324" s="4" t="str">
        <f>HYPERLINK("https://app.crepc.sk/?fn=detailBiblioForm&amp;sid=A3B65ED8C4EA60F68846C806B2")</f>
        <v>https://app.crepc.sk/?fn=detailBiblioForm&amp;sid=A3B65ED8C4EA60F68846C806B2</v>
      </c>
      <c r="I324" s="2"/>
    </row>
    <row r="325" spans="1:9" ht="45" x14ac:dyDescent="0.25">
      <c r="C325" s="15">
        <v>511446</v>
      </c>
      <c r="D325" s="4" t="s">
        <v>331</v>
      </c>
      <c r="E325" s="4" t="str">
        <f>HYPERLINK("https://app.crepc.sk/?fn=detailBiblioForm&amp;sid=3663029739A3F24E123DEC1B3A")</f>
        <v>https://app.crepc.sk/?fn=detailBiblioForm&amp;sid=3663029739A3F24E123DEC1B3A</v>
      </c>
      <c r="I325" s="2"/>
    </row>
    <row r="326" spans="1:9" ht="45" x14ac:dyDescent="0.25">
      <c r="C326" s="15">
        <v>497873</v>
      </c>
      <c r="D326" s="4" t="s">
        <v>332</v>
      </c>
      <c r="E326" s="4" t="str">
        <f>HYPERLINK("https://app.crepc.sk/?fn=detailBiblioForm&amp;sid=F582A1FCD2BC0FC0544393D906")</f>
        <v>https://app.crepc.sk/?fn=detailBiblioForm&amp;sid=F582A1FCD2BC0FC0544393D906</v>
      </c>
      <c r="I326" s="2"/>
    </row>
    <row r="327" spans="1:9" ht="45" x14ac:dyDescent="0.25">
      <c r="C327" s="15">
        <v>478675</v>
      </c>
      <c r="D327" s="4" t="s">
        <v>333</v>
      </c>
      <c r="E327" s="4" t="str">
        <f>HYPERLINK("https://app.crepc.sk/?fn=detailBiblioForm&amp;sid=667D4E5FE33A7D1AA6BC410B44")</f>
        <v>https://app.crepc.sk/?fn=detailBiblioForm&amp;sid=667D4E5FE33A7D1AA6BC410B44</v>
      </c>
      <c r="I327" s="2"/>
    </row>
    <row r="328" spans="1:9" ht="45" x14ac:dyDescent="0.25">
      <c r="C328" s="15">
        <v>507936</v>
      </c>
      <c r="D328" s="4" t="s">
        <v>334</v>
      </c>
      <c r="E328" s="4" t="str">
        <f>HYPERLINK("https://app.crepc.sk/?fn=detailBiblioForm&amp;sid=7551FE5B489329C5A5D90E052F")</f>
        <v>https://app.crepc.sk/?fn=detailBiblioForm&amp;sid=7551FE5B489329C5A5D90E052F</v>
      </c>
      <c r="I328" s="2"/>
    </row>
    <row r="329" spans="1:9" ht="60" x14ac:dyDescent="0.25">
      <c r="C329" s="15">
        <v>518034</v>
      </c>
      <c r="D329" s="4" t="s">
        <v>335</v>
      </c>
      <c r="E329" s="4" t="str">
        <f>HYPERLINK("https://app.crepc.sk/?fn=detailBiblioForm&amp;sid=06BFF39A12609D86DA8E922FE5")</f>
        <v>https://app.crepc.sk/?fn=detailBiblioForm&amp;sid=06BFF39A12609D86DA8E922FE5</v>
      </c>
      <c r="I329" s="2"/>
    </row>
    <row r="330" spans="1:9" ht="60" x14ac:dyDescent="0.25">
      <c r="C330" s="15">
        <v>525949</v>
      </c>
      <c r="D330" s="4" t="s">
        <v>336</v>
      </c>
      <c r="E330" s="4" t="str">
        <f>HYPERLINK("https://app.crepc.sk/?fn=detailBiblioForm&amp;sid=0446DCEE7C6F4765D4B8BAEEE0")</f>
        <v>https://app.crepc.sk/?fn=detailBiblioForm&amp;sid=0446DCEE7C6F4765D4B8BAEEE0</v>
      </c>
      <c r="I330" s="2"/>
    </row>
    <row r="331" spans="1:9" ht="60" x14ac:dyDescent="0.25">
      <c r="C331" s="15">
        <v>493631</v>
      </c>
      <c r="D331" s="4" t="s">
        <v>337</v>
      </c>
      <c r="E331" s="4" t="str">
        <f>HYPERLINK("https://app.crepc.sk/?fn=detailBiblioForm&amp;sid=AB5E9AE8A2CF3EF393CEF483EB")</f>
        <v>https://app.crepc.sk/?fn=detailBiblioForm&amp;sid=AB5E9AE8A2CF3EF393CEF483EB</v>
      </c>
      <c r="I331" s="2"/>
    </row>
    <row r="332" spans="1:9" ht="60" x14ac:dyDescent="0.25">
      <c r="C332" s="15">
        <v>497700</v>
      </c>
      <c r="D332" s="4" t="s">
        <v>338</v>
      </c>
      <c r="E332" s="4" t="str">
        <f>HYPERLINK("https://app.crepc.sk/?fn=detailBiblioForm&amp;sid=09E545CD95BD83831993B74827")</f>
        <v>https://app.crepc.sk/?fn=detailBiblioForm&amp;sid=09E545CD95BD83831993B74827</v>
      </c>
      <c r="I332" s="2"/>
    </row>
    <row r="333" spans="1:9" ht="45" x14ac:dyDescent="0.25">
      <c r="C333" s="15">
        <v>495759</v>
      </c>
      <c r="D333" s="4" t="s">
        <v>339</v>
      </c>
      <c r="E333" s="4" t="str">
        <f>HYPERLINK("https://app.crepc.sk/?fn=detailBiblioForm&amp;sid=9826E54EB6A861039E341E052C")</f>
        <v>https://app.crepc.sk/?fn=detailBiblioForm&amp;sid=9826E54EB6A861039E341E052C</v>
      </c>
      <c r="I333" s="2"/>
    </row>
    <row r="334" spans="1:9" x14ac:dyDescent="0.25">
      <c r="A334" s="4" t="s">
        <v>340</v>
      </c>
      <c r="B334" s="15">
        <v>50</v>
      </c>
      <c r="I334" s="2"/>
    </row>
    <row r="335" spans="1:9" ht="45" x14ac:dyDescent="0.25">
      <c r="C335" s="15">
        <v>489860</v>
      </c>
      <c r="D335" s="4" t="s">
        <v>341</v>
      </c>
      <c r="E335" s="4" t="str">
        <f>HYPERLINK("https://app.crepc.sk/?fn=detailBiblioForm&amp;sid=953B8F259F91F396827136BEB6")</f>
        <v>https://app.crepc.sk/?fn=detailBiblioForm&amp;sid=953B8F259F91F396827136BEB6</v>
      </c>
      <c r="I335" s="2"/>
    </row>
    <row r="336" spans="1:9" ht="60" x14ac:dyDescent="0.25">
      <c r="C336" s="15">
        <v>471456</v>
      </c>
      <c r="D336" s="4" t="s">
        <v>342</v>
      </c>
      <c r="E336" s="4" t="str">
        <f>HYPERLINK("https://app.crepc.sk/?fn=detailBiblioForm&amp;sid=FDB48D7C3FFE8CAD673193A650")</f>
        <v>https://app.crepc.sk/?fn=detailBiblioForm&amp;sid=FDB48D7C3FFE8CAD673193A650</v>
      </c>
      <c r="I336" s="2"/>
    </row>
    <row r="337" spans="3:9" ht="60" x14ac:dyDescent="0.25">
      <c r="C337" s="15">
        <v>491332</v>
      </c>
      <c r="D337" s="4" t="s">
        <v>343</v>
      </c>
      <c r="E337" s="4" t="str">
        <f>HYPERLINK("https://app.crepc.sk/?fn=detailBiblioForm&amp;sid=62641E98F8DA6A9D3826BC01C8")</f>
        <v>https://app.crepc.sk/?fn=detailBiblioForm&amp;sid=62641E98F8DA6A9D3826BC01C8</v>
      </c>
      <c r="I337" s="2"/>
    </row>
    <row r="338" spans="3:9" ht="45" x14ac:dyDescent="0.25">
      <c r="C338" s="15">
        <v>523482</v>
      </c>
      <c r="D338" s="4" t="s">
        <v>344</v>
      </c>
      <c r="E338" s="4" t="str">
        <f>HYPERLINK("https://app.crepc.sk/?fn=detailBiblioForm&amp;sid=134F7010F9778648271B2EA1AF")</f>
        <v>https://app.crepc.sk/?fn=detailBiblioForm&amp;sid=134F7010F9778648271B2EA1AF</v>
      </c>
      <c r="I338" s="2"/>
    </row>
    <row r="339" spans="3:9" ht="60" x14ac:dyDescent="0.25">
      <c r="C339" s="15">
        <v>461144</v>
      </c>
      <c r="D339" s="4" t="s">
        <v>345</v>
      </c>
      <c r="E339" s="4" t="str">
        <f>HYPERLINK("https://app.crepc.sk/?fn=detailBiblioForm&amp;sid=7EFCC0E9BCD27A48D1F9513091")</f>
        <v>https://app.crepc.sk/?fn=detailBiblioForm&amp;sid=7EFCC0E9BCD27A48D1F9513091</v>
      </c>
      <c r="I339" s="2"/>
    </row>
    <row r="340" spans="3:9" ht="60" x14ac:dyDescent="0.25">
      <c r="C340" s="15">
        <v>515210</v>
      </c>
      <c r="D340" s="4" t="s">
        <v>346</v>
      </c>
      <c r="E340" s="4" t="str">
        <f>HYPERLINK("https://app.crepc.sk/?fn=detailBiblioForm&amp;sid=5E1CBABE3600097C8071BBEB48")</f>
        <v>https://app.crepc.sk/?fn=detailBiblioForm&amp;sid=5E1CBABE3600097C8071BBEB48</v>
      </c>
      <c r="I340" s="2"/>
    </row>
    <row r="341" spans="3:9" ht="60" x14ac:dyDescent="0.25">
      <c r="C341" s="15">
        <v>475562</v>
      </c>
      <c r="D341" s="4" t="s">
        <v>347</v>
      </c>
      <c r="E341" s="4" t="str">
        <f>HYPERLINK("https://app.crepc.sk/?fn=detailBiblioForm&amp;sid=54129E2B34CA085C1BC65E1BC6")</f>
        <v>https://app.crepc.sk/?fn=detailBiblioForm&amp;sid=54129E2B34CA085C1BC65E1BC6</v>
      </c>
      <c r="I341" s="2"/>
    </row>
    <row r="342" spans="3:9" ht="45" x14ac:dyDescent="0.25">
      <c r="C342" s="15">
        <v>467887</v>
      </c>
      <c r="D342" s="4" t="s">
        <v>348</v>
      </c>
      <c r="E342" s="4" t="str">
        <f>HYPERLINK("https://app.crepc.sk/?fn=detailBiblioForm&amp;sid=C356D9A6BB5D129D68063E4AB9")</f>
        <v>https://app.crepc.sk/?fn=detailBiblioForm&amp;sid=C356D9A6BB5D129D68063E4AB9</v>
      </c>
      <c r="I342" s="2"/>
    </row>
    <row r="343" spans="3:9" ht="45" x14ac:dyDescent="0.25">
      <c r="C343" s="15">
        <v>467902</v>
      </c>
      <c r="D343" s="4" t="s">
        <v>349</v>
      </c>
      <c r="E343" s="4" t="str">
        <f>HYPERLINK("https://app.crepc.sk/?fn=detailBiblioForm&amp;sid=83EBC8D3C6845991647F624237")</f>
        <v>https://app.crepc.sk/?fn=detailBiblioForm&amp;sid=83EBC8D3C6845991647F624237</v>
      </c>
      <c r="I343" s="2"/>
    </row>
    <row r="344" spans="3:9" ht="45" x14ac:dyDescent="0.25">
      <c r="C344" s="15">
        <v>467885</v>
      </c>
      <c r="D344" s="4" t="s">
        <v>350</v>
      </c>
      <c r="E344" s="4" t="str">
        <f>HYPERLINK("https://app.crepc.sk/?fn=detailBiblioForm&amp;sid=C356D9A6BB5D129D68043E4AB9")</f>
        <v>https://app.crepc.sk/?fn=detailBiblioForm&amp;sid=C356D9A6BB5D129D68043E4AB9</v>
      </c>
      <c r="I344" s="2"/>
    </row>
    <row r="345" spans="3:9" ht="45" x14ac:dyDescent="0.25">
      <c r="C345" s="15">
        <v>467881</v>
      </c>
      <c r="D345" s="4" t="s">
        <v>351</v>
      </c>
      <c r="E345" s="4" t="str">
        <f>HYPERLINK("https://app.crepc.sk/?fn=detailBiblioForm&amp;sid=C356D9A6BB5D129D68003E4AB9")</f>
        <v>https://app.crepc.sk/?fn=detailBiblioForm&amp;sid=C356D9A6BB5D129D68003E4AB9</v>
      </c>
      <c r="I345" s="2"/>
    </row>
    <row r="346" spans="3:9" ht="45" x14ac:dyDescent="0.25">
      <c r="C346" s="15">
        <v>467878</v>
      </c>
      <c r="D346" s="4" t="s">
        <v>352</v>
      </c>
      <c r="E346" s="4" t="str">
        <f>HYPERLINK("https://app.crepc.sk/?fn=detailBiblioForm&amp;sid=C356D9A6BB5D129D67093E4AB9")</f>
        <v>https://app.crepc.sk/?fn=detailBiblioForm&amp;sid=C356D9A6BB5D129D67093E4AB9</v>
      </c>
      <c r="I346" s="2"/>
    </row>
    <row r="347" spans="3:9" ht="60" x14ac:dyDescent="0.25">
      <c r="C347" s="15">
        <v>526570</v>
      </c>
      <c r="D347" s="4" t="s">
        <v>353</v>
      </c>
      <c r="E347" s="4" t="str">
        <f>HYPERLINK("https://app.crepc.sk/?fn=detailBiblioForm&amp;sid=CDAF6A33D4190CF5D87454A926")</f>
        <v>https://app.crepc.sk/?fn=detailBiblioForm&amp;sid=CDAF6A33D4190CF5D87454A926</v>
      </c>
      <c r="I347" s="2"/>
    </row>
    <row r="348" spans="3:9" ht="45" x14ac:dyDescent="0.25">
      <c r="C348" s="15">
        <v>460763</v>
      </c>
      <c r="D348" s="4" t="s">
        <v>354</v>
      </c>
      <c r="E348" s="4" t="str">
        <f>HYPERLINK("https://app.crepc.sk/?fn=detailBiblioForm&amp;sid=34B489568FB60E5509270D8BA1")</f>
        <v>https://app.crepc.sk/?fn=detailBiblioForm&amp;sid=34B489568FB60E5509270D8BA1</v>
      </c>
      <c r="I348" s="2"/>
    </row>
    <row r="349" spans="3:9" ht="45" x14ac:dyDescent="0.25">
      <c r="C349" s="15">
        <v>511963</v>
      </c>
      <c r="D349" s="4" t="s">
        <v>355</v>
      </c>
      <c r="E349" s="4" t="str">
        <f>HYPERLINK("https://app.crepc.sk/?fn=detailBiblioForm&amp;sid=7C67099AC5BBA8842C6BA4E232")</f>
        <v>https://app.crepc.sk/?fn=detailBiblioForm&amp;sid=7C67099AC5BBA8842C6BA4E232</v>
      </c>
      <c r="I349" s="2"/>
    </row>
    <row r="350" spans="3:9" ht="60" x14ac:dyDescent="0.25">
      <c r="C350" s="15">
        <v>495642</v>
      </c>
      <c r="D350" s="4" t="s">
        <v>356</v>
      </c>
      <c r="E350" s="4" t="str">
        <f>HYPERLINK("https://app.crepc.sk/?fn=detailBiblioForm&amp;sid=AB574C4B6B0EDE3060D20166A6")</f>
        <v>https://app.crepc.sk/?fn=detailBiblioForm&amp;sid=AB574C4B6B0EDE3060D20166A6</v>
      </c>
      <c r="I350" s="2"/>
    </row>
    <row r="351" spans="3:9" ht="45" x14ac:dyDescent="0.25">
      <c r="C351" s="15">
        <v>458104</v>
      </c>
      <c r="D351" s="4" t="s">
        <v>357</v>
      </c>
      <c r="E351" s="4" t="str">
        <f>HYPERLINK("https://app.crepc.sk/?fn=detailBiblioForm&amp;sid=071A873BB8FAF95F5BD39A64F9")</f>
        <v>https://app.crepc.sk/?fn=detailBiblioForm&amp;sid=071A873BB8FAF95F5BD39A64F9</v>
      </c>
      <c r="I351" s="2"/>
    </row>
    <row r="352" spans="3:9" ht="60" x14ac:dyDescent="0.25">
      <c r="C352" s="15">
        <v>525422</v>
      </c>
      <c r="D352" s="4" t="s">
        <v>358</v>
      </c>
      <c r="E352" s="4" t="str">
        <f>HYPERLINK("https://app.crepc.sk/?fn=detailBiblioForm&amp;sid=FEA95A9C78405D1B36924F0FE1")</f>
        <v>https://app.crepc.sk/?fn=detailBiblioForm&amp;sid=FEA95A9C78405D1B36924F0FE1</v>
      </c>
      <c r="I352" s="2"/>
    </row>
    <row r="353" spans="3:9" ht="45" x14ac:dyDescent="0.25">
      <c r="C353" s="15">
        <v>523490</v>
      </c>
      <c r="D353" s="4" t="s">
        <v>359</v>
      </c>
      <c r="E353" s="4" t="str">
        <f>HYPERLINK("https://app.crepc.sk/?fn=detailBiblioForm&amp;sid=134F7010F977864826192EA1AF")</f>
        <v>https://app.crepc.sk/?fn=detailBiblioForm&amp;sid=134F7010F977864826192EA1AF</v>
      </c>
      <c r="I353" s="2"/>
    </row>
    <row r="354" spans="3:9" ht="60" x14ac:dyDescent="0.25">
      <c r="C354" s="15">
        <v>478797</v>
      </c>
      <c r="D354" s="4" t="s">
        <v>360</v>
      </c>
      <c r="E354" s="4" t="str">
        <f>HYPERLINK("https://app.crepc.sk/?fn=detailBiblioForm&amp;sid=62404505CA20CCE425C2629E27")</f>
        <v>https://app.crepc.sk/?fn=detailBiblioForm&amp;sid=62404505CA20CCE425C2629E27</v>
      </c>
      <c r="I354" s="2"/>
    </row>
    <row r="355" spans="3:9" ht="45" x14ac:dyDescent="0.25">
      <c r="C355" s="15">
        <v>507192</v>
      </c>
      <c r="D355" s="4" t="s">
        <v>361</v>
      </c>
      <c r="E355" s="4" t="str">
        <f>HYPERLINK("https://app.crepc.sk/?fn=detailBiblioForm&amp;sid=039B1C2050F1DD8B33636BA384")</f>
        <v>https://app.crepc.sk/?fn=detailBiblioForm&amp;sid=039B1C2050F1DD8B33636BA384</v>
      </c>
      <c r="I355" s="2"/>
    </row>
    <row r="356" spans="3:9" ht="45" x14ac:dyDescent="0.25">
      <c r="C356" s="15">
        <v>466228</v>
      </c>
      <c r="D356" s="4" t="s">
        <v>362</v>
      </c>
      <c r="E356" s="4" t="str">
        <f>HYPERLINK("https://app.crepc.sk/?fn=detailBiblioForm&amp;sid=BDEAEFA21A05A6EC92A75BC647")</f>
        <v>https://app.crepc.sk/?fn=detailBiblioForm&amp;sid=BDEAEFA21A05A6EC92A75BC647</v>
      </c>
      <c r="I356" s="2"/>
    </row>
    <row r="357" spans="3:9" ht="45" x14ac:dyDescent="0.25">
      <c r="C357" s="15">
        <v>503343</v>
      </c>
      <c r="D357" s="4" t="s">
        <v>363</v>
      </c>
      <c r="E357" s="4" t="str">
        <f>HYPERLINK("https://app.crepc.sk/?fn=detailBiblioForm&amp;sid=B0397FD2063DC5562FD093E214")</f>
        <v>https://app.crepc.sk/?fn=detailBiblioForm&amp;sid=B0397FD2063DC5562FD093E214</v>
      </c>
      <c r="I357" s="2"/>
    </row>
    <row r="358" spans="3:9" ht="45" x14ac:dyDescent="0.25">
      <c r="C358" s="15">
        <v>524391</v>
      </c>
      <c r="D358" s="4" t="s">
        <v>364</v>
      </c>
      <c r="E358" s="4" t="str">
        <f>HYPERLINK("https://app.crepc.sk/?fn=detailBiblioForm&amp;sid=691930911F5C816A08AA7D311A")</f>
        <v>https://app.crepc.sk/?fn=detailBiblioForm&amp;sid=691930911F5C816A08AA7D311A</v>
      </c>
      <c r="I358" s="2"/>
    </row>
    <row r="359" spans="3:9" ht="45" x14ac:dyDescent="0.25">
      <c r="C359" s="15">
        <v>522449</v>
      </c>
      <c r="D359" s="4" t="s">
        <v>365</v>
      </c>
      <c r="E359" s="4" t="str">
        <f>HYPERLINK("https://app.crepc.sk/?fn=detailBiblioForm&amp;sid=987C43C12E015E1CAC83E3739D")</f>
        <v>https://app.crepc.sk/?fn=detailBiblioForm&amp;sid=987C43C12E015E1CAC83E3739D</v>
      </c>
      <c r="I359" s="2"/>
    </row>
    <row r="360" spans="3:9" ht="105" x14ac:dyDescent="0.25">
      <c r="C360" s="15">
        <v>465170</v>
      </c>
      <c r="D360" s="4" t="s">
        <v>366</v>
      </c>
      <c r="E360" s="4" t="str">
        <f>HYPERLINK("https://app.crepc.sk/?fn=detailBiblioForm&amp;sid=6EE1AEFE679722B0E6C5C047CE")</f>
        <v>https://app.crepc.sk/?fn=detailBiblioForm&amp;sid=6EE1AEFE679722B0E6C5C047CE</v>
      </c>
      <c r="I360" s="2"/>
    </row>
    <row r="361" spans="3:9" ht="60" x14ac:dyDescent="0.25">
      <c r="C361" s="15">
        <v>523785</v>
      </c>
      <c r="D361" s="4" t="s">
        <v>367</v>
      </c>
      <c r="E361" s="4" t="str">
        <f>HYPERLINK("https://app.crepc.sk/?fn=detailBiblioForm&amp;sid=B95293EE1449F91CD9F66FFB3B")</f>
        <v>https://app.crepc.sk/?fn=detailBiblioForm&amp;sid=B95293EE1449F91CD9F66FFB3B</v>
      </c>
      <c r="I361" s="2"/>
    </row>
    <row r="362" spans="3:9" ht="60" x14ac:dyDescent="0.25">
      <c r="C362" s="15">
        <v>523777</v>
      </c>
      <c r="D362" s="4" t="s">
        <v>368</v>
      </c>
      <c r="E362" s="4" t="str">
        <f>HYPERLINK("https://app.crepc.sk/?fn=detailBiblioForm&amp;sid=B95293EE1449F91CD6F46FFB3B")</f>
        <v>https://app.crepc.sk/?fn=detailBiblioForm&amp;sid=B95293EE1449F91CD6F46FFB3B</v>
      </c>
      <c r="I362" s="2"/>
    </row>
    <row r="363" spans="3:9" ht="60" x14ac:dyDescent="0.25">
      <c r="C363" s="15">
        <v>523764</v>
      </c>
      <c r="D363" s="4" t="s">
        <v>369</v>
      </c>
      <c r="E363" s="4" t="str">
        <f>HYPERLINK("https://app.crepc.sk/?fn=detailBiblioForm&amp;sid=B95293EE1449F91CD7F76FFB3B")</f>
        <v>https://app.crepc.sk/?fn=detailBiblioForm&amp;sid=B95293EE1449F91CD7F76FFB3B</v>
      </c>
      <c r="I363" s="2"/>
    </row>
    <row r="364" spans="3:9" ht="45" x14ac:dyDescent="0.25">
      <c r="C364" s="15">
        <v>529800</v>
      </c>
      <c r="D364" s="4" t="s">
        <v>370</v>
      </c>
      <c r="E364" s="4" t="str">
        <f>HYPERLINK("https://app.crepc.sk/?fn=detailBiblioForm&amp;sid=E5489D6BC24E57899CA5605CBC")</f>
        <v>https://app.crepc.sk/?fn=detailBiblioForm&amp;sid=E5489D6BC24E57899CA5605CBC</v>
      </c>
      <c r="I364" s="2"/>
    </row>
    <row r="365" spans="3:9" ht="45" x14ac:dyDescent="0.25">
      <c r="C365" s="15">
        <v>529799</v>
      </c>
      <c r="D365" s="4" t="s">
        <v>371</v>
      </c>
      <c r="E365" s="4" t="str">
        <f>HYPERLINK("https://app.crepc.sk/?fn=detailBiblioForm&amp;sid=155A1CC61A0340FB551F54C1AC")</f>
        <v>https://app.crepc.sk/?fn=detailBiblioForm&amp;sid=155A1CC61A0340FB551F54C1AC</v>
      </c>
      <c r="I365" s="2"/>
    </row>
    <row r="366" spans="3:9" ht="60" x14ac:dyDescent="0.25">
      <c r="C366" s="15">
        <v>480717</v>
      </c>
      <c r="D366" s="4" t="s">
        <v>372</v>
      </c>
      <c r="E366" s="4" t="str">
        <f>HYPERLINK("https://app.crepc.sk/?fn=detailBiblioForm&amp;sid=9E04F520D93867B61CB17B5E5B")</f>
        <v>https://app.crepc.sk/?fn=detailBiblioForm&amp;sid=9E04F520D93867B61CB17B5E5B</v>
      </c>
      <c r="I366" s="2"/>
    </row>
    <row r="367" spans="3:9" ht="60" x14ac:dyDescent="0.25">
      <c r="C367" s="15">
        <v>469856</v>
      </c>
      <c r="D367" s="4" t="s">
        <v>373</v>
      </c>
      <c r="E367" s="4" t="str">
        <f>HYPERLINK("https://app.crepc.sk/?fn=detailBiblioForm&amp;sid=11B331D2C7954567452B44CDB0")</f>
        <v>https://app.crepc.sk/?fn=detailBiblioForm&amp;sid=11B331D2C7954567452B44CDB0</v>
      </c>
      <c r="I367" s="2"/>
    </row>
    <row r="368" spans="3:9" ht="75" x14ac:dyDescent="0.25">
      <c r="C368" s="15">
        <v>511165</v>
      </c>
      <c r="D368" s="4" t="s">
        <v>374</v>
      </c>
      <c r="E368" s="4" t="str">
        <f>HYPERLINK("https://app.crepc.sk/?fn=detailBiblioForm&amp;sid=54B77FB3BB5B66FE69DB560352")</f>
        <v>https://app.crepc.sk/?fn=detailBiblioForm&amp;sid=54B77FB3BB5B66FE69DB560352</v>
      </c>
      <c r="I368" s="2"/>
    </row>
    <row r="369" spans="3:9" ht="60" x14ac:dyDescent="0.25">
      <c r="C369" s="15">
        <v>521249</v>
      </c>
      <c r="D369" s="4" t="s">
        <v>375</v>
      </c>
      <c r="E369" s="4" t="str">
        <f>HYPERLINK("https://app.crepc.sk/?fn=detailBiblioForm&amp;sid=449F06E9DA05D4D070FE601FD7")</f>
        <v>https://app.crepc.sk/?fn=detailBiblioForm&amp;sid=449F06E9DA05D4D070FE601FD7</v>
      </c>
      <c r="I369" s="2"/>
    </row>
    <row r="370" spans="3:9" ht="45" x14ac:dyDescent="0.25">
      <c r="C370" s="15">
        <v>526568</v>
      </c>
      <c r="D370" s="4" t="s">
        <v>376</v>
      </c>
      <c r="E370" s="4" t="str">
        <f>HYPERLINK("https://app.crepc.sk/?fn=detailBiblioForm&amp;sid=CDAF6A33D4190CF5D97C54A926")</f>
        <v>https://app.crepc.sk/?fn=detailBiblioForm&amp;sid=CDAF6A33D4190CF5D97C54A926</v>
      </c>
      <c r="I370" s="2"/>
    </row>
    <row r="371" spans="3:9" ht="45" x14ac:dyDescent="0.25">
      <c r="C371" s="15">
        <v>520078</v>
      </c>
      <c r="D371" s="4" t="s">
        <v>377</v>
      </c>
      <c r="E371" s="4" t="str">
        <f>HYPERLINK("https://app.crepc.sk/?fn=detailBiblioForm&amp;sid=6A69A955CD661A5E89BCDD29EE")</f>
        <v>https://app.crepc.sk/?fn=detailBiblioForm&amp;sid=6A69A955CD661A5E89BCDD29EE</v>
      </c>
      <c r="I371" s="2"/>
    </row>
    <row r="372" spans="3:9" ht="45" x14ac:dyDescent="0.25">
      <c r="C372" s="15">
        <v>476582</v>
      </c>
      <c r="D372" s="4" t="s">
        <v>378</v>
      </c>
      <c r="E372" s="4" t="str">
        <f>HYPERLINK("https://app.crepc.sk/?fn=detailBiblioForm&amp;sid=2CFDAEBC85534155A9C169CE1E")</f>
        <v>https://app.crepc.sk/?fn=detailBiblioForm&amp;sid=2CFDAEBC85534155A9C169CE1E</v>
      </c>
      <c r="I372" s="2"/>
    </row>
    <row r="373" spans="3:9" ht="45" x14ac:dyDescent="0.25">
      <c r="C373" s="15">
        <v>529653</v>
      </c>
      <c r="D373" s="4" t="s">
        <v>379</v>
      </c>
      <c r="E373" s="4" t="str">
        <f>HYPERLINK("https://app.crepc.sk/?fn=detailBiblioForm&amp;sid=F0A8B48C8225E416880D9526C3")</f>
        <v>https://app.crepc.sk/?fn=detailBiblioForm&amp;sid=F0A8B48C8225E416880D9526C3</v>
      </c>
      <c r="I373" s="2"/>
    </row>
    <row r="374" spans="3:9" ht="45" x14ac:dyDescent="0.25">
      <c r="C374" s="15">
        <v>524597</v>
      </c>
      <c r="D374" s="4" t="s">
        <v>380</v>
      </c>
      <c r="E374" s="4" t="str">
        <f>HYPERLINK("https://app.crepc.sk/?fn=detailBiblioForm&amp;sid=3D03846111926994055F44EF46")</f>
        <v>https://app.crepc.sk/?fn=detailBiblioForm&amp;sid=3D03846111926994055F44EF46</v>
      </c>
      <c r="I374" s="2"/>
    </row>
    <row r="375" spans="3:9" ht="45" x14ac:dyDescent="0.25">
      <c r="C375" s="15">
        <v>469488</v>
      </c>
      <c r="D375" s="4" t="s">
        <v>381</v>
      </c>
      <c r="E375" s="4" t="str">
        <f>HYPERLINK("https://app.crepc.sk/?fn=detailBiblioForm&amp;sid=60CFF5964A6149A8872333F7DF")</f>
        <v>https://app.crepc.sk/?fn=detailBiblioForm&amp;sid=60CFF5964A6149A8872333F7DF</v>
      </c>
      <c r="I375" s="2"/>
    </row>
    <row r="376" spans="3:9" ht="45" x14ac:dyDescent="0.25">
      <c r="C376" s="15">
        <v>476583</v>
      </c>
      <c r="D376" s="4" t="s">
        <v>382</v>
      </c>
      <c r="E376" s="4" t="str">
        <f>HYPERLINK("https://app.crepc.sk/?fn=detailBiblioForm&amp;sid=2CFDAEBC85534155A9C069CE1E")</f>
        <v>https://app.crepc.sk/?fn=detailBiblioForm&amp;sid=2CFDAEBC85534155A9C069CE1E</v>
      </c>
      <c r="I376" s="2"/>
    </row>
    <row r="377" spans="3:9" ht="45" x14ac:dyDescent="0.25">
      <c r="C377" s="15">
        <v>504391</v>
      </c>
      <c r="D377" s="4" t="s">
        <v>383</v>
      </c>
      <c r="E377" s="4" t="str">
        <f>HYPERLINK("https://app.crepc.sk/?fn=detailBiblioForm&amp;sid=E261A8F37819079342EA28A289")</f>
        <v>https://app.crepc.sk/?fn=detailBiblioForm&amp;sid=E261A8F37819079342EA28A289</v>
      </c>
      <c r="I377" s="2"/>
    </row>
    <row r="378" spans="3:9" ht="60" x14ac:dyDescent="0.25">
      <c r="C378" s="15">
        <v>518302</v>
      </c>
      <c r="D378" s="4" t="s">
        <v>384</v>
      </c>
      <c r="E378" s="4" t="str">
        <f>HYPERLINK("https://app.crepc.sk/?fn=detailBiblioForm&amp;sid=B1C642561B6149F113A31FBC4C")</f>
        <v>https://app.crepc.sk/?fn=detailBiblioForm&amp;sid=B1C642561B6149F113A31FBC4C</v>
      </c>
      <c r="I378" s="2"/>
    </row>
    <row r="379" spans="3:9" ht="45" x14ac:dyDescent="0.25">
      <c r="C379" s="15">
        <v>460067</v>
      </c>
      <c r="D379" s="4" t="s">
        <v>385</v>
      </c>
      <c r="E379" s="4" t="str">
        <f>HYPERLINK("https://app.crepc.sk/?fn=detailBiblioForm&amp;sid=C23948C2C0377DCC148E2576D6")</f>
        <v>https://app.crepc.sk/?fn=detailBiblioForm&amp;sid=C23948C2C0377DCC148E2576D6</v>
      </c>
      <c r="I379" s="2"/>
    </row>
    <row r="380" spans="3:9" ht="60" x14ac:dyDescent="0.25">
      <c r="C380" s="15">
        <v>473049</v>
      </c>
      <c r="D380" s="4" t="s">
        <v>386</v>
      </c>
      <c r="E380" s="4" t="str">
        <f>HYPERLINK("https://app.crepc.sk/?fn=detailBiblioForm&amp;sid=52CABADEC9521F98AFDFA4DCEB")</f>
        <v>https://app.crepc.sk/?fn=detailBiblioForm&amp;sid=52CABADEC9521F98AFDFA4DCEB</v>
      </c>
      <c r="I380" s="2"/>
    </row>
    <row r="381" spans="3:9" ht="45" x14ac:dyDescent="0.25">
      <c r="C381" s="15">
        <v>474216</v>
      </c>
      <c r="D381" s="4" t="s">
        <v>387</v>
      </c>
      <c r="E381" s="4" t="str">
        <f>HYPERLINK("https://app.crepc.sk/?fn=detailBiblioForm&amp;sid=076AEDFDBB54A6325F0BAE4DCC")</f>
        <v>https://app.crepc.sk/?fn=detailBiblioForm&amp;sid=076AEDFDBB54A6325F0BAE4DCC</v>
      </c>
      <c r="I381" s="2"/>
    </row>
    <row r="382" spans="3:9" ht="45" x14ac:dyDescent="0.25">
      <c r="C382" s="15">
        <v>525417</v>
      </c>
      <c r="D382" s="4" t="s">
        <v>388</v>
      </c>
      <c r="E382" s="4" t="str">
        <f>HYPERLINK("https://app.crepc.sk/?fn=detailBiblioForm&amp;sid=FEA95A9C78405D1B35974F0FE1")</f>
        <v>https://app.crepc.sk/?fn=detailBiblioForm&amp;sid=FEA95A9C78405D1B35974F0FE1</v>
      </c>
      <c r="I382" s="2"/>
    </row>
    <row r="383" spans="3:9" ht="120" x14ac:dyDescent="0.25">
      <c r="C383" s="15">
        <v>466342</v>
      </c>
      <c r="D383" s="4" t="s">
        <v>389</v>
      </c>
      <c r="E383" s="4" t="str">
        <f>HYPERLINK("https://app.crepc.sk/?fn=detailBiblioForm&amp;sid=1171297E44933EF781EB013B8A")</f>
        <v>https://app.crepc.sk/?fn=detailBiblioForm&amp;sid=1171297E44933EF781EB013B8A</v>
      </c>
      <c r="I383" s="2"/>
    </row>
    <row r="384" spans="3:9" ht="120" x14ac:dyDescent="0.25">
      <c r="C384" s="15">
        <v>466458</v>
      </c>
      <c r="D384" s="4" t="s">
        <v>390</v>
      </c>
      <c r="E384" s="4" t="str">
        <f>HYPERLINK("https://app.crepc.sk/?fn=detailBiblioForm&amp;sid=4A57F5CE42BBA0E307780E71DF")</f>
        <v>https://app.crepc.sk/?fn=detailBiblioForm&amp;sid=4A57F5CE42BBA0E307780E71DF</v>
      </c>
      <c r="I384" s="2"/>
    </row>
    <row r="385" spans="1:9" ht="30" x14ac:dyDescent="0.25">
      <c r="A385" s="4" t="s">
        <v>391</v>
      </c>
      <c r="B385" s="15">
        <v>2</v>
      </c>
      <c r="I385" s="2"/>
    </row>
    <row r="386" spans="1:9" ht="300" x14ac:dyDescent="0.25">
      <c r="C386" s="15">
        <v>477321</v>
      </c>
      <c r="D386" s="4" t="s">
        <v>392</v>
      </c>
      <c r="E386" s="4" t="str">
        <f>HYPERLINK("https://app.crepc.sk/?fn=detailBiblioForm&amp;sid=E14103A5EB766EE5178CD687E4")</f>
        <v>https://app.crepc.sk/?fn=detailBiblioForm&amp;sid=E14103A5EB766EE5178CD687E4</v>
      </c>
      <c r="I386" s="2"/>
    </row>
    <row r="387" spans="1:9" ht="75" x14ac:dyDescent="0.25">
      <c r="C387" s="15">
        <v>520937</v>
      </c>
      <c r="D387" s="4" t="s">
        <v>393</v>
      </c>
      <c r="E387" s="4" t="str">
        <f>HYPERLINK("https://app.crepc.sk/?fn=detailBiblioForm&amp;sid=020637D2CD8C9D0DD4A485A025")</f>
        <v>https://app.crepc.sk/?fn=detailBiblioForm&amp;sid=020637D2CD8C9D0DD4A485A025</v>
      </c>
      <c r="I387" s="2"/>
    </row>
    <row r="388" spans="1:9" x14ac:dyDescent="0.25">
      <c r="A388" s="4" t="s">
        <v>394</v>
      </c>
      <c r="B388" s="15">
        <v>6</v>
      </c>
      <c r="I388" s="2"/>
    </row>
    <row r="389" spans="1:9" ht="45" x14ac:dyDescent="0.25">
      <c r="C389" s="15">
        <v>528150</v>
      </c>
      <c r="D389" s="4" t="s">
        <v>395</v>
      </c>
      <c r="E389" s="4" t="str">
        <f>HYPERLINK("https://app.crepc.sk/?fn=detailBiblioForm&amp;sid=EE1B49D435F7F13E5DA3772E60")</f>
        <v>https://app.crepc.sk/?fn=detailBiblioForm&amp;sid=EE1B49D435F7F13E5DA3772E60</v>
      </c>
      <c r="I389" s="2"/>
    </row>
    <row r="390" spans="1:9" ht="45" x14ac:dyDescent="0.25">
      <c r="C390" s="15">
        <v>527098</v>
      </c>
      <c r="D390" s="4" t="s">
        <v>396</v>
      </c>
      <c r="E390" s="4" t="str">
        <f>HYPERLINK("https://app.crepc.sk/?fn=detailBiblioForm&amp;sid=13D36A8F2B69569F884556AB5F")</f>
        <v>https://app.crepc.sk/?fn=detailBiblioForm&amp;sid=13D36A8F2B69569F884556AB5F</v>
      </c>
      <c r="I390" s="2"/>
    </row>
    <row r="391" spans="1:9" ht="45" x14ac:dyDescent="0.25">
      <c r="C391" s="15">
        <v>469431</v>
      </c>
      <c r="D391" s="4" t="s">
        <v>397</v>
      </c>
      <c r="E391" s="4" t="str">
        <f>HYPERLINK("https://app.crepc.sk/?fn=detailBiblioForm&amp;sid=60CFF5964A6149A88C2A33F7DF")</f>
        <v>https://app.crepc.sk/?fn=detailBiblioForm&amp;sid=60CFF5964A6149A88C2A33F7DF</v>
      </c>
      <c r="I391" s="2"/>
    </row>
    <row r="392" spans="1:9" ht="45" x14ac:dyDescent="0.25">
      <c r="C392" s="15">
        <v>470381</v>
      </c>
      <c r="D392" s="4" t="s">
        <v>398</v>
      </c>
      <c r="E392" s="4" t="str">
        <f>HYPERLINK("https://app.crepc.sk/?fn=detailBiblioForm&amp;sid=37166900746EB0FDF0C4857C9A")</f>
        <v>https://app.crepc.sk/?fn=detailBiblioForm&amp;sid=37166900746EB0FDF0C4857C9A</v>
      </c>
      <c r="I392" s="2"/>
    </row>
    <row r="393" spans="1:9" ht="45" x14ac:dyDescent="0.25">
      <c r="C393" s="15">
        <v>509335</v>
      </c>
      <c r="D393" s="4" t="s">
        <v>399</v>
      </c>
      <c r="E393" s="4" t="str">
        <f>HYPERLINK("https://app.crepc.sk/?fn=detailBiblioForm&amp;sid=39DA9FE9ED6A814B3225FD0E71")</f>
        <v>https://app.crepc.sk/?fn=detailBiblioForm&amp;sid=39DA9FE9ED6A814B3225FD0E71</v>
      </c>
      <c r="I393" s="2"/>
    </row>
    <row r="394" spans="1:9" ht="45" x14ac:dyDescent="0.25">
      <c r="C394" s="15">
        <v>458634</v>
      </c>
      <c r="D394" s="4" t="s">
        <v>400</v>
      </c>
      <c r="E394" s="4" t="str">
        <f>HYPERLINK("https://app.crepc.sk/?fn=detailBiblioForm&amp;sid=8CBF49421BBF0079FBC3AB89E5")</f>
        <v>https://app.crepc.sk/?fn=detailBiblioForm&amp;sid=8CBF49421BBF0079FBC3AB89E5</v>
      </c>
      <c r="I394" s="2"/>
    </row>
    <row r="395" spans="1:9" ht="30" x14ac:dyDescent="0.25">
      <c r="A395" s="4" t="s">
        <v>401</v>
      </c>
      <c r="B395" s="15">
        <v>1</v>
      </c>
      <c r="I395" s="2"/>
    </row>
    <row r="396" spans="1:9" ht="45" x14ac:dyDescent="0.25">
      <c r="C396" s="15">
        <v>487484</v>
      </c>
      <c r="D396" s="4" t="s">
        <v>402</v>
      </c>
      <c r="E396" s="4" t="str">
        <f>HYPERLINK("https://app.crepc.sk/?fn=detailBiblioForm&amp;sid=65C5E36159075DEDF0136F37E0")</f>
        <v>https://app.crepc.sk/?fn=detailBiblioForm&amp;sid=65C5E36159075DEDF0136F37E0</v>
      </c>
      <c r="I396" s="2"/>
    </row>
    <row r="397" spans="1:9" x14ac:dyDescent="0.25">
      <c r="A397" s="4" t="s">
        <v>403</v>
      </c>
      <c r="B397" s="15">
        <v>3</v>
      </c>
      <c r="I397" s="2"/>
    </row>
    <row r="398" spans="1:9" ht="45" x14ac:dyDescent="0.25">
      <c r="C398" s="15">
        <v>478327</v>
      </c>
      <c r="D398" s="4" t="s">
        <v>404</v>
      </c>
      <c r="E398" s="4" t="str">
        <f>HYPERLINK("https://app.crepc.sk/?fn=detailBiblioForm&amp;sid=62768EB3B6B6A6AD265F5264A0")</f>
        <v>https://app.crepc.sk/?fn=detailBiblioForm&amp;sid=62768EB3B6B6A6AD265F5264A0</v>
      </c>
      <c r="I398" s="2"/>
    </row>
    <row r="399" spans="1:9" ht="45" x14ac:dyDescent="0.25">
      <c r="C399" s="15">
        <v>478326</v>
      </c>
      <c r="D399" s="4" t="s">
        <v>405</v>
      </c>
      <c r="E399" s="4" t="str">
        <f>HYPERLINK("https://app.crepc.sk/?fn=detailBiblioForm&amp;sid=62768EB3B6B6A6AD265E5264A0")</f>
        <v>https://app.crepc.sk/?fn=detailBiblioForm&amp;sid=62768EB3B6B6A6AD265E5264A0</v>
      </c>
      <c r="I399" s="2"/>
    </row>
    <row r="400" spans="1:9" ht="45" x14ac:dyDescent="0.25">
      <c r="C400" s="15">
        <v>459360</v>
      </c>
      <c r="D400" s="4" t="s">
        <v>406</v>
      </c>
      <c r="E400" s="4" t="str">
        <f>HYPERLINK("https://app.crepc.sk/?fn=detailBiblioForm&amp;sid=38E9F2A312EDD8A1A6929CC79D")</f>
        <v>https://app.crepc.sk/?fn=detailBiblioForm&amp;sid=38E9F2A312EDD8A1A6929CC79D</v>
      </c>
      <c r="I400" s="2"/>
    </row>
    <row r="401" spans="1:9" x14ac:dyDescent="0.25">
      <c r="A401" s="4" t="s">
        <v>407</v>
      </c>
      <c r="B401" s="15">
        <v>55</v>
      </c>
      <c r="I401" s="2"/>
    </row>
    <row r="402" spans="1:9" ht="75" x14ac:dyDescent="0.25">
      <c r="C402" s="15">
        <v>469446</v>
      </c>
      <c r="D402" s="4" t="s">
        <v>408</v>
      </c>
      <c r="E402" s="4" t="str">
        <f>HYPERLINK("https://app.crepc.sk/?fn=detailBiblioForm&amp;sid=60CFF5964A6149A88B2D33F7DF")</f>
        <v>https://app.crepc.sk/?fn=detailBiblioForm&amp;sid=60CFF5964A6149A88B2D33F7DF</v>
      </c>
      <c r="I402" s="2"/>
    </row>
    <row r="403" spans="1:9" ht="45" x14ac:dyDescent="0.25">
      <c r="C403" s="15">
        <v>484989</v>
      </c>
      <c r="D403" s="4" t="s">
        <v>409</v>
      </c>
      <c r="E403" s="4" t="str">
        <f>HYPERLINK("https://app.crepc.sk/?fn=detailBiblioForm&amp;sid=9C0A4806F762B32CCD7301F397")</f>
        <v>https://app.crepc.sk/?fn=detailBiblioForm&amp;sid=9C0A4806F762B32CCD7301F397</v>
      </c>
      <c r="I403" s="2"/>
    </row>
    <row r="404" spans="1:9" ht="45" x14ac:dyDescent="0.25">
      <c r="C404" s="15">
        <v>463482</v>
      </c>
      <c r="D404" s="4" t="s">
        <v>410</v>
      </c>
      <c r="E404" s="4" t="str">
        <f>HYPERLINK("https://app.crepc.sk/?fn=detailBiblioForm&amp;sid=796E8C6E642B47B162580D1BEB")</f>
        <v>https://app.crepc.sk/?fn=detailBiblioForm&amp;sid=796E8C6E642B47B162580D1BEB</v>
      </c>
      <c r="I404" s="2"/>
    </row>
    <row r="405" spans="1:9" ht="60" x14ac:dyDescent="0.25">
      <c r="C405" s="15">
        <v>520309</v>
      </c>
      <c r="D405" s="4" t="s">
        <v>411</v>
      </c>
      <c r="E405" s="4" t="str">
        <f>HYPERLINK("https://app.crepc.sk/?fn=detailBiblioForm&amp;sid=015774A0243DF44F13F696FF08")</f>
        <v>https://app.crepc.sk/?fn=detailBiblioForm&amp;sid=015774A0243DF44F13F696FF08</v>
      </c>
      <c r="I405" s="2"/>
    </row>
    <row r="406" spans="1:9" ht="45" x14ac:dyDescent="0.25">
      <c r="C406" s="15">
        <v>471613</v>
      </c>
      <c r="D406" s="4" t="s">
        <v>412</v>
      </c>
      <c r="E406" s="4" t="str">
        <f>HYPERLINK("https://app.crepc.sk/?fn=detailBiblioForm&amp;sid=C426A36CE9A4BF54B06E71257C")</f>
        <v>https://app.crepc.sk/?fn=detailBiblioForm&amp;sid=C426A36CE9A4BF54B06E71257C</v>
      </c>
      <c r="I406" s="2"/>
    </row>
    <row r="407" spans="1:9" ht="45" x14ac:dyDescent="0.25">
      <c r="C407" s="15">
        <v>510948</v>
      </c>
      <c r="D407" s="4" t="s">
        <v>413</v>
      </c>
      <c r="E407" s="4" t="str">
        <f>HYPERLINK("https://app.crepc.sk/?fn=detailBiblioForm&amp;sid=FB5377DED47B74D4D032469B70")</f>
        <v>https://app.crepc.sk/?fn=detailBiblioForm&amp;sid=FB5377DED47B74D4D032469B70</v>
      </c>
      <c r="I407" s="2"/>
    </row>
    <row r="408" spans="1:9" ht="45" x14ac:dyDescent="0.25">
      <c r="C408" s="15">
        <v>510958</v>
      </c>
      <c r="D408" s="4" t="s">
        <v>414</v>
      </c>
      <c r="E408" s="4" t="str">
        <f>HYPERLINK("https://app.crepc.sk/?fn=detailBiblioForm&amp;sid=FB5377DED47B74D4D132469B70")</f>
        <v>https://app.crepc.sk/?fn=detailBiblioForm&amp;sid=FB5377DED47B74D4D132469B70</v>
      </c>
      <c r="I408" s="2"/>
    </row>
    <row r="409" spans="1:9" ht="45" x14ac:dyDescent="0.25">
      <c r="C409" s="15">
        <v>493011</v>
      </c>
      <c r="D409" s="4" t="s">
        <v>415</v>
      </c>
      <c r="E409" s="4" t="str">
        <f>HYPERLINK("https://app.crepc.sk/?fn=detailBiblioForm&amp;sid=A08D0C06F20009E6D5E693DA9B")</f>
        <v>https://app.crepc.sk/?fn=detailBiblioForm&amp;sid=A08D0C06F20009E6D5E693DA9B</v>
      </c>
      <c r="I409" s="2"/>
    </row>
    <row r="410" spans="1:9" ht="60" x14ac:dyDescent="0.25">
      <c r="C410" s="15">
        <v>477018</v>
      </c>
      <c r="D410" s="4" t="s">
        <v>416</v>
      </c>
      <c r="E410" s="4" t="str">
        <f>HYPERLINK("https://app.crepc.sk/?fn=detailBiblioForm&amp;sid=4E3F39B06703BA1CC27E4946CB")</f>
        <v>https://app.crepc.sk/?fn=detailBiblioForm&amp;sid=4E3F39B06703BA1CC27E4946CB</v>
      </c>
      <c r="I410" s="2"/>
    </row>
    <row r="411" spans="1:9" ht="90" x14ac:dyDescent="0.25">
      <c r="C411" s="15">
        <v>477874</v>
      </c>
      <c r="D411" s="4" t="s">
        <v>417</v>
      </c>
      <c r="E411" s="4" t="str">
        <f>HYPERLINK("https://app.crepc.sk/?fn=detailBiblioForm&amp;sid=94500C14F8F72135CBEDD4517E")</f>
        <v>https://app.crepc.sk/?fn=detailBiblioForm&amp;sid=94500C14F8F72135CBEDD4517E</v>
      </c>
      <c r="I411" s="2"/>
    </row>
    <row r="412" spans="1:9" ht="60" x14ac:dyDescent="0.25">
      <c r="C412" s="15">
        <v>473059</v>
      </c>
      <c r="D412" s="4" t="s">
        <v>418</v>
      </c>
      <c r="E412" s="4" t="str">
        <f>HYPERLINK("https://app.crepc.sk/?fn=detailBiblioForm&amp;sid=52CABADEC9521F98AEDFA4DCEB")</f>
        <v>https://app.crepc.sk/?fn=detailBiblioForm&amp;sid=52CABADEC9521F98AEDFA4DCEB</v>
      </c>
      <c r="I412" s="2"/>
    </row>
    <row r="413" spans="1:9" ht="75" x14ac:dyDescent="0.25">
      <c r="C413" s="15">
        <v>524971</v>
      </c>
      <c r="D413" s="4" t="s">
        <v>419</v>
      </c>
      <c r="E413" s="4" t="str">
        <f>HYPERLINK("https://app.crepc.sk/?fn=detailBiblioForm&amp;sid=623554388C2D670212428D0C3C")</f>
        <v>https://app.crepc.sk/?fn=detailBiblioForm&amp;sid=623554388C2D670212428D0C3C</v>
      </c>
      <c r="I413" s="2"/>
    </row>
    <row r="414" spans="1:9" ht="75" x14ac:dyDescent="0.25">
      <c r="C414" s="15">
        <v>511939</v>
      </c>
      <c r="D414" s="4" t="s">
        <v>420</v>
      </c>
      <c r="E414" s="4" t="str">
        <f>HYPERLINK("https://app.crepc.sk/?fn=detailBiblioForm&amp;sid=7C67099AC5BBA8842961A4E232")</f>
        <v>https://app.crepc.sk/?fn=detailBiblioForm&amp;sid=7C67099AC5BBA8842961A4E232</v>
      </c>
      <c r="I414" s="2"/>
    </row>
    <row r="415" spans="1:9" ht="60" x14ac:dyDescent="0.25">
      <c r="C415" s="15">
        <v>509333</v>
      </c>
      <c r="D415" s="4" t="s">
        <v>421</v>
      </c>
      <c r="E415" s="4" t="str">
        <f>HYPERLINK("https://app.crepc.sk/?fn=detailBiblioForm&amp;sid=39DA9FE9ED6A814B3223FD0E71")</f>
        <v>https://app.crepc.sk/?fn=detailBiblioForm&amp;sid=39DA9FE9ED6A814B3223FD0E71</v>
      </c>
      <c r="I415" s="2"/>
    </row>
    <row r="416" spans="1:9" ht="45" x14ac:dyDescent="0.25">
      <c r="C416" s="15">
        <v>459649</v>
      </c>
      <c r="D416" s="4" t="s">
        <v>422</v>
      </c>
      <c r="E416" s="4" t="str">
        <f>HYPERLINK("https://app.crepc.sk/?fn=detailBiblioForm&amp;sid=BA97CF283A754F2EFE87CA3498")</f>
        <v>https://app.crepc.sk/?fn=detailBiblioForm&amp;sid=BA97CF283A754F2EFE87CA3498</v>
      </c>
      <c r="I416" s="2"/>
    </row>
    <row r="417" spans="3:9" ht="90" x14ac:dyDescent="0.25">
      <c r="C417" s="15">
        <v>468502</v>
      </c>
      <c r="D417" s="4" t="s">
        <v>423</v>
      </c>
      <c r="E417" s="4" t="str">
        <f>HYPERLINK("https://app.crepc.sk/?fn=detailBiblioForm&amp;sid=234FD712864E2777B79E842872")</f>
        <v>https://app.crepc.sk/?fn=detailBiblioForm&amp;sid=234FD712864E2777B79E842872</v>
      </c>
      <c r="I417" s="2"/>
    </row>
    <row r="418" spans="3:9" ht="45" x14ac:dyDescent="0.25">
      <c r="C418" s="15">
        <v>507656</v>
      </c>
      <c r="D418" s="4" t="s">
        <v>424</v>
      </c>
      <c r="E418" s="4" t="str">
        <f>HYPERLINK("https://app.crepc.sk/?fn=detailBiblioForm&amp;sid=A363D22A746428FBF1FC0C0F7A")</f>
        <v>https://app.crepc.sk/?fn=detailBiblioForm&amp;sid=A363D22A746428FBF1FC0C0F7A</v>
      </c>
      <c r="I418" s="2"/>
    </row>
    <row r="419" spans="3:9" ht="60" x14ac:dyDescent="0.25">
      <c r="C419" s="15">
        <v>524996</v>
      </c>
      <c r="D419" s="4" t="s">
        <v>425</v>
      </c>
      <c r="E419" s="4" t="str">
        <f>HYPERLINK("https://app.crepc.sk/?fn=detailBiblioForm&amp;sid=623554388C2D67021C458D0C3C")</f>
        <v>https://app.crepc.sk/?fn=detailBiblioForm&amp;sid=623554388C2D67021C458D0C3C</v>
      </c>
      <c r="I419" s="2"/>
    </row>
    <row r="420" spans="3:9" ht="75" x14ac:dyDescent="0.25">
      <c r="C420" s="15">
        <v>510438</v>
      </c>
      <c r="D420" s="4" t="s">
        <v>426</v>
      </c>
      <c r="E420" s="4" t="str">
        <f>HYPERLINK("https://app.crepc.sk/?fn=detailBiblioForm&amp;sid=F664559925A71C4E5C1083B09F")</f>
        <v>https://app.crepc.sk/?fn=detailBiblioForm&amp;sid=F664559925A71C4E5C1083B09F</v>
      </c>
      <c r="I420" s="2"/>
    </row>
    <row r="421" spans="3:9" ht="45" x14ac:dyDescent="0.25">
      <c r="C421" s="15">
        <v>462745</v>
      </c>
      <c r="D421" s="4" t="s">
        <v>427</v>
      </c>
      <c r="E421" s="4" t="str">
        <f>HYPERLINK("https://app.crepc.sk/?fn=detailBiblioForm&amp;sid=A21312D1EC1E2783F0CA1773B8")</f>
        <v>https://app.crepc.sk/?fn=detailBiblioForm&amp;sid=A21312D1EC1E2783F0CA1773B8</v>
      </c>
      <c r="I421" s="2"/>
    </row>
    <row r="422" spans="3:9" ht="45" x14ac:dyDescent="0.25">
      <c r="C422" s="15">
        <v>513809</v>
      </c>
      <c r="D422" s="4" t="s">
        <v>428</v>
      </c>
      <c r="E422" s="4" t="str">
        <f>HYPERLINK("https://app.crepc.sk/?fn=detailBiblioForm&amp;sid=BC45AE4EBD40543647C954140F")</f>
        <v>https://app.crepc.sk/?fn=detailBiblioForm&amp;sid=BC45AE4EBD40543647C954140F</v>
      </c>
      <c r="I422" s="2"/>
    </row>
    <row r="423" spans="3:9" ht="120" x14ac:dyDescent="0.25">
      <c r="C423" s="15">
        <v>480595</v>
      </c>
      <c r="D423" s="4" t="s">
        <v>429</v>
      </c>
      <c r="E423" s="4" t="str">
        <f>HYPERLINK("https://app.crepc.sk/?fn=detailBiblioForm&amp;sid=EAF08FA14086CB77D30B63CD9E")</f>
        <v>https://app.crepc.sk/?fn=detailBiblioForm&amp;sid=EAF08FA14086CB77D30B63CD9E</v>
      </c>
      <c r="I423" s="2"/>
    </row>
    <row r="424" spans="3:9" ht="45" x14ac:dyDescent="0.25">
      <c r="C424" s="15">
        <v>504184</v>
      </c>
      <c r="D424" s="4" t="s">
        <v>430</v>
      </c>
      <c r="E424" s="4" t="str">
        <f>HYPERLINK("https://app.crepc.sk/?fn=detailBiblioForm&amp;sid=AC6399AB88E7656881323C49AB")</f>
        <v>https://app.crepc.sk/?fn=detailBiblioForm&amp;sid=AC6399AB88E7656881323C49AB</v>
      </c>
      <c r="I424" s="2"/>
    </row>
    <row r="425" spans="3:9" ht="60" x14ac:dyDescent="0.25">
      <c r="C425" s="15">
        <v>473877</v>
      </c>
      <c r="D425" s="4" t="s">
        <v>431</v>
      </c>
      <c r="E425" s="4" t="str">
        <f>HYPERLINK("https://app.crepc.sk/?fn=detailBiblioForm&amp;sid=EC8EFBFAAA259EA76EBBD6BB58")</f>
        <v>https://app.crepc.sk/?fn=detailBiblioForm&amp;sid=EC8EFBFAAA259EA76EBBD6BB58</v>
      </c>
      <c r="I425" s="2"/>
    </row>
    <row r="426" spans="3:9" ht="45" x14ac:dyDescent="0.25">
      <c r="C426" s="15">
        <v>509302</v>
      </c>
      <c r="D426" s="4" t="s">
        <v>432</v>
      </c>
      <c r="E426" s="4" t="str">
        <f>HYPERLINK("https://app.crepc.sk/?fn=detailBiblioForm&amp;sid=39DA9FE9ED6A814B3122FD0E71")</f>
        <v>https://app.crepc.sk/?fn=detailBiblioForm&amp;sid=39DA9FE9ED6A814B3122FD0E71</v>
      </c>
      <c r="I426" s="2"/>
    </row>
    <row r="427" spans="3:9" ht="75" x14ac:dyDescent="0.25">
      <c r="C427" s="15">
        <v>519746</v>
      </c>
      <c r="D427" s="4" t="s">
        <v>433</v>
      </c>
      <c r="E427" s="4" t="str">
        <f>HYPERLINK("https://app.crepc.sk/?fn=detailBiblioForm&amp;sid=3CF9681F115FD6E29C66D3733A")</f>
        <v>https://app.crepc.sk/?fn=detailBiblioForm&amp;sid=3CF9681F115FD6E29C66D3733A</v>
      </c>
      <c r="I427" s="2"/>
    </row>
    <row r="428" spans="3:9" ht="105" x14ac:dyDescent="0.25">
      <c r="C428" s="15">
        <v>481234</v>
      </c>
      <c r="D428" s="4" t="s">
        <v>434</v>
      </c>
      <c r="E428" s="4" t="str">
        <f>HYPERLINK("https://app.crepc.sk/?fn=detailBiblioForm&amp;sid=943A2D3431680DC7A3708E0A74")</f>
        <v>https://app.crepc.sk/?fn=detailBiblioForm&amp;sid=943A2D3431680DC7A3708E0A74</v>
      </c>
      <c r="I428" s="2"/>
    </row>
    <row r="429" spans="3:9" ht="45" x14ac:dyDescent="0.25">
      <c r="C429" s="15">
        <v>521613</v>
      </c>
      <c r="D429" s="4" t="s">
        <v>435</v>
      </c>
      <c r="E429" s="4" t="str">
        <f>HYPERLINK("https://app.crepc.sk/?fn=detailBiblioForm&amp;sid=423AC1F5D235D0E64CBEA4D7F3")</f>
        <v>https://app.crepc.sk/?fn=detailBiblioForm&amp;sid=423AC1F5D235D0E64CBEA4D7F3</v>
      </c>
      <c r="I429" s="2"/>
    </row>
    <row r="430" spans="3:9" ht="60" x14ac:dyDescent="0.25">
      <c r="C430" s="15">
        <v>469994</v>
      </c>
      <c r="D430" s="4" t="s">
        <v>436</v>
      </c>
      <c r="E430" s="4" t="str">
        <f>HYPERLINK("https://app.crepc.sk/?fn=detailBiblioForm&amp;sid=1DCBB3ED1D56AB905802F47DE6")</f>
        <v>https://app.crepc.sk/?fn=detailBiblioForm&amp;sid=1DCBB3ED1D56AB905802F47DE6</v>
      </c>
      <c r="I430" s="2"/>
    </row>
    <row r="431" spans="3:9" ht="75" x14ac:dyDescent="0.25">
      <c r="C431" s="15">
        <v>523591</v>
      </c>
      <c r="D431" s="4" t="s">
        <v>437</v>
      </c>
      <c r="E431" s="4" t="str">
        <f>HYPERLINK("https://app.crepc.sk/?fn=detailBiblioForm&amp;sid=A3DB85882EFDBDDE78E90F01A3")</f>
        <v>https://app.crepc.sk/?fn=detailBiblioForm&amp;sid=A3DB85882EFDBDDE78E90F01A3</v>
      </c>
      <c r="I431" s="2"/>
    </row>
    <row r="432" spans="3:9" ht="60" x14ac:dyDescent="0.25">
      <c r="C432" s="15">
        <v>502278</v>
      </c>
      <c r="D432" s="4" t="s">
        <v>438</v>
      </c>
      <c r="E432" s="4" t="str">
        <f>HYPERLINK("https://app.crepc.sk/?fn=detailBiblioForm&amp;sid=9C6E66246BF7DA2EF7C2DC384D")</f>
        <v>https://app.crepc.sk/?fn=detailBiblioForm&amp;sid=9C6E66246BF7DA2EF7C2DC384D</v>
      </c>
      <c r="I432" s="2"/>
    </row>
    <row r="433" spans="3:9" ht="45" x14ac:dyDescent="0.25">
      <c r="C433" s="15">
        <v>491630</v>
      </c>
      <c r="D433" s="4" t="s">
        <v>439</v>
      </c>
      <c r="E433" s="4" t="str">
        <f>HYPERLINK("https://app.crepc.sk/?fn=detailBiblioForm&amp;sid=759C0C5DD6614817FEE2D70A3E")</f>
        <v>https://app.crepc.sk/?fn=detailBiblioForm&amp;sid=759C0C5DD6614817FEE2D70A3E</v>
      </c>
      <c r="I433" s="2"/>
    </row>
    <row r="434" spans="3:9" ht="45" x14ac:dyDescent="0.25">
      <c r="C434" s="15">
        <v>474885</v>
      </c>
      <c r="D434" s="4" t="s">
        <v>440</v>
      </c>
      <c r="E434" s="4" t="str">
        <f>HYPERLINK("https://app.crepc.sk/?fn=detailBiblioForm&amp;sid=0290103C495A5E76ACCC24F1B3")</f>
        <v>https://app.crepc.sk/?fn=detailBiblioForm&amp;sid=0290103C495A5E76ACCC24F1B3</v>
      </c>
      <c r="I434" s="2"/>
    </row>
    <row r="435" spans="3:9" ht="60" x14ac:dyDescent="0.25">
      <c r="C435" s="15">
        <v>513307</v>
      </c>
      <c r="D435" s="4" t="s">
        <v>441</v>
      </c>
      <c r="E435" s="4" t="str">
        <f>HYPERLINK("https://app.crepc.sk/?fn=detailBiblioForm&amp;sid=43BA689D9CE9A3FDB91FEEAD65")</f>
        <v>https://app.crepc.sk/?fn=detailBiblioForm&amp;sid=43BA689D9CE9A3FDB91FEEAD65</v>
      </c>
      <c r="I435" s="2"/>
    </row>
    <row r="436" spans="3:9" ht="45" x14ac:dyDescent="0.25">
      <c r="C436" s="15">
        <v>522866</v>
      </c>
      <c r="D436" s="4" t="s">
        <v>442</v>
      </c>
      <c r="E436" s="4" t="str">
        <f>HYPERLINK("https://app.crepc.sk/?fn=detailBiblioForm&amp;sid=539443B4345030064ED8DAD65A")</f>
        <v>https://app.crepc.sk/?fn=detailBiblioForm&amp;sid=539443B4345030064ED8DAD65A</v>
      </c>
      <c r="I436" s="2"/>
    </row>
    <row r="437" spans="3:9" ht="60" x14ac:dyDescent="0.25">
      <c r="C437" s="15">
        <v>524011</v>
      </c>
      <c r="D437" s="4" t="s">
        <v>443</v>
      </c>
      <c r="E437" s="4" t="str">
        <f>HYPERLINK("https://app.crepc.sk/?fn=detailBiblioForm&amp;sid=CC9B8B3184D0634FF84C39B12A")</f>
        <v>https://app.crepc.sk/?fn=detailBiblioForm&amp;sid=CC9B8B3184D0634FF84C39B12A</v>
      </c>
      <c r="I437" s="2"/>
    </row>
    <row r="438" spans="3:9" ht="60" x14ac:dyDescent="0.25">
      <c r="C438" s="15">
        <v>475258</v>
      </c>
      <c r="D438" s="4" t="s">
        <v>444</v>
      </c>
      <c r="E438" s="4" t="str">
        <f>HYPERLINK("https://app.crepc.sk/?fn=detailBiblioForm&amp;sid=BB8EFC728647E64BA30B89EA9C")</f>
        <v>https://app.crepc.sk/?fn=detailBiblioForm&amp;sid=BB8EFC728647E64BA30B89EA9C</v>
      </c>
      <c r="I438" s="2"/>
    </row>
    <row r="439" spans="3:9" ht="45" x14ac:dyDescent="0.25">
      <c r="C439" s="15">
        <v>458122</v>
      </c>
      <c r="D439" s="4" t="s">
        <v>445</v>
      </c>
      <c r="E439" s="4" t="str">
        <f>HYPERLINK("https://app.crepc.sk/?fn=detailBiblioForm&amp;sid=071A873BB8FAF95F59D59A64F9")</f>
        <v>https://app.crepc.sk/?fn=detailBiblioForm&amp;sid=071A873BB8FAF95F59D59A64F9</v>
      </c>
      <c r="I439" s="2"/>
    </row>
    <row r="440" spans="3:9" ht="45" x14ac:dyDescent="0.25">
      <c r="C440" s="15">
        <v>504699</v>
      </c>
      <c r="D440" s="4" t="s">
        <v>446</v>
      </c>
      <c r="E440" s="4" t="str">
        <f>HYPERLINK("https://app.crepc.sk/?fn=detailBiblioForm&amp;sid=82558D5A2F342A5247B6263903")</f>
        <v>https://app.crepc.sk/?fn=detailBiblioForm&amp;sid=82558D5A2F342A5247B6263903</v>
      </c>
      <c r="I440" s="2"/>
    </row>
    <row r="441" spans="3:9" ht="45" x14ac:dyDescent="0.25">
      <c r="C441" s="15">
        <v>507647</v>
      </c>
      <c r="D441" s="4" t="s">
        <v>447</v>
      </c>
      <c r="E441" s="4" t="str">
        <f>HYPERLINK("https://app.crepc.sk/?fn=detailBiblioForm&amp;sid=A363D22A746428FBF0FD0C0F7A")</f>
        <v>https://app.crepc.sk/?fn=detailBiblioForm&amp;sid=A363D22A746428FBF0FD0C0F7A</v>
      </c>
      <c r="I441" s="2"/>
    </row>
    <row r="442" spans="3:9" ht="45" x14ac:dyDescent="0.25">
      <c r="C442" s="15">
        <v>462684</v>
      </c>
      <c r="D442" s="4" t="s">
        <v>448</v>
      </c>
      <c r="E442" s="4" t="str">
        <f>HYPERLINK("https://app.crepc.sk/?fn=detailBiblioForm&amp;sid=DE038CA97CA1C471AA95D3CE71")</f>
        <v>https://app.crepc.sk/?fn=detailBiblioForm&amp;sid=DE038CA97CA1C471AA95D3CE71</v>
      </c>
      <c r="I442" s="2"/>
    </row>
    <row r="443" spans="3:9" ht="75" x14ac:dyDescent="0.25">
      <c r="C443" s="15">
        <v>462053</v>
      </c>
      <c r="D443" s="4" t="s">
        <v>449</v>
      </c>
      <c r="E443" s="4" t="str">
        <f>HYPERLINK("https://app.crepc.sk/?fn=detailBiblioForm&amp;sid=C9F4FFA6B4421457A9CBE6524C")</f>
        <v>https://app.crepc.sk/?fn=detailBiblioForm&amp;sid=C9F4FFA6B4421457A9CBE6524C</v>
      </c>
      <c r="I443" s="2"/>
    </row>
    <row r="444" spans="3:9" ht="45" x14ac:dyDescent="0.25">
      <c r="C444" s="15">
        <v>524598</v>
      </c>
      <c r="D444" s="4" t="s">
        <v>450</v>
      </c>
      <c r="E444" s="4" t="str">
        <f>HYPERLINK("https://app.crepc.sk/?fn=detailBiblioForm&amp;sid=3D03846111926994055044EF46")</f>
        <v>https://app.crepc.sk/?fn=detailBiblioForm&amp;sid=3D03846111926994055044EF46</v>
      </c>
      <c r="I444" s="2"/>
    </row>
    <row r="445" spans="3:9" ht="60" x14ac:dyDescent="0.25">
      <c r="C445" s="15">
        <v>523759</v>
      </c>
      <c r="D445" s="4" t="s">
        <v>451</v>
      </c>
      <c r="E445" s="4" t="str">
        <f>HYPERLINK("https://app.crepc.sk/?fn=detailBiblioForm&amp;sid=B95293EE1449F91CD4FA6FFB3B")</f>
        <v>https://app.crepc.sk/?fn=detailBiblioForm&amp;sid=B95293EE1449F91CD4FA6FFB3B</v>
      </c>
      <c r="I445" s="2"/>
    </row>
    <row r="446" spans="3:9" ht="45" x14ac:dyDescent="0.25">
      <c r="C446" s="15">
        <v>520042</v>
      </c>
      <c r="D446" s="4" t="s">
        <v>452</v>
      </c>
      <c r="E446" s="4" t="str">
        <f>HYPERLINK("https://app.crepc.sk/?fn=detailBiblioForm&amp;sid=6A69A955CD661A5E8AB6DD29EE")</f>
        <v>https://app.crepc.sk/?fn=detailBiblioForm&amp;sid=6A69A955CD661A5E8AB6DD29EE</v>
      </c>
      <c r="I446" s="2"/>
    </row>
    <row r="447" spans="3:9" ht="60" x14ac:dyDescent="0.25">
      <c r="C447" s="15">
        <v>489986</v>
      </c>
      <c r="D447" s="4" t="s">
        <v>453</v>
      </c>
      <c r="E447" s="4" t="str">
        <f>HYPERLINK("https://app.crepc.sk/?fn=detailBiblioForm&amp;sid=175CFB56565B3853A8FFE3D004")</f>
        <v>https://app.crepc.sk/?fn=detailBiblioForm&amp;sid=175CFB56565B3853A8FFE3D004</v>
      </c>
      <c r="I447" s="2"/>
    </row>
    <row r="448" spans="3:9" ht="120" x14ac:dyDescent="0.25">
      <c r="C448" s="15">
        <v>493172</v>
      </c>
      <c r="D448" s="4" t="s">
        <v>454</v>
      </c>
      <c r="E448" s="4" t="str">
        <f>HYPERLINK("https://app.crepc.sk/?fn=detailBiblioForm&amp;sid=461C2D9728B8750115CA299B18")</f>
        <v>https://app.crepc.sk/?fn=detailBiblioForm&amp;sid=461C2D9728B8750115CA299B18</v>
      </c>
      <c r="I448" s="2"/>
    </row>
    <row r="449" spans="1:9" ht="60" x14ac:dyDescent="0.25">
      <c r="C449" s="15">
        <v>522434</v>
      </c>
      <c r="D449" s="4" t="s">
        <v>455</v>
      </c>
      <c r="E449" s="4" t="str">
        <f>HYPERLINK("https://app.crepc.sk/?fn=detailBiblioForm&amp;sid=987C43C12E015E1CAB8EE3739D")</f>
        <v>https://app.crepc.sk/?fn=detailBiblioForm&amp;sid=987C43C12E015E1CAB8EE3739D</v>
      </c>
      <c r="I449" s="2"/>
    </row>
    <row r="450" spans="1:9" ht="45" x14ac:dyDescent="0.25">
      <c r="C450" s="15">
        <v>482044</v>
      </c>
      <c r="D450" s="4" t="s">
        <v>456</v>
      </c>
      <c r="E450" s="4" t="str">
        <f>HYPERLINK("https://app.crepc.sk/?fn=detailBiblioForm&amp;sid=C0E3D9FE3EAE50AEBCB68205C0")</f>
        <v>https://app.crepc.sk/?fn=detailBiblioForm&amp;sid=C0E3D9FE3EAE50AEBCB68205C0</v>
      </c>
      <c r="I450" s="2"/>
    </row>
    <row r="451" spans="1:9" ht="45" x14ac:dyDescent="0.25">
      <c r="C451" s="15">
        <v>505590</v>
      </c>
      <c r="D451" s="4" t="s">
        <v>457</v>
      </c>
      <c r="E451" s="4" t="str">
        <f>HYPERLINK("https://app.crepc.sk/?fn=detailBiblioForm&amp;sid=EAA1CF92341D5D13290163B0B0")</f>
        <v>https://app.crepc.sk/?fn=detailBiblioForm&amp;sid=EAA1CF92341D5D13290163B0B0</v>
      </c>
      <c r="I451" s="2"/>
    </row>
    <row r="452" spans="1:9" ht="45" x14ac:dyDescent="0.25">
      <c r="C452" s="15">
        <v>478441</v>
      </c>
      <c r="D452" s="4" t="s">
        <v>458</v>
      </c>
      <c r="E452" s="4" t="str">
        <f>HYPERLINK("https://app.crepc.sk/?fn=detailBiblioForm&amp;sid=21A6BD470E5C4479437E6326A1")</f>
        <v>https://app.crepc.sk/?fn=detailBiblioForm&amp;sid=21A6BD470E5C4479437E6326A1</v>
      </c>
      <c r="I452" s="2"/>
    </row>
    <row r="453" spans="1:9" ht="60" x14ac:dyDescent="0.25">
      <c r="C453" s="15">
        <v>473382</v>
      </c>
      <c r="D453" s="4" t="s">
        <v>459</v>
      </c>
      <c r="E453" s="4" t="str">
        <f>HYPERLINK("https://app.crepc.sk/?fn=detailBiblioForm&amp;sid=F67F46930D1CE8AD0F7DDA0B32")</f>
        <v>https://app.crepc.sk/?fn=detailBiblioForm&amp;sid=F67F46930D1CE8AD0F7DDA0B32</v>
      </c>
      <c r="I453" s="2"/>
    </row>
    <row r="454" spans="1:9" ht="45" x14ac:dyDescent="0.25">
      <c r="C454" s="15">
        <v>513682</v>
      </c>
      <c r="D454" s="4" t="s">
        <v>460</v>
      </c>
      <c r="E454" s="4" t="str">
        <f>HYPERLINK("https://app.crepc.sk/?fn=detailBiblioForm&amp;sid=14EB7172A94AC8834596E3C895")</f>
        <v>https://app.crepc.sk/?fn=detailBiblioForm&amp;sid=14EB7172A94AC8834596E3C895</v>
      </c>
      <c r="I454" s="2"/>
    </row>
    <row r="455" spans="1:9" ht="60" x14ac:dyDescent="0.25">
      <c r="C455" s="15">
        <v>470119</v>
      </c>
      <c r="D455" s="4" t="s">
        <v>461</v>
      </c>
      <c r="E455" s="4" t="str">
        <f>HYPERLINK("https://app.crepc.sk/?fn=detailBiblioForm&amp;sid=5B55F84324F78217E95A0CF4EC")</f>
        <v>https://app.crepc.sk/?fn=detailBiblioForm&amp;sid=5B55F84324F78217E95A0CF4EC</v>
      </c>
      <c r="I455" s="2"/>
    </row>
    <row r="456" spans="1:9" ht="60" x14ac:dyDescent="0.25">
      <c r="C456" s="15">
        <v>479760</v>
      </c>
      <c r="D456" s="4" t="s">
        <v>462</v>
      </c>
      <c r="E456" s="4" t="str">
        <f>HYPERLINK("https://app.crepc.sk/?fn=detailBiblioForm&amp;sid=A7B55D0923B33869FC5D77451E")</f>
        <v>https://app.crepc.sk/?fn=detailBiblioForm&amp;sid=A7B55D0923B33869FC5D77451E</v>
      </c>
      <c r="I456" s="2"/>
    </row>
    <row r="457" spans="1:9" ht="30" x14ac:dyDescent="0.25">
      <c r="A457" s="4" t="s">
        <v>463</v>
      </c>
      <c r="B457" s="15">
        <v>388</v>
      </c>
      <c r="I457" s="2"/>
    </row>
    <row r="458" spans="1:9" ht="90" x14ac:dyDescent="0.25">
      <c r="C458" s="15">
        <v>469196</v>
      </c>
      <c r="D458" s="4" t="s">
        <v>464</v>
      </c>
      <c r="E458" s="4" t="str">
        <f>HYPERLINK("https://app.crepc.sk/?fn=detailBiblioForm&amp;sid=896E3BCE21AB991CCB2DDFACE3")</f>
        <v>https://app.crepc.sk/?fn=detailBiblioForm&amp;sid=896E3BCE21AB991CCB2DDFACE3</v>
      </c>
      <c r="I458" s="2"/>
    </row>
    <row r="459" spans="1:9" ht="60" x14ac:dyDescent="0.25">
      <c r="C459" s="15">
        <v>470662</v>
      </c>
      <c r="D459" s="4" t="s">
        <v>465</v>
      </c>
      <c r="E459" s="4" t="str">
        <f>HYPERLINK("https://app.crepc.sk/?fn=detailBiblioForm&amp;sid=B4CBE6B5F1D3372E7052D2330E")</f>
        <v>https://app.crepc.sk/?fn=detailBiblioForm&amp;sid=B4CBE6B5F1D3372E7052D2330E</v>
      </c>
      <c r="I459" s="2"/>
    </row>
    <row r="460" spans="1:9" ht="60" x14ac:dyDescent="0.25">
      <c r="C460" s="15">
        <v>458910</v>
      </c>
      <c r="D460" s="4" t="s">
        <v>466</v>
      </c>
      <c r="E460" s="4" t="str">
        <f>HYPERLINK("https://app.crepc.sk/?fn=detailBiblioForm&amp;sid=2DC76A43CF3316B84CDBDA55E8")</f>
        <v>https://app.crepc.sk/?fn=detailBiblioForm&amp;sid=2DC76A43CF3316B84CDBDA55E8</v>
      </c>
      <c r="I460" s="2"/>
    </row>
    <row r="461" spans="1:9" ht="90" x14ac:dyDescent="0.25">
      <c r="C461" s="15">
        <v>493534</v>
      </c>
      <c r="D461" s="4" t="s">
        <v>467</v>
      </c>
      <c r="E461" s="4" t="str">
        <f>HYPERLINK("https://app.crepc.sk/?fn=detailBiblioForm&amp;sid=07CD9196D75C0557EB26C3F2A0")</f>
        <v>https://app.crepc.sk/?fn=detailBiblioForm&amp;sid=07CD9196D75C0557EB26C3F2A0</v>
      </c>
      <c r="I461" s="2"/>
    </row>
    <row r="462" spans="1:9" ht="75" x14ac:dyDescent="0.25">
      <c r="C462" s="15">
        <v>499435</v>
      </c>
      <c r="D462" s="4" t="s">
        <v>468</v>
      </c>
      <c r="E462" s="4" t="str">
        <f>HYPERLINK("https://app.crepc.sk/?fn=detailBiblioForm&amp;sid=924C92DA1A499259436BA944A9")</f>
        <v>https://app.crepc.sk/?fn=detailBiblioForm&amp;sid=924C92DA1A499259436BA944A9</v>
      </c>
      <c r="I462" s="2"/>
    </row>
    <row r="463" spans="1:9" ht="90" x14ac:dyDescent="0.25">
      <c r="C463" s="15">
        <v>469471</v>
      </c>
      <c r="D463" s="4" t="s">
        <v>469</v>
      </c>
      <c r="E463" s="4" t="str">
        <f>HYPERLINK("https://app.crepc.sk/?fn=detailBiblioForm&amp;sid=60CFF5964A6149A8882A33F7DF")</f>
        <v>https://app.crepc.sk/?fn=detailBiblioForm&amp;sid=60CFF5964A6149A8882A33F7DF</v>
      </c>
      <c r="I463" s="2"/>
    </row>
    <row r="464" spans="1:9" ht="75" x14ac:dyDescent="0.25">
      <c r="C464" s="15">
        <v>519748</v>
      </c>
      <c r="D464" s="4" t="s">
        <v>470</v>
      </c>
      <c r="E464" s="4" t="str">
        <f>HYPERLINK("https://app.crepc.sk/?fn=detailBiblioForm&amp;sid=3CF9681F115FD6E29C68D3733A")</f>
        <v>https://app.crepc.sk/?fn=detailBiblioForm&amp;sid=3CF9681F115FD6E29C68D3733A</v>
      </c>
      <c r="I464" s="2"/>
    </row>
    <row r="465" spans="3:9" ht="75" x14ac:dyDescent="0.25">
      <c r="C465" s="15">
        <v>486283</v>
      </c>
      <c r="D465" s="4" t="s">
        <v>471</v>
      </c>
      <c r="E465" s="4" t="str">
        <f>HYPERLINK("https://app.crepc.sk/?fn=detailBiblioForm&amp;sid=32F785CDFFF3BEF8BBB099D93D")</f>
        <v>https://app.crepc.sk/?fn=detailBiblioForm&amp;sid=32F785CDFFF3BEF8BBB099D93D</v>
      </c>
      <c r="I465" s="2"/>
    </row>
    <row r="466" spans="3:9" ht="90" x14ac:dyDescent="0.25">
      <c r="C466" s="15">
        <v>493090</v>
      </c>
      <c r="D466" s="4" t="s">
        <v>472</v>
      </c>
      <c r="E466" s="4" t="str">
        <f>HYPERLINK("https://app.crepc.sk/?fn=detailBiblioForm&amp;sid=A08D0C06F20009E6DDE793DA9B")</f>
        <v>https://app.crepc.sk/?fn=detailBiblioForm&amp;sid=A08D0C06F20009E6DDE793DA9B</v>
      </c>
      <c r="I466" s="2"/>
    </row>
    <row r="467" spans="3:9" ht="75" x14ac:dyDescent="0.25">
      <c r="C467" s="15">
        <v>521721</v>
      </c>
      <c r="D467" s="4" t="s">
        <v>473</v>
      </c>
      <c r="E467" s="4" t="str">
        <f>HYPERLINK("https://app.crepc.sk/?fn=detailBiblioForm&amp;sid=B7AA9AE37E14B85008B3B70591")</f>
        <v>https://app.crepc.sk/?fn=detailBiblioForm&amp;sid=B7AA9AE37E14B85008B3B70591</v>
      </c>
      <c r="I467" s="2"/>
    </row>
    <row r="468" spans="3:9" ht="90" x14ac:dyDescent="0.25">
      <c r="C468" s="15">
        <v>493183</v>
      </c>
      <c r="D468" s="4" t="s">
        <v>474</v>
      </c>
      <c r="E468" s="4" t="str">
        <f>HYPERLINK("https://app.crepc.sk/?fn=detailBiblioForm&amp;sid=461C2D9728B875011ACB299B18")</f>
        <v>https://app.crepc.sk/?fn=detailBiblioForm&amp;sid=461C2D9728B875011ACB299B18</v>
      </c>
      <c r="I468" s="2"/>
    </row>
    <row r="469" spans="3:9" ht="60" x14ac:dyDescent="0.25">
      <c r="C469" s="15">
        <v>529244</v>
      </c>
      <c r="D469" s="4" t="s">
        <v>475</v>
      </c>
      <c r="E469" s="4" t="str">
        <f>HYPERLINK("https://app.crepc.sk/?fn=detailBiblioForm&amp;sid=C7EE819E36417AEFCDC9C0E72A")</f>
        <v>https://app.crepc.sk/?fn=detailBiblioForm&amp;sid=C7EE819E36417AEFCDC9C0E72A</v>
      </c>
      <c r="I469" s="2"/>
    </row>
    <row r="470" spans="3:9" ht="60" x14ac:dyDescent="0.25">
      <c r="C470" s="15">
        <v>525003</v>
      </c>
      <c r="D470" s="4" t="s">
        <v>476</v>
      </c>
      <c r="E470" s="4" t="str">
        <f>HYPERLINK("https://app.crepc.sk/?fn=detailBiblioForm&amp;sid=8370ACD6897582CF6BDE08E725")</f>
        <v>https://app.crepc.sk/?fn=detailBiblioForm&amp;sid=8370ACD6897582CF6BDE08E725</v>
      </c>
      <c r="I470" s="2"/>
    </row>
    <row r="471" spans="3:9" ht="90" x14ac:dyDescent="0.25">
      <c r="C471" s="15">
        <v>495430</v>
      </c>
      <c r="D471" s="4" t="s">
        <v>477</v>
      </c>
      <c r="E471" s="4" t="str">
        <f>HYPERLINK("https://app.crepc.sk/?fn=detailBiblioForm&amp;sid=ECA87EF3AB6513263A3AC0A1A5")</f>
        <v>https://app.crepc.sk/?fn=detailBiblioForm&amp;sid=ECA87EF3AB6513263A3AC0A1A5</v>
      </c>
      <c r="I471" s="2"/>
    </row>
    <row r="472" spans="3:9" ht="105" x14ac:dyDescent="0.25">
      <c r="C472" s="15">
        <v>479866</v>
      </c>
      <c r="D472" s="4" t="s">
        <v>478</v>
      </c>
      <c r="E472" s="4" t="str">
        <f>HYPERLINK("https://app.crepc.sk/?fn=detailBiblioForm&amp;sid=6EAC6F3F6336156ED4F19138A6")</f>
        <v>https://app.crepc.sk/?fn=detailBiblioForm&amp;sid=6EAC6F3F6336156ED4F19138A6</v>
      </c>
      <c r="I472" s="2"/>
    </row>
    <row r="473" spans="3:9" ht="90" x14ac:dyDescent="0.25">
      <c r="C473" s="15">
        <v>494932</v>
      </c>
      <c r="D473" s="4" t="s">
        <v>479</v>
      </c>
      <c r="E473" s="4" t="str">
        <f>HYPERLINK("https://app.crepc.sk/?fn=detailBiblioForm&amp;sid=A402A57FF0D119DFAC3912694B")</f>
        <v>https://app.crepc.sk/?fn=detailBiblioForm&amp;sid=A402A57FF0D119DFAC3912694B</v>
      </c>
      <c r="I473" s="2"/>
    </row>
    <row r="474" spans="3:9" ht="90" x14ac:dyDescent="0.25">
      <c r="C474" s="15">
        <v>484916</v>
      </c>
      <c r="D474" s="4" t="s">
        <v>480</v>
      </c>
      <c r="E474" s="4" t="str">
        <f>HYPERLINK("https://app.crepc.sk/?fn=detailBiblioForm&amp;sid=9C0A4806F762B32CC47C01F397")</f>
        <v>https://app.crepc.sk/?fn=detailBiblioForm&amp;sid=9C0A4806F762B32CC47C01F397</v>
      </c>
      <c r="I474" s="2"/>
    </row>
    <row r="475" spans="3:9" ht="120" x14ac:dyDescent="0.25">
      <c r="C475" s="15">
        <v>523440</v>
      </c>
      <c r="D475" s="4" t="s">
        <v>481</v>
      </c>
      <c r="E475" s="4" t="str">
        <f>HYPERLINK("https://app.crepc.sk/?fn=detailBiblioForm&amp;sid=134F7010F97786482B192EA1AF")</f>
        <v>https://app.crepc.sk/?fn=detailBiblioForm&amp;sid=134F7010F97786482B192EA1AF</v>
      </c>
      <c r="I475" s="2"/>
    </row>
    <row r="476" spans="3:9" ht="105" x14ac:dyDescent="0.25">
      <c r="C476" s="15">
        <v>479850</v>
      </c>
      <c r="D476" s="4" t="s">
        <v>482</v>
      </c>
      <c r="E476" s="4" t="str">
        <f>HYPERLINK("https://app.crepc.sk/?fn=detailBiblioForm&amp;sid=6EAC6F3F6336156ED7F79138A6")</f>
        <v>https://app.crepc.sk/?fn=detailBiblioForm&amp;sid=6EAC6F3F6336156ED7F79138A6</v>
      </c>
      <c r="I476" s="2"/>
    </row>
    <row r="477" spans="3:9" ht="75" x14ac:dyDescent="0.25">
      <c r="C477" s="15">
        <v>504426</v>
      </c>
      <c r="D477" s="4" t="s">
        <v>483</v>
      </c>
      <c r="E477" s="4" t="str">
        <f>HYPERLINK("https://app.crepc.sk/?fn=detailBiblioForm&amp;sid=7C3A198D5A4E59A38F453F461D")</f>
        <v>https://app.crepc.sk/?fn=detailBiblioForm&amp;sid=7C3A198D5A4E59A38F453F461D</v>
      </c>
      <c r="I477" s="2"/>
    </row>
    <row r="478" spans="3:9" ht="75" x14ac:dyDescent="0.25">
      <c r="C478" s="15">
        <v>495489</v>
      </c>
      <c r="D478" s="4" t="s">
        <v>484</v>
      </c>
      <c r="E478" s="4" t="str">
        <f>HYPERLINK("https://app.crepc.sk/?fn=detailBiblioForm&amp;sid=ECA87EF3AB6513263133C0A1A5")</f>
        <v>https://app.crepc.sk/?fn=detailBiblioForm&amp;sid=ECA87EF3AB6513263133C0A1A5</v>
      </c>
      <c r="I478" s="2"/>
    </row>
    <row r="479" spans="3:9" ht="60" x14ac:dyDescent="0.25">
      <c r="C479" s="15">
        <v>474964</v>
      </c>
      <c r="D479" s="4" t="s">
        <v>485</v>
      </c>
      <c r="E479" s="4" t="str">
        <f>HYPERLINK("https://app.crepc.sk/?fn=detailBiblioForm&amp;sid=33EDCE22C4FDFAD48E528FABD7")</f>
        <v>https://app.crepc.sk/?fn=detailBiblioForm&amp;sid=33EDCE22C4FDFAD48E528FABD7</v>
      </c>
      <c r="I479" s="2"/>
    </row>
    <row r="480" spans="3:9" ht="75" x14ac:dyDescent="0.25">
      <c r="C480" s="15">
        <v>505941</v>
      </c>
      <c r="D480" s="4" t="s">
        <v>486</v>
      </c>
      <c r="E480" s="4" t="str">
        <f>HYPERLINK("https://app.crepc.sk/?fn=detailBiblioForm&amp;sid=AB99609C7E78037496A36512E7")</f>
        <v>https://app.crepc.sk/?fn=detailBiblioForm&amp;sid=AB99609C7E78037496A36512E7</v>
      </c>
      <c r="I480" s="2"/>
    </row>
    <row r="481" spans="3:9" ht="75" x14ac:dyDescent="0.25">
      <c r="C481" s="15">
        <v>495481</v>
      </c>
      <c r="D481" s="4" t="s">
        <v>487</v>
      </c>
      <c r="E481" s="4" t="str">
        <f>HYPERLINK("https://app.crepc.sk/?fn=detailBiblioForm&amp;sid=ECA87EF3AB651326313BC0A1A5")</f>
        <v>https://app.crepc.sk/?fn=detailBiblioForm&amp;sid=ECA87EF3AB651326313BC0A1A5</v>
      </c>
      <c r="I481" s="2"/>
    </row>
    <row r="482" spans="3:9" ht="135" x14ac:dyDescent="0.25">
      <c r="C482" s="15">
        <v>493221</v>
      </c>
      <c r="D482" s="4" t="s">
        <v>488</v>
      </c>
      <c r="E482" s="4" t="str">
        <f>HYPERLINK("https://app.crepc.sk/?fn=detailBiblioForm&amp;sid=4E79B8FE8AF02D2789268B671E")</f>
        <v>https://app.crepc.sk/?fn=detailBiblioForm&amp;sid=4E79B8FE8AF02D2789268B671E</v>
      </c>
      <c r="I482" s="2"/>
    </row>
    <row r="483" spans="3:9" ht="90" x14ac:dyDescent="0.25">
      <c r="C483" s="15">
        <v>506754</v>
      </c>
      <c r="D483" s="4" t="s">
        <v>489</v>
      </c>
      <c r="E483" s="4" t="str">
        <f>HYPERLINK("https://app.crepc.sk/?fn=detailBiblioForm&amp;sid=AA397DACEC77CE6975225FFD90")</f>
        <v>https://app.crepc.sk/?fn=detailBiblioForm&amp;sid=AA397DACEC77CE6975225FFD90</v>
      </c>
      <c r="I483" s="2"/>
    </row>
    <row r="484" spans="3:9" ht="60" x14ac:dyDescent="0.25">
      <c r="C484" s="15">
        <v>460240</v>
      </c>
      <c r="D484" s="4" t="s">
        <v>490</v>
      </c>
      <c r="E484" s="4" t="str">
        <f>HYPERLINK("https://app.crepc.sk/?fn=detailBiblioForm&amp;sid=246B88030FC05549B2AAFDE86E")</f>
        <v>https://app.crepc.sk/?fn=detailBiblioForm&amp;sid=246B88030FC05549B2AAFDE86E</v>
      </c>
      <c r="I484" s="2"/>
    </row>
    <row r="485" spans="3:9" ht="90" x14ac:dyDescent="0.25">
      <c r="C485" s="15">
        <v>520540</v>
      </c>
      <c r="D485" s="4" t="s">
        <v>491</v>
      </c>
      <c r="E485" s="4" t="str">
        <f>HYPERLINK("https://app.crepc.sk/?fn=detailBiblioForm&amp;sid=E371BE7739541E1077605B0B8E")</f>
        <v>https://app.crepc.sk/?fn=detailBiblioForm&amp;sid=E371BE7739541E1077605B0B8E</v>
      </c>
      <c r="I485" s="2"/>
    </row>
    <row r="486" spans="3:9" ht="60" x14ac:dyDescent="0.25">
      <c r="C486" s="15">
        <v>520991</v>
      </c>
      <c r="D486" s="4" t="s">
        <v>492</v>
      </c>
      <c r="E486" s="4" t="str">
        <f>HYPERLINK("https://app.crepc.sk/?fn=detailBiblioForm&amp;sid=020637D2CD8C9D0DDEA285A025")</f>
        <v>https://app.crepc.sk/?fn=detailBiblioForm&amp;sid=020637D2CD8C9D0DDEA285A025</v>
      </c>
      <c r="I486" s="2"/>
    </row>
    <row r="487" spans="3:9" ht="90" x14ac:dyDescent="0.25">
      <c r="C487" s="15">
        <v>525157</v>
      </c>
      <c r="D487" s="4" t="s">
        <v>493</v>
      </c>
      <c r="E487" s="4" t="str">
        <f>HYPERLINK("https://app.crepc.sk/?fn=detailBiblioForm&amp;sid=DD3A4E4D185CCB4715E81FBA51")</f>
        <v>https://app.crepc.sk/?fn=detailBiblioForm&amp;sid=DD3A4E4D185CCB4715E81FBA51</v>
      </c>
      <c r="I487" s="2"/>
    </row>
    <row r="488" spans="3:9" ht="90" x14ac:dyDescent="0.25">
      <c r="C488" s="15">
        <v>506892</v>
      </c>
      <c r="D488" s="4" t="s">
        <v>494</v>
      </c>
      <c r="E488" s="4" t="str">
        <f>HYPERLINK("https://app.crepc.sk/?fn=detailBiblioForm&amp;sid=1D8202C022F5CB943170EEB634")</f>
        <v>https://app.crepc.sk/?fn=detailBiblioForm&amp;sid=1D8202C022F5CB943170EEB634</v>
      </c>
      <c r="I488" s="2"/>
    </row>
    <row r="489" spans="3:9" ht="75" x14ac:dyDescent="0.25">
      <c r="C489" s="15">
        <v>458111</v>
      </c>
      <c r="D489" s="4" t="s">
        <v>495</v>
      </c>
      <c r="E489" s="4" t="str">
        <f>HYPERLINK("https://app.crepc.sk/?fn=detailBiblioForm&amp;sid=071A873BB8FAF95F5AD69A64F9")</f>
        <v>https://app.crepc.sk/?fn=detailBiblioForm&amp;sid=071A873BB8FAF95F5AD69A64F9</v>
      </c>
      <c r="I489" s="2"/>
    </row>
    <row r="490" spans="3:9" ht="75" x14ac:dyDescent="0.25">
      <c r="C490" s="15">
        <v>500940</v>
      </c>
      <c r="D490" s="4" t="s">
        <v>496</v>
      </c>
      <c r="E490" s="4" t="str">
        <f>HYPERLINK("https://app.crepc.sk/?fn=detailBiblioForm&amp;sid=5F5FBA760FBAABB6F17322920E")</f>
        <v>https://app.crepc.sk/?fn=detailBiblioForm&amp;sid=5F5FBA760FBAABB6F17322920E</v>
      </c>
      <c r="I490" s="2"/>
    </row>
    <row r="491" spans="3:9" ht="90" x14ac:dyDescent="0.25">
      <c r="C491" s="15">
        <v>479826</v>
      </c>
      <c r="D491" s="4" t="s">
        <v>497</v>
      </c>
      <c r="E491" s="4" t="str">
        <f>HYPERLINK("https://app.crepc.sk/?fn=detailBiblioForm&amp;sid=6EAC6F3F6336156ED0F19138A6")</f>
        <v>https://app.crepc.sk/?fn=detailBiblioForm&amp;sid=6EAC6F3F6336156ED0F19138A6</v>
      </c>
      <c r="I491" s="2"/>
    </row>
    <row r="492" spans="3:9" ht="60" x14ac:dyDescent="0.25">
      <c r="C492" s="15">
        <v>460896</v>
      </c>
      <c r="D492" s="4" t="s">
        <v>498</v>
      </c>
      <c r="E492" s="4" t="str">
        <f>HYPERLINK("https://app.crepc.sk/?fn=detailBiblioForm&amp;sid=88983A6D8031953B1AE891249D")</f>
        <v>https://app.crepc.sk/?fn=detailBiblioForm&amp;sid=88983A6D8031953B1AE891249D</v>
      </c>
      <c r="I492" s="2"/>
    </row>
    <row r="493" spans="3:9" ht="105" x14ac:dyDescent="0.25">
      <c r="C493" s="15">
        <v>519750</v>
      </c>
      <c r="D493" s="4" t="s">
        <v>499</v>
      </c>
      <c r="E493" s="4" t="str">
        <f>HYPERLINK("https://app.crepc.sk/?fn=detailBiblioForm&amp;sid=3CF9681F115FD6E29D60D3733A")</f>
        <v>https://app.crepc.sk/?fn=detailBiblioForm&amp;sid=3CF9681F115FD6E29D60D3733A</v>
      </c>
      <c r="I493" s="2"/>
    </row>
    <row r="494" spans="3:9" ht="120" x14ac:dyDescent="0.25">
      <c r="C494" s="15">
        <v>483905</v>
      </c>
      <c r="D494" s="4" t="s">
        <v>500</v>
      </c>
      <c r="E494" s="4" t="str">
        <f>HYPERLINK("https://app.crepc.sk/?fn=detailBiblioForm&amp;sid=F8303E194D2A08F473DC73C2FC")</f>
        <v>https://app.crepc.sk/?fn=detailBiblioForm&amp;sid=F8303E194D2A08F473DC73C2FC</v>
      </c>
      <c r="I494" s="2"/>
    </row>
    <row r="495" spans="3:9" ht="75" x14ac:dyDescent="0.25">
      <c r="C495" s="15">
        <v>479351</v>
      </c>
      <c r="D495" s="4" t="s">
        <v>501</v>
      </c>
      <c r="E495" s="4" t="str">
        <f>HYPERLINK("https://app.crepc.sk/?fn=detailBiblioForm&amp;sid=066E09D6D4D0196D453FA941F6")</f>
        <v>https://app.crepc.sk/?fn=detailBiblioForm&amp;sid=066E09D6D4D0196D453FA941F6</v>
      </c>
      <c r="I495" s="2"/>
    </row>
    <row r="496" spans="3:9" ht="105" x14ac:dyDescent="0.25">
      <c r="C496" s="15">
        <v>472296</v>
      </c>
      <c r="D496" s="4" t="s">
        <v>502</v>
      </c>
      <c r="E496" s="4" t="str">
        <f>HYPERLINK("https://app.crepc.sk/?fn=detailBiblioForm&amp;sid=0CB211958038C7491AA2707AE3")</f>
        <v>https://app.crepc.sk/?fn=detailBiblioForm&amp;sid=0CB211958038C7491AA2707AE3</v>
      </c>
      <c r="I496" s="2"/>
    </row>
    <row r="497" spans="3:9" ht="105" x14ac:dyDescent="0.25">
      <c r="C497" s="15">
        <v>490602</v>
      </c>
      <c r="D497" s="4" t="s">
        <v>503</v>
      </c>
      <c r="E497" s="4" t="str">
        <f>HYPERLINK("https://app.crepc.sk/?fn=detailBiblioForm&amp;sid=0828B68FFD3F9AD6FB18F00C3E")</f>
        <v>https://app.crepc.sk/?fn=detailBiblioForm&amp;sid=0828B68FFD3F9AD6FB18F00C3E</v>
      </c>
      <c r="I497" s="2"/>
    </row>
    <row r="498" spans="3:9" ht="60" x14ac:dyDescent="0.25">
      <c r="C498" s="15">
        <v>495487</v>
      </c>
      <c r="D498" s="4" t="s">
        <v>504</v>
      </c>
      <c r="E498" s="4" t="str">
        <f>HYPERLINK("https://app.crepc.sk/?fn=detailBiblioForm&amp;sid=ECA87EF3AB651326313DC0A1A5")</f>
        <v>https://app.crepc.sk/?fn=detailBiblioForm&amp;sid=ECA87EF3AB651326313DC0A1A5</v>
      </c>
      <c r="I498" s="2"/>
    </row>
    <row r="499" spans="3:9" ht="90" x14ac:dyDescent="0.25">
      <c r="C499" s="15">
        <v>483911</v>
      </c>
      <c r="D499" s="4" t="s">
        <v>505</v>
      </c>
      <c r="E499" s="4" t="str">
        <f>HYPERLINK("https://app.crepc.sk/?fn=detailBiblioForm&amp;sid=F8303E194D2A08F472D873C2FC")</f>
        <v>https://app.crepc.sk/?fn=detailBiblioForm&amp;sid=F8303E194D2A08F472D873C2FC</v>
      </c>
      <c r="I499" s="2"/>
    </row>
    <row r="500" spans="3:9" ht="90" x14ac:dyDescent="0.25">
      <c r="C500" s="15">
        <v>490143</v>
      </c>
      <c r="D500" s="4" t="s">
        <v>506</v>
      </c>
      <c r="E500" s="4" t="str">
        <f>HYPERLINK("https://app.crepc.sk/?fn=detailBiblioForm&amp;sid=EB715FA80D5E6DCEB714B2AD91")</f>
        <v>https://app.crepc.sk/?fn=detailBiblioForm&amp;sid=EB715FA80D5E6DCEB714B2AD91</v>
      </c>
      <c r="I500" s="2"/>
    </row>
    <row r="501" spans="3:9" ht="120" x14ac:dyDescent="0.25">
      <c r="C501" s="15">
        <v>479854</v>
      </c>
      <c r="D501" s="4" t="s">
        <v>507</v>
      </c>
      <c r="E501" s="4" t="str">
        <f>HYPERLINK("https://app.crepc.sk/?fn=detailBiblioForm&amp;sid=6EAC6F3F6336156ED7F39138A6")</f>
        <v>https://app.crepc.sk/?fn=detailBiblioForm&amp;sid=6EAC6F3F6336156ED7F39138A6</v>
      </c>
      <c r="I501" s="2"/>
    </row>
    <row r="502" spans="3:9" ht="105" x14ac:dyDescent="0.25">
      <c r="C502" s="15">
        <v>495028</v>
      </c>
      <c r="D502" s="4" t="s">
        <v>508</v>
      </c>
      <c r="E502" s="4" t="str">
        <f>HYPERLINK("https://app.crepc.sk/?fn=detailBiblioForm&amp;sid=BBF5DCBAEAD8A0211572B1FFB8")</f>
        <v>https://app.crepc.sk/?fn=detailBiblioForm&amp;sid=BBF5DCBAEAD8A0211572B1FFB8</v>
      </c>
      <c r="I502" s="2"/>
    </row>
    <row r="503" spans="3:9" ht="120" x14ac:dyDescent="0.25">
      <c r="C503" s="15">
        <v>524840</v>
      </c>
      <c r="D503" s="4" t="s">
        <v>509</v>
      </c>
      <c r="E503" s="4" t="str">
        <f>HYPERLINK("https://app.crepc.sk/?fn=detailBiblioForm&amp;sid=5958625C95297A8574905ECDC7")</f>
        <v>https://app.crepc.sk/?fn=detailBiblioForm&amp;sid=5958625C95297A8574905ECDC7</v>
      </c>
      <c r="I503" s="2"/>
    </row>
    <row r="504" spans="3:9" ht="105" x14ac:dyDescent="0.25">
      <c r="C504" s="15">
        <v>479844</v>
      </c>
      <c r="D504" s="4" t="s">
        <v>510</v>
      </c>
      <c r="E504" s="4" t="str">
        <f>HYPERLINK("https://app.crepc.sk/?fn=detailBiblioForm&amp;sid=6EAC6F3F6336156ED6F39138A6")</f>
        <v>https://app.crepc.sk/?fn=detailBiblioForm&amp;sid=6EAC6F3F6336156ED6F39138A6</v>
      </c>
      <c r="I504" s="2"/>
    </row>
    <row r="505" spans="3:9" ht="120" x14ac:dyDescent="0.25">
      <c r="C505" s="15">
        <v>484085</v>
      </c>
      <c r="D505" s="4" t="s">
        <v>511</v>
      </c>
      <c r="E505" s="4" t="str">
        <f>HYPERLINK("https://app.crepc.sk/?fn=detailBiblioForm&amp;sid=B611F6F3E965C809E5756403A9")</f>
        <v>https://app.crepc.sk/?fn=detailBiblioForm&amp;sid=B611F6F3E965C809E5756403A9</v>
      </c>
      <c r="I505" s="2"/>
    </row>
    <row r="506" spans="3:9" ht="75" x14ac:dyDescent="0.25">
      <c r="C506" s="15">
        <v>468609</v>
      </c>
      <c r="D506" s="4" t="s">
        <v>512</v>
      </c>
      <c r="E506" s="4" t="str">
        <f>HYPERLINK("https://app.crepc.sk/?fn=detailBiblioForm&amp;sid=6ACF4CA1560234657F57C2B508")</f>
        <v>https://app.crepc.sk/?fn=detailBiblioForm&amp;sid=6ACF4CA1560234657F57C2B508</v>
      </c>
      <c r="I506" s="2"/>
    </row>
    <row r="507" spans="3:9" ht="75" x14ac:dyDescent="0.25">
      <c r="C507" s="15">
        <v>458113</v>
      </c>
      <c r="D507" s="4" t="s">
        <v>513</v>
      </c>
      <c r="E507" s="4" t="str">
        <f>HYPERLINK("https://app.crepc.sk/?fn=detailBiblioForm&amp;sid=071A873BB8FAF95F5AD49A64F9")</f>
        <v>https://app.crepc.sk/?fn=detailBiblioForm&amp;sid=071A873BB8FAF95F5AD49A64F9</v>
      </c>
      <c r="I507" s="2"/>
    </row>
    <row r="508" spans="3:9" ht="75" x14ac:dyDescent="0.25">
      <c r="C508" s="15">
        <v>528005</v>
      </c>
      <c r="D508" s="4" t="s">
        <v>514</v>
      </c>
      <c r="E508" s="4" t="str">
        <f>HYPERLINK("https://app.crepc.sk/?fn=detailBiblioForm&amp;sid=B2697022F5EC71251D47303149")</f>
        <v>https://app.crepc.sk/?fn=detailBiblioForm&amp;sid=B2697022F5EC71251D47303149</v>
      </c>
      <c r="I508" s="2"/>
    </row>
    <row r="509" spans="3:9" ht="90" x14ac:dyDescent="0.25">
      <c r="C509" s="15">
        <v>479846</v>
      </c>
      <c r="D509" s="4" t="s">
        <v>515</v>
      </c>
      <c r="E509" s="4" t="str">
        <f>HYPERLINK("https://app.crepc.sk/?fn=detailBiblioForm&amp;sid=6EAC6F3F6336156ED6F19138A6")</f>
        <v>https://app.crepc.sk/?fn=detailBiblioForm&amp;sid=6EAC6F3F6336156ED6F19138A6</v>
      </c>
      <c r="I509" s="2"/>
    </row>
    <row r="510" spans="3:9" ht="90" x14ac:dyDescent="0.25">
      <c r="C510" s="15">
        <v>469545</v>
      </c>
      <c r="D510" s="4" t="s">
        <v>516</v>
      </c>
      <c r="E510" s="4" t="str">
        <f>HYPERLINK("https://app.crepc.sk/?fn=detailBiblioForm&amp;sid=E7D7E0932ADF3E22E82E06DECE")</f>
        <v>https://app.crepc.sk/?fn=detailBiblioForm&amp;sid=E7D7E0932ADF3E22E82E06DECE</v>
      </c>
      <c r="I510" s="2"/>
    </row>
    <row r="511" spans="3:9" ht="105" x14ac:dyDescent="0.25">
      <c r="C511" s="15">
        <v>466803</v>
      </c>
      <c r="D511" s="4" t="s">
        <v>517</v>
      </c>
      <c r="E511" s="4" t="str">
        <f>HYPERLINK("https://app.crepc.sk/?fn=detailBiblioForm&amp;sid=9157A8D966215C3E8BA9A12C4A")</f>
        <v>https://app.crepc.sk/?fn=detailBiblioForm&amp;sid=9157A8D966215C3E8BA9A12C4A</v>
      </c>
      <c r="I511" s="2"/>
    </row>
    <row r="512" spans="3:9" ht="90" x14ac:dyDescent="0.25">
      <c r="C512" s="15">
        <v>525158</v>
      </c>
      <c r="D512" s="4" t="s">
        <v>518</v>
      </c>
      <c r="E512" s="4" t="str">
        <f>HYPERLINK("https://app.crepc.sk/?fn=detailBiblioForm&amp;sid=DD3A4E4D185CCB4715E71FBA51")</f>
        <v>https://app.crepc.sk/?fn=detailBiblioForm&amp;sid=DD3A4E4D185CCB4715E71FBA51</v>
      </c>
      <c r="I512" s="2"/>
    </row>
    <row r="513" spans="3:9" ht="75" x14ac:dyDescent="0.25">
      <c r="C513" s="15">
        <v>509336</v>
      </c>
      <c r="D513" s="4" t="s">
        <v>519</v>
      </c>
      <c r="E513" s="4" t="str">
        <f>HYPERLINK("https://app.crepc.sk/?fn=detailBiblioForm&amp;sid=39DA9FE9ED6A814B3226FD0E71")</f>
        <v>https://app.crepc.sk/?fn=detailBiblioForm&amp;sid=39DA9FE9ED6A814B3226FD0E71</v>
      </c>
      <c r="I513" s="2"/>
    </row>
    <row r="514" spans="3:9" ht="90" x14ac:dyDescent="0.25">
      <c r="C514" s="15">
        <v>477081</v>
      </c>
      <c r="D514" s="4" t="s">
        <v>520</v>
      </c>
      <c r="E514" s="4" t="str">
        <f>HYPERLINK("https://app.crepc.sk/?fn=detailBiblioForm&amp;sid=4E3F39B06703BA1CCB774946CB")</f>
        <v>https://app.crepc.sk/?fn=detailBiblioForm&amp;sid=4E3F39B06703BA1CCB774946CB</v>
      </c>
      <c r="I514" s="2"/>
    </row>
    <row r="515" spans="3:9" ht="75" x14ac:dyDescent="0.25">
      <c r="C515" s="15">
        <v>529594</v>
      </c>
      <c r="D515" s="4" t="s">
        <v>521</v>
      </c>
      <c r="E515" s="4" t="str">
        <f>HYPERLINK("https://app.crepc.sk/?fn=detailBiblioForm&amp;sid=C1777F55D8EA2EA7FADB86C723")</f>
        <v>https://app.crepc.sk/?fn=detailBiblioForm&amp;sid=C1777F55D8EA2EA7FADB86C723</v>
      </c>
      <c r="I515" s="2"/>
    </row>
    <row r="516" spans="3:9" ht="75" x14ac:dyDescent="0.25">
      <c r="C516" s="15">
        <v>486285</v>
      </c>
      <c r="D516" s="4" t="s">
        <v>522</v>
      </c>
      <c r="E516" s="4" t="str">
        <f>HYPERLINK("https://app.crepc.sk/?fn=detailBiblioForm&amp;sid=32F785CDFFF3BEF8BBB699D93D")</f>
        <v>https://app.crepc.sk/?fn=detailBiblioForm&amp;sid=32F785CDFFF3BEF8BBB699D93D</v>
      </c>
      <c r="I516" s="2"/>
    </row>
    <row r="517" spans="3:9" ht="105" x14ac:dyDescent="0.25">
      <c r="C517" s="15">
        <v>466489</v>
      </c>
      <c r="D517" s="4" t="s">
        <v>523</v>
      </c>
      <c r="E517" s="4" t="str">
        <f>HYPERLINK("https://app.crepc.sk/?fn=detailBiblioForm&amp;sid=4A57F5CE42BBA0E30A790E71DF")</f>
        <v>https://app.crepc.sk/?fn=detailBiblioForm&amp;sid=4A57F5CE42BBA0E30A790E71DF</v>
      </c>
      <c r="I517" s="2"/>
    </row>
    <row r="518" spans="3:9" ht="105" x14ac:dyDescent="0.25">
      <c r="C518" s="15">
        <v>523053</v>
      </c>
      <c r="D518" s="4" t="s">
        <v>524</v>
      </c>
      <c r="E518" s="4" t="str">
        <f>HYPERLINK("https://app.crepc.sk/?fn=detailBiblioForm&amp;sid=3AEED5F70FAF2E07B8909D6A2D")</f>
        <v>https://app.crepc.sk/?fn=detailBiblioForm&amp;sid=3AEED5F70FAF2E07B8909D6A2D</v>
      </c>
      <c r="I518" s="2"/>
    </row>
    <row r="519" spans="3:9" ht="90" x14ac:dyDescent="0.25">
      <c r="C519" s="15">
        <v>475330</v>
      </c>
      <c r="D519" s="4" t="s">
        <v>525</v>
      </c>
      <c r="E519" s="4" t="str">
        <f>HYPERLINK("https://app.crepc.sk/?fn=detailBiblioForm&amp;sid=EBB00340FF4A326885F9F49EFA")</f>
        <v>https://app.crepc.sk/?fn=detailBiblioForm&amp;sid=EBB00340FF4A326885F9F49EFA</v>
      </c>
      <c r="I519" s="2"/>
    </row>
    <row r="520" spans="3:9" ht="90" x14ac:dyDescent="0.25">
      <c r="C520" s="15">
        <v>478261</v>
      </c>
      <c r="D520" s="4" t="s">
        <v>526</v>
      </c>
      <c r="E520" s="4" t="str">
        <f>HYPERLINK("https://app.crepc.sk/?fn=detailBiblioForm&amp;sid=5AD89374AB637BC8E7795BCB0A")</f>
        <v>https://app.crepc.sk/?fn=detailBiblioForm&amp;sid=5AD89374AB637BC8E7795BCB0A</v>
      </c>
      <c r="I520" s="2"/>
    </row>
    <row r="521" spans="3:9" ht="90" x14ac:dyDescent="0.25">
      <c r="C521" s="15">
        <v>525155</v>
      </c>
      <c r="D521" s="4" t="s">
        <v>527</v>
      </c>
      <c r="E521" s="4" t="str">
        <f>HYPERLINK("https://app.crepc.sk/?fn=detailBiblioForm&amp;sid=DD3A4E4D185CCB4715EA1FBA51")</f>
        <v>https://app.crepc.sk/?fn=detailBiblioForm&amp;sid=DD3A4E4D185CCB4715EA1FBA51</v>
      </c>
      <c r="I521" s="2"/>
    </row>
    <row r="522" spans="3:9" ht="105" x14ac:dyDescent="0.25">
      <c r="C522" s="15">
        <v>466770</v>
      </c>
      <c r="D522" s="4" t="s">
        <v>528</v>
      </c>
      <c r="E522" s="4" t="str">
        <f>HYPERLINK("https://app.crepc.sk/?fn=detailBiblioForm&amp;sid=2967F76C5095C99EA253B1582D")</f>
        <v>https://app.crepc.sk/?fn=detailBiblioForm&amp;sid=2967F76C5095C99EA253B1582D</v>
      </c>
      <c r="I522" s="2"/>
    </row>
    <row r="523" spans="3:9" ht="90" x14ac:dyDescent="0.25">
      <c r="C523" s="15">
        <v>462202</v>
      </c>
      <c r="D523" s="4" t="s">
        <v>529</v>
      </c>
      <c r="E523" s="4" t="str">
        <f>HYPERLINK("https://app.crepc.sk/?fn=detailBiblioForm&amp;sid=E68A28514C842E16DD92554337")</f>
        <v>https://app.crepc.sk/?fn=detailBiblioForm&amp;sid=E68A28514C842E16DD92554337</v>
      </c>
      <c r="I523" s="2"/>
    </row>
    <row r="524" spans="3:9" ht="75" x14ac:dyDescent="0.25">
      <c r="C524" s="15">
        <v>462215</v>
      </c>
      <c r="D524" s="4" t="s">
        <v>530</v>
      </c>
      <c r="E524" s="4" t="str">
        <f>HYPERLINK("https://app.crepc.sk/?fn=detailBiblioForm&amp;sid=E68A28514C842E16DC95554337")</f>
        <v>https://app.crepc.sk/?fn=detailBiblioForm&amp;sid=E68A28514C842E16DC95554337</v>
      </c>
      <c r="I524" s="2"/>
    </row>
    <row r="525" spans="3:9" ht="90" x14ac:dyDescent="0.25">
      <c r="C525" s="15">
        <v>462714</v>
      </c>
      <c r="D525" s="4" t="s">
        <v>531</v>
      </c>
      <c r="E525" s="4" t="str">
        <f>HYPERLINK("https://app.crepc.sk/?fn=detailBiblioForm&amp;sid=A21312D1EC1E2783F5CB1773B8")</f>
        <v>https://app.crepc.sk/?fn=detailBiblioForm&amp;sid=A21312D1EC1E2783F5CB1773B8</v>
      </c>
      <c r="I525" s="2"/>
    </row>
    <row r="526" spans="3:9" ht="105" x14ac:dyDescent="0.25">
      <c r="C526" s="15">
        <v>483892</v>
      </c>
      <c r="D526" s="4" t="s">
        <v>532</v>
      </c>
      <c r="E526" s="4" t="str">
        <f>HYPERLINK("https://app.crepc.sk/?fn=detailBiblioForm&amp;sid=8325E7D70CE11315377AF6EB9C")</f>
        <v>https://app.crepc.sk/?fn=detailBiblioForm&amp;sid=8325E7D70CE11315377AF6EB9C</v>
      </c>
      <c r="I526" s="2"/>
    </row>
    <row r="527" spans="3:9" ht="90" x14ac:dyDescent="0.25">
      <c r="C527" s="15">
        <v>496170</v>
      </c>
      <c r="D527" s="4" t="s">
        <v>533</v>
      </c>
      <c r="E527" s="4" t="str">
        <f>HYPERLINK("https://app.crepc.sk/?fn=detailBiblioForm&amp;sid=321DFF4A56F97916FD529E4D35")</f>
        <v>https://app.crepc.sk/?fn=detailBiblioForm&amp;sid=321DFF4A56F97916FD529E4D35</v>
      </c>
      <c r="I527" s="2"/>
    </row>
    <row r="528" spans="3:9" ht="75" x14ac:dyDescent="0.25">
      <c r="C528" s="15">
        <v>457978</v>
      </c>
      <c r="D528" s="4" t="s">
        <v>534</v>
      </c>
      <c r="E528" s="4" t="str">
        <f>HYPERLINK("https://app.crepc.sk/?fn=detailBiblioForm&amp;sid=49DF912496E3F1EA3891A24E6B")</f>
        <v>https://app.crepc.sk/?fn=detailBiblioForm&amp;sid=49DF912496E3F1EA3891A24E6B</v>
      </c>
      <c r="I528" s="2"/>
    </row>
    <row r="529" spans="3:9" ht="75" x14ac:dyDescent="0.25">
      <c r="C529" s="15">
        <v>524993</v>
      </c>
      <c r="D529" s="4" t="s">
        <v>535</v>
      </c>
      <c r="E529" s="4" t="str">
        <f>HYPERLINK("https://app.crepc.sk/?fn=detailBiblioForm&amp;sid=623554388C2D67021C408D0C3C")</f>
        <v>https://app.crepc.sk/?fn=detailBiblioForm&amp;sid=623554388C2D67021C408D0C3C</v>
      </c>
      <c r="I529" s="2"/>
    </row>
    <row r="530" spans="3:9" ht="75" x14ac:dyDescent="0.25">
      <c r="C530" s="15">
        <v>509305</v>
      </c>
      <c r="D530" s="4" t="s">
        <v>536</v>
      </c>
      <c r="E530" s="4" t="str">
        <f>HYPERLINK("https://app.crepc.sk/?fn=detailBiblioForm&amp;sid=39DA9FE9ED6A814B3125FD0E71")</f>
        <v>https://app.crepc.sk/?fn=detailBiblioForm&amp;sid=39DA9FE9ED6A814B3125FD0E71</v>
      </c>
      <c r="I530" s="2"/>
    </row>
    <row r="531" spans="3:9" ht="90" x14ac:dyDescent="0.25">
      <c r="C531" s="15">
        <v>480945</v>
      </c>
      <c r="D531" s="4" t="s">
        <v>537</v>
      </c>
      <c r="E531" s="4" t="str">
        <f>HYPERLINK("https://app.crepc.sk/?fn=detailBiblioForm&amp;sid=59ECE0F0C7A5EDCBDA2056823A")</f>
        <v>https://app.crepc.sk/?fn=detailBiblioForm&amp;sid=59ECE0F0C7A5EDCBDA2056823A</v>
      </c>
      <c r="I531" s="2"/>
    </row>
    <row r="532" spans="3:9" ht="90" x14ac:dyDescent="0.25">
      <c r="C532" s="15">
        <v>470630</v>
      </c>
      <c r="D532" s="4" t="s">
        <v>538</v>
      </c>
      <c r="E532" s="4" t="str">
        <f>HYPERLINK("https://app.crepc.sk/?fn=detailBiblioForm&amp;sid=B4CBE6B5F1D3372E7550D2330E")</f>
        <v>https://app.crepc.sk/?fn=detailBiblioForm&amp;sid=B4CBE6B5F1D3372E7550D2330E</v>
      </c>
      <c r="I532" s="2"/>
    </row>
    <row r="533" spans="3:9" ht="90" x14ac:dyDescent="0.25">
      <c r="C533" s="15">
        <v>470622</v>
      </c>
      <c r="D533" s="4" t="s">
        <v>539</v>
      </c>
      <c r="E533" s="4" t="str">
        <f>HYPERLINK("https://app.crepc.sk/?fn=detailBiblioForm&amp;sid=B4CBE6B5F1D3372E7452D2330E")</f>
        <v>https://app.crepc.sk/?fn=detailBiblioForm&amp;sid=B4CBE6B5F1D3372E7452D2330E</v>
      </c>
      <c r="I533" s="2"/>
    </row>
    <row r="534" spans="3:9" ht="90" x14ac:dyDescent="0.25">
      <c r="C534" s="15">
        <v>478260</v>
      </c>
      <c r="D534" s="4" t="s">
        <v>540</v>
      </c>
      <c r="E534" s="4" t="str">
        <f>HYPERLINK("https://app.crepc.sk/?fn=detailBiblioForm&amp;sid=5AD89374AB637BC8E7785BCB0A")</f>
        <v>https://app.crepc.sk/?fn=detailBiblioForm&amp;sid=5AD89374AB637BC8E7785BCB0A</v>
      </c>
      <c r="I534" s="2"/>
    </row>
    <row r="535" spans="3:9" ht="75" x14ac:dyDescent="0.25">
      <c r="C535" s="15">
        <v>491201</v>
      </c>
      <c r="D535" s="4" t="s">
        <v>541</v>
      </c>
      <c r="E535" s="4" t="str">
        <f>HYPERLINK("https://app.crepc.sk/?fn=detailBiblioForm&amp;sid=8DB6E5BC5001C95B7F7D5335C0")</f>
        <v>https://app.crepc.sk/?fn=detailBiblioForm&amp;sid=8DB6E5BC5001C95B7F7D5335C0</v>
      </c>
      <c r="I535" s="2"/>
    </row>
    <row r="536" spans="3:9" ht="90" x14ac:dyDescent="0.25">
      <c r="C536" s="15">
        <v>480937</v>
      </c>
      <c r="D536" s="4" t="s">
        <v>542</v>
      </c>
      <c r="E536" s="4" t="str">
        <f>HYPERLINK("https://app.crepc.sk/?fn=detailBiblioForm&amp;sid=59ECE0F0C7A5EDCBDD2256823A")</f>
        <v>https://app.crepc.sk/?fn=detailBiblioForm&amp;sid=59ECE0F0C7A5EDCBDD2256823A</v>
      </c>
      <c r="I536" s="2"/>
    </row>
    <row r="537" spans="3:9" ht="90" x14ac:dyDescent="0.25">
      <c r="C537" s="15">
        <v>477075</v>
      </c>
      <c r="D537" s="4" t="s">
        <v>543</v>
      </c>
      <c r="E537" s="4" t="str">
        <f>HYPERLINK("https://app.crepc.sk/?fn=detailBiblioForm&amp;sid=4E3F39B06703BA1CC4734946CB")</f>
        <v>https://app.crepc.sk/?fn=detailBiblioForm&amp;sid=4E3F39B06703BA1CC4734946CB</v>
      </c>
      <c r="I537" s="2"/>
    </row>
    <row r="538" spans="3:9" ht="90" x14ac:dyDescent="0.25">
      <c r="C538" s="15">
        <v>496133</v>
      </c>
      <c r="D538" s="4" t="s">
        <v>544</v>
      </c>
      <c r="E538" s="4" t="str">
        <f>HYPERLINK("https://app.crepc.sk/?fn=detailBiblioForm&amp;sid=321DFF4A56F97916F9519E4D35")</f>
        <v>https://app.crepc.sk/?fn=detailBiblioForm&amp;sid=321DFF4A56F97916F9519E4D35</v>
      </c>
      <c r="I538" s="2"/>
    </row>
    <row r="539" spans="3:9" ht="75" x14ac:dyDescent="0.25">
      <c r="C539" s="15">
        <v>525160</v>
      </c>
      <c r="D539" s="4" t="s">
        <v>545</v>
      </c>
      <c r="E539" s="4" t="str">
        <f>HYPERLINK("https://app.crepc.sk/?fn=detailBiblioForm&amp;sid=DD3A4E4D185CCB4716EF1FBA51")</f>
        <v>https://app.crepc.sk/?fn=detailBiblioForm&amp;sid=DD3A4E4D185CCB4716EF1FBA51</v>
      </c>
      <c r="I539" s="2"/>
    </row>
    <row r="540" spans="3:9" ht="105" x14ac:dyDescent="0.25">
      <c r="C540" s="15">
        <v>511948</v>
      </c>
      <c r="D540" s="4" t="s">
        <v>546</v>
      </c>
      <c r="E540" s="4" t="str">
        <f>HYPERLINK("https://app.crepc.sk/?fn=detailBiblioForm&amp;sid=7C67099AC5BBA8842E60A4E232")</f>
        <v>https://app.crepc.sk/?fn=detailBiblioForm&amp;sid=7C67099AC5BBA8842E60A4E232</v>
      </c>
      <c r="I540" s="2"/>
    </row>
    <row r="541" spans="3:9" ht="75" x14ac:dyDescent="0.25">
      <c r="C541" s="15">
        <v>525159</v>
      </c>
      <c r="D541" s="4" t="s">
        <v>547</v>
      </c>
      <c r="E541" s="4" t="str">
        <f>HYPERLINK("https://app.crepc.sk/?fn=detailBiblioForm&amp;sid=DD3A4E4D185CCB4715E61FBA51")</f>
        <v>https://app.crepc.sk/?fn=detailBiblioForm&amp;sid=DD3A4E4D185CCB4715E61FBA51</v>
      </c>
      <c r="I541" s="2"/>
    </row>
    <row r="542" spans="3:9" ht="90" x14ac:dyDescent="0.25">
      <c r="C542" s="15">
        <v>495088</v>
      </c>
      <c r="D542" s="4" t="s">
        <v>548</v>
      </c>
      <c r="E542" s="4" t="str">
        <f>HYPERLINK("https://app.crepc.sk/?fn=detailBiblioForm&amp;sid=BBF5DCBAEAD8A0211F72B1FFB8")</f>
        <v>https://app.crepc.sk/?fn=detailBiblioForm&amp;sid=BBF5DCBAEAD8A0211F72B1FFB8</v>
      </c>
      <c r="I542" s="2"/>
    </row>
    <row r="543" spans="3:9" ht="105" x14ac:dyDescent="0.25">
      <c r="C543" s="15">
        <v>479840</v>
      </c>
      <c r="D543" s="4" t="s">
        <v>549</v>
      </c>
      <c r="E543" s="4" t="str">
        <f>HYPERLINK("https://app.crepc.sk/?fn=detailBiblioForm&amp;sid=6EAC6F3F6336156ED6F79138A6")</f>
        <v>https://app.crepc.sk/?fn=detailBiblioForm&amp;sid=6EAC6F3F6336156ED6F79138A6</v>
      </c>
      <c r="I543" s="2"/>
    </row>
    <row r="544" spans="3:9" ht="90" x14ac:dyDescent="0.25">
      <c r="C544" s="15">
        <v>488033</v>
      </c>
      <c r="D544" s="4" t="s">
        <v>550</v>
      </c>
      <c r="E544" s="4" t="str">
        <f>HYPERLINK("https://app.crepc.sk/?fn=detailBiblioForm&amp;sid=2685410F70B2C8E1E74CD804D9")</f>
        <v>https://app.crepc.sk/?fn=detailBiblioForm&amp;sid=2685410F70B2C8E1E74CD804D9</v>
      </c>
      <c r="I544" s="2"/>
    </row>
    <row r="545" spans="3:9" ht="105" x14ac:dyDescent="0.25">
      <c r="C545" s="15">
        <v>483912</v>
      </c>
      <c r="D545" s="4" t="s">
        <v>551</v>
      </c>
      <c r="E545" s="4" t="str">
        <f>HYPERLINK("https://app.crepc.sk/?fn=detailBiblioForm&amp;sid=F8303E194D2A08F472DB73C2FC")</f>
        <v>https://app.crepc.sk/?fn=detailBiblioForm&amp;sid=F8303E194D2A08F472DB73C2FC</v>
      </c>
      <c r="I545" s="2"/>
    </row>
    <row r="546" spans="3:9" ht="60" x14ac:dyDescent="0.25">
      <c r="C546" s="15">
        <v>460898</v>
      </c>
      <c r="D546" s="4" t="s">
        <v>552</v>
      </c>
      <c r="E546" s="4" t="str">
        <f>HYPERLINK("https://app.crepc.sk/?fn=detailBiblioForm&amp;sid=88983A6D8031953B1AE691249D")</f>
        <v>https://app.crepc.sk/?fn=detailBiblioForm&amp;sid=88983A6D8031953B1AE691249D</v>
      </c>
      <c r="I546" s="2"/>
    </row>
    <row r="547" spans="3:9" ht="60" x14ac:dyDescent="0.25">
      <c r="C547" s="15">
        <v>521958</v>
      </c>
      <c r="D547" s="4" t="s">
        <v>553</v>
      </c>
      <c r="E547" s="4" t="str">
        <f>HYPERLINK("https://app.crepc.sk/?fn=detailBiblioForm&amp;sid=8A1D1D56D765062E097B082253")</f>
        <v>https://app.crepc.sk/?fn=detailBiblioForm&amp;sid=8A1D1D56D765062E097B082253</v>
      </c>
      <c r="I547" s="2"/>
    </row>
    <row r="548" spans="3:9" ht="60" x14ac:dyDescent="0.25">
      <c r="C548" s="15">
        <v>470665</v>
      </c>
      <c r="D548" s="4" t="s">
        <v>554</v>
      </c>
      <c r="E548" s="4" t="str">
        <f>HYPERLINK("https://app.crepc.sk/?fn=detailBiblioForm&amp;sid=B4CBE6B5F1D3372E7055D2330E")</f>
        <v>https://app.crepc.sk/?fn=detailBiblioForm&amp;sid=B4CBE6B5F1D3372E7055D2330E</v>
      </c>
      <c r="I548" s="2"/>
    </row>
    <row r="549" spans="3:9" ht="105" x14ac:dyDescent="0.25">
      <c r="C549" s="15">
        <v>479819</v>
      </c>
      <c r="D549" s="4" t="s">
        <v>555</v>
      </c>
      <c r="E549" s="4" t="str">
        <f>HYPERLINK("https://app.crepc.sk/?fn=detailBiblioForm&amp;sid=6EAC6F3F6336156ED3FE9138A6")</f>
        <v>https://app.crepc.sk/?fn=detailBiblioForm&amp;sid=6EAC6F3F6336156ED3FE9138A6</v>
      </c>
      <c r="I549" s="2"/>
    </row>
    <row r="550" spans="3:9" ht="60" x14ac:dyDescent="0.25">
      <c r="C550" s="15">
        <v>525698</v>
      </c>
      <c r="D550" s="4" t="s">
        <v>556</v>
      </c>
      <c r="E550" s="4" t="str">
        <f>HYPERLINK("https://app.crepc.sk/?fn=detailBiblioForm&amp;sid=FF37F7FAB9BB442AB22FEFB893")</f>
        <v>https://app.crepc.sk/?fn=detailBiblioForm&amp;sid=FF37F7FAB9BB442AB22FEFB893</v>
      </c>
      <c r="I550" s="2"/>
    </row>
    <row r="551" spans="3:9" ht="60" x14ac:dyDescent="0.25">
      <c r="C551" s="15">
        <v>505262</v>
      </c>
      <c r="D551" s="4" t="s">
        <v>557</v>
      </c>
      <c r="E551" s="4" t="str">
        <f>HYPERLINK("https://app.crepc.sk/?fn=detailBiblioForm&amp;sid=B2637568E2751626321665062C")</f>
        <v>https://app.crepc.sk/?fn=detailBiblioForm&amp;sid=B2637568E2751626321665062C</v>
      </c>
      <c r="I551" s="2"/>
    </row>
    <row r="552" spans="3:9" ht="75" x14ac:dyDescent="0.25">
      <c r="C552" s="15">
        <v>504486</v>
      </c>
      <c r="D552" s="4" t="s">
        <v>558</v>
      </c>
      <c r="E552" s="4" t="str">
        <f>HYPERLINK("https://app.crepc.sk/?fn=detailBiblioForm&amp;sid=7C3A198D5A4E59A385453F461D")</f>
        <v>https://app.crepc.sk/?fn=detailBiblioForm&amp;sid=7C3A198D5A4E59A385453F461D</v>
      </c>
      <c r="I552" s="2"/>
    </row>
    <row r="553" spans="3:9" ht="75" x14ac:dyDescent="0.25">
      <c r="C553" s="15">
        <v>489923</v>
      </c>
      <c r="D553" s="4" t="s">
        <v>559</v>
      </c>
      <c r="E553" s="4" t="str">
        <f>HYPERLINK("https://app.crepc.sk/?fn=detailBiblioForm&amp;sid=175CFB56565B3853A2FAE3D004")</f>
        <v>https://app.crepc.sk/?fn=detailBiblioForm&amp;sid=175CFB56565B3853A2FAE3D004</v>
      </c>
      <c r="I553" s="2"/>
    </row>
    <row r="554" spans="3:9" ht="120" x14ac:dyDescent="0.25">
      <c r="C554" s="15">
        <v>521175</v>
      </c>
      <c r="D554" s="4" t="s">
        <v>560</v>
      </c>
      <c r="E554" s="4" t="str">
        <f>HYPERLINK("https://app.crepc.sk/?fn=detailBiblioForm&amp;sid=14728FEDCFA363D8F76069C4F0")</f>
        <v>https://app.crepc.sk/?fn=detailBiblioForm&amp;sid=14728FEDCFA363D8F76069C4F0</v>
      </c>
      <c r="I554" s="2"/>
    </row>
    <row r="555" spans="3:9" ht="135" x14ac:dyDescent="0.25">
      <c r="C555" s="15">
        <v>462706</v>
      </c>
      <c r="D555" s="4" t="s">
        <v>561</v>
      </c>
      <c r="E555" s="4" t="str">
        <f>HYPERLINK("https://app.crepc.sk/?fn=detailBiblioForm&amp;sid=A21312D1EC1E2783F4C91773B8")</f>
        <v>https://app.crepc.sk/?fn=detailBiblioForm&amp;sid=A21312D1EC1E2783F4C91773B8</v>
      </c>
      <c r="I555" s="2"/>
    </row>
    <row r="556" spans="3:9" ht="90" x14ac:dyDescent="0.25">
      <c r="C556" s="15">
        <v>479858</v>
      </c>
      <c r="D556" s="4" t="s">
        <v>562</v>
      </c>
      <c r="E556" s="4" t="str">
        <f>HYPERLINK("https://app.crepc.sk/?fn=detailBiblioForm&amp;sid=6EAC6F3F6336156ED7FF9138A6")</f>
        <v>https://app.crepc.sk/?fn=detailBiblioForm&amp;sid=6EAC6F3F6336156ED7FF9138A6</v>
      </c>
      <c r="I556" s="2"/>
    </row>
    <row r="557" spans="3:9" ht="105" x14ac:dyDescent="0.25">
      <c r="C557" s="15">
        <v>483900</v>
      </c>
      <c r="D557" s="4" t="s">
        <v>563</v>
      </c>
      <c r="E557" s="4" t="str">
        <f>HYPERLINK("https://app.crepc.sk/?fn=detailBiblioForm&amp;sid=F8303E194D2A08F473D973C2FC")</f>
        <v>https://app.crepc.sk/?fn=detailBiblioForm&amp;sid=F8303E194D2A08F473D973C2FC</v>
      </c>
      <c r="I557" s="2"/>
    </row>
    <row r="558" spans="3:9" ht="120" x14ac:dyDescent="0.25">
      <c r="C558" s="15">
        <v>461635</v>
      </c>
      <c r="D558" s="4" t="s">
        <v>564</v>
      </c>
      <c r="E558" s="4" t="str">
        <f>HYPERLINK("https://app.crepc.sk/?fn=detailBiblioForm&amp;sid=5E2AA8801657BEC816F2527E5A")</f>
        <v>https://app.crepc.sk/?fn=detailBiblioForm&amp;sid=5E2AA8801657BEC816F2527E5A</v>
      </c>
      <c r="I558" s="2"/>
    </row>
    <row r="559" spans="3:9" ht="90" x14ac:dyDescent="0.25">
      <c r="C559" s="15">
        <v>466231</v>
      </c>
      <c r="D559" s="4" t="s">
        <v>565</v>
      </c>
      <c r="E559" s="4" t="str">
        <f>HYPERLINK("https://app.crepc.sk/?fn=detailBiblioForm&amp;sid=BDEAEFA21A05A6EC93AE5BC647")</f>
        <v>https://app.crepc.sk/?fn=detailBiblioForm&amp;sid=BDEAEFA21A05A6EC93AE5BC647</v>
      </c>
      <c r="I559" s="2"/>
    </row>
    <row r="560" spans="3:9" ht="90" x14ac:dyDescent="0.25">
      <c r="C560" s="15">
        <v>459728</v>
      </c>
      <c r="D560" s="4" t="s">
        <v>566</v>
      </c>
      <c r="E560" s="4" t="str">
        <f>HYPERLINK("https://app.crepc.sk/?fn=detailBiblioForm&amp;sid=999A66B5A0C89A77BAFB5494CD")</f>
        <v>https://app.crepc.sk/?fn=detailBiblioForm&amp;sid=999A66B5A0C89A77BAFB5494CD</v>
      </c>
      <c r="I560" s="2"/>
    </row>
    <row r="561" spans="3:9" ht="60" x14ac:dyDescent="0.25">
      <c r="C561" s="15">
        <v>505870</v>
      </c>
      <c r="D561" s="4" t="s">
        <v>567</v>
      </c>
      <c r="E561" s="4" t="str">
        <f>HYPERLINK("https://app.crepc.sk/?fn=detailBiblioForm&amp;sid=26733A8A64F1EAF6EAB4E13F1E")</f>
        <v>https://app.crepc.sk/?fn=detailBiblioForm&amp;sid=26733A8A64F1EAF6EAB4E13F1E</v>
      </c>
      <c r="I561" s="2"/>
    </row>
    <row r="562" spans="3:9" ht="60" x14ac:dyDescent="0.25">
      <c r="C562" s="15">
        <v>499891</v>
      </c>
      <c r="D562" s="4" t="s">
        <v>568</v>
      </c>
      <c r="E562" s="4" t="str">
        <f>HYPERLINK("https://app.crepc.sk/?fn=detailBiblioForm&amp;sid=D283CF08949910C0DB73FB9ACC")</f>
        <v>https://app.crepc.sk/?fn=detailBiblioForm&amp;sid=D283CF08949910C0DB73FB9ACC</v>
      </c>
      <c r="I562" s="2"/>
    </row>
    <row r="563" spans="3:9" ht="105" x14ac:dyDescent="0.25">
      <c r="C563" s="15">
        <v>483510</v>
      </c>
      <c r="D563" s="4" t="s">
        <v>569</v>
      </c>
      <c r="E563" s="4" t="str">
        <f>HYPERLINK("https://app.crepc.sk/?fn=detailBiblioForm&amp;sid=A9AC4D239D4B0D4D758DCC7182")</f>
        <v>https://app.crepc.sk/?fn=detailBiblioForm&amp;sid=A9AC4D239D4B0D4D758DCC7182</v>
      </c>
      <c r="I563" s="2"/>
    </row>
    <row r="564" spans="3:9" ht="75" x14ac:dyDescent="0.25">
      <c r="C564" s="15">
        <v>490875</v>
      </c>
      <c r="D564" s="4" t="s">
        <v>570</v>
      </c>
      <c r="E564" s="4" t="str">
        <f>HYPERLINK("https://app.crepc.sk/?fn=detailBiblioForm&amp;sid=D57ED77E83F40C85AFCC87105C")</f>
        <v>https://app.crepc.sk/?fn=detailBiblioForm&amp;sid=D57ED77E83F40C85AFCC87105C</v>
      </c>
      <c r="I564" s="2"/>
    </row>
    <row r="565" spans="3:9" ht="90" x14ac:dyDescent="0.25">
      <c r="C565" s="15">
        <v>459367</v>
      </c>
      <c r="D565" s="4" t="s">
        <v>571</v>
      </c>
      <c r="E565" s="4" t="str">
        <f>HYPERLINK("https://app.crepc.sk/?fn=detailBiblioForm&amp;sid=38E9F2A312EDD8A1A6959CC79D")</f>
        <v>https://app.crepc.sk/?fn=detailBiblioForm&amp;sid=38E9F2A312EDD8A1A6959CC79D</v>
      </c>
      <c r="I565" s="2"/>
    </row>
    <row r="566" spans="3:9" ht="90" x14ac:dyDescent="0.25">
      <c r="C566" s="15">
        <v>477082</v>
      </c>
      <c r="D566" s="4" t="s">
        <v>572</v>
      </c>
      <c r="E566" s="4" t="str">
        <f>HYPERLINK("https://app.crepc.sk/?fn=detailBiblioForm&amp;sid=4E3F39B06703BA1CCB744946CB")</f>
        <v>https://app.crepc.sk/?fn=detailBiblioForm&amp;sid=4E3F39B06703BA1CCB744946CB</v>
      </c>
      <c r="I566" s="2"/>
    </row>
    <row r="567" spans="3:9" ht="135" x14ac:dyDescent="0.25">
      <c r="C567" s="15">
        <v>493217</v>
      </c>
      <c r="D567" s="4" t="s">
        <v>573</v>
      </c>
      <c r="E567" s="4" t="str">
        <f>HYPERLINK("https://app.crepc.sk/?fn=detailBiblioForm&amp;sid=4E79B8FE8AF02D278A208B671E")</f>
        <v>https://app.crepc.sk/?fn=detailBiblioForm&amp;sid=4E79B8FE8AF02D278A208B671E</v>
      </c>
      <c r="I567" s="2"/>
    </row>
    <row r="568" spans="3:9" ht="75" x14ac:dyDescent="0.25">
      <c r="C568" s="15">
        <v>493079</v>
      </c>
      <c r="D568" s="4" t="s">
        <v>574</v>
      </c>
      <c r="E568" s="4" t="str">
        <f>HYPERLINK("https://app.crepc.sk/?fn=detailBiblioForm&amp;sid=A08D0C06F20009E6D3EE93DA9B")</f>
        <v>https://app.crepc.sk/?fn=detailBiblioForm&amp;sid=A08D0C06F20009E6D3EE93DA9B</v>
      </c>
      <c r="I568" s="2"/>
    </row>
    <row r="569" spans="3:9" ht="60" x14ac:dyDescent="0.25">
      <c r="C569" s="15">
        <v>469480</v>
      </c>
      <c r="D569" s="4" t="s">
        <v>575</v>
      </c>
      <c r="E569" s="4" t="str">
        <f>HYPERLINK("https://app.crepc.sk/?fn=detailBiblioForm&amp;sid=60CFF5964A6149A8872B33F7DF")</f>
        <v>https://app.crepc.sk/?fn=detailBiblioForm&amp;sid=60CFF5964A6149A8872B33F7DF</v>
      </c>
      <c r="I569" s="2"/>
    </row>
    <row r="570" spans="3:9" ht="105" x14ac:dyDescent="0.25">
      <c r="C570" s="15">
        <v>485688</v>
      </c>
      <c r="D570" s="4" t="s">
        <v>576</v>
      </c>
      <c r="E570" s="4" t="str">
        <f>HYPERLINK("https://app.crepc.sk/?fn=detailBiblioForm&amp;sid=88A6572F4066E9B875BA4F27A6")</f>
        <v>https://app.crepc.sk/?fn=detailBiblioForm&amp;sid=88A6572F4066E9B875BA4F27A6</v>
      </c>
      <c r="I570" s="2"/>
    </row>
    <row r="571" spans="3:9" ht="75" x14ac:dyDescent="0.25">
      <c r="C571" s="15">
        <v>529243</v>
      </c>
      <c r="D571" s="4" t="s">
        <v>577</v>
      </c>
      <c r="E571" s="4" t="str">
        <f>HYPERLINK("https://app.crepc.sk/?fn=detailBiblioForm&amp;sid=C7EE819E36417AEFCDCEC0E72A")</f>
        <v>https://app.crepc.sk/?fn=detailBiblioForm&amp;sid=C7EE819E36417AEFCDCEC0E72A</v>
      </c>
      <c r="I571" s="2"/>
    </row>
    <row r="572" spans="3:9" ht="75" x14ac:dyDescent="0.25">
      <c r="C572" s="15">
        <v>469498</v>
      </c>
      <c r="D572" s="4" t="s">
        <v>578</v>
      </c>
      <c r="E572" s="4" t="str">
        <f>HYPERLINK("https://app.crepc.sk/?fn=detailBiblioForm&amp;sid=60CFF5964A6149A8862333F7DF")</f>
        <v>https://app.crepc.sk/?fn=detailBiblioForm&amp;sid=60CFF5964A6149A8862333F7DF</v>
      </c>
      <c r="I572" s="2"/>
    </row>
    <row r="573" spans="3:9" ht="90" x14ac:dyDescent="0.25">
      <c r="C573" s="15">
        <v>465859</v>
      </c>
      <c r="D573" s="4" t="s">
        <v>579</v>
      </c>
      <c r="E573" s="4" t="str">
        <f>HYPERLINK("https://app.crepc.sk/?fn=detailBiblioForm&amp;sid=F86629651EA85558F44ECB7175")</f>
        <v>https://app.crepc.sk/?fn=detailBiblioForm&amp;sid=F86629651EA85558F44ECB7175</v>
      </c>
      <c r="I573" s="2"/>
    </row>
    <row r="574" spans="3:9" ht="105" x14ac:dyDescent="0.25">
      <c r="C574" s="15">
        <v>494919</v>
      </c>
      <c r="D574" s="4" t="s">
        <v>580</v>
      </c>
      <c r="E574" s="4" t="str">
        <f>HYPERLINK("https://app.crepc.sk/?fn=detailBiblioForm&amp;sid=A402A57FF0D119DFAE3212694B")</f>
        <v>https://app.crepc.sk/?fn=detailBiblioForm&amp;sid=A402A57FF0D119DFAE3212694B</v>
      </c>
      <c r="I574" s="2"/>
    </row>
    <row r="575" spans="3:9" ht="75" x14ac:dyDescent="0.25">
      <c r="C575" s="15">
        <v>473085</v>
      </c>
      <c r="D575" s="4" t="s">
        <v>581</v>
      </c>
      <c r="E575" s="4" t="str">
        <f>HYPERLINK("https://app.crepc.sk/?fn=detailBiblioForm&amp;sid=52CABADEC9521F98A3D3A4DCEB")</f>
        <v>https://app.crepc.sk/?fn=detailBiblioForm&amp;sid=52CABADEC9521F98A3D3A4DCEB</v>
      </c>
      <c r="I575" s="2"/>
    </row>
    <row r="576" spans="3:9" ht="75" x14ac:dyDescent="0.25">
      <c r="C576" s="15">
        <v>474232</v>
      </c>
      <c r="D576" s="4" t="s">
        <v>582</v>
      </c>
      <c r="E576" s="4" t="str">
        <f>HYPERLINK("https://app.crepc.sk/?fn=detailBiblioForm&amp;sid=076AEDFDBB54A6325D0FAE4DCC")</f>
        <v>https://app.crepc.sk/?fn=detailBiblioForm&amp;sid=076AEDFDBB54A6325D0FAE4DCC</v>
      </c>
      <c r="I576" s="2"/>
    </row>
    <row r="577" spans="3:9" ht="105" x14ac:dyDescent="0.25">
      <c r="C577" s="15">
        <v>474237</v>
      </c>
      <c r="D577" s="4" t="s">
        <v>583</v>
      </c>
      <c r="E577" s="4" t="str">
        <f>HYPERLINK("https://app.crepc.sk/?fn=detailBiblioForm&amp;sid=076AEDFDBB54A6325D0AAE4DCC")</f>
        <v>https://app.crepc.sk/?fn=detailBiblioForm&amp;sid=076AEDFDBB54A6325D0AAE4DCC</v>
      </c>
      <c r="I577" s="2"/>
    </row>
    <row r="578" spans="3:9" ht="90" x14ac:dyDescent="0.25">
      <c r="C578" s="15">
        <v>477084</v>
      </c>
      <c r="D578" s="4" t="s">
        <v>584</v>
      </c>
      <c r="E578" s="4" t="str">
        <f>HYPERLINK("https://app.crepc.sk/?fn=detailBiblioForm&amp;sid=4E3F39B06703BA1CCB724946CB")</f>
        <v>https://app.crepc.sk/?fn=detailBiblioForm&amp;sid=4E3F39B06703BA1CCB724946CB</v>
      </c>
      <c r="I578" s="2"/>
    </row>
    <row r="579" spans="3:9" ht="105" x14ac:dyDescent="0.25">
      <c r="C579" s="15">
        <v>523680</v>
      </c>
      <c r="D579" s="4" t="s">
        <v>585</v>
      </c>
      <c r="E579" s="4" t="str">
        <f>HYPERLINK("https://app.crepc.sk/?fn=detailBiblioForm&amp;sid=088DA6A565887277EDF4FBD7A9")</f>
        <v>https://app.crepc.sk/?fn=detailBiblioForm&amp;sid=088DA6A565887277EDF4FBD7A9</v>
      </c>
      <c r="I579" s="2"/>
    </row>
    <row r="580" spans="3:9" ht="75" x14ac:dyDescent="0.25">
      <c r="C580" s="15">
        <v>462666</v>
      </c>
      <c r="D580" s="4" t="s">
        <v>586</v>
      </c>
      <c r="E580" s="4" t="str">
        <f>HYPERLINK("https://app.crepc.sk/?fn=detailBiblioForm&amp;sid=DE038CA97CA1C471A497D3CE71")</f>
        <v>https://app.crepc.sk/?fn=detailBiblioForm&amp;sid=DE038CA97CA1C471A497D3CE71</v>
      </c>
      <c r="I580" s="2"/>
    </row>
    <row r="581" spans="3:9" ht="60" x14ac:dyDescent="0.25">
      <c r="C581" s="15">
        <v>460892</v>
      </c>
      <c r="D581" s="4" t="s">
        <v>587</v>
      </c>
      <c r="E581" s="4" t="str">
        <f>HYPERLINK("https://app.crepc.sk/?fn=detailBiblioForm&amp;sid=88983A6D8031953B1AEC91249D")</f>
        <v>https://app.crepc.sk/?fn=detailBiblioForm&amp;sid=88983A6D8031953B1AEC91249D</v>
      </c>
      <c r="I581" s="2"/>
    </row>
    <row r="582" spans="3:9" ht="90" x14ac:dyDescent="0.25">
      <c r="C582" s="15">
        <v>488089</v>
      </c>
      <c r="D582" s="4" t="s">
        <v>588</v>
      </c>
      <c r="E582" s="4" t="str">
        <f>HYPERLINK("https://app.crepc.sk/?fn=detailBiblioForm&amp;sid=2685410F70B2C8E1EC46D804D9")</f>
        <v>https://app.crepc.sk/?fn=detailBiblioForm&amp;sid=2685410F70B2C8E1EC46D804D9</v>
      </c>
      <c r="I582" s="2"/>
    </row>
    <row r="583" spans="3:9" ht="75" x14ac:dyDescent="0.25">
      <c r="C583" s="15">
        <v>463488</v>
      </c>
      <c r="D583" s="4" t="s">
        <v>589</v>
      </c>
      <c r="E583" s="4" t="str">
        <f>HYPERLINK("https://app.crepc.sk/?fn=detailBiblioForm&amp;sid=796E8C6E642B47B162520D1BEB")</f>
        <v>https://app.crepc.sk/?fn=detailBiblioForm&amp;sid=796E8C6E642B47B162520D1BEB</v>
      </c>
      <c r="I583" s="2"/>
    </row>
    <row r="584" spans="3:9" ht="105" x14ac:dyDescent="0.25">
      <c r="C584" s="15">
        <v>514494</v>
      </c>
      <c r="D584" s="4" t="s">
        <v>590</v>
      </c>
      <c r="E584" s="4" t="str">
        <f>HYPERLINK("https://app.crepc.sk/?fn=detailBiblioForm&amp;sid=132F64BA1818EBB5A4213DF09B")</f>
        <v>https://app.crepc.sk/?fn=detailBiblioForm&amp;sid=132F64BA1818EBB5A4213DF09B</v>
      </c>
      <c r="I584" s="2"/>
    </row>
    <row r="585" spans="3:9" ht="75" x14ac:dyDescent="0.25">
      <c r="C585" s="15">
        <v>474251</v>
      </c>
      <c r="D585" s="4" t="s">
        <v>591</v>
      </c>
      <c r="E585" s="4" t="str">
        <f>HYPERLINK("https://app.crepc.sk/?fn=detailBiblioForm&amp;sid=076AEDFDBB54A6325B0CAE4DCC")</f>
        <v>https://app.crepc.sk/?fn=detailBiblioForm&amp;sid=076AEDFDBB54A6325B0CAE4DCC</v>
      </c>
      <c r="I585" s="2"/>
    </row>
    <row r="586" spans="3:9" ht="90" x14ac:dyDescent="0.25">
      <c r="C586" s="15">
        <v>520471</v>
      </c>
      <c r="D586" s="4" t="s">
        <v>592</v>
      </c>
      <c r="E586" s="4" t="str">
        <f>HYPERLINK("https://app.crepc.sk/?fn=detailBiblioForm&amp;sid=A3B65ED8C4EA60F68B42C806B2")</f>
        <v>https://app.crepc.sk/?fn=detailBiblioForm&amp;sid=A3B65ED8C4EA60F68B42C806B2</v>
      </c>
      <c r="I586" s="2"/>
    </row>
    <row r="587" spans="3:9" ht="60" x14ac:dyDescent="0.25">
      <c r="C587" s="15">
        <v>489335</v>
      </c>
      <c r="D587" s="4" t="s">
        <v>593</v>
      </c>
      <c r="E587" s="4" t="str">
        <f>HYPERLINK("https://app.crepc.sk/?fn=detailBiblioForm&amp;sid=3A3DF54F201D6F74B74D7932E1")</f>
        <v>https://app.crepc.sk/?fn=detailBiblioForm&amp;sid=3A3DF54F201D6F74B74D7932E1</v>
      </c>
      <c r="I587" s="2"/>
    </row>
    <row r="588" spans="3:9" ht="60" x14ac:dyDescent="0.25">
      <c r="C588" s="15">
        <v>528152</v>
      </c>
      <c r="D588" s="4" t="s">
        <v>594</v>
      </c>
      <c r="E588" s="4" t="str">
        <f>HYPERLINK("https://app.crepc.sk/?fn=detailBiblioForm&amp;sid=EE1B49D435F7F13E5DA1772E60")</f>
        <v>https://app.crepc.sk/?fn=detailBiblioForm&amp;sid=EE1B49D435F7F13E5DA1772E60</v>
      </c>
      <c r="I588" s="2"/>
    </row>
    <row r="589" spans="3:9" ht="60" x14ac:dyDescent="0.25">
      <c r="C589" s="15">
        <v>458128</v>
      </c>
      <c r="D589" s="4" t="s">
        <v>595</v>
      </c>
      <c r="E589" s="4" t="str">
        <f>HYPERLINK("https://app.crepc.sk/?fn=detailBiblioForm&amp;sid=071A873BB8FAF95F59DF9A64F9")</f>
        <v>https://app.crepc.sk/?fn=detailBiblioForm&amp;sid=071A873BB8FAF95F59DF9A64F9</v>
      </c>
      <c r="I589" s="2"/>
    </row>
    <row r="590" spans="3:9" ht="105" x14ac:dyDescent="0.25">
      <c r="C590" s="15">
        <v>489513</v>
      </c>
      <c r="D590" s="4" t="s">
        <v>596</v>
      </c>
      <c r="E590" s="4" t="str">
        <f>HYPERLINK("https://app.crepc.sk/?fn=detailBiblioForm&amp;sid=F85EB45CE9C89F9FE845F5D8EF")</f>
        <v>https://app.crepc.sk/?fn=detailBiblioForm&amp;sid=F85EB45CE9C89F9FE845F5D8EF</v>
      </c>
      <c r="I590" s="2"/>
    </row>
    <row r="591" spans="3:9" ht="90" x14ac:dyDescent="0.25">
      <c r="C591" s="15">
        <v>481514</v>
      </c>
      <c r="D591" s="4" t="s">
        <v>597</v>
      </c>
      <c r="E591" s="4" t="str">
        <f>HYPERLINK("https://app.crepc.sk/?fn=detailBiblioForm&amp;sid=2D19B3FD55874D6F70DB603105")</f>
        <v>https://app.crepc.sk/?fn=detailBiblioForm&amp;sid=2D19B3FD55874D6F70DB603105</v>
      </c>
      <c r="I591" s="2"/>
    </row>
    <row r="592" spans="3:9" ht="60" x14ac:dyDescent="0.25">
      <c r="C592" s="15">
        <v>468705</v>
      </c>
      <c r="D592" s="4" t="s">
        <v>598</v>
      </c>
      <c r="E592" s="4" t="str">
        <f>HYPERLINK("https://app.crepc.sk/?fn=detailBiblioForm&amp;sid=41E35661D0C5470221FBD4B3B0")</f>
        <v>https://app.crepc.sk/?fn=detailBiblioForm&amp;sid=41E35661D0C5470221FBD4B3B0</v>
      </c>
      <c r="I592" s="2"/>
    </row>
    <row r="593" spans="3:9" ht="90" x14ac:dyDescent="0.25">
      <c r="C593" s="15">
        <v>510398</v>
      </c>
      <c r="D593" s="4" t="s">
        <v>599</v>
      </c>
      <c r="E593" s="4" t="str">
        <f>HYPERLINK("https://app.crepc.sk/?fn=detailBiblioForm&amp;sid=769CE8C4892DDB6220D396C518")</f>
        <v>https://app.crepc.sk/?fn=detailBiblioForm&amp;sid=769CE8C4892DDB6220D396C518</v>
      </c>
      <c r="I593" s="2"/>
    </row>
    <row r="594" spans="3:9" ht="105" x14ac:dyDescent="0.25">
      <c r="C594" s="15">
        <v>494959</v>
      </c>
      <c r="D594" s="4" t="s">
        <v>600</v>
      </c>
      <c r="E594" s="4" t="str">
        <f>HYPERLINK("https://app.crepc.sk/?fn=detailBiblioForm&amp;sid=A402A57FF0D119DFAA3212694B")</f>
        <v>https://app.crepc.sk/?fn=detailBiblioForm&amp;sid=A402A57FF0D119DFAA3212694B</v>
      </c>
      <c r="I594" s="2"/>
    </row>
    <row r="595" spans="3:9" ht="135" x14ac:dyDescent="0.25">
      <c r="C595" s="15">
        <v>493211</v>
      </c>
      <c r="D595" s="4" t="s">
        <v>601</v>
      </c>
      <c r="E595" s="4" t="str">
        <f>HYPERLINK("https://app.crepc.sk/?fn=detailBiblioForm&amp;sid=4E79B8FE8AF02D278A268B671E")</f>
        <v>https://app.crepc.sk/?fn=detailBiblioForm&amp;sid=4E79B8FE8AF02D278A268B671E</v>
      </c>
      <c r="I595" s="2"/>
    </row>
    <row r="596" spans="3:9" ht="75" x14ac:dyDescent="0.25">
      <c r="C596" s="15">
        <v>483509</v>
      </c>
      <c r="D596" s="4" t="s">
        <v>602</v>
      </c>
      <c r="E596" s="4" t="str">
        <f>HYPERLINK("https://app.crepc.sk/?fn=detailBiblioForm&amp;sid=A9AC4D239D4B0D4D7484CC7182")</f>
        <v>https://app.crepc.sk/?fn=detailBiblioForm&amp;sid=A9AC4D239D4B0D4D7484CC7182</v>
      </c>
      <c r="I596" s="2"/>
    </row>
    <row r="597" spans="3:9" ht="105" x14ac:dyDescent="0.25">
      <c r="C597" s="15">
        <v>477077</v>
      </c>
      <c r="D597" s="4" t="s">
        <v>603</v>
      </c>
      <c r="E597" s="4" t="str">
        <f>HYPERLINK("https://app.crepc.sk/?fn=detailBiblioForm&amp;sid=4E3F39B06703BA1CC4714946CB")</f>
        <v>https://app.crepc.sk/?fn=detailBiblioForm&amp;sid=4E3F39B06703BA1CC4714946CB</v>
      </c>
      <c r="I597" s="2"/>
    </row>
    <row r="598" spans="3:9" ht="90" x14ac:dyDescent="0.25">
      <c r="C598" s="15">
        <v>466799</v>
      </c>
      <c r="D598" s="4" t="s">
        <v>604</v>
      </c>
      <c r="E598" s="4" t="str">
        <f>HYPERLINK("https://app.crepc.sk/?fn=detailBiblioForm&amp;sid=2967F76C5095C99EAC5AB1582D")</f>
        <v>https://app.crepc.sk/?fn=detailBiblioForm&amp;sid=2967F76C5095C99EAC5AB1582D</v>
      </c>
      <c r="I598" s="2"/>
    </row>
    <row r="599" spans="3:9" ht="90" x14ac:dyDescent="0.25">
      <c r="C599" s="15">
        <v>469537</v>
      </c>
      <c r="D599" s="4" t="s">
        <v>605</v>
      </c>
      <c r="E599" s="4" t="str">
        <f>HYPERLINK("https://app.crepc.sk/?fn=detailBiblioForm&amp;sid=E7D7E0932ADF3E22EF2C06DECE")</f>
        <v>https://app.crepc.sk/?fn=detailBiblioForm&amp;sid=E7D7E0932ADF3E22EF2C06DECE</v>
      </c>
      <c r="I599" s="2"/>
    </row>
    <row r="600" spans="3:9" ht="90" x14ac:dyDescent="0.25">
      <c r="C600" s="15">
        <v>483908</v>
      </c>
      <c r="D600" s="4" t="s">
        <v>606</v>
      </c>
      <c r="E600" s="4" t="str">
        <f>HYPERLINK("https://app.crepc.sk/?fn=detailBiblioForm&amp;sid=F8303E194D2A08F473D173C2FC")</f>
        <v>https://app.crepc.sk/?fn=detailBiblioForm&amp;sid=F8303E194D2A08F473D173C2FC</v>
      </c>
      <c r="I600" s="2"/>
    </row>
    <row r="601" spans="3:9" ht="105" x14ac:dyDescent="0.25">
      <c r="C601" s="15">
        <v>511953</v>
      </c>
      <c r="D601" s="4" t="s">
        <v>607</v>
      </c>
      <c r="E601" s="4" t="str">
        <f>HYPERLINK("https://app.crepc.sk/?fn=detailBiblioForm&amp;sid=7C67099AC5BBA8842F6BA4E232")</f>
        <v>https://app.crepc.sk/?fn=detailBiblioForm&amp;sid=7C67099AC5BBA8842F6BA4E232</v>
      </c>
      <c r="I601" s="2"/>
    </row>
    <row r="602" spans="3:9" ht="105" x14ac:dyDescent="0.25">
      <c r="C602" s="15">
        <v>511952</v>
      </c>
      <c r="D602" s="4" t="s">
        <v>608</v>
      </c>
      <c r="E602" s="4" t="str">
        <f>HYPERLINK("https://app.crepc.sk/?fn=detailBiblioForm&amp;sid=7C67099AC5BBA8842F6AA4E232")</f>
        <v>https://app.crepc.sk/?fn=detailBiblioForm&amp;sid=7C67099AC5BBA8842F6AA4E232</v>
      </c>
      <c r="I602" s="2"/>
    </row>
    <row r="603" spans="3:9" ht="90" x14ac:dyDescent="0.25">
      <c r="C603" s="15">
        <v>521778</v>
      </c>
      <c r="D603" s="4" t="s">
        <v>609</v>
      </c>
      <c r="E603" s="4" t="str">
        <f>HYPERLINK("https://app.crepc.sk/?fn=detailBiblioForm&amp;sid=B7AA9AE37E14B8500DBAB70591")</f>
        <v>https://app.crepc.sk/?fn=detailBiblioForm&amp;sid=B7AA9AE37E14B8500DBAB70591</v>
      </c>
      <c r="I603" s="2"/>
    </row>
    <row r="604" spans="3:9" ht="90" x14ac:dyDescent="0.25">
      <c r="C604" s="15">
        <v>494943</v>
      </c>
      <c r="D604" s="4" t="s">
        <v>610</v>
      </c>
      <c r="E604" s="4" t="str">
        <f>HYPERLINK("https://app.crepc.sk/?fn=detailBiblioForm&amp;sid=A402A57FF0D119DFAB3812694B")</f>
        <v>https://app.crepc.sk/?fn=detailBiblioForm&amp;sid=A402A57FF0D119DFAB3812694B</v>
      </c>
      <c r="I604" s="2"/>
    </row>
    <row r="605" spans="3:9" ht="75" x14ac:dyDescent="0.25">
      <c r="C605" s="15">
        <v>504444</v>
      </c>
      <c r="D605" s="4" t="s">
        <v>611</v>
      </c>
      <c r="E605" s="4" t="str">
        <f>HYPERLINK("https://app.crepc.sk/?fn=detailBiblioForm&amp;sid=7C3A198D5A4E59A389473F461D")</f>
        <v>https://app.crepc.sk/?fn=detailBiblioForm&amp;sid=7C3A198D5A4E59A389473F461D</v>
      </c>
      <c r="I605" s="2"/>
    </row>
    <row r="606" spans="3:9" ht="75" x14ac:dyDescent="0.25">
      <c r="C606" s="15">
        <v>506671</v>
      </c>
      <c r="D606" s="4" t="s">
        <v>612</v>
      </c>
      <c r="E606" s="4" t="str">
        <f>HYPERLINK("https://app.crepc.sk/?fn=detailBiblioForm&amp;sid=08ADEF166DE7AA4776DCF6E724")</f>
        <v>https://app.crepc.sk/?fn=detailBiblioForm&amp;sid=08ADEF166DE7AA4776DCF6E724</v>
      </c>
      <c r="I606" s="2"/>
    </row>
    <row r="607" spans="3:9" ht="120" x14ac:dyDescent="0.25">
      <c r="C607" s="15">
        <v>507923</v>
      </c>
      <c r="D607" s="4" t="s">
        <v>613</v>
      </c>
      <c r="E607" s="4" t="str">
        <f>HYPERLINK("https://app.crepc.sk/?fn=detailBiblioForm&amp;sid=7551FE5B489329C5A4DC0E052F")</f>
        <v>https://app.crepc.sk/?fn=detailBiblioForm&amp;sid=7551FE5B489329C5A4DC0E052F</v>
      </c>
      <c r="I607" s="2"/>
    </row>
    <row r="608" spans="3:9" ht="90" x14ac:dyDescent="0.25">
      <c r="C608" s="15">
        <v>493092</v>
      </c>
      <c r="D608" s="4" t="s">
        <v>614</v>
      </c>
      <c r="E608" s="4" t="str">
        <f>HYPERLINK("https://app.crepc.sk/?fn=detailBiblioForm&amp;sid=A08D0C06F20009E6DDE593DA9B")</f>
        <v>https://app.crepc.sk/?fn=detailBiblioForm&amp;sid=A08D0C06F20009E6DDE593DA9B</v>
      </c>
      <c r="I608" s="2"/>
    </row>
    <row r="609" spans="3:9" ht="105" x14ac:dyDescent="0.25">
      <c r="C609" s="15">
        <v>466487</v>
      </c>
      <c r="D609" s="4" t="s">
        <v>615</v>
      </c>
      <c r="E609" s="4" t="str">
        <f>HYPERLINK("https://app.crepc.sk/?fn=detailBiblioForm&amp;sid=4A57F5CE42BBA0E30A770E71DF")</f>
        <v>https://app.crepc.sk/?fn=detailBiblioForm&amp;sid=4A57F5CE42BBA0E30A770E71DF</v>
      </c>
      <c r="I609" s="2"/>
    </row>
    <row r="610" spans="3:9" ht="90" x14ac:dyDescent="0.25">
      <c r="C610" s="15">
        <v>495178</v>
      </c>
      <c r="D610" s="4" t="s">
        <v>616</v>
      </c>
      <c r="E610" s="4" t="str">
        <f>HYPERLINK("https://app.crepc.sk/?fn=detailBiblioForm&amp;sid=6A891679F364FB5922D0774791")</f>
        <v>https://app.crepc.sk/?fn=detailBiblioForm&amp;sid=6A891679F364FB5922D0774791</v>
      </c>
      <c r="I610" s="2"/>
    </row>
    <row r="611" spans="3:9" ht="90" x14ac:dyDescent="0.25">
      <c r="C611" s="15">
        <v>462212</v>
      </c>
      <c r="D611" s="4" t="s">
        <v>617</v>
      </c>
      <c r="E611" s="4" t="str">
        <f>HYPERLINK("https://app.crepc.sk/?fn=detailBiblioForm&amp;sid=E68A28514C842E16DC92554337")</f>
        <v>https://app.crepc.sk/?fn=detailBiblioForm&amp;sid=E68A28514C842E16DC92554337</v>
      </c>
      <c r="I611" s="2"/>
    </row>
    <row r="612" spans="3:9" ht="90" x14ac:dyDescent="0.25">
      <c r="C612" s="15">
        <v>475812</v>
      </c>
      <c r="D612" s="4" t="s">
        <v>618</v>
      </c>
      <c r="E612" s="4" t="str">
        <f>HYPERLINK("https://app.crepc.sk/?fn=detailBiblioForm&amp;sid=96B46CA843D0FC6DF85FFDA77E")</f>
        <v>https://app.crepc.sk/?fn=detailBiblioForm&amp;sid=96B46CA843D0FC6DF85FFDA77E</v>
      </c>
      <c r="I612" s="2"/>
    </row>
    <row r="613" spans="3:9" ht="60" x14ac:dyDescent="0.25">
      <c r="C613" s="15">
        <v>525583</v>
      </c>
      <c r="D613" s="4" t="s">
        <v>619</v>
      </c>
      <c r="E613" s="4" t="str">
        <f>HYPERLINK("https://app.crepc.sk/?fn=detailBiblioForm&amp;sid=2EE6BBBE64B1EAD1C33FD0E32D")</f>
        <v>https://app.crepc.sk/?fn=detailBiblioForm&amp;sid=2EE6BBBE64B1EAD1C33FD0E32D</v>
      </c>
      <c r="I613" s="2"/>
    </row>
    <row r="614" spans="3:9" ht="75" x14ac:dyDescent="0.25">
      <c r="C614" s="15">
        <v>470121</v>
      </c>
      <c r="D614" s="4" t="s">
        <v>620</v>
      </c>
      <c r="E614" s="4" t="str">
        <f>HYPERLINK("https://app.crepc.sk/?fn=detailBiblioForm&amp;sid=5B55F84324F78217EA520CF4EC")</f>
        <v>https://app.crepc.sk/?fn=detailBiblioForm&amp;sid=5B55F84324F78217EA520CF4EC</v>
      </c>
      <c r="I614" s="2"/>
    </row>
    <row r="615" spans="3:9" ht="90" x14ac:dyDescent="0.25">
      <c r="C615" s="15">
        <v>502281</v>
      </c>
      <c r="D615" s="4" t="s">
        <v>621</v>
      </c>
      <c r="E615" s="4" t="str">
        <f>HYPERLINK("https://app.crepc.sk/?fn=detailBiblioForm&amp;sid=9C6E66246BF7DA2EF8CBDC384D")</f>
        <v>https://app.crepc.sk/?fn=detailBiblioForm&amp;sid=9C6E66246BF7DA2EF8CBDC384D</v>
      </c>
      <c r="I615" s="2"/>
    </row>
    <row r="616" spans="3:9" ht="105" x14ac:dyDescent="0.25">
      <c r="C616" s="15">
        <v>482022</v>
      </c>
      <c r="D616" s="4" t="s">
        <v>622</v>
      </c>
      <c r="E616" s="4" t="str">
        <f>HYPERLINK("https://app.crepc.sk/?fn=detailBiblioForm&amp;sid=C0E3D9FE3EAE50AEBAB08205C0")</f>
        <v>https://app.crepc.sk/?fn=detailBiblioForm&amp;sid=C0E3D9FE3EAE50AEBAB08205C0</v>
      </c>
      <c r="I616" s="2"/>
    </row>
    <row r="617" spans="3:9" ht="90" x14ac:dyDescent="0.25">
      <c r="C617" s="15">
        <v>461430</v>
      </c>
      <c r="D617" s="4" t="s">
        <v>623</v>
      </c>
      <c r="E617" s="4" t="str">
        <f>HYPERLINK("https://app.crepc.sk/?fn=detailBiblioForm&amp;sid=282A8926082B6C1757608FD4D6")</f>
        <v>https://app.crepc.sk/?fn=detailBiblioForm&amp;sid=282A8926082B6C1757608FD4D6</v>
      </c>
      <c r="I617" s="2"/>
    </row>
    <row r="618" spans="3:9" ht="90" x14ac:dyDescent="0.25">
      <c r="C618" s="15">
        <v>477083</v>
      </c>
      <c r="D618" s="4" t="s">
        <v>624</v>
      </c>
      <c r="E618" s="4" t="str">
        <f>HYPERLINK("https://app.crepc.sk/?fn=detailBiblioForm&amp;sid=4E3F39B06703BA1CCB754946CB")</f>
        <v>https://app.crepc.sk/?fn=detailBiblioForm&amp;sid=4E3F39B06703BA1CCB754946CB</v>
      </c>
      <c r="I618" s="2"/>
    </row>
    <row r="619" spans="3:9" ht="60" x14ac:dyDescent="0.25">
      <c r="C619" s="15">
        <v>529651</v>
      </c>
      <c r="D619" s="4" t="s">
        <v>625</v>
      </c>
      <c r="E619" s="4" t="str">
        <f>HYPERLINK("https://app.crepc.sk/?fn=detailBiblioForm&amp;sid=F0A8B48C8225E416880F9526C3")</f>
        <v>https://app.crepc.sk/?fn=detailBiblioForm&amp;sid=F0A8B48C8225E416880F9526C3</v>
      </c>
      <c r="I619" s="2"/>
    </row>
    <row r="620" spans="3:9" ht="60" x14ac:dyDescent="0.25">
      <c r="C620" s="15">
        <v>473024</v>
      </c>
      <c r="D620" s="4" t="s">
        <v>626</v>
      </c>
      <c r="E620" s="4" t="str">
        <f>HYPERLINK("https://app.crepc.sk/?fn=detailBiblioForm&amp;sid=52CABADEC9521F98A9D2A4DCEB")</f>
        <v>https://app.crepc.sk/?fn=detailBiblioForm&amp;sid=52CABADEC9521F98A9D2A4DCEB</v>
      </c>
      <c r="I620" s="2"/>
    </row>
    <row r="621" spans="3:9" ht="105" x14ac:dyDescent="0.25">
      <c r="C621" s="15">
        <v>493093</v>
      </c>
      <c r="D621" s="4" t="s">
        <v>627</v>
      </c>
      <c r="E621" s="4" t="str">
        <f>HYPERLINK("https://app.crepc.sk/?fn=detailBiblioForm&amp;sid=A08D0C06F20009E6DDE493DA9B")</f>
        <v>https://app.crepc.sk/?fn=detailBiblioForm&amp;sid=A08D0C06F20009E6DDE493DA9B</v>
      </c>
      <c r="I621" s="2"/>
    </row>
    <row r="622" spans="3:9" ht="75" x14ac:dyDescent="0.25">
      <c r="C622" s="15">
        <v>529807</v>
      </c>
      <c r="D622" s="4" t="s">
        <v>628</v>
      </c>
      <c r="E622" s="4" t="str">
        <f>HYPERLINK("https://app.crepc.sk/?fn=detailBiblioForm&amp;sid=E5489D6BC24E57899CA2605CBC")</f>
        <v>https://app.crepc.sk/?fn=detailBiblioForm&amp;sid=E5489D6BC24E57899CA2605CBC</v>
      </c>
      <c r="I622" s="2"/>
    </row>
    <row r="623" spans="3:9" ht="75" x14ac:dyDescent="0.25">
      <c r="C623" s="15">
        <v>523055</v>
      </c>
      <c r="D623" s="4" t="s">
        <v>629</v>
      </c>
      <c r="E623" s="4" t="str">
        <f>HYPERLINK("https://app.crepc.sk/?fn=detailBiblioForm&amp;sid=3AEED5F70FAF2E07B8969D6A2D")</f>
        <v>https://app.crepc.sk/?fn=detailBiblioForm&amp;sid=3AEED5F70FAF2E07B8969D6A2D</v>
      </c>
      <c r="I623" s="2"/>
    </row>
    <row r="624" spans="3:9" ht="90" x14ac:dyDescent="0.25">
      <c r="C624" s="15">
        <v>469256</v>
      </c>
      <c r="D624" s="4" t="s">
        <v>630</v>
      </c>
      <c r="E624" s="4" t="str">
        <f>HYPERLINK("https://app.crepc.sk/?fn=detailBiblioForm&amp;sid=346138409FBC57E15FF72B83EE")</f>
        <v>https://app.crepc.sk/?fn=detailBiblioForm&amp;sid=346138409FBC57E15FF72B83EE</v>
      </c>
      <c r="I624" s="2"/>
    </row>
    <row r="625" spans="3:9" ht="90" x14ac:dyDescent="0.25">
      <c r="C625" s="15">
        <v>496151</v>
      </c>
      <c r="D625" s="4" t="s">
        <v>631</v>
      </c>
      <c r="E625" s="4" t="str">
        <f>HYPERLINK("https://app.crepc.sk/?fn=detailBiblioForm&amp;sid=321DFF4A56F97916FF539E4D35")</f>
        <v>https://app.crepc.sk/?fn=detailBiblioForm&amp;sid=321DFF4A56F97916FF539E4D35</v>
      </c>
      <c r="I625" s="2"/>
    </row>
    <row r="626" spans="3:9" ht="105" x14ac:dyDescent="0.25">
      <c r="C626" s="15">
        <v>478252</v>
      </c>
      <c r="D626" s="4" t="s">
        <v>632</v>
      </c>
      <c r="E626" s="4" t="str">
        <f>HYPERLINK("https://app.crepc.sk/?fn=detailBiblioForm&amp;sid=5AD89374AB637BC8E47A5BCB0A")</f>
        <v>https://app.crepc.sk/?fn=detailBiblioForm&amp;sid=5AD89374AB637BC8E47A5BCB0A</v>
      </c>
      <c r="I626" s="2"/>
    </row>
    <row r="627" spans="3:9" ht="90" x14ac:dyDescent="0.25">
      <c r="C627" s="15">
        <v>504033</v>
      </c>
      <c r="D627" s="4" t="s">
        <v>633</v>
      </c>
      <c r="E627" s="4" t="str">
        <f>HYPERLINK("https://app.crepc.sk/?fn=detailBiblioForm&amp;sid=33FC59FB6C6FD7A55B768357A0")</f>
        <v>https://app.crepc.sk/?fn=detailBiblioForm&amp;sid=33FC59FB6C6FD7A55B768357A0</v>
      </c>
      <c r="I627" s="2"/>
    </row>
    <row r="628" spans="3:9" ht="90" x14ac:dyDescent="0.25">
      <c r="C628" s="15">
        <v>511940</v>
      </c>
      <c r="D628" s="4" t="s">
        <v>634</v>
      </c>
      <c r="E628" s="4" t="str">
        <f>HYPERLINK("https://app.crepc.sk/?fn=detailBiblioForm&amp;sid=7C67099AC5BBA8842E68A4E232")</f>
        <v>https://app.crepc.sk/?fn=detailBiblioForm&amp;sid=7C67099AC5BBA8842E68A4E232</v>
      </c>
      <c r="I628" s="2"/>
    </row>
    <row r="629" spans="3:9" ht="90" x14ac:dyDescent="0.25">
      <c r="C629" s="15">
        <v>469442</v>
      </c>
      <c r="D629" s="4" t="s">
        <v>635</v>
      </c>
      <c r="E629" s="4" t="str">
        <f>HYPERLINK("https://app.crepc.sk/?fn=detailBiblioForm&amp;sid=60CFF5964A6149A88B2933F7DF")</f>
        <v>https://app.crepc.sk/?fn=detailBiblioForm&amp;sid=60CFF5964A6149A88B2933F7DF</v>
      </c>
      <c r="I629" s="2"/>
    </row>
    <row r="630" spans="3:9" ht="75" x14ac:dyDescent="0.25">
      <c r="C630" s="15">
        <v>504654</v>
      </c>
      <c r="D630" s="4" t="s">
        <v>636</v>
      </c>
      <c r="E630" s="4" t="str">
        <f>HYPERLINK("https://app.crepc.sk/?fn=detailBiblioForm&amp;sid=82558D5A2F342A524BBB263903")</f>
        <v>https://app.crepc.sk/?fn=detailBiblioForm&amp;sid=82558D5A2F342A524BBB263903</v>
      </c>
      <c r="I630" s="2"/>
    </row>
    <row r="631" spans="3:9" ht="75" x14ac:dyDescent="0.25">
      <c r="C631" s="15">
        <v>468518</v>
      </c>
      <c r="D631" s="4" t="s">
        <v>637</v>
      </c>
      <c r="E631" s="4" t="str">
        <f>HYPERLINK("https://app.crepc.sk/?fn=detailBiblioForm&amp;sid=234FD712864E2777B694842872")</f>
        <v>https://app.crepc.sk/?fn=detailBiblioForm&amp;sid=234FD712864E2777B694842872</v>
      </c>
      <c r="I631" s="2"/>
    </row>
    <row r="632" spans="3:9" ht="90" x14ac:dyDescent="0.25">
      <c r="C632" s="15">
        <v>466798</v>
      </c>
      <c r="D632" s="4" t="s">
        <v>638</v>
      </c>
      <c r="E632" s="4" t="str">
        <f>HYPERLINK("https://app.crepc.sk/?fn=detailBiblioForm&amp;sid=2967F76C5095C99EAC5BB1582D")</f>
        <v>https://app.crepc.sk/?fn=detailBiblioForm&amp;sid=2967F76C5095C99EAC5BB1582D</v>
      </c>
      <c r="I632" s="2"/>
    </row>
    <row r="633" spans="3:9" ht="75" x14ac:dyDescent="0.25">
      <c r="C633" s="15">
        <v>488964</v>
      </c>
      <c r="D633" s="4" t="s">
        <v>639</v>
      </c>
      <c r="E633" s="4" t="str">
        <f>HYPERLINK("https://app.crepc.sk/?fn=detailBiblioForm&amp;sid=593E8023393495CE4EEB20EB4E")</f>
        <v>https://app.crepc.sk/?fn=detailBiblioForm&amp;sid=593E8023393495CE4EEB20EB4E</v>
      </c>
      <c r="I633" s="2"/>
    </row>
    <row r="634" spans="3:9" ht="60" x14ac:dyDescent="0.25">
      <c r="C634" s="15">
        <v>483129</v>
      </c>
      <c r="D634" s="4" t="s">
        <v>640</v>
      </c>
      <c r="E634" s="4" t="str">
        <f>HYPERLINK("https://app.crepc.sk/?fn=detailBiblioForm&amp;sid=E033D588E986D7313889DAA4BB")</f>
        <v>https://app.crepc.sk/?fn=detailBiblioForm&amp;sid=E033D588E986D7313889DAA4BB</v>
      </c>
      <c r="I634" s="2"/>
    </row>
    <row r="635" spans="3:9" ht="75" x14ac:dyDescent="0.25">
      <c r="C635" s="15">
        <v>520469</v>
      </c>
      <c r="D635" s="4" t="s">
        <v>641</v>
      </c>
      <c r="E635" s="4" t="str">
        <f>HYPERLINK("https://app.crepc.sk/?fn=detailBiblioForm&amp;sid=A3B65ED8C4EA60F68A4AC806B2")</f>
        <v>https://app.crepc.sk/?fn=detailBiblioForm&amp;sid=A3B65ED8C4EA60F68A4AC806B2</v>
      </c>
      <c r="I635" s="2"/>
    </row>
    <row r="636" spans="3:9" ht="75" x14ac:dyDescent="0.25">
      <c r="C636" s="15">
        <v>490537</v>
      </c>
      <c r="D636" s="4" t="s">
        <v>642</v>
      </c>
      <c r="E636" s="4" t="str">
        <f>HYPERLINK("https://app.crepc.sk/?fn=detailBiblioForm&amp;sid=FF84D4768F17A46A1197E8282A")</f>
        <v>https://app.crepc.sk/?fn=detailBiblioForm&amp;sid=FF84D4768F17A46A1197E8282A</v>
      </c>
      <c r="I636" s="2"/>
    </row>
    <row r="637" spans="3:9" ht="105" x14ac:dyDescent="0.25">
      <c r="C637" s="15">
        <v>478236</v>
      </c>
      <c r="D637" s="4" t="s">
        <v>643</v>
      </c>
      <c r="E637" s="4" t="str">
        <f>HYPERLINK("https://app.crepc.sk/?fn=detailBiblioForm&amp;sid=5AD89374AB637BC8E27E5BCB0A")</f>
        <v>https://app.crepc.sk/?fn=detailBiblioForm&amp;sid=5AD89374AB637BC8E27E5BCB0A</v>
      </c>
      <c r="I637" s="2"/>
    </row>
    <row r="638" spans="3:9" ht="75" x14ac:dyDescent="0.25">
      <c r="C638" s="15">
        <v>496756</v>
      </c>
      <c r="D638" s="4" t="s">
        <v>644</v>
      </c>
      <c r="E638" s="4" t="str">
        <f>HYPERLINK("https://app.crepc.sk/?fn=detailBiblioForm&amp;sid=81EAB13891E59A2967A29C3CFB")</f>
        <v>https://app.crepc.sk/?fn=detailBiblioForm&amp;sid=81EAB13891E59A2967A29C3CFB</v>
      </c>
      <c r="I638" s="2"/>
    </row>
    <row r="639" spans="3:9" ht="75" x14ac:dyDescent="0.25">
      <c r="C639" s="15">
        <v>474965</v>
      </c>
      <c r="D639" s="4" t="s">
        <v>645</v>
      </c>
      <c r="E639" s="4" t="str">
        <f>HYPERLINK("https://app.crepc.sk/?fn=detailBiblioForm&amp;sid=33EDCE22C4FDFAD48E538FABD7")</f>
        <v>https://app.crepc.sk/?fn=detailBiblioForm&amp;sid=33EDCE22C4FDFAD48E538FABD7</v>
      </c>
      <c r="I639" s="2"/>
    </row>
    <row r="640" spans="3:9" ht="90" x14ac:dyDescent="0.25">
      <c r="C640" s="15">
        <v>462062</v>
      </c>
      <c r="D640" s="4" t="s">
        <v>646</v>
      </c>
      <c r="E640" s="4" t="str">
        <f>HYPERLINK("https://app.crepc.sk/?fn=detailBiblioForm&amp;sid=C9F4FFA6B4421457AACAE6524C")</f>
        <v>https://app.crepc.sk/?fn=detailBiblioForm&amp;sid=C9F4FFA6B4421457AACAE6524C</v>
      </c>
      <c r="I640" s="2"/>
    </row>
    <row r="641" spans="3:9" ht="90" x14ac:dyDescent="0.25">
      <c r="C641" s="15">
        <v>458331</v>
      </c>
      <c r="D641" s="4" t="s">
        <v>647</v>
      </c>
      <c r="E641" s="4" t="str">
        <f>HYPERLINK("https://app.crepc.sk/?fn=detailBiblioForm&amp;sid=346931BA78C47867852804304B")</f>
        <v>https://app.crepc.sk/?fn=detailBiblioForm&amp;sid=346931BA78C47867852804304B</v>
      </c>
      <c r="I641" s="2"/>
    </row>
    <row r="642" spans="3:9" ht="90" x14ac:dyDescent="0.25">
      <c r="C642" s="15">
        <v>523611</v>
      </c>
      <c r="D642" s="4" t="s">
        <v>648</v>
      </c>
      <c r="E642" s="4" t="str">
        <f>HYPERLINK("https://app.crepc.sk/?fn=detailBiblioForm&amp;sid=088DA6A565887277E4F5FBD7A9")</f>
        <v>https://app.crepc.sk/?fn=detailBiblioForm&amp;sid=088DA6A565887277E4F5FBD7A9</v>
      </c>
      <c r="I642" s="2"/>
    </row>
    <row r="643" spans="3:9" ht="90" x14ac:dyDescent="0.25">
      <c r="C643" s="15">
        <v>523621</v>
      </c>
      <c r="D643" s="4" t="s">
        <v>649</v>
      </c>
      <c r="E643" s="4" t="str">
        <f>HYPERLINK("https://app.crepc.sk/?fn=detailBiblioForm&amp;sid=088DA6A565887277E7F5FBD7A9")</f>
        <v>https://app.crepc.sk/?fn=detailBiblioForm&amp;sid=088DA6A565887277E7F5FBD7A9</v>
      </c>
      <c r="I643" s="2"/>
    </row>
    <row r="644" spans="3:9" ht="150" x14ac:dyDescent="0.25">
      <c r="C644" s="15">
        <v>493200</v>
      </c>
      <c r="D644" s="4" t="s">
        <v>650</v>
      </c>
      <c r="E644" s="4" t="str">
        <f>HYPERLINK("https://app.crepc.sk/?fn=detailBiblioForm&amp;sid=4E79B8FE8AF02D278B278B671E")</f>
        <v>https://app.crepc.sk/?fn=detailBiblioForm&amp;sid=4E79B8FE8AF02D278B278B671E</v>
      </c>
      <c r="I644" s="2"/>
    </row>
    <row r="645" spans="3:9" ht="75" x14ac:dyDescent="0.25">
      <c r="C645" s="15">
        <v>520553</v>
      </c>
      <c r="D645" s="4" t="s">
        <v>651</v>
      </c>
      <c r="E645" s="4" t="str">
        <f>HYPERLINK("https://app.crepc.sk/?fn=detailBiblioForm&amp;sid=E371BE7739541E1076635B0B8E")</f>
        <v>https://app.crepc.sk/?fn=detailBiblioForm&amp;sid=E371BE7739541E1076635B0B8E</v>
      </c>
      <c r="I645" s="2"/>
    </row>
    <row r="646" spans="3:9" ht="75" x14ac:dyDescent="0.25">
      <c r="C646" s="15">
        <v>515870</v>
      </c>
      <c r="D646" s="4" t="s">
        <v>652</v>
      </c>
      <c r="E646" s="4" t="str">
        <f>HYPERLINK("https://app.crepc.sk/?fn=detailBiblioForm&amp;sid=D2E6576A21D94C068B4213B372")</f>
        <v>https://app.crepc.sk/?fn=detailBiblioForm&amp;sid=D2E6576A21D94C068B4213B372</v>
      </c>
      <c r="I646" s="2"/>
    </row>
    <row r="647" spans="3:9" ht="60" x14ac:dyDescent="0.25">
      <c r="C647" s="15">
        <v>504227</v>
      </c>
      <c r="D647" s="4" t="s">
        <v>653</v>
      </c>
      <c r="E647" s="4" t="str">
        <f>HYPERLINK("https://app.crepc.sk/?fn=detailBiblioForm&amp;sid=59C6D7C4CD7F373EF06DA62BD4")</f>
        <v>https://app.crepc.sk/?fn=detailBiblioForm&amp;sid=59C6D7C4CD7F373EF06DA62BD4</v>
      </c>
      <c r="I647" s="2"/>
    </row>
    <row r="648" spans="3:9" ht="75" x14ac:dyDescent="0.25">
      <c r="C648" s="15">
        <v>521023</v>
      </c>
      <c r="D648" s="4" t="s">
        <v>654</v>
      </c>
      <c r="E648" s="4" t="str">
        <f>HYPERLINK("https://app.crepc.sk/?fn=detailBiblioForm&amp;sid=490923FD10227E10303D876666")</f>
        <v>https://app.crepc.sk/?fn=detailBiblioForm&amp;sid=490923FD10227E10303D876666</v>
      </c>
      <c r="I648" s="2"/>
    </row>
    <row r="649" spans="3:9" ht="45" x14ac:dyDescent="0.25">
      <c r="C649" s="15">
        <v>515440</v>
      </c>
      <c r="D649" s="4" t="s">
        <v>655</v>
      </c>
      <c r="E649" s="4" t="str">
        <f>HYPERLINK("https://app.crepc.sk/?fn=detailBiblioForm&amp;sid=5FCAA1231872D5B47AEDA29306")</f>
        <v>https://app.crepc.sk/?fn=detailBiblioForm&amp;sid=5FCAA1231872D5B47AEDA29306</v>
      </c>
      <c r="I649" s="2"/>
    </row>
    <row r="650" spans="3:9" ht="90" x14ac:dyDescent="0.25">
      <c r="C650" s="15">
        <v>506775</v>
      </c>
      <c r="D650" s="4" t="s">
        <v>656</v>
      </c>
      <c r="E650" s="4" t="str">
        <f>HYPERLINK("https://app.crepc.sk/?fn=detailBiblioForm&amp;sid=AA397DACEC77CE6977235FFD90")</f>
        <v>https://app.crepc.sk/?fn=detailBiblioForm&amp;sid=AA397DACEC77CE6977235FFD90</v>
      </c>
      <c r="I650" s="2"/>
    </row>
    <row r="651" spans="3:9" ht="60" x14ac:dyDescent="0.25">
      <c r="C651" s="15">
        <v>522873</v>
      </c>
      <c r="D651" s="4" t="s">
        <v>657</v>
      </c>
      <c r="E651" s="4" t="str">
        <f>HYPERLINK("https://app.crepc.sk/?fn=detailBiblioForm&amp;sid=539443B4345030064FDDDAD65A")</f>
        <v>https://app.crepc.sk/?fn=detailBiblioForm&amp;sid=539443B4345030064FDDDAD65A</v>
      </c>
      <c r="I651" s="2"/>
    </row>
    <row r="652" spans="3:9" ht="75" x14ac:dyDescent="0.25">
      <c r="C652" s="15">
        <v>522874</v>
      </c>
      <c r="D652" s="4" t="s">
        <v>658</v>
      </c>
      <c r="E652" s="4" t="str">
        <f>HYPERLINK("https://app.crepc.sk/?fn=detailBiblioForm&amp;sid=539443B4345030064FDADAD65A")</f>
        <v>https://app.crepc.sk/?fn=detailBiblioForm&amp;sid=539443B4345030064FDADAD65A</v>
      </c>
      <c r="I652" s="2"/>
    </row>
    <row r="653" spans="3:9" ht="75" x14ac:dyDescent="0.25">
      <c r="C653" s="15">
        <v>510963</v>
      </c>
      <c r="D653" s="4" t="s">
        <v>659</v>
      </c>
      <c r="E653" s="4" t="str">
        <f>HYPERLINK("https://app.crepc.sk/?fn=detailBiblioForm&amp;sid=FB5377DED47B74D4D239469B70")</f>
        <v>https://app.crepc.sk/?fn=detailBiblioForm&amp;sid=FB5377DED47B74D4D239469B70</v>
      </c>
      <c r="I653" s="2"/>
    </row>
    <row r="654" spans="3:9" ht="105" x14ac:dyDescent="0.25">
      <c r="C654" s="15">
        <v>520549</v>
      </c>
      <c r="D654" s="4" t="s">
        <v>660</v>
      </c>
      <c r="E654" s="4" t="str">
        <f>HYPERLINK("https://app.crepc.sk/?fn=detailBiblioForm&amp;sid=E371BE7739541E1077695B0B8E")</f>
        <v>https://app.crepc.sk/?fn=detailBiblioForm&amp;sid=E371BE7739541E1077695B0B8E</v>
      </c>
      <c r="I654" s="2"/>
    </row>
    <row r="655" spans="3:9" ht="90" x14ac:dyDescent="0.25">
      <c r="C655" s="15">
        <v>520530</v>
      </c>
      <c r="D655" s="4" t="s">
        <v>661</v>
      </c>
      <c r="E655" s="4" t="str">
        <f>HYPERLINK("https://app.crepc.sk/?fn=detailBiblioForm&amp;sid=E371BE7739541E1070605B0B8E")</f>
        <v>https://app.crepc.sk/?fn=detailBiblioForm&amp;sid=E371BE7739541E1070605B0B8E</v>
      </c>
      <c r="I655" s="2"/>
    </row>
    <row r="656" spans="3:9" ht="90" x14ac:dyDescent="0.25">
      <c r="C656" s="15">
        <v>520557</v>
      </c>
      <c r="D656" s="4" t="s">
        <v>662</v>
      </c>
      <c r="E656" s="4" t="str">
        <f>HYPERLINK("https://app.crepc.sk/?fn=detailBiblioForm&amp;sid=E371BE7739541E1076675B0B8E")</f>
        <v>https://app.crepc.sk/?fn=detailBiblioForm&amp;sid=E371BE7739541E1076675B0B8E</v>
      </c>
      <c r="I656" s="2"/>
    </row>
    <row r="657" spans="3:9" ht="60" x14ac:dyDescent="0.25">
      <c r="C657" s="15">
        <v>521499</v>
      </c>
      <c r="D657" s="4" t="s">
        <v>663</v>
      </c>
      <c r="E657" s="4" t="str">
        <f>HYPERLINK("https://app.crepc.sk/?fn=detailBiblioForm&amp;sid=39BD55F66554E421636252426C")</f>
        <v>https://app.crepc.sk/?fn=detailBiblioForm&amp;sid=39BD55F66554E421636252426C</v>
      </c>
      <c r="I657" s="2"/>
    </row>
    <row r="658" spans="3:9" ht="75" x14ac:dyDescent="0.25">
      <c r="C658" s="15">
        <v>523058</v>
      </c>
      <c r="D658" s="4" t="s">
        <v>664</v>
      </c>
      <c r="E658" s="4" t="str">
        <f>HYPERLINK("https://app.crepc.sk/?fn=detailBiblioForm&amp;sid=3AEED5F70FAF2E07B89B9D6A2D")</f>
        <v>https://app.crepc.sk/?fn=detailBiblioForm&amp;sid=3AEED5F70FAF2E07B89B9D6A2D</v>
      </c>
      <c r="I658" s="2"/>
    </row>
    <row r="659" spans="3:9" ht="60" x14ac:dyDescent="0.25">
      <c r="C659" s="15">
        <v>474963</v>
      </c>
      <c r="D659" s="4" t="s">
        <v>665</v>
      </c>
      <c r="E659" s="4" t="str">
        <f>HYPERLINK("https://app.crepc.sk/?fn=detailBiblioForm&amp;sid=33EDCE22C4FDFAD48E558FABD7")</f>
        <v>https://app.crepc.sk/?fn=detailBiblioForm&amp;sid=33EDCE22C4FDFAD48E558FABD7</v>
      </c>
      <c r="I659" s="2"/>
    </row>
    <row r="660" spans="3:9" ht="120" x14ac:dyDescent="0.25">
      <c r="C660" s="15">
        <v>529826</v>
      </c>
      <c r="D660" s="4" t="s">
        <v>666</v>
      </c>
      <c r="E660" s="4" t="str">
        <f>HYPERLINK("https://app.crepc.sk/?fn=detailBiblioForm&amp;sid=E5489D6BC24E57899EA3605CBC")</f>
        <v>https://app.crepc.sk/?fn=detailBiblioForm&amp;sid=E5489D6BC24E57899EA3605CBC</v>
      </c>
      <c r="I660" s="2"/>
    </row>
    <row r="661" spans="3:9" ht="90" x14ac:dyDescent="0.25">
      <c r="C661" s="15">
        <v>521774</v>
      </c>
      <c r="D661" s="4" t="s">
        <v>667</v>
      </c>
      <c r="E661" s="4" t="str">
        <f>HYPERLINK("https://app.crepc.sk/?fn=detailBiblioForm&amp;sid=B7AA9AE37E14B8500DB6B70591")</f>
        <v>https://app.crepc.sk/?fn=detailBiblioForm&amp;sid=B7AA9AE37E14B8500DB6B70591</v>
      </c>
      <c r="I661" s="2"/>
    </row>
    <row r="662" spans="3:9" ht="90" x14ac:dyDescent="0.25">
      <c r="C662" s="15">
        <v>514260</v>
      </c>
      <c r="D662" s="4" t="s">
        <v>668</v>
      </c>
      <c r="E662" s="4" t="str">
        <f>HYPERLINK("https://app.crepc.sk/?fn=detailBiblioForm&amp;sid=051AA9EA4B35B8087004E78E8E")</f>
        <v>https://app.crepc.sk/?fn=detailBiblioForm&amp;sid=051AA9EA4B35B8087004E78E8E</v>
      </c>
      <c r="I662" s="2"/>
    </row>
    <row r="663" spans="3:9" ht="75" x14ac:dyDescent="0.25">
      <c r="C663" s="15">
        <v>524009</v>
      </c>
      <c r="D663" s="4" t="s">
        <v>669</v>
      </c>
      <c r="E663" s="4" t="str">
        <f>HYPERLINK("https://app.crepc.sk/?fn=detailBiblioForm&amp;sid=CC9B8B3184D0634FF94439B12A")</f>
        <v>https://app.crepc.sk/?fn=detailBiblioForm&amp;sid=CC9B8B3184D0634FF94439B12A</v>
      </c>
      <c r="I663" s="2"/>
    </row>
    <row r="664" spans="3:9" ht="60" x14ac:dyDescent="0.25">
      <c r="C664" s="15">
        <v>504235</v>
      </c>
      <c r="D664" s="4" t="s">
        <v>670</v>
      </c>
      <c r="E664" s="4" t="str">
        <f>HYPERLINK("https://app.crepc.sk/?fn=detailBiblioForm&amp;sid=59C6D7C4CD7F373EF16FA62BD4")</f>
        <v>https://app.crepc.sk/?fn=detailBiblioForm&amp;sid=59C6D7C4CD7F373EF16FA62BD4</v>
      </c>
      <c r="I664" s="2"/>
    </row>
    <row r="665" spans="3:9" ht="75" x14ac:dyDescent="0.25">
      <c r="C665" s="15">
        <v>486609</v>
      </c>
      <c r="D665" s="4" t="s">
        <v>671</v>
      </c>
      <c r="E665" s="4" t="str">
        <f>HYPERLINK("https://app.crepc.sk/?fn=detailBiblioForm&amp;sid=2AA15DFB2CFC95F1B5CE5A2969")</f>
        <v>https://app.crepc.sk/?fn=detailBiblioForm&amp;sid=2AA15DFB2CFC95F1B5CE5A2969</v>
      </c>
      <c r="I665" s="2"/>
    </row>
    <row r="666" spans="3:9" ht="135" x14ac:dyDescent="0.25">
      <c r="C666" s="15">
        <v>508662</v>
      </c>
      <c r="D666" s="4" t="s">
        <v>672</v>
      </c>
      <c r="E666" s="4" t="str">
        <f>HYPERLINK("https://app.crepc.sk/?fn=detailBiblioForm&amp;sid=F555E6C16387A9B874F8AA94AE")</f>
        <v>https://app.crepc.sk/?fn=detailBiblioForm&amp;sid=F555E6C16387A9B874F8AA94AE</v>
      </c>
      <c r="I666" s="2"/>
    </row>
    <row r="667" spans="3:9" ht="75" x14ac:dyDescent="0.25">
      <c r="C667" s="15">
        <v>493873</v>
      </c>
      <c r="D667" s="4" t="s">
        <v>673</v>
      </c>
      <c r="E667" s="4" t="str">
        <f>HYPERLINK("https://app.crepc.sk/?fn=detailBiblioForm&amp;sid=D4BFEB37CCCE8910B5FA1F0C52")</f>
        <v>https://app.crepc.sk/?fn=detailBiblioForm&amp;sid=D4BFEB37CCCE8910B5FA1F0C52</v>
      </c>
      <c r="I667" s="2"/>
    </row>
    <row r="668" spans="3:9" ht="75" x14ac:dyDescent="0.25">
      <c r="C668" s="15">
        <v>529182</v>
      </c>
      <c r="D668" s="4" t="s">
        <v>674</v>
      </c>
      <c r="E668" s="4" t="str">
        <f>HYPERLINK("https://app.crepc.sk/?fn=detailBiblioForm&amp;sid=AADF8904DE55E08359F3055214")</f>
        <v>https://app.crepc.sk/?fn=detailBiblioForm&amp;sid=AADF8904DE55E08359F3055214</v>
      </c>
      <c r="I668" s="2"/>
    </row>
    <row r="669" spans="3:9" ht="105" x14ac:dyDescent="0.25">
      <c r="C669" s="15">
        <v>494929</v>
      </c>
      <c r="D669" s="4" t="s">
        <v>675</v>
      </c>
      <c r="E669" s="4" t="str">
        <f>HYPERLINK("https://app.crepc.sk/?fn=detailBiblioForm&amp;sid=A402A57FF0D119DFAD3212694B")</f>
        <v>https://app.crepc.sk/?fn=detailBiblioForm&amp;sid=A402A57FF0D119DFAD3212694B</v>
      </c>
      <c r="I669" s="2"/>
    </row>
    <row r="670" spans="3:9" ht="90" x14ac:dyDescent="0.25">
      <c r="C670" s="15">
        <v>466786</v>
      </c>
      <c r="D670" s="4" t="s">
        <v>676</v>
      </c>
      <c r="E670" s="4" t="str">
        <f>HYPERLINK("https://app.crepc.sk/?fn=detailBiblioForm&amp;sid=2967F76C5095C99EAD55B1582D")</f>
        <v>https://app.crepc.sk/?fn=detailBiblioForm&amp;sid=2967F76C5095C99EAD55B1582D</v>
      </c>
      <c r="I670" s="2"/>
    </row>
    <row r="671" spans="3:9" ht="90" x14ac:dyDescent="0.25">
      <c r="C671" s="15">
        <v>494847</v>
      </c>
      <c r="D671" s="4" t="s">
        <v>677</v>
      </c>
      <c r="E671" s="4" t="str">
        <f>HYPERLINK("https://app.crepc.sk/?fn=detailBiblioForm&amp;sid=6E28FB632DC3A6F5952953BFF8")</f>
        <v>https://app.crepc.sk/?fn=detailBiblioForm&amp;sid=6E28FB632DC3A6F5952953BFF8</v>
      </c>
      <c r="I671" s="2"/>
    </row>
    <row r="672" spans="3:9" ht="60" x14ac:dyDescent="0.25">
      <c r="C672" s="15">
        <v>469448</v>
      </c>
      <c r="D672" s="4" t="s">
        <v>678</v>
      </c>
      <c r="E672" s="4" t="str">
        <f>HYPERLINK("https://app.crepc.sk/?fn=detailBiblioForm&amp;sid=60CFF5964A6149A88B2333F7DF")</f>
        <v>https://app.crepc.sk/?fn=detailBiblioForm&amp;sid=60CFF5964A6149A88B2333F7DF</v>
      </c>
      <c r="I672" s="2"/>
    </row>
    <row r="673" spans="3:9" ht="120" x14ac:dyDescent="0.25">
      <c r="C673" s="15">
        <v>489656</v>
      </c>
      <c r="D673" s="4" t="s">
        <v>679</v>
      </c>
      <c r="E673" s="4" t="str">
        <f>HYPERLINK("https://app.crepc.sk/?fn=detailBiblioForm&amp;sid=5581560727F955EBADD35FA790")</f>
        <v>https://app.crepc.sk/?fn=detailBiblioForm&amp;sid=5581560727F955EBADD35FA790</v>
      </c>
      <c r="I673" s="2"/>
    </row>
    <row r="674" spans="3:9" ht="105" x14ac:dyDescent="0.25">
      <c r="C674" s="15">
        <v>479822</v>
      </c>
      <c r="D674" s="4" t="s">
        <v>680</v>
      </c>
      <c r="E674" s="4" t="str">
        <f>HYPERLINK("https://app.crepc.sk/?fn=detailBiblioForm&amp;sid=6EAC6F3F6336156ED0F59138A6")</f>
        <v>https://app.crepc.sk/?fn=detailBiblioForm&amp;sid=6EAC6F3F6336156ED0F59138A6</v>
      </c>
      <c r="I674" s="2"/>
    </row>
    <row r="675" spans="3:9" ht="60" x14ac:dyDescent="0.25">
      <c r="C675" s="15">
        <v>521162</v>
      </c>
      <c r="D675" s="4" t="s">
        <v>681</v>
      </c>
      <c r="E675" s="4" t="str">
        <f>HYPERLINK("https://app.crepc.sk/?fn=detailBiblioForm&amp;sid=14728FEDCFA363D8F66769C4F0")</f>
        <v>https://app.crepc.sk/?fn=detailBiblioForm&amp;sid=14728FEDCFA363D8F66769C4F0</v>
      </c>
      <c r="I675" s="2"/>
    </row>
    <row r="676" spans="3:9" ht="75" x14ac:dyDescent="0.25">
      <c r="C676" s="15">
        <v>482087</v>
      </c>
      <c r="D676" s="4" t="s">
        <v>682</v>
      </c>
      <c r="E676" s="4" t="str">
        <f>HYPERLINK("https://app.crepc.sk/?fn=detailBiblioForm&amp;sid=C0E3D9FE3EAE50AEB0B58205C0")</f>
        <v>https://app.crepc.sk/?fn=detailBiblioForm&amp;sid=C0E3D9FE3EAE50AEB0B58205C0</v>
      </c>
      <c r="I676" s="2"/>
    </row>
    <row r="677" spans="3:9" ht="75" x14ac:dyDescent="0.25">
      <c r="C677" s="15">
        <v>490183</v>
      </c>
      <c r="D677" s="4" t="s">
        <v>683</v>
      </c>
      <c r="E677" s="4" t="str">
        <f>HYPERLINK("https://app.crepc.sk/?fn=detailBiblioForm&amp;sid=EB715FA80D5E6DCEBB14B2AD91")</f>
        <v>https://app.crepc.sk/?fn=detailBiblioForm&amp;sid=EB715FA80D5E6DCEBB14B2AD91</v>
      </c>
      <c r="I677" s="2"/>
    </row>
    <row r="678" spans="3:9" ht="75" x14ac:dyDescent="0.25">
      <c r="C678" s="15">
        <v>504492</v>
      </c>
      <c r="D678" s="4" t="s">
        <v>684</v>
      </c>
      <c r="E678" s="4" t="str">
        <f>HYPERLINK("https://app.crepc.sk/?fn=detailBiblioForm&amp;sid=7C3A198D5A4E59A384413F461D")</f>
        <v>https://app.crepc.sk/?fn=detailBiblioForm&amp;sid=7C3A198D5A4E59A384413F461D</v>
      </c>
      <c r="I678" s="2"/>
    </row>
    <row r="679" spans="3:9" ht="75" x14ac:dyDescent="0.25">
      <c r="C679" s="15">
        <v>497754</v>
      </c>
      <c r="D679" s="4" t="s">
        <v>685</v>
      </c>
      <c r="E679" s="4" t="str">
        <f>HYPERLINK("https://app.crepc.sk/?fn=detailBiblioForm&amp;sid=09E545CD95BD83831C97B74827")</f>
        <v>https://app.crepc.sk/?fn=detailBiblioForm&amp;sid=09E545CD95BD83831C97B74827</v>
      </c>
      <c r="I679" s="2"/>
    </row>
    <row r="680" spans="3:9" ht="60" x14ac:dyDescent="0.25">
      <c r="C680" s="15">
        <v>482963</v>
      </c>
      <c r="D680" s="4" t="s">
        <v>686</v>
      </c>
      <c r="E680" s="4" t="str">
        <f>HYPERLINK("https://app.crepc.sk/?fn=detailBiblioForm&amp;sid=2106F80B92F317DC89AB5BCE44")</f>
        <v>https://app.crepc.sk/?fn=detailBiblioForm&amp;sid=2106F80B92F317DC89AB5BCE44</v>
      </c>
      <c r="I680" s="2"/>
    </row>
    <row r="681" spans="3:9" ht="90" x14ac:dyDescent="0.25">
      <c r="C681" s="15">
        <v>524052</v>
      </c>
      <c r="D681" s="4" t="s">
        <v>687</v>
      </c>
      <c r="E681" s="4" t="str">
        <f>HYPERLINK("https://app.crepc.sk/?fn=detailBiblioForm&amp;sid=CC9B8B3184D0634FFC4F39B12A")</f>
        <v>https://app.crepc.sk/?fn=detailBiblioForm&amp;sid=CC9B8B3184D0634FFC4F39B12A</v>
      </c>
      <c r="I681" s="2"/>
    </row>
    <row r="682" spans="3:9" ht="90" x14ac:dyDescent="0.25">
      <c r="C682" s="15">
        <v>462057</v>
      </c>
      <c r="D682" s="4" t="s">
        <v>688</v>
      </c>
      <c r="E682" s="4" t="str">
        <f>HYPERLINK("https://app.crepc.sk/?fn=detailBiblioForm&amp;sid=C9F4FFA6B4421457A9CFE6524C")</f>
        <v>https://app.crepc.sk/?fn=detailBiblioForm&amp;sid=C9F4FFA6B4421457A9CFE6524C</v>
      </c>
      <c r="I682" s="2"/>
    </row>
    <row r="683" spans="3:9" ht="90" x14ac:dyDescent="0.25">
      <c r="C683" s="15">
        <v>525162</v>
      </c>
      <c r="D683" s="4" t="s">
        <v>689</v>
      </c>
      <c r="E683" s="4" t="str">
        <f>HYPERLINK("https://app.crepc.sk/?fn=detailBiblioForm&amp;sid=DD3A4E4D185CCB4716ED1FBA51")</f>
        <v>https://app.crepc.sk/?fn=detailBiblioForm&amp;sid=DD3A4E4D185CCB4716ED1FBA51</v>
      </c>
      <c r="I683" s="2"/>
    </row>
    <row r="684" spans="3:9" ht="90" x14ac:dyDescent="0.25">
      <c r="C684" s="15">
        <v>529801</v>
      </c>
      <c r="D684" s="4" t="s">
        <v>690</v>
      </c>
      <c r="E684" s="4" t="str">
        <f>HYPERLINK("https://app.crepc.sk/?fn=detailBiblioForm&amp;sid=E5489D6BC24E57899CA4605CBC")</f>
        <v>https://app.crepc.sk/?fn=detailBiblioForm&amp;sid=E5489D6BC24E57899CA4605CBC</v>
      </c>
      <c r="I684" s="2"/>
    </row>
    <row r="685" spans="3:9" ht="75" x14ac:dyDescent="0.25">
      <c r="C685" s="15">
        <v>469452</v>
      </c>
      <c r="D685" s="4" t="s">
        <v>691</v>
      </c>
      <c r="E685" s="4" t="str">
        <f>HYPERLINK("https://app.crepc.sk/?fn=detailBiblioForm&amp;sid=60CFF5964A6149A88A2933F7DF")</f>
        <v>https://app.crepc.sk/?fn=detailBiblioForm&amp;sid=60CFF5964A6149A88A2933F7DF</v>
      </c>
      <c r="I685" s="2"/>
    </row>
    <row r="686" spans="3:9" ht="60" x14ac:dyDescent="0.25">
      <c r="C686" s="15">
        <v>460610</v>
      </c>
      <c r="D686" s="4" t="s">
        <v>692</v>
      </c>
      <c r="E686" s="4" t="str">
        <f>HYPERLINK("https://app.crepc.sk/?fn=detailBiblioForm&amp;sid=0937D15AF4279E728683D35228")</f>
        <v>https://app.crepc.sk/?fn=detailBiblioForm&amp;sid=0937D15AF4279E728683D35228</v>
      </c>
      <c r="I686" s="2"/>
    </row>
    <row r="687" spans="3:9" ht="105" x14ac:dyDescent="0.25">
      <c r="C687" s="15">
        <v>523334</v>
      </c>
      <c r="D687" s="4" t="s">
        <v>693</v>
      </c>
      <c r="E687" s="4" t="str">
        <f>HYPERLINK("https://app.crepc.sk/?fn=detailBiblioForm&amp;sid=4DDB7F86E218AD2682498C6577")</f>
        <v>https://app.crepc.sk/?fn=detailBiblioForm&amp;sid=4DDB7F86E218AD2682498C6577</v>
      </c>
      <c r="I687" s="2"/>
    </row>
    <row r="688" spans="3:9" ht="75" x14ac:dyDescent="0.25">
      <c r="C688" s="15">
        <v>514393</v>
      </c>
      <c r="D688" s="4" t="s">
        <v>694</v>
      </c>
      <c r="E688" s="4" t="str">
        <f>HYPERLINK("https://app.crepc.sk/?fn=detailBiblioForm&amp;sid=43751CCBED9CC5C54BBA5228B3")</f>
        <v>https://app.crepc.sk/?fn=detailBiblioForm&amp;sid=43751CCBED9CC5C54BBA5228B3</v>
      </c>
      <c r="I688" s="2"/>
    </row>
    <row r="689" spans="3:9" ht="75" x14ac:dyDescent="0.25">
      <c r="C689" s="15">
        <v>506854</v>
      </c>
      <c r="D689" s="4" t="s">
        <v>695</v>
      </c>
      <c r="E689" s="4" t="str">
        <f>HYPERLINK("https://app.crepc.sk/?fn=detailBiblioForm&amp;sid=1D8202C022F5CB943D76EEB634")</f>
        <v>https://app.crepc.sk/?fn=detailBiblioForm&amp;sid=1D8202C022F5CB943D76EEB634</v>
      </c>
      <c r="I689" s="2"/>
    </row>
    <row r="690" spans="3:9" ht="75" x14ac:dyDescent="0.25">
      <c r="C690" s="15">
        <v>504498</v>
      </c>
      <c r="D690" s="4" t="s">
        <v>696</v>
      </c>
      <c r="E690" s="4" t="str">
        <f>HYPERLINK("https://app.crepc.sk/?fn=detailBiblioForm&amp;sid=7C3A198D5A4E59A3844B3F461D")</f>
        <v>https://app.crepc.sk/?fn=detailBiblioForm&amp;sid=7C3A198D5A4E59A3844B3F461D</v>
      </c>
      <c r="I690" s="2"/>
    </row>
    <row r="691" spans="3:9" ht="90" x14ac:dyDescent="0.25">
      <c r="C691" s="15">
        <v>510663</v>
      </c>
      <c r="D691" s="4" t="s">
        <v>697</v>
      </c>
      <c r="E691" s="4" t="str">
        <f>HYPERLINK("https://app.crepc.sk/?fn=detailBiblioForm&amp;sid=BB29F255FBB69693A29E2F0399")</f>
        <v>https://app.crepc.sk/?fn=detailBiblioForm&amp;sid=BB29F255FBB69693A29E2F0399</v>
      </c>
      <c r="I691" s="2"/>
    </row>
    <row r="692" spans="3:9" ht="90" x14ac:dyDescent="0.25">
      <c r="C692" s="15">
        <v>477073</v>
      </c>
      <c r="D692" s="4" t="s">
        <v>698</v>
      </c>
      <c r="E692" s="4" t="str">
        <f>HYPERLINK("https://app.crepc.sk/?fn=detailBiblioForm&amp;sid=4E3F39B06703BA1CC4754946CB")</f>
        <v>https://app.crepc.sk/?fn=detailBiblioForm&amp;sid=4E3F39B06703BA1CC4754946CB</v>
      </c>
      <c r="I692" s="2"/>
    </row>
    <row r="693" spans="3:9" ht="90" x14ac:dyDescent="0.25">
      <c r="C693" s="15">
        <v>466806</v>
      </c>
      <c r="D693" s="4" t="s">
        <v>699</v>
      </c>
      <c r="E693" s="4" t="str">
        <f>HYPERLINK("https://app.crepc.sk/?fn=detailBiblioForm&amp;sid=9157A8D966215C3E8BACA12C4A")</f>
        <v>https://app.crepc.sk/?fn=detailBiblioForm&amp;sid=9157A8D966215C3E8BACA12C4A</v>
      </c>
      <c r="I693" s="2"/>
    </row>
    <row r="694" spans="3:9" ht="75" x14ac:dyDescent="0.25">
      <c r="C694" s="15">
        <v>488889</v>
      </c>
      <c r="D694" s="4" t="s">
        <v>700</v>
      </c>
      <c r="E694" s="4" t="str">
        <f>HYPERLINK("https://app.crepc.sk/?fn=detailBiblioForm&amp;sid=5F05EC53A0135AAC75B57FB5EF")</f>
        <v>https://app.crepc.sk/?fn=detailBiblioForm&amp;sid=5F05EC53A0135AAC75B57FB5EF</v>
      </c>
      <c r="I694" s="2"/>
    </row>
    <row r="695" spans="3:9" ht="90" x14ac:dyDescent="0.25">
      <c r="C695" s="15">
        <v>472080</v>
      </c>
      <c r="D695" s="4" t="s">
        <v>701</v>
      </c>
      <c r="E695" s="4" t="str">
        <f>HYPERLINK("https://app.crepc.sk/?fn=detailBiblioForm&amp;sid=A8FC318995DD4AFB486716DBDB")</f>
        <v>https://app.crepc.sk/?fn=detailBiblioForm&amp;sid=A8FC318995DD4AFB486716DBDB</v>
      </c>
      <c r="I695" s="2"/>
    </row>
    <row r="696" spans="3:9" ht="90" x14ac:dyDescent="0.25">
      <c r="C696" s="15">
        <v>481701</v>
      </c>
      <c r="D696" s="4" t="s">
        <v>702</v>
      </c>
      <c r="E696" s="4" t="str">
        <f>HYPERLINK("https://app.crepc.sk/?fn=detailBiblioForm&amp;sid=7533E11E51046A27368E2B0696")</f>
        <v>https://app.crepc.sk/?fn=detailBiblioForm&amp;sid=7533E11E51046A27368E2B0696</v>
      </c>
      <c r="I696" s="2"/>
    </row>
    <row r="697" spans="3:9" ht="75" x14ac:dyDescent="0.25">
      <c r="C697" s="15">
        <v>482466</v>
      </c>
      <c r="D697" s="4" t="s">
        <v>703</v>
      </c>
      <c r="E697" s="4" t="str">
        <f>HYPERLINK("https://app.crepc.sk/?fn=detailBiblioForm&amp;sid=C8F3D29AFF8F079A28920A5CCE")</f>
        <v>https://app.crepc.sk/?fn=detailBiblioForm&amp;sid=C8F3D29AFF8F079A28920A5CCE</v>
      </c>
      <c r="I697" s="2"/>
    </row>
    <row r="698" spans="3:9" ht="105" x14ac:dyDescent="0.25">
      <c r="C698" s="15">
        <v>494925</v>
      </c>
      <c r="D698" s="4" t="s">
        <v>704</v>
      </c>
      <c r="E698" s="4" t="str">
        <f>HYPERLINK("https://app.crepc.sk/?fn=detailBiblioForm&amp;sid=A402A57FF0D119DFAD3E12694B")</f>
        <v>https://app.crepc.sk/?fn=detailBiblioForm&amp;sid=A402A57FF0D119DFAD3E12694B</v>
      </c>
      <c r="I698" s="2"/>
    </row>
    <row r="699" spans="3:9" ht="90" x14ac:dyDescent="0.25">
      <c r="C699" s="15">
        <v>469684</v>
      </c>
      <c r="D699" s="4" t="s">
        <v>705</v>
      </c>
      <c r="E699" s="4" t="str">
        <f>HYPERLINK("https://app.crepc.sk/?fn=detailBiblioForm&amp;sid=5FE160ABAE80CB3A8A536DEA7F")</f>
        <v>https://app.crepc.sk/?fn=detailBiblioForm&amp;sid=5FE160ABAE80CB3A8A536DEA7F</v>
      </c>
      <c r="I699" s="2"/>
    </row>
    <row r="700" spans="3:9" ht="75" x14ac:dyDescent="0.25">
      <c r="C700" s="15">
        <v>500943</v>
      </c>
      <c r="D700" s="4" t="s">
        <v>706</v>
      </c>
      <c r="E700" s="4" t="str">
        <f>HYPERLINK("https://app.crepc.sk/?fn=detailBiblioForm&amp;sid=5F5FBA760FBAABB6F17022920E")</f>
        <v>https://app.crepc.sk/?fn=detailBiblioForm&amp;sid=5F5FBA760FBAABB6F17022920E</v>
      </c>
      <c r="I700" s="2"/>
    </row>
    <row r="701" spans="3:9" ht="105" x14ac:dyDescent="0.25">
      <c r="C701" s="15">
        <v>476333</v>
      </c>
      <c r="D701" s="4" t="s">
        <v>707</v>
      </c>
      <c r="E701" s="4" t="str">
        <f>HYPERLINK("https://app.crepc.sk/?fn=detailBiblioForm&amp;sid=A087527F9388351CBE017BA70B")</f>
        <v>https://app.crepc.sk/?fn=detailBiblioForm&amp;sid=A087527F9388351CBE017BA70B</v>
      </c>
      <c r="I701" s="2"/>
    </row>
    <row r="702" spans="3:9" ht="75" x14ac:dyDescent="0.25">
      <c r="C702" s="15">
        <v>486282</v>
      </c>
      <c r="D702" s="4" t="s">
        <v>708</v>
      </c>
      <c r="E702" s="4" t="str">
        <f>HYPERLINK("https://app.crepc.sk/?fn=detailBiblioForm&amp;sid=32F785CDFFF3BEF8BBB199D93D")</f>
        <v>https://app.crepc.sk/?fn=detailBiblioForm&amp;sid=32F785CDFFF3BEF8BBB199D93D</v>
      </c>
      <c r="I702" s="2"/>
    </row>
    <row r="703" spans="3:9" ht="90" x14ac:dyDescent="0.25">
      <c r="C703" s="15">
        <v>525156</v>
      </c>
      <c r="D703" s="4" t="s">
        <v>709</v>
      </c>
      <c r="E703" s="4" t="str">
        <f>HYPERLINK("https://app.crepc.sk/?fn=detailBiblioForm&amp;sid=DD3A4E4D185CCB4715E91FBA51")</f>
        <v>https://app.crepc.sk/?fn=detailBiblioForm&amp;sid=DD3A4E4D185CCB4715E91FBA51</v>
      </c>
      <c r="I703" s="2"/>
    </row>
    <row r="704" spans="3:9" ht="90" x14ac:dyDescent="0.25">
      <c r="C704" s="15">
        <v>460282</v>
      </c>
      <c r="D704" s="4" t="s">
        <v>710</v>
      </c>
      <c r="E704" s="4" t="str">
        <f>HYPERLINK("https://app.crepc.sk/?fn=detailBiblioForm&amp;sid=246B88030FC05549BEA8FDE86E")</f>
        <v>https://app.crepc.sk/?fn=detailBiblioForm&amp;sid=246B88030FC05549BEA8FDE86E</v>
      </c>
      <c r="I704" s="2"/>
    </row>
    <row r="705" spans="3:9" ht="90" x14ac:dyDescent="0.25">
      <c r="C705" s="15">
        <v>496154</v>
      </c>
      <c r="D705" s="4" t="s">
        <v>711</v>
      </c>
      <c r="E705" s="4" t="str">
        <f>HYPERLINK("https://app.crepc.sk/?fn=detailBiblioForm&amp;sid=321DFF4A56F97916FF569E4D35")</f>
        <v>https://app.crepc.sk/?fn=detailBiblioForm&amp;sid=321DFF4A56F97916FF569E4D35</v>
      </c>
      <c r="I705" s="2"/>
    </row>
    <row r="706" spans="3:9" ht="90" x14ac:dyDescent="0.25">
      <c r="C706" s="15">
        <v>466807</v>
      </c>
      <c r="D706" s="4" t="s">
        <v>712</v>
      </c>
      <c r="E706" s="4" t="str">
        <f>HYPERLINK("https://app.crepc.sk/?fn=detailBiblioForm&amp;sid=9157A8D966215C3E8BADA12C4A")</f>
        <v>https://app.crepc.sk/?fn=detailBiblioForm&amp;sid=9157A8D966215C3E8BADA12C4A</v>
      </c>
      <c r="I706" s="2"/>
    </row>
    <row r="707" spans="3:9" ht="90" x14ac:dyDescent="0.25">
      <c r="C707" s="15">
        <v>520532</v>
      </c>
      <c r="D707" s="4" t="s">
        <v>713</v>
      </c>
      <c r="E707" s="4" t="str">
        <f>HYPERLINK("https://app.crepc.sk/?fn=detailBiblioForm&amp;sid=E371BE7739541E1070625B0B8E")</f>
        <v>https://app.crepc.sk/?fn=detailBiblioForm&amp;sid=E371BE7739541E1070625B0B8E</v>
      </c>
      <c r="I707" s="2"/>
    </row>
    <row r="708" spans="3:9" ht="105" x14ac:dyDescent="0.25">
      <c r="C708" s="15">
        <v>493097</v>
      </c>
      <c r="D708" s="4" t="s">
        <v>714</v>
      </c>
      <c r="E708" s="4" t="str">
        <f>HYPERLINK("https://app.crepc.sk/?fn=detailBiblioForm&amp;sid=A08D0C06F20009E6DDE093DA9B")</f>
        <v>https://app.crepc.sk/?fn=detailBiblioForm&amp;sid=A08D0C06F20009E6DDE093DA9B</v>
      </c>
      <c r="I708" s="2"/>
    </row>
    <row r="709" spans="3:9" ht="60" x14ac:dyDescent="0.25">
      <c r="C709" s="15">
        <v>520260</v>
      </c>
      <c r="D709" s="4" t="s">
        <v>715</v>
      </c>
      <c r="E709" s="4" t="str">
        <f>HYPERLINK("https://app.crepc.sk/?fn=detailBiblioForm&amp;sid=E017A0E6BBEAF5D311DAA72888")</f>
        <v>https://app.crepc.sk/?fn=detailBiblioForm&amp;sid=E017A0E6BBEAF5D311DAA72888</v>
      </c>
      <c r="I709" s="2"/>
    </row>
    <row r="710" spans="3:9" ht="105" x14ac:dyDescent="0.25">
      <c r="C710" s="15">
        <v>484052</v>
      </c>
      <c r="D710" s="4" t="s">
        <v>716</v>
      </c>
      <c r="E710" s="4" t="str">
        <f>HYPERLINK("https://app.crepc.sk/?fn=detailBiblioForm&amp;sid=B611F6F3E965C809E8726403A9")</f>
        <v>https://app.crepc.sk/?fn=detailBiblioForm&amp;sid=B611F6F3E965C809E8726403A9</v>
      </c>
      <c r="I710" s="2"/>
    </row>
    <row r="711" spans="3:9" ht="90" x14ac:dyDescent="0.25">
      <c r="C711" s="15">
        <v>524975</v>
      </c>
      <c r="D711" s="4" t="s">
        <v>717</v>
      </c>
      <c r="E711" s="4" t="str">
        <f>HYPERLINK("https://app.crepc.sk/?fn=detailBiblioForm&amp;sid=623554388C2D670212468D0C3C")</f>
        <v>https://app.crepc.sk/?fn=detailBiblioForm&amp;sid=623554388C2D670212468D0C3C</v>
      </c>
      <c r="I711" s="2"/>
    </row>
    <row r="712" spans="3:9" ht="105" x14ac:dyDescent="0.25">
      <c r="C712" s="15">
        <v>512274</v>
      </c>
      <c r="D712" s="4" t="s">
        <v>718</v>
      </c>
      <c r="E712" s="4" t="str">
        <f>HYPERLINK("https://app.crepc.sk/?fn=detailBiblioForm&amp;sid=8E6CCBF4393295FA71DAB71D32")</f>
        <v>https://app.crepc.sk/?fn=detailBiblioForm&amp;sid=8E6CCBF4393295FA71DAB71D32</v>
      </c>
      <c r="I712" s="2"/>
    </row>
    <row r="713" spans="3:9" ht="135" x14ac:dyDescent="0.25">
      <c r="C713" s="15">
        <v>493190</v>
      </c>
      <c r="D713" s="4" t="s">
        <v>719</v>
      </c>
      <c r="E713" s="4" t="str">
        <f>HYPERLINK("https://app.crepc.sk/?fn=detailBiblioForm&amp;sid=461C2D9728B875011BC8299B18")</f>
        <v>https://app.crepc.sk/?fn=detailBiblioForm&amp;sid=461C2D9728B875011BC8299B18</v>
      </c>
      <c r="I713" s="2"/>
    </row>
    <row r="714" spans="3:9" ht="75" x14ac:dyDescent="0.25">
      <c r="C714" s="15">
        <v>487732</v>
      </c>
      <c r="D714" s="4" t="s">
        <v>720</v>
      </c>
      <c r="E714" s="4" t="str">
        <f>HYPERLINK("https://app.crepc.sk/?fn=detailBiblioForm&amp;sid=ECB885A5B95E2A239E78CD150A")</f>
        <v>https://app.crepc.sk/?fn=detailBiblioForm&amp;sid=ECB885A5B95E2A239E78CD150A</v>
      </c>
      <c r="I714" s="2"/>
    </row>
    <row r="715" spans="3:9" ht="90" x14ac:dyDescent="0.25">
      <c r="C715" s="15">
        <v>466802</v>
      </c>
      <c r="D715" s="4" t="s">
        <v>721</v>
      </c>
      <c r="E715" s="4" t="str">
        <f>HYPERLINK("https://app.crepc.sk/?fn=detailBiblioForm&amp;sid=9157A8D966215C3E8BA8A12C4A")</f>
        <v>https://app.crepc.sk/?fn=detailBiblioForm&amp;sid=9157A8D966215C3E8BA8A12C4A</v>
      </c>
      <c r="I715" s="2"/>
    </row>
    <row r="716" spans="3:9" ht="75" x14ac:dyDescent="0.25">
      <c r="C716" s="15">
        <v>504216</v>
      </c>
      <c r="D716" s="4" t="s">
        <v>722</v>
      </c>
      <c r="E716" s="4" t="str">
        <f>HYPERLINK("https://app.crepc.sk/?fn=detailBiblioForm&amp;sid=59C6D7C4CD7F373EF36CA62BD4")</f>
        <v>https://app.crepc.sk/?fn=detailBiblioForm&amp;sid=59C6D7C4CD7F373EF36CA62BD4</v>
      </c>
      <c r="I716" s="2"/>
    </row>
    <row r="717" spans="3:9" ht="90" x14ac:dyDescent="0.25">
      <c r="C717" s="15">
        <v>490149</v>
      </c>
      <c r="D717" s="4" t="s">
        <v>723</v>
      </c>
      <c r="E717" s="4" t="str">
        <f>HYPERLINK("https://app.crepc.sk/?fn=detailBiblioForm&amp;sid=EB715FA80D5E6DCEB71EB2AD91")</f>
        <v>https://app.crepc.sk/?fn=detailBiblioForm&amp;sid=EB715FA80D5E6DCEB71EB2AD91</v>
      </c>
      <c r="I717" s="2"/>
    </row>
    <row r="718" spans="3:9" ht="60" x14ac:dyDescent="0.25">
      <c r="C718" s="15">
        <v>462687</v>
      </c>
      <c r="D718" s="4" t="s">
        <v>724</v>
      </c>
      <c r="E718" s="4" t="str">
        <f>HYPERLINK("https://app.crepc.sk/?fn=detailBiblioForm&amp;sid=DE038CA97CA1C471AA96D3CE71")</f>
        <v>https://app.crepc.sk/?fn=detailBiblioForm&amp;sid=DE038CA97CA1C471AA96D3CE71</v>
      </c>
      <c r="I718" s="2"/>
    </row>
    <row r="719" spans="3:9" ht="90" x14ac:dyDescent="0.25">
      <c r="C719" s="15">
        <v>496494</v>
      </c>
      <c r="D719" s="4" t="s">
        <v>725</v>
      </c>
      <c r="E719" s="4" t="str">
        <f>HYPERLINK("https://app.crepc.sk/?fn=detailBiblioForm&amp;sid=47BB8E7F254C5DF618F7D91ABE")</f>
        <v>https://app.crepc.sk/?fn=detailBiblioForm&amp;sid=47BB8E7F254C5DF618F7D91ABE</v>
      </c>
      <c r="I719" s="2"/>
    </row>
    <row r="720" spans="3:9" ht="90" x14ac:dyDescent="0.25">
      <c r="C720" s="15">
        <v>504059</v>
      </c>
      <c r="D720" s="4" t="s">
        <v>726</v>
      </c>
      <c r="E720" s="4" t="str">
        <f>HYPERLINK("https://app.crepc.sk/?fn=detailBiblioForm&amp;sid=33FC59FB6C6FD7A55D7C8357A0")</f>
        <v>https://app.crepc.sk/?fn=detailBiblioForm&amp;sid=33FC59FB6C6FD7A55D7C8357A0</v>
      </c>
      <c r="I720" s="2"/>
    </row>
    <row r="721" spans="3:9" ht="60" x14ac:dyDescent="0.25">
      <c r="C721" s="15">
        <v>504496</v>
      </c>
      <c r="D721" s="4" t="s">
        <v>727</v>
      </c>
      <c r="E721" s="4" t="str">
        <f>HYPERLINK("https://app.crepc.sk/?fn=detailBiblioForm&amp;sid=7C3A198D5A4E59A384453F461D")</f>
        <v>https://app.crepc.sk/?fn=detailBiblioForm&amp;sid=7C3A198D5A4E59A384453F461D</v>
      </c>
      <c r="I721" s="2"/>
    </row>
    <row r="722" spans="3:9" ht="90" x14ac:dyDescent="0.25">
      <c r="C722" s="15">
        <v>472064</v>
      </c>
      <c r="D722" s="4" t="s">
        <v>728</v>
      </c>
      <c r="E722" s="4" t="str">
        <f>HYPERLINK("https://app.crepc.sk/?fn=detailBiblioForm&amp;sid=A8FC318995DD4AFB466316DBDB")</f>
        <v>https://app.crepc.sk/?fn=detailBiblioForm&amp;sid=A8FC318995DD4AFB466316DBDB</v>
      </c>
      <c r="I722" s="2"/>
    </row>
    <row r="723" spans="3:9" ht="90" x14ac:dyDescent="0.25">
      <c r="C723" s="15">
        <v>462056</v>
      </c>
      <c r="D723" s="4" t="s">
        <v>729</v>
      </c>
      <c r="E723" s="4" t="str">
        <f>HYPERLINK("https://app.crepc.sk/?fn=detailBiblioForm&amp;sid=C9F4FFA6B4421457A9CEE6524C")</f>
        <v>https://app.crepc.sk/?fn=detailBiblioForm&amp;sid=C9F4FFA6B4421457A9CEE6524C</v>
      </c>
      <c r="I723" s="2"/>
    </row>
    <row r="724" spans="3:9" ht="90" x14ac:dyDescent="0.25">
      <c r="C724" s="15">
        <v>493075</v>
      </c>
      <c r="D724" s="4" t="s">
        <v>730</v>
      </c>
      <c r="E724" s="4" t="str">
        <f>HYPERLINK("https://app.crepc.sk/?fn=detailBiblioForm&amp;sid=A08D0C06F20009E6D3E293DA9B")</f>
        <v>https://app.crepc.sk/?fn=detailBiblioForm&amp;sid=A08D0C06F20009E6D3E293DA9B</v>
      </c>
      <c r="I724" s="2"/>
    </row>
    <row r="725" spans="3:9" ht="60" x14ac:dyDescent="0.25">
      <c r="C725" s="15">
        <v>468498</v>
      </c>
      <c r="D725" s="4" t="s">
        <v>731</v>
      </c>
      <c r="E725" s="4" t="str">
        <f>HYPERLINK("https://app.crepc.sk/?fn=detailBiblioForm&amp;sid=181F02A2B7B517796C8294843A")</f>
        <v>https://app.crepc.sk/?fn=detailBiblioForm&amp;sid=181F02A2B7B517796C8294843A</v>
      </c>
      <c r="I725" s="2"/>
    </row>
    <row r="726" spans="3:9" ht="105" x14ac:dyDescent="0.25">
      <c r="C726" s="15">
        <v>519589</v>
      </c>
      <c r="D726" s="4" t="s">
        <v>732</v>
      </c>
      <c r="E726" s="4" t="str">
        <f>HYPERLINK("https://app.crepc.sk/?fn=detailBiblioForm&amp;sid=5102858557F05F34A6016BD33D")</f>
        <v>https://app.crepc.sk/?fn=detailBiblioForm&amp;sid=5102858557F05F34A6016BD33D</v>
      </c>
      <c r="I726" s="2"/>
    </row>
    <row r="727" spans="3:9" ht="105" x14ac:dyDescent="0.25">
      <c r="C727" s="15">
        <v>493100</v>
      </c>
      <c r="D727" s="4" t="s">
        <v>733</v>
      </c>
      <c r="E727" s="4" t="str">
        <f>HYPERLINK("https://app.crepc.sk/?fn=detailBiblioForm&amp;sid=461C2D9728B8750112C8299B18")</f>
        <v>https://app.crepc.sk/?fn=detailBiblioForm&amp;sid=461C2D9728B8750112C8299B18</v>
      </c>
      <c r="I727" s="2"/>
    </row>
    <row r="728" spans="3:9" ht="75" x14ac:dyDescent="0.25">
      <c r="C728" s="15">
        <v>520705</v>
      </c>
      <c r="D728" s="4" t="s">
        <v>734</v>
      </c>
      <c r="E728" s="4" t="str">
        <f>HYPERLINK("https://app.crepc.sk/?fn=detailBiblioForm&amp;sid=D11D1ECCEF23BB2ACC4E975526")</f>
        <v>https://app.crepc.sk/?fn=detailBiblioForm&amp;sid=D11D1ECCEF23BB2ACC4E975526</v>
      </c>
      <c r="I728" s="2"/>
    </row>
    <row r="729" spans="3:9" ht="45" x14ac:dyDescent="0.25">
      <c r="C729" s="15">
        <v>459253</v>
      </c>
      <c r="D729" s="4" t="s">
        <v>735</v>
      </c>
      <c r="E729" s="4" t="str">
        <f>HYPERLINK("https://app.crepc.sk/?fn=detailBiblioForm&amp;sid=CE2E3233C85B50EE7EAFA4D0C6")</f>
        <v>https://app.crepc.sk/?fn=detailBiblioForm&amp;sid=CE2E3233C85B50EE7EAFA4D0C6</v>
      </c>
      <c r="I729" s="2"/>
    </row>
    <row r="730" spans="3:9" ht="90" x14ac:dyDescent="0.25">
      <c r="C730" s="15">
        <v>514499</v>
      </c>
      <c r="D730" s="4" t="s">
        <v>736</v>
      </c>
      <c r="E730" s="4" t="str">
        <f>HYPERLINK("https://app.crepc.sk/?fn=detailBiblioForm&amp;sid=132F64BA1818EBB5A42C3DF09B")</f>
        <v>https://app.crepc.sk/?fn=detailBiblioForm&amp;sid=132F64BA1818EBB5A42C3DF09B</v>
      </c>
      <c r="I730" s="2"/>
    </row>
    <row r="731" spans="3:9" ht="90" x14ac:dyDescent="0.25">
      <c r="C731" s="15">
        <v>464900</v>
      </c>
      <c r="D731" s="4" t="s">
        <v>737</v>
      </c>
      <c r="E731" s="4" t="str">
        <f>HYPERLINK("https://app.crepc.sk/?fn=detailBiblioForm&amp;sid=9C54616D123C0086E1EED80767")</f>
        <v>https://app.crepc.sk/?fn=detailBiblioForm&amp;sid=9C54616D123C0086E1EED80767</v>
      </c>
      <c r="I731" s="2"/>
    </row>
    <row r="732" spans="3:9" ht="75" x14ac:dyDescent="0.25">
      <c r="C732" s="15">
        <v>481332</v>
      </c>
      <c r="D732" s="4" t="s">
        <v>738</v>
      </c>
      <c r="E732" s="4" t="str">
        <f>HYPERLINK("https://app.crepc.sk/?fn=detailBiblioForm&amp;sid=272C2BE0898E8394368F9FF37C")</f>
        <v>https://app.crepc.sk/?fn=detailBiblioForm&amp;sid=272C2BE0898E8394368F9FF37C</v>
      </c>
      <c r="I732" s="2"/>
    </row>
    <row r="733" spans="3:9" ht="90" x14ac:dyDescent="0.25">
      <c r="C733" s="15">
        <v>478263</v>
      </c>
      <c r="D733" s="4" t="s">
        <v>739</v>
      </c>
      <c r="E733" s="4" t="str">
        <f>HYPERLINK("https://app.crepc.sk/?fn=detailBiblioForm&amp;sid=5AD89374AB637BC8E77B5BCB0A")</f>
        <v>https://app.crepc.sk/?fn=detailBiblioForm&amp;sid=5AD89374AB637BC8E77B5BCB0A</v>
      </c>
      <c r="I733" s="2"/>
    </row>
    <row r="734" spans="3:9" ht="75" x14ac:dyDescent="0.25">
      <c r="C734" s="15">
        <v>472235</v>
      </c>
      <c r="D734" s="4" t="s">
        <v>740</v>
      </c>
      <c r="E734" s="4" t="str">
        <f>HYPERLINK("https://app.crepc.sk/?fn=detailBiblioForm&amp;sid=0CB211958038C74910A1707AE3")</f>
        <v>https://app.crepc.sk/?fn=detailBiblioForm&amp;sid=0CB211958038C74910A1707AE3</v>
      </c>
      <c r="I734" s="2"/>
    </row>
    <row r="735" spans="3:9" ht="75" x14ac:dyDescent="0.25">
      <c r="C735" s="15">
        <v>494380</v>
      </c>
      <c r="D735" s="4" t="s">
        <v>741</v>
      </c>
      <c r="E735" s="4" t="str">
        <f>HYPERLINK("https://app.crepc.sk/?fn=detailBiblioForm&amp;sid=6CB30B46E1EA2F444B7BC54A53")</f>
        <v>https://app.crepc.sk/?fn=detailBiblioForm&amp;sid=6CB30B46E1EA2F444B7BC54A53</v>
      </c>
      <c r="I735" s="2"/>
    </row>
    <row r="736" spans="3:9" ht="120" x14ac:dyDescent="0.25">
      <c r="C736" s="15">
        <v>522480</v>
      </c>
      <c r="D736" s="4" t="s">
        <v>742</v>
      </c>
      <c r="E736" s="4" t="str">
        <f>HYPERLINK("https://app.crepc.sk/?fn=detailBiblioForm&amp;sid=987C43C12E015E1CA08AE3739D")</f>
        <v>https://app.crepc.sk/?fn=detailBiblioForm&amp;sid=987C43C12E015E1CA08AE3739D</v>
      </c>
      <c r="I736" s="2"/>
    </row>
    <row r="737" spans="3:9" ht="75" x14ac:dyDescent="0.25">
      <c r="C737" s="15">
        <v>472257</v>
      </c>
      <c r="D737" s="4" t="s">
        <v>743</v>
      </c>
      <c r="E737" s="4" t="str">
        <f>HYPERLINK("https://app.crepc.sk/?fn=detailBiblioForm&amp;sid=0CB211958038C74916A3707AE3")</f>
        <v>https://app.crepc.sk/?fn=detailBiblioForm&amp;sid=0CB211958038C74916A3707AE3</v>
      </c>
      <c r="I737" s="2"/>
    </row>
    <row r="738" spans="3:9" ht="75" x14ac:dyDescent="0.25">
      <c r="C738" s="15">
        <v>489931</v>
      </c>
      <c r="D738" s="4" t="s">
        <v>744</v>
      </c>
      <c r="E738" s="4" t="str">
        <f>HYPERLINK("https://app.crepc.sk/?fn=detailBiblioForm&amp;sid=175CFB56565B3853A3F8E3D004")</f>
        <v>https://app.crepc.sk/?fn=detailBiblioForm&amp;sid=175CFB56565B3853A3F8E3D004</v>
      </c>
      <c r="I738" s="2"/>
    </row>
    <row r="739" spans="3:9" ht="90" x14ac:dyDescent="0.25">
      <c r="C739" s="15">
        <v>525152</v>
      </c>
      <c r="D739" s="4" t="s">
        <v>745</v>
      </c>
      <c r="E739" s="4" t="str">
        <f>HYPERLINK("https://app.crepc.sk/?fn=detailBiblioForm&amp;sid=DD3A4E4D185CCB4715ED1FBA51")</f>
        <v>https://app.crepc.sk/?fn=detailBiblioForm&amp;sid=DD3A4E4D185CCB4715ED1FBA51</v>
      </c>
      <c r="I739" s="2"/>
    </row>
    <row r="740" spans="3:9" ht="75" x14ac:dyDescent="0.25">
      <c r="C740" s="15">
        <v>516984</v>
      </c>
      <c r="D740" s="4" t="s">
        <v>746</v>
      </c>
      <c r="E740" s="4" t="str">
        <f>HYPERLINK("https://app.crepc.sk/?fn=detailBiblioForm&amp;sid=7F5FF1F0B0E8C62F406F4C74B3")</f>
        <v>https://app.crepc.sk/?fn=detailBiblioForm&amp;sid=7F5FF1F0B0E8C62F406F4C74B3</v>
      </c>
      <c r="I740" s="2"/>
    </row>
    <row r="741" spans="3:9" ht="75" x14ac:dyDescent="0.25">
      <c r="C741" s="15">
        <v>529813</v>
      </c>
      <c r="D741" s="4" t="s">
        <v>747</v>
      </c>
      <c r="E741" s="4" t="str">
        <f>HYPERLINK("https://app.crepc.sk/?fn=detailBiblioForm&amp;sid=E5489D6BC24E57899DA6605CBC")</f>
        <v>https://app.crepc.sk/?fn=detailBiblioForm&amp;sid=E5489D6BC24E57899DA6605CBC</v>
      </c>
      <c r="I741" s="2"/>
    </row>
    <row r="742" spans="3:9" ht="90" x14ac:dyDescent="0.25">
      <c r="C742" s="15">
        <v>466794</v>
      </c>
      <c r="D742" s="4" t="s">
        <v>748</v>
      </c>
      <c r="E742" s="4" t="str">
        <f>HYPERLINK("https://app.crepc.sk/?fn=detailBiblioForm&amp;sid=2967F76C5095C99EAC57B1582D")</f>
        <v>https://app.crepc.sk/?fn=detailBiblioForm&amp;sid=2967F76C5095C99EAC57B1582D</v>
      </c>
      <c r="I742" s="2"/>
    </row>
    <row r="743" spans="3:9" ht="90" x14ac:dyDescent="0.25">
      <c r="C743" s="15">
        <v>466789</v>
      </c>
      <c r="D743" s="4" t="s">
        <v>749</v>
      </c>
      <c r="E743" s="4" t="str">
        <f>HYPERLINK("https://app.crepc.sk/?fn=detailBiblioForm&amp;sid=2967F76C5095C99EAD5AB1582D")</f>
        <v>https://app.crepc.sk/?fn=detailBiblioForm&amp;sid=2967F76C5095C99EAD5AB1582D</v>
      </c>
      <c r="I743" s="2"/>
    </row>
    <row r="744" spans="3:9" ht="90" x14ac:dyDescent="0.25">
      <c r="C744" s="15">
        <v>466377</v>
      </c>
      <c r="D744" s="4" t="s">
        <v>750</v>
      </c>
      <c r="E744" s="4" t="str">
        <f>HYPERLINK("https://app.crepc.sk/?fn=detailBiblioForm&amp;sid=1171297E44933EF782EE013B8A")</f>
        <v>https://app.crepc.sk/?fn=detailBiblioForm&amp;sid=1171297E44933EF782EE013B8A</v>
      </c>
      <c r="I744" s="2"/>
    </row>
    <row r="745" spans="3:9" ht="90" x14ac:dyDescent="0.25">
      <c r="C745" s="15">
        <v>506861</v>
      </c>
      <c r="D745" s="4" t="s">
        <v>751</v>
      </c>
      <c r="E745" s="4" t="str">
        <f>HYPERLINK("https://app.crepc.sk/?fn=detailBiblioForm&amp;sid=1D8202C022F5CB943E73EEB634")</f>
        <v>https://app.crepc.sk/?fn=detailBiblioForm&amp;sid=1D8202C022F5CB943E73EEB634</v>
      </c>
      <c r="I745" s="2"/>
    </row>
    <row r="746" spans="3:9" ht="75" x14ac:dyDescent="0.25">
      <c r="C746" s="15">
        <v>517273</v>
      </c>
      <c r="D746" s="4" t="s">
        <v>752</v>
      </c>
      <c r="E746" s="4" t="str">
        <f>HYPERLINK("https://app.crepc.sk/?fn=detailBiblioForm&amp;sid=62444EC8270434F9F5C250AF8C")</f>
        <v>https://app.crepc.sk/?fn=detailBiblioForm&amp;sid=62444EC8270434F9F5C250AF8C</v>
      </c>
      <c r="I746" s="2"/>
    </row>
    <row r="747" spans="3:9" ht="105" x14ac:dyDescent="0.25">
      <c r="C747" s="15">
        <v>479848</v>
      </c>
      <c r="D747" s="4" t="s">
        <v>753</v>
      </c>
      <c r="E747" s="4" t="str">
        <f>HYPERLINK("https://app.crepc.sk/?fn=detailBiblioForm&amp;sid=6EAC6F3F6336156ED6FF9138A6")</f>
        <v>https://app.crepc.sk/?fn=detailBiblioForm&amp;sid=6EAC6F3F6336156ED6FF9138A6</v>
      </c>
      <c r="I747" s="2"/>
    </row>
    <row r="748" spans="3:9" ht="90" x14ac:dyDescent="0.25">
      <c r="C748" s="15">
        <v>502283</v>
      </c>
      <c r="D748" s="4" t="s">
        <v>754</v>
      </c>
      <c r="E748" s="4" t="str">
        <f>HYPERLINK("https://app.crepc.sk/?fn=detailBiblioForm&amp;sid=9C6E66246BF7DA2EF8C9DC384D")</f>
        <v>https://app.crepc.sk/?fn=detailBiblioForm&amp;sid=9C6E66246BF7DA2EF8C9DC384D</v>
      </c>
      <c r="I748" s="2"/>
    </row>
    <row r="749" spans="3:9" ht="75" x14ac:dyDescent="0.25">
      <c r="C749" s="15">
        <v>484072</v>
      </c>
      <c r="D749" s="4" t="s">
        <v>755</v>
      </c>
      <c r="E749" s="4" t="str">
        <f>HYPERLINK("https://app.crepc.sk/?fn=detailBiblioForm&amp;sid=B611F6F3E965C809EA726403A9")</f>
        <v>https://app.crepc.sk/?fn=detailBiblioForm&amp;sid=B611F6F3E965C809EA726403A9</v>
      </c>
      <c r="I749" s="2"/>
    </row>
    <row r="750" spans="3:9" ht="105" x14ac:dyDescent="0.25">
      <c r="C750" s="15">
        <v>494872</v>
      </c>
      <c r="D750" s="4" t="s">
        <v>756</v>
      </c>
      <c r="E750" s="4" t="str">
        <f>HYPERLINK("https://app.crepc.sk/?fn=detailBiblioForm&amp;sid=6E28FB632DC3A6F5962C53BFF8")</f>
        <v>https://app.crepc.sk/?fn=detailBiblioForm&amp;sid=6E28FB632DC3A6F5962C53BFF8</v>
      </c>
      <c r="I750" s="2"/>
    </row>
    <row r="751" spans="3:9" ht="75" x14ac:dyDescent="0.25">
      <c r="C751" s="15">
        <v>477024</v>
      </c>
      <c r="D751" s="4" t="s">
        <v>757</v>
      </c>
      <c r="E751" s="4" t="str">
        <f>HYPERLINK("https://app.crepc.sk/?fn=detailBiblioForm&amp;sid=4E3F39B06703BA1CC1724946CB")</f>
        <v>https://app.crepc.sk/?fn=detailBiblioForm&amp;sid=4E3F39B06703BA1CC1724946CB</v>
      </c>
      <c r="I751" s="2"/>
    </row>
    <row r="752" spans="3:9" ht="90" x14ac:dyDescent="0.25">
      <c r="C752" s="15">
        <v>523660</v>
      </c>
      <c r="D752" s="4" t="s">
        <v>758</v>
      </c>
      <c r="E752" s="4" t="str">
        <f>HYPERLINK("https://app.crepc.sk/?fn=detailBiblioForm&amp;sid=088DA6A565887277E3F4FBD7A9")</f>
        <v>https://app.crepc.sk/?fn=detailBiblioForm&amp;sid=088DA6A565887277E3F4FBD7A9</v>
      </c>
      <c r="I752" s="2"/>
    </row>
    <row r="753" spans="3:9" ht="90" x14ac:dyDescent="0.25">
      <c r="C753" s="15">
        <v>494964</v>
      </c>
      <c r="D753" s="4" t="s">
        <v>759</v>
      </c>
      <c r="E753" s="4" t="str">
        <f>HYPERLINK("https://app.crepc.sk/?fn=detailBiblioForm&amp;sid=A402A57FF0D119DFA93F12694B")</f>
        <v>https://app.crepc.sk/?fn=detailBiblioForm&amp;sid=A402A57FF0D119DFA93F12694B</v>
      </c>
      <c r="I753" s="2"/>
    </row>
    <row r="754" spans="3:9" ht="90" x14ac:dyDescent="0.25">
      <c r="C754" s="15">
        <v>469454</v>
      </c>
      <c r="D754" s="4" t="s">
        <v>760</v>
      </c>
      <c r="E754" s="4" t="str">
        <f>HYPERLINK("https://app.crepc.sk/?fn=detailBiblioForm&amp;sid=60CFF5964A6149A88A2F33F7DF")</f>
        <v>https://app.crepc.sk/?fn=detailBiblioForm&amp;sid=60CFF5964A6149A88A2F33F7DF</v>
      </c>
      <c r="I754" s="2"/>
    </row>
    <row r="755" spans="3:9" ht="75" x14ac:dyDescent="0.25">
      <c r="C755" s="15">
        <v>479344</v>
      </c>
      <c r="D755" s="4" t="s">
        <v>761</v>
      </c>
      <c r="E755" s="4" t="str">
        <f>HYPERLINK("https://app.crepc.sk/?fn=detailBiblioForm&amp;sid=066E09D6D4D0196D443AA941F6")</f>
        <v>https://app.crepc.sk/?fn=detailBiblioForm&amp;sid=066E09D6D4D0196D443AA941F6</v>
      </c>
      <c r="I755" s="2"/>
    </row>
    <row r="756" spans="3:9" ht="105" x14ac:dyDescent="0.25">
      <c r="C756" s="15">
        <v>466910</v>
      </c>
      <c r="D756" s="4" t="s">
        <v>762</v>
      </c>
      <c r="E756" s="4" t="str">
        <f>HYPERLINK("https://app.crepc.sk/?fn=detailBiblioForm&amp;sid=57D188EE05D46390F2B0D768FF")</f>
        <v>https://app.crepc.sk/?fn=detailBiblioForm&amp;sid=57D188EE05D46390F2B0D768FF</v>
      </c>
      <c r="I756" s="2"/>
    </row>
    <row r="757" spans="3:9" ht="105" x14ac:dyDescent="0.25">
      <c r="C757" s="15">
        <v>483919</v>
      </c>
      <c r="D757" s="4" t="s">
        <v>763</v>
      </c>
      <c r="E757" s="4" t="str">
        <f>HYPERLINK("https://app.crepc.sk/?fn=detailBiblioForm&amp;sid=F8303E194D2A08F472D073C2FC")</f>
        <v>https://app.crepc.sk/?fn=detailBiblioForm&amp;sid=F8303E194D2A08F472D073C2FC</v>
      </c>
      <c r="I757" s="2"/>
    </row>
    <row r="758" spans="3:9" ht="90" x14ac:dyDescent="0.25">
      <c r="C758" s="15">
        <v>473451</v>
      </c>
      <c r="D758" s="4" t="s">
        <v>764</v>
      </c>
      <c r="E758" s="4" t="str">
        <f>HYPERLINK("https://app.crepc.sk/?fn=detailBiblioForm&amp;sid=9237DA5C47AEF4D4042F545A14")</f>
        <v>https://app.crepc.sk/?fn=detailBiblioForm&amp;sid=9237DA5C47AEF4D4042F545A14</v>
      </c>
      <c r="I758" s="2"/>
    </row>
    <row r="759" spans="3:9" ht="90" x14ac:dyDescent="0.25">
      <c r="C759" s="15">
        <v>494875</v>
      </c>
      <c r="D759" s="4" t="s">
        <v>765</v>
      </c>
      <c r="E759" s="4" t="str">
        <f>HYPERLINK("https://app.crepc.sk/?fn=detailBiblioForm&amp;sid=6E28FB632DC3A6F5962B53BFF8")</f>
        <v>https://app.crepc.sk/?fn=detailBiblioForm&amp;sid=6E28FB632DC3A6F5962B53BFF8</v>
      </c>
      <c r="I759" s="2"/>
    </row>
    <row r="760" spans="3:9" ht="105" x14ac:dyDescent="0.25">
      <c r="C760" s="15">
        <v>466781</v>
      </c>
      <c r="D760" s="4" t="s">
        <v>766</v>
      </c>
      <c r="E760" s="4" t="str">
        <f>HYPERLINK("https://app.crepc.sk/?fn=detailBiblioForm&amp;sid=2967F76C5095C99EAD52B1582D")</f>
        <v>https://app.crepc.sk/?fn=detailBiblioForm&amp;sid=2967F76C5095C99EAD52B1582D</v>
      </c>
      <c r="I760" s="2"/>
    </row>
    <row r="761" spans="3:9" ht="105" x14ac:dyDescent="0.25">
      <c r="C761" s="15">
        <v>479864</v>
      </c>
      <c r="D761" s="4" t="s">
        <v>767</v>
      </c>
      <c r="E761" s="4" t="str">
        <f>HYPERLINK("https://app.crepc.sk/?fn=detailBiblioForm&amp;sid=6EAC6F3F6336156ED4F39138A6")</f>
        <v>https://app.crepc.sk/?fn=detailBiblioForm&amp;sid=6EAC6F3F6336156ED4F39138A6</v>
      </c>
      <c r="I761" s="2"/>
    </row>
    <row r="762" spans="3:9" ht="90" x14ac:dyDescent="0.25">
      <c r="C762" s="15">
        <v>487572</v>
      </c>
      <c r="D762" s="4" t="s">
        <v>768</v>
      </c>
      <c r="E762" s="4" t="str">
        <f>HYPERLINK("https://app.crepc.sk/?fn=detailBiblioForm&amp;sid=E8ACD27251A8CA5300AF194AAC")</f>
        <v>https://app.crepc.sk/?fn=detailBiblioForm&amp;sid=E8ACD27251A8CA5300AF194AAC</v>
      </c>
      <c r="I762" s="2"/>
    </row>
    <row r="763" spans="3:9" ht="105" x14ac:dyDescent="0.25">
      <c r="C763" s="15">
        <v>479835</v>
      </c>
      <c r="D763" s="4" t="s">
        <v>769</v>
      </c>
      <c r="E763" s="4" t="str">
        <f>HYPERLINK("https://app.crepc.sk/?fn=detailBiblioForm&amp;sid=6EAC6F3F6336156ED1F29138A6")</f>
        <v>https://app.crepc.sk/?fn=detailBiblioForm&amp;sid=6EAC6F3F6336156ED1F29138A6</v>
      </c>
      <c r="I763" s="2"/>
    </row>
    <row r="764" spans="3:9" ht="105" x14ac:dyDescent="0.25">
      <c r="C764" s="15">
        <v>485582</v>
      </c>
      <c r="D764" s="4" t="s">
        <v>770</v>
      </c>
      <c r="E764" s="4" t="str">
        <f>HYPERLINK("https://app.crepc.sk/?fn=detailBiblioForm&amp;sid=5846AB7CDF2636F753EF9A57F1")</f>
        <v>https://app.crepc.sk/?fn=detailBiblioForm&amp;sid=5846AB7CDF2636F753EF9A57F1</v>
      </c>
      <c r="I764" s="2"/>
    </row>
    <row r="765" spans="3:9" ht="105" x14ac:dyDescent="0.25">
      <c r="C765" s="15">
        <v>479861</v>
      </c>
      <c r="D765" s="4" t="s">
        <v>771</v>
      </c>
      <c r="E765" s="4" t="str">
        <f>HYPERLINK("https://app.crepc.sk/?fn=detailBiblioForm&amp;sid=6EAC6F3F6336156ED4F69138A6")</f>
        <v>https://app.crepc.sk/?fn=detailBiblioForm&amp;sid=6EAC6F3F6336156ED4F69138A6</v>
      </c>
      <c r="I765" s="2"/>
    </row>
    <row r="766" spans="3:9" ht="60" x14ac:dyDescent="0.25">
      <c r="C766" s="15">
        <v>509307</v>
      </c>
      <c r="D766" s="4" t="s">
        <v>772</v>
      </c>
      <c r="E766" s="4" t="str">
        <f>HYPERLINK("https://app.crepc.sk/?fn=detailBiblioForm&amp;sid=39DA9FE9ED6A814B3127FD0E71")</f>
        <v>https://app.crepc.sk/?fn=detailBiblioForm&amp;sid=39DA9FE9ED6A814B3127FD0E71</v>
      </c>
      <c r="I766" s="2"/>
    </row>
    <row r="767" spans="3:9" ht="75" x14ac:dyDescent="0.25">
      <c r="C767" s="15">
        <v>509309</v>
      </c>
      <c r="D767" s="4" t="s">
        <v>773</v>
      </c>
      <c r="E767" s="4" t="str">
        <f>HYPERLINK("https://app.crepc.sk/?fn=detailBiblioForm&amp;sid=39DA9FE9ED6A814B3129FD0E71")</f>
        <v>https://app.crepc.sk/?fn=detailBiblioForm&amp;sid=39DA9FE9ED6A814B3129FD0E71</v>
      </c>
      <c r="I767" s="2"/>
    </row>
    <row r="768" spans="3:9" ht="75" x14ac:dyDescent="0.25">
      <c r="C768" s="15">
        <v>520516</v>
      </c>
      <c r="D768" s="4" t="s">
        <v>774</v>
      </c>
      <c r="E768" s="4" t="str">
        <f>HYPERLINK("https://app.crepc.sk/?fn=detailBiblioForm&amp;sid=E371BE7739541E1072665B0B8E")</f>
        <v>https://app.crepc.sk/?fn=detailBiblioForm&amp;sid=E371BE7739541E1072665B0B8E</v>
      </c>
      <c r="I768" s="2"/>
    </row>
    <row r="769" spans="3:9" ht="105" x14ac:dyDescent="0.25">
      <c r="C769" s="15">
        <v>474772</v>
      </c>
      <c r="D769" s="4" t="s">
        <v>775</v>
      </c>
      <c r="E769" s="4" t="str">
        <f>HYPERLINK("https://app.crepc.sk/?fn=detailBiblioForm&amp;sid=F5619B6BE1321D2EAC98ED9F30")</f>
        <v>https://app.crepc.sk/?fn=detailBiblioForm&amp;sid=F5619B6BE1321D2EAC98ED9F30</v>
      </c>
      <c r="I769" s="2"/>
    </row>
    <row r="770" spans="3:9" ht="75" x14ac:dyDescent="0.25">
      <c r="C770" s="15">
        <v>458130</v>
      </c>
      <c r="D770" s="4" t="s">
        <v>776</v>
      </c>
      <c r="E770" s="4" t="str">
        <f>HYPERLINK("https://app.crepc.sk/?fn=detailBiblioForm&amp;sid=071A873BB8FAF95F58D79A64F9")</f>
        <v>https://app.crepc.sk/?fn=detailBiblioForm&amp;sid=071A873BB8FAF95F58D79A64F9</v>
      </c>
      <c r="I770" s="2"/>
    </row>
    <row r="771" spans="3:9" ht="90" x14ac:dyDescent="0.25">
      <c r="C771" s="15">
        <v>494861</v>
      </c>
      <c r="D771" s="4" t="s">
        <v>777</v>
      </c>
      <c r="E771" s="4" t="str">
        <f>HYPERLINK("https://app.crepc.sk/?fn=detailBiblioForm&amp;sid=6E28FB632DC3A6F5972F53BFF8")</f>
        <v>https://app.crepc.sk/?fn=detailBiblioForm&amp;sid=6E28FB632DC3A6F5972F53BFF8</v>
      </c>
      <c r="I771" s="2"/>
    </row>
    <row r="772" spans="3:9" ht="105" x14ac:dyDescent="0.25">
      <c r="C772" s="15">
        <v>484093</v>
      </c>
      <c r="D772" s="4" t="s">
        <v>778</v>
      </c>
      <c r="E772" s="4" t="str">
        <f>HYPERLINK("https://app.crepc.sk/?fn=detailBiblioForm&amp;sid=B611F6F3E965C809E4736403A9")</f>
        <v>https://app.crepc.sk/?fn=detailBiblioForm&amp;sid=B611F6F3E965C809E4736403A9</v>
      </c>
      <c r="I772" s="2"/>
    </row>
    <row r="773" spans="3:9" ht="90" x14ac:dyDescent="0.25">
      <c r="C773" s="15">
        <v>496757</v>
      </c>
      <c r="D773" s="4" t="s">
        <v>779</v>
      </c>
      <c r="E773" s="4" t="str">
        <f>HYPERLINK("https://app.crepc.sk/?fn=detailBiblioForm&amp;sid=81EAB13891E59A2967A39C3CFB")</f>
        <v>https://app.crepc.sk/?fn=detailBiblioForm&amp;sid=81EAB13891E59A2967A39C3CFB</v>
      </c>
      <c r="I773" s="2"/>
    </row>
    <row r="774" spans="3:9" ht="90" x14ac:dyDescent="0.25">
      <c r="C774" s="15">
        <v>483917</v>
      </c>
      <c r="D774" s="4" t="s">
        <v>780</v>
      </c>
      <c r="E774" s="4" t="str">
        <f>HYPERLINK("https://app.crepc.sk/?fn=detailBiblioForm&amp;sid=F8303E194D2A08F472DE73C2FC")</f>
        <v>https://app.crepc.sk/?fn=detailBiblioForm&amp;sid=F8303E194D2A08F472DE73C2FC</v>
      </c>
      <c r="I774" s="2"/>
    </row>
    <row r="775" spans="3:9" ht="90" x14ac:dyDescent="0.25">
      <c r="C775" s="15">
        <v>466804</v>
      </c>
      <c r="D775" s="4" t="s">
        <v>781</v>
      </c>
      <c r="E775" s="4" t="str">
        <f>HYPERLINK("https://app.crepc.sk/?fn=detailBiblioForm&amp;sid=9157A8D966215C3E8BAEA12C4A")</f>
        <v>https://app.crepc.sk/?fn=detailBiblioForm&amp;sid=9157A8D966215C3E8BAEA12C4A</v>
      </c>
      <c r="I775" s="2"/>
    </row>
    <row r="776" spans="3:9" ht="90" x14ac:dyDescent="0.25">
      <c r="C776" s="15">
        <v>484046</v>
      </c>
      <c r="D776" s="4" t="s">
        <v>782</v>
      </c>
      <c r="E776" s="4" t="str">
        <f>HYPERLINK("https://app.crepc.sk/?fn=detailBiblioForm&amp;sid=B611F6F3E965C809E9766403A9")</f>
        <v>https://app.crepc.sk/?fn=detailBiblioForm&amp;sid=B611F6F3E965C809E9766403A9</v>
      </c>
      <c r="I776" s="2"/>
    </row>
    <row r="777" spans="3:9" ht="90" x14ac:dyDescent="0.25">
      <c r="C777" s="15">
        <v>466795</v>
      </c>
      <c r="D777" s="4" t="s">
        <v>783</v>
      </c>
      <c r="E777" s="4" t="str">
        <f>HYPERLINK("https://app.crepc.sk/?fn=detailBiblioForm&amp;sid=2967F76C5095C99EAC56B1582D")</f>
        <v>https://app.crepc.sk/?fn=detailBiblioForm&amp;sid=2967F76C5095C99EAC56B1582D</v>
      </c>
      <c r="I777" s="2"/>
    </row>
    <row r="778" spans="3:9" ht="90" x14ac:dyDescent="0.25">
      <c r="C778" s="15">
        <v>466341</v>
      </c>
      <c r="D778" s="4" t="s">
        <v>784</v>
      </c>
      <c r="E778" s="4" t="str">
        <f>HYPERLINK("https://app.crepc.sk/?fn=detailBiblioForm&amp;sid=1171297E44933EF781E8013B8A")</f>
        <v>https://app.crepc.sk/?fn=detailBiblioForm&amp;sid=1171297E44933EF781E8013B8A</v>
      </c>
      <c r="I778" s="2"/>
    </row>
    <row r="779" spans="3:9" ht="60" x14ac:dyDescent="0.25">
      <c r="C779" s="15">
        <v>473711</v>
      </c>
      <c r="D779" s="4" t="s">
        <v>785</v>
      </c>
      <c r="E779" s="4" t="str">
        <f>HYPERLINK("https://app.crepc.sk/?fn=detailBiblioForm&amp;sid=1C28970451C5F0C380BE0C4FF4")</f>
        <v>https://app.crepc.sk/?fn=detailBiblioForm&amp;sid=1C28970451C5F0C380BE0C4FF4</v>
      </c>
      <c r="I779" s="2"/>
    </row>
    <row r="780" spans="3:9" ht="75" x14ac:dyDescent="0.25">
      <c r="C780" s="15">
        <v>529239</v>
      </c>
      <c r="D780" s="4" t="s">
        <v>786</v>
      </c>
      <c r="E780" s="4" t="str">
        <f>HYPERLINK("https://app.crepc.sk/?fn=detailBiblioForm&amp;sid=C7EE819E36417AEFCAC4C0E72A")</f>
        <v>https://app.crepc.sk/?fn=detailBiblioForm&amp;sid=C7EE819E36417AEFCAC4C0E72A</v>
      </c>
      <c r="I780" s="2"/>
    </row>
    <row r="781" spans="3:9" ht="90" x14ac:dyDescent="0.25">
      <c r="C781" s="15">
        <v>466888</v>
      </c>
      <c r="D781" s="4" t="s">
        <v>787</v>
      </c>
      <c r="E781" s="4" t="str">
        <f>HYPERLINK("https://app.crepc.sk/?fn=detailBiblioForm&amp;sid=9157A8D966215C3E83A2A12C4A")</f>
        <v>https://app.crepc.sk/?fn=detailBiblioForm&amp;sid=9157A8D966215C3E83A2A12C4A</v>
      </c>
      <c r="I781" s="2"/>
    </row>
    <row r="782" spans="3:9" ht="60" x14ac:dyDescent="0.25">
      <c r="C782" s="15">
        <v>492702</v>
      </c>
      <c r="D782" s="4" t="s">
        <v>788</v>
      </c>
      <c r="E782" s="4" t="str">
        <f>HYPERLINK("https://app.crepc.sk/?fn=detailBiblioForm&amp;sid=D5F6245029F2FAC3B4A3F13C0F")</f>
        <v>https://app.crepc.sk/?fn=detailBiblioForm&amp;sid=D5F6245029F2FAC3B4A3F13C0F</v>
      </c>
      <c r="I782" s="2"/>
    </row>
    <row r="783" spans="3:9" ht="90" x14ac:dyDescent="0.25">
      <c r="C783" s="15">
        <v>511956</v>
      </c>
      <c r="D783" s="4" t="s">
        <v>789</v>
      </c>
      <c r="E783" s="4" t="str">
        <f>HYPERLINK("https://app.crepc.sk/?fn=detailBiblioForm&amp;sid=7C67099AC5BBA8842F6EA4E232")</f>
        <v>https://app.crepc.sk/?fn=detailBiblioForm&amp;sid=7C67099AC5BBA8842F6EA4E232</v>
      </c>
      <c r="I783" s="2"/>
    </row>
    <row r="784" spans="3:9" ht="75" x14ac:dyDescent="0.25">
      <c r="C784" s="15">
        <v>495074</v>
      </c>
      <c r="D784" s="4" t="s">
        <v>790</v>
      </c>
      <c r="E784" s="4" t="str">
        <f>HYPERLINK("https://app.crepc.sk/?fn=detailBiblioForm&amp;sid=BBF5DCBAEAD8A021107EB1FFB8")</f>
        <v>https://app.crepc.sk/?fn=detailBiblioForm&amp;sid=BBF5DCBAEAD8A021107EB1FFB8</v>
      </c>
      <c r="I784" s="2"/>
    </row>
    <row r="785" spans="3:9" ht="90" x14ac:dyDescent="0.25">
      <c r="C785" s="15">
        <v>494939</v>
      </c>
      <c r="D785" s="4" t="s">
        <v>791</v>
      </c>
      <c r="E785" s="4" t="str">
        <f>HYPERLINK("https://app.crepc.sk/?fn=detailBiblioForm&amp;sid=A402A57FF0D119DFAC3212694B")</f>
        <v>https://app.crepc.sk/?fn=detailBiblioForm&amp;sid=A402A57FF0D119DFAC3212694B</v>
      </c>
      <c r="I785" s="2"/>
    </row>
    <row r="786" spans="3:9" ht="75" x14ac:dyDescent="0.25">
      <c r="C786" s="15">
        <v>468605</v>
      </c>
      <c r="D786" s="4" t="s">
        <v>792</v>
      </c>
      <c r="E786" s="4" t="str">
        <f>HYPERLINK("https://app.crepc.sk/?fn=detailBiblioForm&amp;sid=6ACF4CA1560234657F5BC2B508")</f>
        <v>https://app.crepc.sk/?fn=detailBiblioForm&amp;sid=6ACF4CA1560234657F5BC2B508</v>
      </c>
      <c r="I786" s="2"/>
    </row>
    <row r="787" spans="3:9" ht="90" x14ac:dyDescent="0.25">
      <c r="C787" s="15">
        <v>511957</v>
      </c>
      <c r="D787" s="4" t="s">
        <v>793</v>
      </c>
      <c r="E787" s="4" t="str">
        <f>HYPERLINK("https://app.crepc.sk/?fn=detailBiblioForm&amp;sid=7C67099AC5BBA8842F6FA4E232")</f>
        <v>https://app.crepc.sk/?fn=detailBiblioForm&amp;sid=7C67099AC5BBA8842F6FA4E232</v>
      </c>
      <c r="I787" s="2"/>
    </row>
    <row r="788" spans="3:9" ht="90" x14ac:dyDescent="0.25">
      <c r="C788" s="15">
        <v>506766</v>
      </c>
      <c r="D788" s="4" t="s">
        <v>794</v>
      </c>
      <c r="E788" s="4" t="str">
        <f>HYPERLINK("https://app.crepc.sk/?fn=detailBiblioForm&amp;sid=AA397DACEC77CE6976205FFD90")</f>
        <v>https://app.crepc.sk/?fn=detailBiblioForm&amp;sid=AA397DACEC77CE6976205FFD90</v>
      </c>
      <c r="I788" s="2"/>
    </row>
    <row r="789" spans="3:9" ht="75" x14ac:dyDescent="0.25">
      <c r="C789" s="15">
        <v>504500</v>
      </c>
      <c r="D789" s="4" t="s">
        <v>795</v>
      </c>
      <c r="E789" s="4" t="str">
        <f>HYPERLINK("https://app.crepc.sk/?fn=detailBiblioForm&amp;sid=7E2D778D3A367624E99CFFD618")</f>
        <v>https://app.crepc.sk/?fn=detailBiblioForm&amp;sid=7E2D778D3A367624E99CFFD618</v>
      </c>
      <c r="I789" s="2"/>
    </row>
    <row r="790" spans="3:9" ht="75" x14ac:dyDescent="0.25">
      <c r="C790" s="15">
        <v>459070</v>
      </c>
      <c r="D790" s="4" t="s">
        <v>796</v>
      </c>
      <c r="E790" s="4" t="str">
        <f>HYPERLINK("https://app.crepc.sk/?fn=detailBiblioForm&amp;sid=C7DB2D1BF6DF5042AC05C7DC8A")</f>
        <v>https://app.crepc.sk/?fn=detailBiblioForm&amp;sid=C7DB2D1BF6DF5042AC05C7DC8A</v>
      </c>
      <c r="I790" s="2"/>
    </row>
    <row r="791" spans="3:9" ht="75" x14ac:dyDescent="0.25">
      <c r="C791" s="15">
        <v>514999</v>
      </c>
      <c r="D791" s="4" t="s">
        <v>797</v>
      </c>
      <c r="E791" s="4" t="str">
        <f>HYPERLINK("https://app.crepc.sk/?fn=detailBiblioForm&amp;sid=623D962DA51AD83EBB0955A688")</f>
        <v>https://app.crepc.sk/?fn=detailBiblioForm&amp;sid=623D962DA51AD83EBB0955A688</v>
      </c>
      <c r="I791" s="2"/>
    </row>
    <row r="792" spans="3:9" ht="75" x14ac:dyDescent="0.25">
      <c r="C792" s="15">
        <v>474214</v>
      </c>
      <c r="D792" s="4" t="s">
        <v>798</v>
      </c>
      <c r="E792" s="4" t="str">
        <f>HYPERLINK("https://app.crepc.sk/?fn=detailBiblioForm&amp;sid=076AEDFDBB54A6325F09AE4DCC")</f>
        <v>https://app.crepc.sk/?fn=detailBiblioForm&amp;sid=076AEDFDBB54A6325F09AE4DCC</v>
      </c>
      <c r="I792" s="2"/>
    </row>
    <row r="793" spans="3:9" ht="75" x14ac:dyDescent="0.25">
      <c r="C793" s="15">
        <v>461266</v>
      </c>
      <c r="D793" s="4" t="s">
        <v>799</v>
      </c>
      <c r="E793" s="4" t="str">
        <f>HYPERLINK("https://app.crepc.sk/?fn=detailBiblioForm&amp;sid=8537F87F3D8705D8C3BA52C7AA")</f>
        <v>https://app.crepc.sk/?fn=detailBiblioForm&amp;sid=8537F87F3D8705D8C3BA52C7AA</v>
      </c>
      <c r="I793" s="2"/>
    </row>
    <row r="794" spans="3:9" ht="75" x14ac:dyDescent="0.25">
      <c r="C794" s="15">
        <v>494334</v>
      </c>
      <c r="D794" s="4" t="s">
        <v>800</v>
      </c>
      <c r="E794" s="4" t="str">
        <f>HYPERLINK("https://app.crepc.sk/?fn=detailBiblioForm&amp;sid=6CB30B46E1EA2F44407FC54A53")</f>
        <v>https://app.crepc.sk/?fn=detailBiblioForm&amp;sid=6CB30B46E1EA2F44407FC54A53</v>
      </c>
      <c r="I794" s="2"/>
    </row>
    <row r="795" spans="3:9" ht="60" x14ac:dyDescent="0.25">
      <c r="C795" s="15">
        <v>495486</v>
      </c>
      <c r="D795" s="4" t="s">
        <v>801</v>
      </c>
      <c r="E795" s="4" t="str">
        <f>HYPERLINK("https://app.crepc.sk/?fn=detailBiblioForm&amp;sid=ECA87EF3AB651326313CC0A1A5")</f>
        <v>https://app.crepc.sk/?fn=detailBiblioForm&amp;sid=ECA87EF3AB651326313CC0A1A5</v>
      </c>
      <c r="I795" s="2"/>
    </row>
    <row r="796" spans="3:9" ht="135" x14ac:dyDescent="0.25">
      <c r="C796" s="15">
        <v>493197</v>
      </c>
      <c r="D796" s="4" t="s">
        <v>802</v>
      </c>
      <c r="E796" s="4" t="str">
        <f>HYPERLINK("https://app.crepc.sk/?fn=detailBiblioForm&amp;sid=461C2D9728B875011BCF299B18")</f>
        <v>https://app.crepc.sk/?fn=detailBiblioForm&amp;sid=461C2D9728B875011BCF299B18</v>
      </c>
      <c r="I796" s="2"/>
    </row>
    <row r="797" spans="3:9" ht="105" x14ac:dyDescent="0.25">
      <c r="C797" s="15">
        <v>490591</v>
      </c>
      <c r="D797" s="4" t="s">
        <v>803</v>
      </c>
      <c r="E797" s="4" t="str">
        <f>HYPERLINK("https://app.crepc.sk/?fn=detailBiblioForm&amp;sid=FF84D4768F17A46A1B91E8282A")</f>
        <v>https://app.crepc.sk/?fn=detailBiblioForm&amp;sid=FF84D4768F17A46A1B91E8282A</v>
      </c>
      <c r="I797" s="2"/>
    </row>
    <row r="798" spans="3:9" ht="90" x14ac:dyDescent="0.25">
      <c r="C798" s="15">
        <v>478245</v>
      </c>
      <c r="D798" s="4" t="s">
        <v>804</v>
      </c>
      <c r="E798" s="4" t="str">
        <f>HYPERLINK("https://app.crepc.sk/?fn=detailBiblioForm&amp;sid=5AD89374AB637BC8E57D5BCB0A")</f>
        <v>https://app.crepc.sk/?fn=detailBiblioForm&amp;sid=5AD89374AB637BC8E57D5BCB0A</v>
      </c>
      <c r="I798" s="2"/>
    </row>
    <row r="799" spans="3:9" ht="135" x14ac:dyDescent="0.25">
      <c r="C799" s="15">
        <v>495702</v>
      </c>
      <c r="D799" s="4" t="s">
        <v>805</v>
      </c>
      <c r="E799" s="4" t="str">
        <f>HYPERLINK("https://app.crepc.sk/?fn=detailBiblioForm&amp;sid=9826E54EB6A861039B3F1E052C")</f>
        <v>https://app.crepc.sk/?fn=detailBiblioForm&amp;sid=9826E54EB6A861039B3F1E052C</v>
      </c>
      <c r="I799" s="2"/>
    </row>
    <row r="800" spans="3:9" ht="90" x14ac:dyDescent="0.25">
      <c r="C800" s="15">
        <v>492693</v>
      </c>
      <c r="D800" s="4" t="s">
        <v>806</v>
      </c>
      <c r="E800" s="4" t="str">
        <f>HYPERLINK("https://app.crepc.sk/?fn=detailBiblioForm&amp;sid=518258C199CB2CC698A416CFCA")</f>
        <v>https://app.crepc.sk/?fn=detailBiblioForm&amp;sid=518258C199CB2CC698A416CFCA</v>
      </c>
      <c r="I800" s="2"/>
    </row>
    <row r="801" spans="3:9" ht="90" x14ac:dyDescent="0.25">
      <c r="C801" s="15">
        <v>495085</v>
      </c>
      <c r="D801" s="4" t="s">
        <v>807</v>
      </c>
      <c r="E801" s="4" t="str">
        <f>HYPERLINK("https://app.crepc.sk/?fn=detailBiblioForm&amp;sid=BBF5DCBAEAD8A0211F7FB1FFB8")</f>
        <v>https://app.crepc.sk/?fn=detailBiblioForm&amp;sid=BBF5DCBAEAD8A0211F7FB1FFB8</v>
      </c>
      <c r="I801" s="2"/>
    </row>
    <row r="802" spans="3:9" ht="90" x14ac:dyDescent="0.25">
      <c r="C802" s="15">
        <v>520543</v>
      </c>
      <c r="D802" s="4" t="s">
        <v>808</v>
      </c>
      <c r="E802" s="4" t="str">
        <f>HYPERLINK("https://app.crepc.sk/?fn=detailBiblioForm&amp;sid=E371BE7739541E1077635B0B8E")</f>
        <v>https://app.crepc.sk/?fn=detailBiblioForm&amp;sid=E371BE7739541E1077635B0B8E</v>
      </c>
      <c r="I802" s="2"/>
    </row>
    <row r="803" spans="3:9" ht="75" x14ac:dyDescent="0.25">
      <c r="C803" s="15">
        <v>520466</v>
      </c>
      <c r="D803" s="4" t="s">
        <v>809</v>
      </c>
      <c r="E803" s="4" t="str">
        <f>HYPERLINK("https://app.crepc.sk/?fn=detailBiblioForm&amp;sid=A3B65ED8C4EA60F68A45C806B2")</f>
        <v>https://app.crepc.sk/?fn=detailBiblioForm&amp;sid=A3B65ED8C4EA60F68A45C806B2</v>
      </c>
      <c r="I803" s="2"/>
    </row>
    <row r="804" spans="3:9" ht="90" x14ac:dyDescent="0.25">
      <c r="C804" s="15">
        <v>520529</v>
      </c>
      <c r="D804" s="4" t="s">
        <v>810</v>
      </c>
      <c r="E804" s="4" t="str">
        <f>HYPERLINK("https://app.crepc.sk/?fn=detailBiblioForm&amp;sid=E371BE7739541E1071695B0B8E")</f>
        <v>https://app.crepc.sk/?fn=detailBiblioForm&amp;sid=E371BE7739541E1071695B0B8E</v>
      </c>
      <c r="I804" s="2"/>
    </row>
    <row r="805" spans="3:9" ht="105" x14ac:dyDescent="0.25">
      <c r="C805" s="15">
        <v>495847</v>
      </c>
      <c r="D805" s="4" t="s">
        <v>811</v>
      </c>
      <c r="E805" s="4" t="str">
        <f>HYPERLINK("https://app.crepc.sk/?fn=detailBiblioForm&amp;sid=933766D6691B3CE7318D3FC43B")</f>
        <v>https://app.crepc.sk/?fn=detailBiblioForm&amp;sid=933766D6691B3CE7318D3FC43B</v>
      </c>
      <c r="I805" s="2"/>
    </row>
    <row r="806" spans="3:9" ht="90" x14ac:dyDescent="0.25">
      <c r="C806" s="15">
        <v>477068</v>
      </c>
      <c r="D806" s="4" t="s">
        <v>812</v>
      </c>
      <c r="E806" s="4" t="str">
        <f>HYPERLINK("https://app.crepc.sk/?fn=detailBiblioForm&amp;sid=4E3F39B06703BA1CC57E4946CB")</f>
        <v>https://app.crepc.sk/?fn=detailBiblioForm&amp;sid=4E3F39B06703BA1CC57E4946CB</v>
      </c>
      <c r="I806" s="2"/>
    </row>
    <row r="807" spans="3:9" ht="105" x14ac:dyDescent="0.25">
      <c r="C807" s="15">
        <v>523663</v>
      </c>
      <c r="D807" s="4" t="s">
        <v>813</v>
      </c>
      <c r="E807" s="4" t="str">
        <f>HYPERLINK("https://app.crepc.sk/?fn=detailBiblioForm&amp;sid=088DA6A565887277E3F7FBD7A9")</f>
        <v>https://app.crepc.sk/?fn=detailBiblioForm&amp;sid=088DA6A565887277E3F7FBD7A9</v>
      </c>
      <c r="I807" s="2"/>
    </row>
    <row r="808" spans="3:9" ht="90" x14ac:dyDescent="0.25">
      <c r="C808" s="15">
        <v>514651</v>
      </c>
      <c r="D808" s="4" t="s">
        <v>814</v>
      </c>
      <c r="E808" s="4" t="str">
        <f>HYPERLINK("https://app.crepc.sk/?fn=detailBiblioForm&amp;sid=BFFFB6CAA1C634CD1778918A37")</f>
        <v>https://app.crepc.sk/?fn=detailBiblioForm&amp;sid=BFFFB6CAA1C634CD1778918A37</v>
      </c>
      <c r="I808" s="2"/>
    </row>
    <row r="809" spans="3:9" ht="105" x14ac:dyDescent="0.25">
      <c r="C809" s="15">
        <v>459054</v>
      </c>
      <c r="D809" s="4" t="s">
        <v>815</v>
      </c>
      <c r="E809" s="4" t="str">
        <f>HYPERLINK("https://app.crepc.sk/?fn=detailBiblioForm&amp;sid=C7DB2D1BF6DF5042AE01C7DC8A")</f>
        <v>https://app.crepc.sk/?fn=detailBiblioForm&amp;sid=C7DB2D1BF6DF5042AE01C7DC8A</v>
      </c>
      <c r="I809" s="2"/>
    </row>
    <row r="810" spans="3:9" ht="45" x14ac:dyDescent="0.25">
      <c r="C810" s="15">
        <v>512327</v>
      </c>
      <c r="D810" s="4" t="s">
        <v>816</v>
      </c>
      <c r="E810" s="4" t="str">
        <f>HYPERLINK("https://app.crepc.sk/?fn=detailBiblioForm&amp;sid=C2C5387F66C91EC29E1CAAF99D")</f>
        <v>https://app.crepc.sk/?fn=detailBiblioForm&amp;sid=C2C5387F66C91EC29E1CAAF99D</v>
      </c>
      <c r="I810" s="2"/>
    </row>
    <row r="811" spans="3:9" ht="105" x14ac:dyDescent="0.25">
      <c r="C811" s="15">
        <v>506761</v>
      </c>
      <c r="D811" s="4" t="s">
        <v>817</v>
      </c>
      <c r="E811" s="4" t="str">
        <f>HYPERLINK("https://app.crepc.sk/?fn=detailBiblioForm&amp;sid=AA397DACEC77CE6976275FFD90")</f>
        <v>https://app.crepc.sk/?fn=detailBiblioForm&amp;sid=AA397DACEC77CE6976275FFD90</v>
      </c>
      <c r="I811" s="2"/>
    </row>
    <row r="812" spans="3:9" ht="75" x14ac:dyDescent="0.25">
      <c r="C812" s="15">
        <v>504487</v>
      </c>
      <c r="D812" s="4" t="s">
        <v>818</v>
      </c>
      <c r="E812" s="4" t="str">
        <f>HYPERLINK("https://app.crepc.sk/?fn=detailBiblioForm&amp;sid=7C3A198D5A4E59A385443F461D")</f>
        <v>https://app.crepc.sk/?fn=detailBiblioForm&amp;sid=7C3A198D5A4E59A385443F461D</v>
      </c>
    </row>
    <row r="813" spans="3:9" ht="75" x14ac:dyDescent="0.25">
      <c r="C813" s="15">
        <v>486265</v>
      </c>
      <c r="D813" s="4" t="s">
        <v>819</v>
      </c>
      <c r="E813" s="4" t="str">
        <f>HYPERLINK("https://app.crepc.sk/?fn=detailBiblioForm&amp;sid=32F785CDFFF3BEF8B5B699D93D")</f>
        <v>https://app.crepc.sk/?fn=detailBiblioForm&amp;sid=32F785CDFFF3BEF8B5B699D93D</v>
      </c>
    </row>
    <row r="814" spans="3:9" ht="135" x14ac:dyDescent="0.25">
      <c r="C814" s="15">
        <v>493179</v>
      </c>
      <c r="D814" s="4" t="s">
        <v>820</v>
      </c>
      <c r="E814" s="4" t="str">
        <f>HYPERLINK("https://app.crepc.sk/?fn=detailBiblioForm&amp;sid=461C2D9728B8750115C1299B18")</f>
        <v>https://app.crepc.sk/?fn=detailBiblioForm&amp;sid=461C2D9728B8750115C1299B18</v>
      </c>
    </row>
    <row r="815" spans="3:9" ht="75" x14ac:dyDescent="0.25">
      <c r="C815" s="15">
        <v>504491</v>
      </c>
      <c r="D815" s="4" t="s">
        <v>821</v>
      </c>
      <c r="E815" s="4" t="str">
        <f>HYPERLINK("https://app.crepc.sk/?fn=detailBiblioForm&amp;sid=7C3A198D5A4E59A384423F461D")</f>
        <v>https://app.crepc.sk/?fn=detailBiblioForm&amp;sid=7C3A198D5A4E59A384423F461D</v>
      </c>
    </row>
    <row r="816" spans="3:9" ht="75" x14ac:dyDescent="0.25">
      <c r="C816" s="15">
        <v>504489</v>
      </c>
      <c r="D816" s="4" t="s">
        <v>822</v>
      </c>
      <c r="E816" s="4" t="str">
        <f>HYPERLINK("https://app.crepc.sk/?fn=detailBiblioForm&amp;sid=7C3A198D5A4E59A3854A3F461D")</f>
        <v>https://app.crepc.sk/?fn=detailBiblioForm&amp;sid=7C3A198D5A4E59A3854A3F461D</v>
      </c>
    </row>
    <row r="817" spans="3:5" ht="90" x14ac:dyDescent="0.25">
      <c r="C817" s="15">
        <v>504657</v>
      </c>
      <c r="D817" s="4" t="s">
        <v>823</v>
      </c>
      <c r="E817" s="4" t="str">
        <f>HYPERLINK("https://app.crepc.sk/?fn=detailBiblioForm&amp;sid=82558D5A2F342A524BB8263903")</f>
        <v>https://app.crepc.sk/?fn=detailBiblioForm&amp;sid=82558D5A2F342A524BB8263903</v>
      </c>
    </row>
    <row r="818" spans="3:5" ht="105" x14ac:dyDescent="0.25">
      <c r="C818" s="15">
        <v>511950</v>
      </c>
      <c r="D818" s="4" t="s">
        <v>824</v>
      </c>
      <c r="E818" s="4" t="str">
        <f>HYPERLINK("https://app.crepc.sk/?fn=detailBiblioForm&amp;sid=7C67099AC5BBA8842F68A4E232")</f>
        <v>https://app.crepc.sk/?fn=detailBiblioForm&amp;sid=7C67099AC5BBA8842F68A4E232</v>
      </c>
    </row>
    <row r="819" spans="3:5" ht="60" x14ac:dyDescent="0.25">
      <c r="C819" s="15">
        <v>495355</v>
      </c>
      <c r="D819" s="4" t="s">
        <v>825</v>
      </c>
      <c r="E819" s="4" t="str">
        <f>HYPERLINK("https://app.crepc.sk/?fn=detailBiblioForm&amp;sid=63C6AF7D322A45104268FD8CB5")</f>
        <v>https://app.crepc.sk/?fn=detailBiblioForm&amp;sid=63C6AF7D322A45104268FD8CB5</v>
      </c>
    </row>
    <row r="820" spans="3:5" ht="75" x14ac:dyDescent="0.25">
      <c r="C820" s="15">
        <v>513914</v>
      </c>
      <c r="D820" s="4" t="s">
        <v>826</v>
      </c>
      <c r="E820" s="4" t="str">
        <f>HYPERLINK("https://app.crepc.sk/?fn=detailBiblioForm&amp;sid=1EAD79F2D14E82E30EC3454075")</f>
        <v>https://app.crepc.sk/?fn=detailBiblioForm&amp;sid=1EAD79F2D14E82E30EC3454075</v>
      </c>
    </row>
    <row r="821" spans="3:5" ht="75" x14ac:dyDescent="0.25">
      <c r="C821" s="15">
        <v>523438</v>
      </c>
      <c r="D821" s="4" t="s">
        <v>827</v>
      </c>
      <c r="E821" s="4" t="str">
        <f>HYPERLINK("https://app.crepc.sk/?fn=detailBiblioForm&amp;sid=134F7010F97786482C112EA1AF")</f>
        <v>https://app.crepc.sk/?fn=detailBiblioForm&amp;sid=134F7010F97786482C112EA1AF</v>
      </c>
    </row>
    <row r="822" spans="3:5" ht="105" x14ac:dyDescent="0.25">
      <c r="C822" s="15">
        <v>482028</v>
      </c>
      <c r="D822" s="4" t="s">
        <v>828</v>
      </c>
      <c r="E822" s="4" t="str">
        <f>HYPERLINK("https://app.crepc.sk/?fn=detailBiblioForm&amp;sid=C0E3D9FE3EAE50AEBABA8205C0")</f>
        <v>https://app.crepc.sk/?fn=detailBiblioForm&amp;sid=C0E3D9FE3EAE50AEBABA8205C0</v>
      </c>
    </row>
    <row r="823" spans="3:5" ht="75" x14ac:dyDescent="0.25">
      <c r="C823" s="15">
        <v>504439</v>
      </c>
      <c r="D823" s="4" t="s">
        <v>829</v>
      </c>
      <c r="E823" s="4" t="str">
        <f>HYPERLINK("https://app.crepc.sk/?fn=detailBiblioForm&amp;sid=7C3A198D5A4E59A38E4A3F461D")</f>
        <v>https://app.crepc.sk/?fn=detailBiblioForm&amp;sid=7C3A198D5A4E59A38E4A3F461D</v>
      </c>
    </row>
    <row r="824" spans="3:5" ht="60" x14ac:dyDescent="0.25">
      <c r="C824" s="15">
        <v>520061</v>
      </c>
      <c r="D824" s="4" t="s">
        <v>830</v>
      </c>
      <c r="E824" s="4" t="str">
        <f>HYPERLINK("https://app.crepc.sk/?fn=detailBiblioForm&amp;sid=6A69A955CD661A5E88B5DD29EE")</f>
        <v>https://app.crepc.sk/?fn=detailBiblioForm&amp;sid=6A69A955CD661A5E88B5DD29EE</v>
      </c>
    </row>
    <row r="825" spans="3:5" ht="75" x14ac:dyDescent="0.25">
      <c r="C825" s="15">
        <v>490257</v>
      </c>
      <c r="D825" s="4" t="s">
        <v>831</v>
      </c>
      <c r="E825" s="4" t="str">
        <f>HYPERLINK("https://app.crepc.sk/?fn=detailBiblioForm&amp;sid=9B29CB501F30532D24FEBBDF19")</f>
        <v>https://app.crepc.sk/?fn=detailBiblioForm&amp;sid=9B29CB501F30532D24FEBBDF19</v>
      </c>
    </row>
    <row r="826" spans="3:5" ht="75" x14ac:dyDescent="0.25">
      <c r="C826" s="15">
        <v>506874</v>
      </c>
      <c r="D826" s="4" t="s">
        <v>832</v>
      </c>
      <c r="E826" s="4" t="str">
        <f>HYPERLINK("https://app.crepc.sk/?fn=detailBiblioForm&amp;sid=1D8202C022F5CB943F76EEB634")</f>
        <v>https://app.crepc.sk/?fn=detailBiblioForm&amp;sid=1D8202C022F5CB943F76EEB634</v>
      </c>
    </row>
    <row r="827" spans="3:5" ht="90" x14ac:dyDescent="0.25">
      <c r="C827" s="15">
        <v>504655</v>
      </c>
      <c r="D827" s="4" t="s">
        <v>833</v>
      </c>
      <c r="E827" s="4" t="str">
        <f>HYPERLINK("https://app.crepc.sk/?fn=detailBiblioForm&amp;sid=82558D5A2F342A524BBA263903")</f>
        <v>https://app.crepc.sk/?fn=detailBiblioForm&amp;sid=82558D5A2F342A524BBA263903</v>
      </c>
    </row>
    <row r="828" spans="3:5" ht="90" x14ac:dyDescent="0.25">
      <c r="C828" s="15">
        <v>525161</v>
      </c>
      <c r="D828" s="4" t="s">
        <v>834</v>
      </c>
      <c r="E828" s="4" t="str">
        <f>HYPERLINK("https://app.crepc.sk/?fn=detailBiblioForm&amp;sid=DD3A4E4D185CCB4716EE1FBA51")</f>
        <v>https://app.crepc.sk/?fn=detailBiblioForm&amp;sid=DD3A4E4D185CCB4716EE1FBA51</v>
      </c>
    </row>
    <row r="829" spans="3:5" ht="90" x14ac:dyDescent="0.25">
      <c r="C829" s="15">
        <v>511949</v>
      </c>
      <c r="D829" s="4" t="s">
        <v>835</v>
      </c>
      <c r="E829" s="4" t="str">
        <f>HYPERLINK("https://app.crepc.sk/?fn=detailBiblioForm&amp;sid=7C67099AC5BBA8842E61A4E232")</f>
        <v>https://app.crepc.sk/?fn=detailBiblioForm&amp;sid=7C67099AC5BBA8842E61A4E232</v>
      </c>
    </row>
    <row r="830" spans="3:5" ht="90" x14ac:dyDescent="0.25">
      <c r="C830" s="15">
        <v>511947</v>
      </c>
      <c r="D830" s="4" t="s">
        <v>836</v>
      </c>
      <c r="E830" s="4" t="str">
        <f>HYPERLINK("https://app.crepc.sk/?fn=detailBiblioForm&amp;sid=7C67099AC5BBA8842E6FA4E232")</f>
        <v>https://app.crepc.sk/?fn=detailBiblioForm&amp;sid=7C67099AC5BBA8842E6FA4E232</v>
      </c>
    </row>
    <row r="831" spans="3:5" ht="90" x14ac:dyDescent="0.25">
      <c r="C831" s="15">
        <v>462211</v>
      </c>
      <c r="D831" s="4" t="s">
        <v>837</v>
      </c>
      <c r="E831" s="4" t="str">
        <f>HYPERLINK("https://app.crepc.sk/?fn=detailBiblioForm&amp;sid=E68A28514C842E16DC91554337")</f>
        <v>https://app.crepc.sk/?fn=detailBiblioForm&amp;sid=E68A28514C842E16DC91554337</v>
      </c>
    </row>
    <row r="832" spans="3:5" ht="90" x14ac:dyDescent="0.25">
      <c r="C832" s="15">
        <v>462209</v>
      </c>
      <c r="D832" s="4" t="s">
        <v>838</v>
      </c>
      <c r="E832" s="4" t="str">
        <f>HYPERLINK("https://app.crepc.sk/?fn=detailBiblioForm&amp;sid=E68A28514C842E16DD99554337")</f>
        <v>https://app.crepc.sk/?fn=detailBiblioForm&amp;sid=E68A28514C842E16DD99554337</v>
      </c>
    </row>
    <row r="833" spans="1:5" ht="75" x14ac:dyDescent="0.25">
      <c r="C833" s="15">
        <v>504495</v>
      </c>
      <c r="D833" s="4" t="s">
        <v>839</v>
      </c>
      <c r="E833" s="4" t="str">
        <f>HYPERLINK("https://app.crepc.sk/?fn=detailBiblioForm&amp;sid=7C3A198D5A4E59A384463F461D")</f>
        <v>https://app.crepc.sk/?fn=detailBiblioForm&amp;sid=7C3A198D5A4E59A384463F461D</v>
      </c>
    </row>
    <row r="834" spans="1:5" ht="75" x14ac:dyDescent="0.25">
      <c r="C834" s="15">
        <v>504434</v>
      </c>
      <c r="D834" s="4" t="s">
        <v>840</v>
      </c>
      <c r="E834" s="4" t="str">
        <f>HYPERLINK("https://app.crepc.sk/?fn=detailBiblioForm&amp;sid=7C3A198D5A4E59A38E473F461D")</f>
        <v>https://app.crepc.sk/?fn=detailBiblioForm&amp;sid=7C3A198D5A4E59A38E473F461D</v>
      </c>
    </row>
    <row r="835" spans="1:5" ht="75" x14ac:dyDescent="0.25">
      <c r="C835" s="15">
        <v>518415</v>
      </c>
      <c r="D835" s="4" t="s">
        <v>841</v>
      </c>
      <c r="E835" s="4" t="str">
        <f>HYPERLINK("https://app.crepc.sk/?fn=detailBiblioForm&amp;sid=0DC7D10545A576558F98910629")</f>
        <v>https://app.crepc.sk/?fn=detailBiblioForm&amp;sid=0DC7D10545A576558F98910629</v>
      </c>
    </row>
    <row r="836" spans="1:5" ht="75" x14ac:dyDescent="0.25">
      <c r="C836" s="15">
        <v>458119</v>
      </c>
      <c r="D836" s="4" t="s">
        <v>842</v>
      </c>
      <c r="E836" s="4" t="str">
        <f>HYPERLINK("https://app.crepc.sk/?fn=detailBiblioForm&amp;sid=071A873BB8FAF95F5ADE9A64F9")</f>
        <v>https://app.crepc.sk/?fn=detailBiblioForm&amp;sid=071A873BB8FAF95F5ADE9A64F9</v>
      </c>
    </row>
    <row r="837" spans="1:5" ht="90" x14ac:dyDescent="0.25">
      <c r="C837" s="15">
        <v>478246</v>
      </c>
      <c r="D837" s="4" t="s">
        <v>843</v>
      </c>
      <c r="E837" s="4" t="str">
        <f>HYPERLINK("https://app.crepc.sk/?fn=detailBiblioForm&amp;sid=5AD89374AB637BC8E57E5BCB0A")</f>
        <v>https://app.crepc.sk/?fn=detailBiblioForm&amp;sid=5AD89374AB637BC8E57E5BCB0A</v>
      </c>
    </row>
    <row r="838" spans="1:5" ht="75" x14ac:dyDescent="0.25">
      <c r="C838" s="15">
        <v>194376</v>
      </c>
      <c r="D838" s="4" t="s">
        <v>844</v>
      </c>
      <c r="E838" s="4" t="str">
        <f>HYPERLINK("https://app.crepc.sk/?fn=detailBiblioForm&amp;sid=81992416CA72F8A649D8843BD5")</f>
        <v>https://app.crepc.sk/?fn=detailBiblioForm&amp;sid=81992416CA72F8A649D8843BD5</v>
      </c>
    </row>
    <row r="839" spans="1:5" ht="75" x14ac:dyDescent="0.25">
      <c r="C839" s="15">
        <v>490600</v>
      </c>
      <c r="D839" s="4" t="s">
        <v>845</v>
      </c>
      <c r="E839" s="4" t="str">
        <f>HYPERLINK("https://app.crepc.sk/?fn=detailBiblioForm&amp;sid=0828B68FFD3F9AD6FB1AF00C3E")</f>
        <v>https://app.crepc.sk/?fn=detailBiblioForm&amp;sid=0828B68FFD3F9AD6FB1AF00C3E</v>
      </c>
    </row>
    <row r="840" spans="1:5" ht="135" x14ac:dyDescent="0.25">
      <c r="C840" s="15">
        <v>493205</v>
      </c>
      <c r="D840" s="4" t="s">
        <v>846</v>
      </c>
      <c r="E840" s="4" t="str">
        <f>HYPERLINK("https://app.crepc.sk/?fn=detailBiblioForm&amp;sid=4E79B8FE8AF02D278B228B671E")</f>
        <v>https://app.crepc.sk/?fn=detailBiblioForm&amp;sid=4E79B8FE8AF02D278B228B671E</v>
      </c>
    </row>
    <row r="841" spans="1:5" ht="75" x14ac:dyDescent="0.25">
      <c r="C841" s="15">
        <v>489899</v>
      </c>
      <c r="D841" s="4" t="s">
        <v>847</v>
      </c>
      <c r="E841" s="4" t="str">
        <f>HYPERLINK("https://app.crepc.sk/?fn=detailBiblioForm&amp;sid=953B8F259F91F3968D7836BEB6")</f>
        <v>https://app.crepc.sk/?fn=detailBiblioForm&amp;sid=953B8F259F91F3968D7836BEB6</v>
      </c>
    </row>
    <row r="842" spans="1:5" ht="135" x14ac:dyDescent="0.25">
      <c r="C842" s="15">
        <v>493225</v>
      </c>
      <c r="D842" s="4" t="s">
        <v>848</v>
      </c>
      <c r="E842" s="4" t="str">
        <f>HYPERLINK("https://app.crepc.sk/?fn=detailBiblioForm&amp;sid=4E79B8FE8AF02D2789228B671E")</f>
        <v>https://app.crepc.sk/?fn=detailBiblioForm&amp;sid=4E79B8FE8AF02D2789228B671E</v>
      </c>
    </row>
    <row r="843" spans="1:5" ht="90" x14ac:dyDescent="0.25">
      <c r="C843" s="15">
        <v>529632</v>
      </c>
      <c r="D843" s="4" t="s">
        <v>849</v>
      </c>
      <c r="E843" s="4" t="str">
        <f>HYPERLINK("https://app.crepc.sk/?fn=detailBiblioForm&amp;sid=F0A8B48C8225E4168E0C9526C3")</f>
        <v>https://app.crepc.sk/?fn=detailBiblioForm&amp;sid=F0A8B48C8225E4168E0C9526C3</v>
      </c>
    </row>
    <row r="844" spans="1:5" ht="75" x14ac:dyDescent="0.25">
      <c r="C844" s="15">
        <v>529649</v>
      </c>
      <c r="D844" s="4" t="s">
        <v>850</v>
      </c>
      <c r="E844" s="4" t="str">
        <f>HYPERLINK("https://app.crepc.sk/?fn=detailBiblioForm&amp;sid=F0A8B48C8225E41689079526C3")</f>
        <v>https://app.crepc.sk/?fn=detailBiblioForm&amp;sid=F0A8B48C8225E41689079526C3</v>
      </c>
    </row>
    <row r="845" spans="1:5" ht="90" x14ac:dyDescent="0.25">
      <c r="C845" s="15">
        <v>480949</v>
      </c>
      <c r="D845" s="4" t="s">
        <v>851</v>
      </c>
      <c r="E845" s="4" t="str">
        <f>HYPERLINK("https://app.crepc.sk/?fn=detailBiblioForm&amp;sid=59ECE0F0C7A5EDCBDA2C56823A")</f>
        <v>https://app.crepc.sk/?fn=detailBiblioForm&amp;sid=59ECE0F0C7A5EDCBDA2C56823A</v>
      </c>
    </row>
    <row r="846" spans="1:5" x14ac:dyDescent="0.25">
      <c r="A846" s="4" t="s">
        <v>852</v>
      </c>
      <c r="B846" s="15">
        <v>537</v>
      </c>
    </row>
    <row r="847" spans="1:5" ht="45" x14ac:dyDescent="0.25">
      <c r="C847" s="15">
        <v>466559</v>
      </c>
      <c r="D847" s="4" t="s">
        <v>853</v>
      </c>
      <c r="E847" s="4" t="str">
        <f>HYPERLINK("https://app.crepc.sk/?fn=detailBiblioForm&amp;sid=E4539EC137508227523B216CB3")</f>
        <v>https://app.crepc.sk/?fn=detailBiblioForm&amp;sid=E4539EC137508227523B216CB3</v>
      </c>
    </row>
    <row r="848" spans="1:5" ht="60" x14ac:dyDescent="0.25">
      <c r="C848" s="15">
        <v>483825</v>
      </c>
      <c r="D848" s="4" t="s">
        <v>854</v>
      </c>
      <c r="E848" s="4" t="str">
        <f>HYPERLINK("https://app.crepc.sk/?fn=detailBiblioForm&amp;sid=8325E7D70CE113153C7DF6EB9C")</f>
        <v>https://app.crepc.sk/?fn=detailBiblioForm&amp;sid=8325E7D70CE113153C7DF6EB9C</v>
      </c>
    </row>
    <row r="849" spans="3:5" ht="60" x14ac:dyDescent="0.25">
      <c r="C849" s="15">
        <v>478324</v>
      </c>
      <c r="D849" s="4" t="s">
        <v>855</v>
      </c>
      <c r="E849" s="4" t="str">
        <f>HYPERLINK("https://app.crepc.sk/?fn=detailBiblioForm&amp;sid=62768EB3B6B6A6AD265C5264A0")</f>
        <v>https://app.crepc.sk/?fn=detailBiblioForm&amp;sid=62768EB3B6B6A6AD265C5264A0</v>
      </c>
    </row>
    <row r="850" spans="3:5" ht="45" x14ac:dyDescent="0.25">
      <c r="C850" s="15">
        <v>529835</v>
      </c>
      <c r="D850" s="4" t="s">
        <v>856</v>
      </c>
      <c r="E850" s="4" t="str">
        <f>HYPERLINK("https://app.crepc.sk/?fn=detailBiblioForm&amp;sid=E5489D6BC24E57899FA0605CBC")</f>
        <v>https://app.crepc.sk/?fn=detailBiblioForm&amp;sid=E5489D6BC24E57899FA0605CBC</v>
      </c>
    </row>
    <row r="851" spans="3:5" ht="60" x14ac:dyDescent="0.25">
      <c r="C851" s="15">
        <v>521611</v>
      </c>
      <c r="D851" s="4" t="s">
        <v>857</v>
      </c>
      <c r="E851" s="4" t="str">
        <f>HYPERLINK("https://app.crepc.sk/?fn=detailBiblioForm&amp;sid=423AC1F5D235D0E64CBCA4D7F3")</f>
        <v>https://app.crepc.sk/?fn=detailBiblioForm&amp;sid=423AC1F5D235D0E64CBCA4D7F3</v>
      </c>
    </row>
    <row r="852" spans="3:5" ht="75" x14ac:dyDescent="0.25">
      <c r="C852" s="15">
        <v>510694</v>
      </c>
      <c r="D852" s="4" t="s">
        <v>858</v>
      </c>
      <c r="E852" s="4" t="str">
        <f>HYPERLINK("https://app.crepc.sk/?fn=detailBiblioForm&amp;sid=BB29F255FBB69693AD992F0399")</f>
        <v>https://app.crepc.sk/?fn=detailBiblioForm&amp;sid=BB29F255FBB69693AD992F0399</v>
      </c>
    </row>
    <row r="853" spans="3:5" ht="60" x14ac:dyDescent="0.25">
      <c r="C853" s="15">
        <v>478325</v>
      </c>
      <c r="D853" s="4" t="s">
        <v>859</v>
      </c>
      <c r="E853" s="4" t="str">
        <f>HYPERLINK("https://app.crepc.sk/?fn=detailBiblioForm&amp;sid=62768EB3B6B6A6AD265D5264A0")</f>
        <v>https://app.crepc.sk/?fn=detailBiblioForm&amp;sid=62768EB3B6B6A6AD265D5264A0</v>
      </c>
    </row>
    <row r="854" spans="3:5" ht="45" x14ac:dyDescent="0.25">
      <c r="C854" s="15">
        <v>443341</v>
      </c>
      <c r="D854" s="4" t="s">
        <v>860</v>
      </c>
      <c r="E854" s="4" t="str">
        <f>HYPERLINK("https://app.crepc.sk/?fn=detailBiblioForm&amp;sid=813BEF7E26ADB522A8C7ACA00D")</f>
        <v>https://app.crepc.sk/?fn=detailBiblioForm&amp;sid=813BEF7E26ADB522A8C7ACA00D</v>
      </c>
    </row>
    <row r="855" spans="3:5" ht="90" x14ac:dyDescent="0.25">
      <c r="C855" s="15">
        <v>490032</v>
      </c>
      <c r="D855" s="4" t="s">
        <v>861</v>
      </c>
      <c r="E855" s="4" t="str">
        <f>HYPERLINK("https://app.crepc.sk/?fn=detailBiblioForm&amp;sid=3A2DFC7E240011ACF426C167DB")</f>
        <v>https://app.crepc.sk/?fn=detailBiblioForm&amp;sid=3A2DFC7E240011ACF426C167DB</v>
      </c>
    </row>
    <row r="856" spans="3:5" ht="60" x14ac:dyDescent="0.25">
      <c r="C856" s="15">
        <v>465641</v>
      </c>
      <c r="D856" s="4" t="s">
        <v>862</v>
      </c>
      <c r="E856" s="4" t="str">
        <f>HYPERLINK("https://app.crepc.sk/?fn=detailBiblioForm&amp;sid=D60DFC88C4A755228E5F645AC5")</f>
        <v>https://app.crepc.sk/?fn=detailBiblioForm&amp;sid=D60DFC88C4A755228E5F645AC5</v>
      </c>
    </row>
    <row r="857" spans="3:5" ht="75" x14ac:dyDescent="0.25">
      <c r="C857" s="15">
        <v>458419</v>
      </c>
      <c r="D857" s="4" t="s">
        <v>863</v>
      </c>
      <c r="E857" s="4" t="str">
        <f>HYPERLINK("https://app.crepc.sk/?fn=detailBiblioForm&amp;sid=857B44300334F5300389B1656C")</f>
        <v>https://app.crepc.sk/?fn=detailBiblioForm&amp;sid=857B44300334F5300389B1656C</v>
      </c>
    </row>
    <row r="858" spans="3:5" ht="75" x14ac:dyDescent="0.25">
      <c r="C858" s="15">
        <v>512222</v>
      </c>
      <c r="D858" s="4" t="s">
        <v>864</v>
      </c>
      <c r="E858" s="4" t="str">
        <f>HYPERLINK("https://app.crepc.sk/?fn=detailBiblioForm&amp;sid=8E6CCBF4393295FA74DCB71D32")</f>
        <v>https://app.crepc.sk/?fn=detailBiblioForm&amp;sid=8E6CCBF4393295FA74DCB71D32</v>
      </c>
    </row>
    <row r="859" spans="3:5" ht="60" x14ac:dyDescent="0.25">
      <c r="C859" s="15">
        <v>512524</v>
      </c>
      <c r="D859" s="4" t="s">
        <v>865</v>
      </c>
      <c r="E859" s="4" t="str">
        <f>HYPERLINK("https://app.crepc.sk/?fn=detailBiblioForm&amp;sid=A5213ECA03C20E558113CF8C0A")</f>
        <v>https://app.crepc.sk/?fn=detailBiblioForm&amp;sid=A5213ECA03C20E558113CF8C0A</v>
      </c>
    </row>
    <row r="860" spans="3:5" ht="60" x14ac:dyDescent="0.25">
      <c r="C860" s="15">
        <v>503958</v>
      </c>
      <c r="D860" s="4" t="s">
        <v>866</v>
      </c>
      <c r="E860" s="4" t="str">
        <f>HYPERLINK("https://app.crepc.sk/?fn=detailBiblioForm&amp;sid=E36E561CC42CD7EC109039BEF7")</f>
        <v>https://app.crepc.sk/?fn=detailBiblioForm&amp;sid=E36E561CC42CD7EC109039BEF7</v>
      </c>
    </row>
    <row r="861" spans="3:5" ht="45" x14ac:dyDescent="0.25">
      <c r="C861" s="15">
        <v>469984</v>
      </c>
      <c r="D861" s="4" t="s">
        <v>867</v>
      </c>
      <c r="E861" s="4" t="str">
        <f>HYPERLINK("https://app.crepc.sk/?fn=detailBiblioForm&amp;sid=1DCBB3ED1D56AB905902F47DE6")</f>
        <v>https://app.crepc.sk/?fn=detailBiblioForm&amp;sid=1DCBB3ED1D56AB905902F47DE6</v>
      </c>
    </row>
    <row r="862" spans="3:5" ht="60" x14ac:dyDescent="0.25">
      <c r="C862" s="15">
        <v>495881</v>
      </c>
      <c r="D862" s="4" t="s">
        <v>868</v>
      </c>
      <c r="E862" s="4" t="str">
        <f>HYPERLINK("https://app.crepc.sk/?fn=detailBiblioForm&amp;sid=933766D6691B3CE73D8B3FC43B")</f>
        <v>https://app.crepc.sk/?fn=detailBiblioForm&amp;sid=933766D6691B3CE73D8B3FC43B</v>
      </c>
    </row>
    <row r="863" spans="3:5" ht="75" x14ac:dyDescent="0.25">
      <c r="C863" s="15">
        <v>488081</v>
      </c>
      <c r="D863" s="4" t="s">
        <v>869</v>
      </c>
      <c r="E863" s="4" t="str">
        <f>HYPERLINK("https://app.crepc.sk/?fn=detailBiblioForm&amp;sid=2685410F70B2C8E1EC4ED804D9")</f>
        <v>https://app.crepc.sk/?fn=detailBiblioForm&amp;sid=2685410F70B2C8E1EC4ED804D9</v>
      </c>
    </row>
    <row r="864" spans="3:5" ht="45" x14ac:dyDescent="0.25">
      <c r="C864" s="15">
        <v>469990</v>
      </c>
      <c r="D864" s="4" t="s">
        <v>870</v>
      </c>
      <c r="E864" s="4" t="str">
        <f>HYPERLINK("https://app.crepc.sk/?fn=detailBiblioForm&amp;sid=1DCBB3ED1D56AB905806F47DE6")</f>
        <v>https://app.crepc.sk/?fn=detailBiblioForm&amp;sid=1DCBB3ED1D56AB905806F47DE6</v>
      </c>
    </row>
    <row r="865" spans="3:5" ht="45" x14ac:dyDescent="0.25">
      <c r="C865" s="15">
        <v>466632</v>
      </c>
      <c r="D865" s="4" t="s">
        <v>871</v>
      </c>
      <c r="E865" s="4" t="str">
        <f>HYPERLINK("https://app.crepc.sk/?fn=detailBiblioForm&amp;sid=97284C91491757D9D6A25709B9")</f>
        <v>https://app.crepc.sk/?fn=detailBiblioForm&amp;sid=97284C91491757D9D6A25709B9</v>
      </c>
    </row>
    <row r="866" spans="3:5" ht="45" x14ac:dyDescent="0.25">
      <c r="C866" s="15">
        <v>483045</v>
      </c>
      <c r="D866" s="4" t="s">
        <v>872</v>
      </c>
      <c r="E866" s="4" t="str">
        <f>HYPERLINK("https://app.crepc.sk/?fn=detailBiblioForm&amp;sid=266F5775B190D2B5AF1034F145")</f>
        <v>https://app.crepc.sk/?fn=detailBiblioForm&amp;sid=266F5775B190D2B5AF1034F145</v>
      </c>
    </row>
    <row r="867" spans="3:5" ht="75" x14ac:dyDescent="0.25">
      <c r="C867" s="15">
        <v>482782</v>
      </c>
      <c r="D867" s="4" t="s">
        <v>873</v>
      </c>
      <c r="E867" s="4" t="str">
        <f>HYPERLINK("https://app.crepc.sk/?fn=detailBiblioForm&amp;sid=2ED50720E4EE5F9D789939CFC8")</f>
        <v>https://app.crepc.sk/?fn=detailBiblioForm&amp;sid=2ED50720E4EE5F9D789939CFC8</v>
      </c>
    </row>
    <row r="868" spans="3:5" ht="60" x14ac:dyDescent="0.25">
      <c r="C868" s="15">
        <v>459071</v>
      </c>
      <c r="D868" s="4" t="s">
        <v>874</v>
      </c>
      <c r="E868" s="4" t="str">
        <f>HYPERLINK("https://app.crepc.sk/?fn=detailBiblioForm&amp;sid=C7DB2D1BF6DF5042AC04C7DC8A")</f>
        <v>https://app.crepc.sk/?fn=detailBiblioForm&amp;sid=C7DB2D1BF6DF5042AC04C7DC8A</v>
      </c>
    </row>
    <row r="869" spans="3:5" ht="90" x14ac:dyDescent="0.25">
      <c r="C869" s="15">
        <v>473374</v>
      </c>
      <c r="D869" s="4" t="s">
        <v>875</v>
      </c>
      <c r="E869" s="4" t="str">
        <f>HYPERLINK("https://app.crepc.sk/?fn=detailBiblioForm&amp;sid=F67F46930D1CE8AD007BDA0B32")</f>
        <v>https://app.crepc.sk/?fn=detailBiblioForm&amp;sid=F67F46930D1CE8AD007BDA0B32</v>
      </c>
    </row>
    <row r="870" spans="3:5" ht="60" x14ac:dyDescent="0.25">
      <c r="C870" s="15">
        <v>468241</v>
      </c>
      <c r="D870" s="4" t="s">
        <v>876</v>
      </c>
      <c r="E870" s="4" t="str">
        <f>HYPERLINK("https://app.crepc.sk/?fn=detailBiblioForm&amp;sid=F7D93A9E98C532FCC014523E26")</f>
        <v>https://app.crepc.sk/?fn=detailBiblioForm&amp;sid=F7D93A9E98C532FCC014523E26</v>
      </c>
    </row>
    <row r="871" spans="3:5" ht="60" x14ac:dyDescent="0.25">
      <c r="C871" s="15">
        <v>519770</v>
      </c>
      <c r="D871" s="4" t="s">
        <v>877</v>
      </c>
      <c r="E871" s="4" t="str">
        <f>HYPERLINK("https://app.crepc.sk/?fn=detailBiblioForm&amp;sid=3CF9681F115FD6E29F60D3733A")</f>
        <v>https://app.crepc.sk/?fn=detailBiblioForm&amp;sid=3CF9681F115FD6E29F60D3733A</v>
      </c>
    </row>
    <row r="872" spans="3:5" ht="60" x14ac:dyDescent="0.25">
      <c r="C872" s="15">
        <v>474706</v>
      </c>
      <c r="D872" s="4" t="s">
        <v>878</v>
      </c>
      <c r="E872" s="4" t="str">
        <f>HYPERLINK("https://app.crepc.sk/?fn=detailBiblioForm&amp;sid=F5619B6BE1321D2EAB9CED9F30")</f>
        <v>https://app.crepc.sk/?fn=detailBiblioForm&amp;sid=F5619B6BE1321D2EAB9CED9F30</v>
      </c>
    </row>
    <row r="873" spans="3:5" ht="60" x14ac:dyDescent="0.25">
      <c r="C873" s="15">
        <v>484401</v>
      </c>
      <c r="D873" s="4" t="s">
        <v>879</v>
      </c>
      <c r="E873" s="4" t="str">
        <f>HYPERLINK("https://app.crepc.sk/?fn=detailBiblioForm&amp;sid=0A9B487F73DE99E7315D3A12BE")</f>
        <v>https://app.crepc.sk/?fn=detailBiblioForm&amp;sid=0A9B487F73DE99E7315D3A12BE</v>
      </c>
    </row>
    <row r="874" spans="3:5" ht="60" x14ac:dyDescent="0.25">
      <c r="C874" s="15">
        <v>458822</v>
      </c>
      <c r="D874" s="4" t="s">
        <v>880</v>
      </c>
      <c r="E874" s="4" t="str">
        <f>HYPERLINK("https://app.crepc.sk/?fn=detailBiblioForm&amp;sid=BDCE70B371BEE3D756BA497EC3")</f>
        <v>https://app.crepc.sk/?fn=detailBiblioForm&amp;sid=BDCE70B371BEE3D756BA497EC3</v>
      </c>
    </row>
    <row r="875" spans="3:5" ht="60" x14ac:dyDescent="0.25">
      <c r="C875" s="15">
        <v>458306</v>
      </c>
      <c r="D875" s="4" t="s">
        <v>881</v>
      </c>
      <c r="E875" s="4" t="str">
        <f>HYPERLINK("https://app.crepc.sk/?fn=detailBiblioForm&amp;sid=346931BA78C47867862F04304B")</f>
        <v>https://app.crepc.sk/?fn=detailBiblioForm&amp;sid=346931BA78C47867862F04304B</v>
      </c>
    </row>
    <row r="876" spans="3:5" ht="60" x14ac:dyDescent="0.25">
      <c r="C876" s="15">
        <v>459391</v>
      </c>
      <c r="D876" s="4" t="s">
        <v>882</v>
      </c>
      <c r="E876" s="4" t="str">
        <f>HYPERLINK("https://app.crepc.sk/?fn=detailBiblioForm&amp;sid=38E9F2A312EDD8A1A9939CC79D")</f>
        <v>https://app.crepc.sk/?fn=detailBiblioForm&amp;sid=38E9F2A312EDD8A1A9939CC79D</v>
      </c>
    </row>
    <row r="877" spans="3:5" ht="60" x14ac:dyDescent="0.25">
      <c r="C877" s="15">
        <v>496222</v>
      </c>
      <c r="D877" s="4" t="s">
        <v>883</v>
      </c>
      <c r="E877" s="4" t="str">
        <f>HYPERLINK("https://app.crepc.sk/?fn=detailBiblioForm&amp;sid=A920A6B44AAA35D5D1179E29A9")</f>
        <v>https://app.crepc.sk/?fn=detailBiblioForm&amp;sid=A920A6B44AAA35D5D1179E29A9</v>
      </c>
    </row>
    <row r="878" spans="3:5" ht="75" x14ac:dyDescent="0.25">
      <c r="C878" s="15">
        <v>493811</v>
      </c>
      <c r="D878" s="4" t="s">
        <v>884</v>
      </c>
      <c r="E878" s="4" t="str">
        <f>HYPERLINK("https://app.crepc.sk/?fn=detailBiblioForm&amp;sid=D4BFEB37CCCE8910B3F81F0C52")</f>
        <v>https://app.crepc.sk/?fn=detailBiblioForm&amp;sid=D4BFEB37CCCE8910B3F81F0C52</v>
      </c>
    </row>
    <row r="879" spans="3:5" ht="60" x14ac:dyDescent="0.25">
      <c r="C879" s="15">
        <v>458905</v>
      </c>
      <c r="D879" s="4" t="s">
        <v>885</v>
      </c>
      <c r="E879" s="4" t="str">
        <f>HYPERLINK("https://app.crepc.sk/?fn=detailBiblioForm&amp;sid=2DC76A43CF3316B84DDEDA55E8")</f>
        <v>https://app.crepc.sk/?fn=detailBiblioForm&amp;sid=2DC76A43CF3316B84DDEDA55E8</v>
      </c>
    </row>
    <row r="880" spans="3:5" ht="75" x14ac:dyDescent="0.25">
      <c r="C880" s="15">
        <v>470067</v>
      </c>
      <c r="D880" s="4" t="s">
        <v>886</v>
      </c>
      <c r="E880" s="4" t="str">
        <f>HYPERLINK("https://app.crepc.sk/?fn=detailBiblioForm&amp;sid=480DD984465732B9F69DFBED3F")</f>
        <v>https://app.crepc.sk/?fn=detailBiblioForm&amp;sid=480DD984465732B9F69DFBED3F</v>
      </c>
    </row>
    <row r="881" spans="3:5" ht="75" x14ac:dyDescent="0.25">
      <c r="C881" s="15">
        <v>517276</v>
      </c>
      <c r="D881" s="4" t="s">
        <v>887</v>
      </c>
      <c r="E881" s="4" t="str">
        <f>HYPERLINK("https://app.crepc.sk/?fn=detailBiblioForm&amp;sid=62444EC8270434F9F5C750AF8C")</f>
        <v>https://app.crepc.sk/?fn=detailBiblioForm&amp;sid=62444EC8270434F9F5C750AF8C</v>
      </c>
    </row>
    <row r="882" spans="3:5" ht="75" x14ac:dyDescent="0.25">
      <c r="C882" s="15">
        <v>500904</v>
      </c>
      <c r="D882" s="4" t="s">
        <v>888</v>
      </c>
      <c r="E882" s="4" t="str">
        <f>HYPERLINK("https://app.crepc.sk/?fn=detailBiblioForm&amp;sid=5F5FBA760FBAABB6F57722920E")</f>
        <v>https://app.crepc.sk/?fn=detailBiblioForm&amp;sid=5F5FBA760FBAABB6F57722920E</v>
      </c>
    </row>
    <row r="883" spans="3:5" ht="60" x14ac:dyDescent="0.25">
      <c r="C883" s="15">
        <v>463512</v>
      </c>
      <c r="D883" s="4" t="s">
        <v>889</v>
      </c>
      <c r="E883" s="4" t="str">
        <f>HYPERLINK("https://app.crepc.sk/?fn=detailBiblioForm&amp;sid=6132BC35BD7CB1B64743E2464A")</f>
        <v>https://app.crepc.sk/?fn=detailBiblioForm&amp;sid=6132BC35BD7CB1B64743E2464A</v>
      </c>
    </row>
    <row r="884" spans="3:5" ht="90" x14ac:dyDescent="0.25">
      <c r="C884" s="15">
        <v>514793</v>
      </c>
      <c r="D884" s="4" t="s">
        <v>890</v>
      </c>
      <c r="E884" s="4" t="str">
        <f>HYPERLINK("https://app.crepc.sk/?fn=detailBiblioForm&amp;sid=23D6B832D4F85AEFDF929A3CA5")</f>
        <v>https://app.crepc.sk/?fn=detailBiblioForm&amp;sid=23D6B832D4F85AEFDF929A3CA5</v>
      </c>
    </row>
    <row r="885" spans="3:5" ht="60" x14ac:dyDescent="0.25">
      <c r="C885" s="15">
        <v>522490</v>
      </c>
      <c r="D885" s="4" t="s">
        <v>891</v>
      </c>
      <c r="E885" s="4" t="str">
        <f>HYPERLINK("https://app.crepc.sk/?fn=detailBiblioForm&amp;sid=987C43C12E015E1CA18AE3739D")</f>
        <v>https://app.crepc.sk/?fn=detailBiblioForm&amp;sid=987C43C12E015E1CA18AE3739D</v>
      </c>
    </row>
    <row r="886" spans="3:5" ht="75" x14ac:dyDescent="0.25">
      <c r="C886" s="15">
        <v>527944</v>
      </c>
      <c r="D886" s="4" t="s">
        <v>892</v>
      </c>
      <c r="E886" s="4" t="str">
        <f>HYPERLINK("https://app.crepc.sk/?fn=detailBiblioForm&amp;sid=3D2743D5EFB615AC07745E2FA8")</f>
        <v>https://app.crepc.sk/?fn=detailBiblioForm&amp;sid=3D2743D5EFB615AC07745E2FA8</v>
      </c>
    </row>
    <row r="887" spans="3:5" ht="90" x14ac:dyDescent="0.25">
      <c r="C887" s="15">
        <v>469466</v>
      </c>
      <c r="D887" s="4" t="s">
        <v>893</v>
      </c>
      <c r="E887" s="4" t="str">
        <f>HYPERLINK("https://app.crepc.sk/?fn=detailBiblioForm&amp;sid=60CFF5964A6149A8892D33F7DF")</f>
        <v>https://app.crepc.sk/?fn=detailBiblioForm&amp;sid=60CFF5964A6149A8892D33F7DF</v>
      </c>
    </row>
    <row r="888" spans="3:5" ht="75" x14ac:dyDescent="0.25">
      <c r="C888" s="15">
        <v>512540</v>
      </c>
      <c r="D888" s="4" t="s">
        <v>894</v>
      </c>
      <c r="E888" s="4" t="str">
        <f>HYPERLINK("https://app.crepc.sk/?fn=detailBiblioForm&amp;sid=A5213ECA03C20E558717CF8C0A")</f>
        <v>https://app.crepc.sk/?fn=detailBiblioForm&amp;sid=A5213ECA03C20E558717CF8C0A</v>
      </c>
    </row>
    <row r="889" spans="3:5" ht="75" x14ac:dyDescent="0.25">
      <c r="C889" s="15">
        <v>469450</v>
      </c>
      <c r="D889" s="4" t="s">
        <v>895</v>
      </c>
      <c r="E889" s="4" t="str">
        <f>HYPERLINK("https://app.crepc.sk/?fn=detailBiblioForm&amp;sid=60CFF5964A6149A88A2B33F7DF")</f>
        <v>https://app.crepc.sk/?fn=detailBiblioForm&amp;sid=60CFF5964A6149A88A2B33F7DF</v>
      </c>
    </row>
    <row r="890" spans="3:5" ht="75" x14ac:dyDescent="0.25">
      <c r="C890" s="15">
        <v>477854</v>
      </c>
      <c r="D890" s="4" t="s">
        <v>896</v>
      </c>
      <c r="E890" s="4" t="str">
        <f>HYPERLINK("https://app.crepc.sk/?fn=detailBiblioForm&amp;sid=94500C14F8F72135C9EDD4517E")</f>
        <v>https://app.crepc.sk/?fn=detailBiblioForm&amp;sid=94500C14F8F72135C9EDD4517E</v>
      </c>
    </row>
    <row r="891" spans="3:5" ht="90" x14ac:dyDescent="0.25">
      <c r="C891" s="15">
        <v>482146</v>
      </c>
      <c r="D891" s="4" t="s">
        <v>897</v>
      </c>
      <c r="E891" s="4" t="str">
        <f>HYPERLINK("https://app.crepc.sk/?fn=detailBiblioForm&amp;sid=CEFF407F703E0449987FD8C752")</f>
        <v>https://app.crepc.sk/?fn=detailBiblioForm&amp;sid=CEFF407F703E0449987FD8C752</v>
      </c>
    </row>
    <row r="892" spans="3:5" ht="45" x14ac:dyDescent="0.25">
      <c r="C892" s="15">
        <v>465916</v>
      </c>
      <c r="D892" s="4" t="s">
        <v>898</v>
      </c>
      <c r="E892" s="4" t="str">
        <f>HYPERLINK("https://app.crepc.sk/?fn=detailBiblioForm&amp;sid=9E62BE6C3E60E0DE0392C2E53C")</f>
        <v>https://app.crepc.sk/?fn=detailBiblioForm&amp;sid=9E62BE6C3E60E0DE0392C2E53C</v>
      </c>
    </row>
    <row r="893" spans="3:5" ht="120" x14ac:dyDescent="0.25">
      <c r="C893" s="15">
        <v>502357</v>
      </c>
      <c r="D893" s="4" t="s">
        <v>899</v>
      </c>
      <c r="E893" s="4" t="str">
        <f>HYPERLINK("https://app.crepc.sk/?fn=detailBiblioForm&amp;sid=1B4483E8BD0D6F6F63E711565B")</f>
        <v>https://app.crepc.sk/?fn=detailBiblioForm&amp;sid=1B4483E8BD0D6F6F63E711565B</v>
      </c>
    </row>
    <row r="894" spans="3:5" ht="90" x14ac:dyDescent="0.25">
      <c r="C894" s="15">
        <v>487262</v>
      </c>
      <c r="D894" s="4" t="s">
        <v>900</v>
      </c>
      <c r="E894" s="4" t="str">
        <f>HYPERLINK("https://app.crepc.sk/?fn=detailBiblioForm&amp;sid=9B4808EA493B517E749C766514")</f>
        <v>https://app.crepc.sk/?fn=detailBiblioForm&amp;sid=9B4808EA493B517E749C766514</v>
      </c>
    </row>
    <row r="895" spans="3:5" ht="135" x14ac:dyDescent="0.25">
      <c r="C895" s="15">
        <v>522098</v>
      </c>
      <c r="D895" s="4" t="s">
        <v>901</v>
      </c>
      <c r="E895" s="4" t="str">
        <f>HYPERLINK("https://app.crepc.sk/?fn=detailBiblioForm&amp;sid=E2DCC730D9E3CDE60112401874")</f>
        <v>https://app.crepc.sk/?fn=detailBiblioForm&amp;sid=E2DCC730D9E3CDE60112401874</v>
      </c>
    </row>
    <row r="896" spans="3:5" ht="75" x14ac:dyDescent="0.25">
      <c r="C896" s="15">
        <v>462203</v>
      </c>
      <c r="D896" s="4" t="s">
        <v>902</v>
      </c>
      <c r="E896" s="4" t="str">
        <f>HYPERLINK("https://app.crepc.sk/?fn=detailBiblioForm&amp;sid=E68A28514C842E16DD93554337")</f>
        <v>https://app.crepc.sk/?fn=detailBiblioForm&amp;sid=E68A28514C842E16DD93554337</v>
      </c>
    </row>
    <row r="897" spans="3:5" ht="75" x14ac:dyDescent="0.25">
      <c r="C897" s="15">
        <v>513302</v>
      </c>
      <c r="D897" s="4" t="s">
        <v>903</v>
      </c>
      <c r="E897" s="4" t="str">
        <f>HYPERLINK("https://app.crepc.sk/?fn=detailBiblioForm&amp;sid=43BA689D9CE9A3FDB91AEEAD65")</f>
        <v>https://app.crepc.sk/?fn=detailBiblioForm&amp;sid=43BA689D9CE9A3FDB91AEEAD65</v>
      </c>
    </row>
    <row r="898" spans="3:5" ht="105" x14ac:dyDescent="0.25">
      <c r="C898" s="15">
        <v>459889</v>
      </c>
      <c r="D898" s="4" t="s">
        <v>904</v>
      </c>
      <c r="E898" s="4" t="str">
        <f>HYPERLINK("https://app.crepc.sk/?fn=detailBiblioForm&amp;sid=3E84F9FC946DB3DA49F5A9AAFC")</f>
        <v>https://app.crepc.sk/?fn=detailBiblioForm&amp;sid=3E84F9FC946DB3DA49F5A9AAFC</v>
      </c>
    </row>
    <row r="899" spans="3:5" ht="60" x14ac:dyDescent="0.25">
      <c r="C899" s="15">
        <v>462680</v>
      </c>
      <c r="D899" s="4" t="s">
        <v>905</v>
      </c>
      <c r="E899" s="4" t="str">
        <f>HYPERLINK("https://app.crepc.sk/?fn=detailBiblioForm&amp;sid=DE038CA97CA1C471AA91D3CE71")</f>
        <v>https://app.crepc.sk/?fn=detailBiblioForm&amp;sid=DE038CA97CA1C471AA91D3CE71</v>
      </c>
    </row>
    <row r="900" spans="3:5" ht="75" x14ac:dyDescent="0.25">
      <c r="C900" s="15">
        <v>465622</v>
      </c>
      <c r="D900" s="4" t="s">
        <v>906</v>
      </c>
      <c r="E900" s="4" t="str">
        <f>HYPERLINK("https://app.crepc.sk/?fn=detailBiblioForm&amp;sid=D60DFC88C4A75522885C645AC5")</f>
        <v>https://app.crepc.sk/?fn=detailBiblioForm&amp;sid=D60DFC88C4A75522885C645AC5</v>
      </c>
    </row>
    <row r="901" spans="3:5" ht="45" x14ac:dyDescent="0.25">
      <c r="C901" s="15">
        <v>453112</v>
      </c>
      <c r="D901" s="4" t="s">
        <v>907</v>
      </c>
      <c r="E901" s="4" t="str">
        <f>HYPERLINK("https://app.crepc.sk/?fn=detailBiblioForm&amp;sid=CAF8E4C8C84E2CF3C8EA6FA65E")</f>
        <v>https://app.crepc.sk/?fn=detailBiblioForm&amp;sid=CAF8E4C8C84E2CF3C8EA6FA65E</v>
      </c>
    </row>
    <row r="902" spans="3:5" ht="75" x14ac:dyDescent="0.25">
      <c r="C902" s="15">
        <v>523087</v>
      </c>
      <c r="D902" s="4" t="s">
        <v>908</v>
      </c>
      <c r="E902" s="4" t="str">
        <f>HYPERLINK("https://app.crepc.sk/?fn=detailBiblioForm&amp;sid=3AEED5F70FAF2E07B5949D6A2D")</f>
        <v>https://app.crepc.sk/?fn=detailBiblioForm&amp;sid=3AEED5F70FAF2E07B5949D6A2D</v>
      </c>
    </row>
    <row r="903" spans="3:5" ht="75" x14ac:dyDescent="0.25">
      <c r="C903" s="15">
        <v>483988</v>
      </c>
      <c r="D903" s="4" t="s">
        <v>909</v>
      </c>
      <c r="E903" s="4" t="str">
        <f>HYPERLINK("https://app.crepc.sk/?fn=detailBiblioForm&amp;sid=F8303E194D2A08F47BD173C2FC")</f>
        <v>https://app.crepc.sk/?fn=detailBiblioForm&amp;sid=F8303E194D2A08F47BD173C2FC</v>
      </c>
    </row>
    <row r="904" spans="3:5" ht="75" x14ac:dyDescent="0.25">
      <c r="C904" s="15">
        <v>512414</v>
      </c>
      <c r="D904" s="4" t="s">
        <v>910</v>
      </c>
      <c r="E904" s="4" t="str">
        <f>HYPERLINK("https://app.crepc.sk/?fn=detailBiblioForm&amp;sid=E3A9CAEA6873959EB40A531D4E")</f>
        <v>https://app.crepc.sk/?fn=detailBiblioForm&amp;sid=E3A9CAEA6873959EB40A531D4E</v>
      </c>
    </row>
    <row r="905" spans="3:5" ht="60" x14ac:dyDescent="0.25">
      <c r="C905" s="15">
        <v>503959</v>
      </c>
      <c r="D905" s="4" t="s">
        <v>911</v>
      </c>
      <c r="E905" s="4" t="str">
        <f>HYPERLINK("https://app.crepc.sk/?fn=detailBiblioForm&amp;sid=E36E561CC42CD7EC109139BEF7")</f>
        <v>https://app.crepc.sk/?fn=detailBiblioForm&amp;sid=E36E561CC42CD7EC109139BEF7</v>
      </c>
    </row>
    <row r="906" spans="3:5" ht="90" x14ac:dyDescent="0.25">
      <c r="C906" s="15">
        <v>498705</v>
      </c>
      <c r="D906" s="4" t="s">
        <v>912</v>
      </c>
      <c r="E906" s="4" t="str">
        <f>HYPERLINK("https://app.crepc.sk/?fn=detailBiblioForm&amp;sid=92F3B6CCC17AE8DE55F6900D14")</f>
        <v>https://app.crepc.sk/?fn=detailBiblioForm&amp;sid=92F3B6CCC17AE8DE55F6900D14</v>
      </c>
    </row>
    <row r="907" spans="3:5" ht="75" x14ac:dyDescent="0.25">
      <c r="C907" s="15">
        <v>471651</v>
      </c>
      <c r="D907" s="4" t="s">
        <v>913</v>
      </c>
      <c r="E907" s="4" t="str">
        <f>HYPERLINK("https://app.crepc.sk/?fn=detailBiblioForm&amp;sid=C426A36CE9A4BF54B46C71257C")</f>
        <v>https://app.crepc.sk/?fn=detailBiblioForm&amp;sid=C426A36CE9A4BF54B46C71257C</v>
      </c>
    </row>
    <row r="908" spans="3:5" ht="75" x14ac:dyDescent="0.25">
      <c r="C908" s="15">
        <v>476351</v>
      </c>
      <c r="D908" s="4" t="s">
        <v>914</v>
      </c>
      <c r="E908" s="4" t="str">
        <f>HYPERLINK("https://app.crepc.sk/?fn=detailBiblioForm&amp;sid=A087527F9388351CB8037BA70B")</f>
        <v>https://app.crepc.sk/?fn=detailBiblioForm&amp;sid=A087527F9388351CB8037BA70B</v>
      </c>
    </row>
    <row r="909" spans="3:5" ht="90" x14ac:dyDescent="0.25">
      <c r="C909" s="15">
        <v>487242</v>
      </c>
      <c r="D909" s="4" t="s">
        <v>915</v>
      </c>
      <c r="E909" s="4" t="str">
        <f>HYPERLINK("https://app.crepc.sk/?fn=detailBiblioForm&amp;sid=9B4808EA493B517E769C766514")</f>
        <v>https://app.crepc.sk/?fn=detailBiblioForm&amp;sid=9B4808EA493B517E769C766514</v>
      </c>
    </row>
    <row r="910" spans="3:5" ht="90" x14ac:dyDescent="0.25">
      <c r="C910" s="15">
        <v>482133</v>
      </c>
      <c r="D910" s="4" t="s">
        <v>916</v>
      </c>
      <c r="E910" s="4" t="str">
        <f>HYPERLINK("https://app.crepc.sk/?fn=detailBiblioForm&amp;sid=CEFF407F703E04499F7AD8C752")</f>
        <v>https://app.crepc.sk/?fn=detailBiblioForm&amp;sid=CEFF407F703E04499F7AD8C752</v>
      </c>
    </row>
    <row r="911" spans="3:5" ht="75" x14ac:dyDescent="0.25">
      <c r="C911" s="15">
        <v>522662</v>
      </c>
      <c r="D911" s="4" t="s">
        <v>917</v>
      </c>
      <c r="E911" s="4" t="str">
        <f>HYPERLINK("https://app.crepc.sk/?fn=detailBiblioForm&amp;sid=3F2BC5F499B74289897A84CA9E")</f>
        <v>https://app.crepc.sk/?fn=detailBiblioForm&amp;sid=3F2BC5F499B74289897A84CA9E</v>
      </c>
    </row>
    <row r="912" spans="3:5" ht="105" x14ac:dyDescent="0.25">
      <c r="C912" s="15">
        <v>487989</v>
      </c>
      <c r="D912" s="4" t="s">
        <v>918</v>
      </c>
      <c r="E912" s="4" t="str">
        <f>HYPERLINK("https://app.crepc.sk/?fn=detailBiblioForm&amp;sid=699355D9D3D34CA83F321F861B")</f>
        <v>https://app.crepc.sk/?fn=detailBiblioForm&amp;sid=699355D9D3D34CA83F321F861B</v>
      </c>
    </row>
    <row r="913" spans="3:5" ht="60" x14ac:dyDescent="0.25">
      <c r="C913" s="15">
        <v>486935</v>
      </c>
      <c r="D913" s="4" t="s">
        <v>919</v>
      </c>
      <c r="E913" s="4" t="str">
        <f>HYPERLINK("https://app.crepc.sk/?fn=detailBiblioForm&amp;sid=A8CF374EFAB713A068368713FC")</f>
        <v>https://app.crepc.sk/?fn=detailBiblioForm&amp;sid=A8CF374EFAB713A068368713FC</v>
      </c>
    </row>
    <row r="914" spans="3:5" ht="90" x14ac:dyDescent="0.25">
      <c r="C914" s="15">
        <v>513678</v>
      </c>
      <c r="D914" s="4" t="s">
        <v>920</v>
      </c>
      <c r="E914" s="4" t="str">
        <f>HYPERLINK("https://app.crepc.sk/?fn=detailBiblioForm&amp;sid=14EB7172A94AC8834A9CE3C895")</f>
        <v>https://app.crepc.sk/?fn=detailBiblioForm&amp;sid=14EB7172A94AC8834A9CE3C895</v>
      </c>
    </row>
    <row r="915" spans="3:5" ht="135" x14ac:dyDescent="0.25">
      <c r="C915" s="15">
        <v>470218</v>
      </c>
      <c r="D915" s="4" t="s">
        <v>921</v>
      </c>
      <c r="E915" s="4" t="str">
        <f>HYPERLINK("https://app.crepc.sk/?fn=detailBiblioForm&amp;sid=FB1E18FF6F840056C908C97AEE")</f>
        <v>https://app.crepc.sk/?fn=detailBiblioForm&amp;sid=FB1E18FF6F840056C908C97AEE</v>
      </c>
    </row>
    <row r="916" spans="3:5" ht="75" x14ac:dyDescent="0.25">
      <c r="C916" s="15">
        <v>494218</v>
      </c>
      <c r="D916" s="4" t="s">
        <v>922</v>
      </c>
      <c r="E916" s="4" t="str">
        <f>HYPERLINK("https://app.crepc.sk/?fn=detailBiblioForm&amp;sid=2231A45DBF7E713959BD09FE49")</f>
        <v>https://app.crepc.sk/?fn=detailBiblioForm&amp;sid=2231A45DBF7E713959BD09FE49</v>
      </c>
    </row>
    <row r="917" spans="3:5" ht="60" x14ac:dyDescent="0.25">
      <c r="C917" s="15">
        <v>512527</v>
      </c>
      <c r="D917" s="4" t="s">
        <v>923</v>
      </c>
      <c r="E917" s="4" t="str">
        <f>HYPERLINK("https://app.crepc.sk/?fn=detailBiblioForm&amp;sid=A5213ECA03C20E558110CF8C0A")</f>
        <v>https://app.crepc.sk/?fn=detailBiblioForm&amp;sid=A5213ECA03C20E558110CF8C0A</v>
      </c>
    </row>
    <row r="918" spans="3:5" ht="45" x14ac:dyDescent="0.25">
      <c r="C918" s="15">
        <v>470383</v>
      </c>
      <c r="D918" s="4" t="s">
        <v>924</v>
      </c>
      <c r="E918" s="4" t="str">
        <f>HYPERLINK("https://app.crepc.sk/?fn=detailBiblioForm&amp;sid=37166900746EB0FDF0C6857C9A")</f>
        <v>https://app.crepc.sk/?fn=detailBiblioForm&amp;sid=37166900746EB0FDF0C6857C9A</v>
      </c>
    </row>
    <row r="919" spans="3:5" ht="90" x14ac:dyDescent="0.25">
      <c r="C919" s="15">
        <v>464510</v>
      </c>
      <c r="D919" s="4" t="s">
        <v>925</v>
      </c>
      <c r="E919" s="4" t="str">
        <f>HYPERLINK("https://app.crepc.sk/?fn=detailBiblioForm&amp;sid=1850BCF6C62ECED33B84F389F2")</f>
        <v>https://app.crepc.sk/?fn=detailBiblioForm&amp;sid=1850BCF6C62ECED33B84F389F2</v>
      </c>
    </row>
    <row r="920" spans="3:5" ht="90" x14ac:dyDescent="0.25">
      <c r="C920" s="15">
        <v>458703</v>
      </c>
      <c r="D920" s="4" t="s">
        <v>926</v>
      </c>
      <c r="E920" s="4" t="str">
        <f>HYPERLINK("https://app.crepc.sk/?fn=detailBiblioForm&amp;sid=D342465256AB49C035CA406A33")</f>
        <v>https://app.crepc.sk/?fn=detailBiblioForm&amp;sid=D342465256AB49C035CA406A33</v>
      </c>
    </row>
    <row r="921" spans="3:5" ht="75" x14ac:dyDescent="0.25">
      <c r="C921" s="15">
        <v>502535</v>
      </c>
      <c r="D921" s="4" t="s">
        <v>927</v>
      </c>
      <c r="E921" s="4" t="str">
        <f>HYPERLINK("https://app.crepc.sk/?fn=detailBiblioForm&amp;sid=12EB04908EA087649CEBC009A0")</f>
        <v>https://app.crepc.sk/?fn=detailBiblioForm&amp;sid=12EB04908EA087649CEBC009A0</v>
      </c>
    </row>
    <row r="922" spans="3:5" ht="45" x14ac:dyDescent="0.25">
      <c r="C922" s="15">
        <v>515441</v>
      </c>
      <c r="D922" s="4" t="s">
        <v>928</v>
      </c>
      <c r="E922" s="4" t="str">
        <f>HYPERLINK("https://app.crepc.sk/?fn=detailBiblioForm&amp;sid=5FCAA1231872D5B47AECA29306")</f>
        <v>https://app.crepc.sk/?fn=detailBiblioForm&amp;sid=5FCAA1231872D5B47AECA29306</v>
      </c>
    </row>
    <row r="923" spans="3:5" ht="60" x14ac:dyDescent="0.25">
      <c r="C923" s="15">
        <v>500944</v>
      </c>
      <c r="D923" s="4" t="s">
        <v>929</v>
      </c>
      <c r="E923" s="4" t="str">
        <f>HYPERLINK("https://app.crepc.sk/?fn=detailBiblioForm&amp;sid=5F5FBA760FBAABB6F17722920E")</f>
        <v>https://app.crepc.sk/?fn=detailBiblioForm&amp;sid=5F5FBA760FBAABB6F17722920E</v>
      </c>
    </row>
    <row r="924" spans="3:5" ht="60" x14ac:dyDescent="0.25">
      <c r="C924" s="15">
        <v>498667</v>
      </c>
      <c r="D924" s="4" t="s">
        <v>930</v>
      </c>
      <c r="E924" s="4" t="str">
        <f>HYPERLINK("https://app.crepc.sk/?fn=detailBiblioForm&amp;sid=6CBD07FFF822E5E633731C6378")</f>
        <v>https://app.crepc.sk/?fn=detailBiblioForm&amp;sid=6CBD07FFF822E5E633731C6378</v>
      </c>
    </row>
    <row r="925" spans="3:5" ht="90" x14ac:dyDescent="0.25">
      <c r="C925" s="15">
        <v>457975</v>
      </c>
      <c r="D925" s="4" t="s">
        <v>931</v>
      </c>
      <c r="E925" s="4" t="str">
        <f>HYPERLINK("https://app.crepc.sk/?fn=detailBiblioForm&amp;sid=49DF912496E3F1EA389CA24E6B")</f>
        <v>https://app.crepc.sk/?fn=detailBiblioForm&amp;sid=49DF912496E3F1EA389CA24E6B</v>
      </c>
    </row>
    <row r="926" spans="3:5" ht="60" x14ac:dyDescent="0.25">
      <c r="C926" s="15">
        <v>525951</v>
      </c>
      <c r="D926" s="4" t="s">
        <v>932</v>
      </c>
      <c r="E926" s="4" t="str">
        <f>HYPERLINK("https://app.crepc.sk/?fn=detailBiblioForm&amp;sid=0446DCEE7C6F4765D5B0BAEEE0")</f>
        <v>https://app.crepc.sk/?fn=detailBiblioForm&amp;sid=0446DCEE7C6F4765D5B0BAEEE0</v>
      </c>
    </row>
    <row r="927" spans="3:5" ht="90" x14ac:dyDescent="0.25">
      <c r="C927" s="15">
        <v>483992</v>
      </c>
      <c r="D927" s="4" t="s">
        <v>933</v>
      </c>
      <c r="E927" s="4" t="str">
        <f>HYPERLINK("https://app.crepc.sk/?fn=detailBiblioForm&amp;sid=F8303E194D2A08F47ADB73C2FC")</f>
        <v>https://app.crepc.sk/?fn=detailBiblioForm&amp;sid=F8303E194D2A08F47ADB73C2FC</v>
      </c>
    </row>
    <row r="928" spans="3:5" ht="90" x14ac:dyDescent="0.25">
      <c r="C928" s="15">
        <v>470871</v>
      </c>
      <c r="D928" s="4" t="s">
        <v>934</v>
      </c>
      <c r="E928" s="4" t="str">
        <f>HYPERLINK("https://app.crepc.sk/?fn=detailBiblioForm&amp;sid=A7698F732FD607066666AC9A68")</f>
        <v>https://app.crepc.sk/?fn=detailBiblioForm&amp;sid=A7698F732FD607066666AC9A68</v>
      </c>
    </row>
    <row r="929" spans="3:5" ht="75" x14ac:dyDescent="0.25">
      <c r="C929" s="15">
        <v>474966</v>
      </c>
      <c r="D929" s="4" t="s">
        <v>935</v>
      </c>
      <c r="E929" s="4" t="str">
        <f>HYPERLINK("https://app.crepc.sk/?fn=detailBiblioForm&amp;sid=33EDCE22C4FDFAD48E508FABD7")</f>
        <v>https://app.crepc.sk/?fn=detailBiblioForm&amp;sid=33EDCE22C4FDFAD48E508FABD7</v>
      </c>
    </row>
    <row r="930" spans="3:5" ht="60" x14ac:dyDescent="0.25">
      <c r="C930" s="15">
        <v>506347</v>
      </c>
      <c r="D930" s="4" t="s">
        <v>936</v>
      </c>
      <c r="E930" s="4" t="str">
        <f>HYPERLINK("https://app.crepc.sk/?fn=detailBiblioForm&amp;sid=BBEDD8EDEF499DA8156E5D0332")</f>
        <v>https://app.crepc.sk/?fn=detailBiblioForm&amp;sid=BBEDD8EDEF499DA8156E5D0332</v>
      </c>
    </row>
    <row r="931" spans="3:5" ht="45" x14ac:dyDescent="0.25">
      <c r="C931" s="15">
        <v>496231</v>
      </c>
      <c r="D931" s="4" t="s">
        <v>937</v>
      </c>
      <c r="E931" s="4" t="str">
        <f>HYPERLINK("https://app.crepc.sk/?fn=detailBiblioForm&amp;sid=A920A6B44AAA35D5D0149E29A9")</f>
        <v>https://app.crepc.sk/?fn=detailBiblioForm&amp;sid=A920A6B44AAA35D5D0149E29A9</v>
      </c>
    </row>
    <row r="932" spans="3:5" ht="105" x14ac:dyDescent="0.25">
      <c r="C932" s="15">
        <v>463438</v>
      </c>
      <c r="D932" s="4" t="s">
        <v>938</v>
      </c>
      <c r="E932" s="4" t="str">
        <f>HYPERLINK("https://app.crepc.sk/?fn=detailBiblioForm&amp;sid=796E8C6E642B47B169520D1BEB")</f>
        <v>https://app.crepc.sk/?fn=detailBiblioForm&amp;sid=796E8C6E642B47B169520D1BEB</v>
      </c>
    </row>
    <row r="933" spans="3:5" ht="90" x14ac:dyDescent="0.25">
      <c r="C933" s="15">
        <v>467069</v>
      </c>
      <c r="D933" s="4" t="s">
        <v>939</v>
      </c>
      <c r="E933" s="4" t="str">
        <f>HYPERLINK("https://app.crepc.sk/?fn=detailBiblioForm&amp;sid=86F94207E2D096F6EF30A76C12")</f>
        <v>https://app.crepc.sk/?fn=detailBiblioForm&amp;sid=86F94207E2D096F6EF30A76C12</v>
      </c>
    </row>
    <row r="934" spans="3:5" ht="75" x14ac:dyDescent="0.25">
      <c r="C934" s="15">
        <v>476592</v>
      </c>
      <c r="D934" s="4" t="s">
        <v>940</v>
      </c>
      <c r="E934" s="4" t="str">
        <f>HYPERLINK("https://app.crepc.sk/?fn=detailBiblioForm&amp;sid=2CFDAEBC85534155A8C169CE1E")</f>
        <v>https://app.crepc.sk/?fn=detailBiblioForm&amp;sid=2CFDAEBC85534155A8C169CE1E</v>
      </c>
    </row>
    <row r="935" spans="3:5" ht="90" x14ac:dyDescent="0.25">
      <c r="C935" s="15">
        <v>453044</v>
      </c>
      <c r="D935" s="4" t="s">
        <v>941</v>
      </c>
      <c r="E935" s="4" t="str">
        <f>HYPERLINK("https://app.crepc.sk/?fn=detailBiblioForm&amp;sid=90B576D58506C04E52C1820491")</f>
        <v>https://app.crepc.sk/?fn=detailBiblioForm&amp;sid=90B576D58506C04E52C1820491</v>
      </c>
    </row>
    <row r="936" spans="3:5" ht="60" x14ac:dyDescent="0.25">
      <c r="C936" s="15">
        <v>512427</v>
      </c>
      <c r="D936" s="4" t="s">
        <v>942</v>
      </c>
      <c r="E936" s="4" t="str">
        <f>HYPERLINK("https://app.crepc.sk/?fn=detailBiblioForm&amp;sid=E3A9CAEA6873959EB709531D4E")</f>
        <v>https://app.crepc.sk/?fn=detailBiblioForm&amp;sid=E3A9CAEA6873959EB709531D4E</v>
      </c>
    </row>
    <row r="937" spans="3:5" ht="45" x14ac:dyDescent="0.25">
      <c r="C937" s="15">
        <v>493088</v>
      </c>
      <c r="D937" s="4" t="s">
        <v>943</v>
      </c>
      <c r="E937" s="4" t="str">
        <f>HYPERLINK("https://app.crepc.sk/?fn=detailBiblioForm&amp;sid=A08D0C06F20009E6DCEF93DA9B")</f>
        <v>https://app.crepc.sk/?fn=detailBiblioForm&amp;sid=A08D0C06F20009E6DCEF93DA9B</v>
      </c>
    </row>
    <row r="938" spans="3:5" ht="60" x14ac:dyDescent="0.25">
      <c r="C938" s="15">
        <v>528873</v>
      </c>
      <c r="D938" s="4" t="s">
        <v>944</v>
      </c>
      <c r="E938" s="4" t="str">
        <f>HYPERLINK("https://app.crepc.sk/?fn=detailBiblioForm&amp;sid=F10D06E41CA75DB74492919CA9")</f>
        <v>https://app.crepc.sk/?fn=detailBiblioForm&amp;sid=F10D06E41CA75DB74492919CA9</v>
      </c>
    </row>
    <row r="939" spans="3:5" ht="60" x14ac:dyDescent="0.25">
      <c r="C939" s="15">
        <v>488712</v>
      </c>
      <c r="D939" s="4" t="s">
        <v>945</v>
      </c>
      <c r="E939" s="4" t="str">
        <f>HYPERLINK("https://app.crepc.sk/?fn=detailBiblioForm&amp;sid=73CD5D812DF94045FA119CD731")</f>
        <v>https://app.crepc.sk/?fn=detailBiblioForm&amp;sid=73CD5D812DF94045FA119CD731</v>
      </c>
    </row>
    <row r="940" spans="3:5" ht="75" x14ac:dyDescent="0.25">
      <c r="C940" s="15">
        <v>471030</v>
      </c>
      <c r="D940" s="4" t="s">
        <v>946</v>
      </c>
      <c r="E940" s="4" t="str">
        <f>HYPERLINK("https://app.crepc.sk/?fn=detailBiblioForm&amp;sid=BF1B9EEB57A8E20AB9D823E47A")</f>
        <v>https://app.crepc.sk/?fn=detailBiblioForm&amp;sid=BF1B9EEB57A8E20AB9D823E47A</v>
      </c>
    </row>
    <row r="941" spans="3:5" ht="75" x14ac:dyDescent="0.25">
      <c r="C941" s="15">
        <v>503963</v>
      </c>
      <c r="D941" s="4" t="s">
        <v>947</v>
      </c>
      <c r="E941" s="4" t="str">
        <f>HYPERLINK("https://app.crepc.sk/?fn=detailBiblioForm&amp;sid=E36E561CC42CD7EC139B39BEF7")</f>
        <v>https://app.crepc.sk/?fn=detailBiblioForm&amp;sid=E36E561CC42CD7EC139B39BEF7</v>
      </c>
    </row>
    <row r="942" spans="3:5" ht="60" x14ac:dyDescent="0.25">
      <c r="C942" s="15">
        <v>502343</v>
      </c>
      <c r="D942" s="4" t="s">
        <v>948</v>
      </c>
      <c r="E942" s="4" t="str">
        <f>HYPERLINK("https://app.crepc.sk/?fn=detailBiblioForm&amp;sid=1B4483E8BD0D6F6F62E311565B")</f>
        <v>https://app.crepc.sk/?fn=detailBiblioForm&amp;sid=1B4483E8BD0D6F6F62E311565B</v>
      </c>
    </row>
    <row r="943" spans="3:5" ht="120" x14ac:dyDescent="0.25">
      <c r="C943" s="15">
        <v>467409</v>
      </c>
      <c r="D943" s="4" t="s">
        <v>949</v>
      </c>
      <c r="E943" s="4" t="str">
        <f>HYPERLINK("https://app.crepc.sk/?fn=detailBiblioForm&amp;sid=43322ED3D967CE6D72E8E57015")</f>
        <v>https://app.crepc.sk/?fn=detailBiblioForm&amp;sid=43322ED3D967CE6D72E8E57015</v>
      </c>
    </row>
    <row r="944" spans="3:5" ht="90" x14ac:dyDescent="0.25">
      <c r="C944" s="15">
        <v>497762</v>
      </c>
      <c r="D944" s="4" t="s">
        <v>950</v>
      </c>
      <c r="E944" s="4" t="str">
        <f>HYPERLINK("https://app.crepc.sk/?fn=detailBiblioForm&amp;sid=09E545CD95BD83831F91B74827")</f>
        <v>https://app.crepc.sk/?fn=detailBiblioForm&amp;sid=09E545CD95BD83831F91B74827</v>
      </c>
    </row>
    <row r="945" spans="3:5" ht="60" x14ac:dyDescent="0.25">
      <c r="C945" s="15">
        <v>500941</v>
      </c>
      <c r="D945" s="4" t="s">
        <v>951</v>
      </c>
      <c r="E945" s="4" t="str">
        <f>HYPERLINK("https://app.crepc.sk/?fn=detailBiblioForm&amp;sid=5F5FBA760FBAABB6F17222920E")</f>
        <v>https://app.crepc.sk/?fn=detailBiblioForm&amp;sid=5F5FBA760FBAABB6F17222920E</v>
      </c>
    </row>
    <row r="946" spans="3:5" ht="75" x14ac:dyDescent="0.25">
      <c r="C946" s="15">
        <v>486352</v>
      </c>
      <c r="D946" s="4" t="s">
        <v>952</v>
      </c>
      <c r="E946" s="4" t="str">
        <f>HYPERLINK("https://app.crepc.sk/?fn=detailBiblioForm&amp;sid=2FF41CA7CAF2425632AF91D457")</f>
        <v>https://app.crepc.sk/?fn=detailBiblioForm&amp;sid=2FF41CA7CAF2425632AF91D457</v>
      </c>
    </row>
    <row r="947" spans="3:5" ht="60" x14ac:dyDescent="0.25">
      <c r="C947" s="15">
        <v>443263</v>
      </c>
      <c r="D947" s="4" t="s">
        <v>953</v>
      </c>
      <c r="E947" s="4" t="str">
        <f>HYPERLINK("https://app.crepc.sk/?fn=detailBiblioForm&amp;sid=05DFDDD0691F0F032276107290")</f>
        <v>https://app.crepc.sk/?fn=detailBiblioForm&amp;sid=05DFDDD0691F0F032276107290</v>
      </c>
    </row>
    <row r="948" spans="3:5" ht="105" x14ac:dyDescent="0.25">
      <c r="C948" s="15">
        <v>525952</v>
      </c>
      <c r="D948" s="4" t="s">
        <v>954</v>
      </c>
      <c r="E948" s="4" t="str">
        <f>HYPERLINK("https://app.crepc.sk/?fn=detailBiblioForm&amp;sid=0446DCEE7C6F4765D5B3BAEEE0")</f>
        <v>https://app.crepc.sk/?fn=detailBiblioForm&amp;sid=0446DCEE7C6F4765D5B3BAEEE0</v>
      </c>
    </row>
    <row r="949" spans="3:5" ht="90" x14ac:dyDescent="0.25">
      <c r="C949" s="15">
        <v>517270</v>
      </c>
      <c r="D949" s="4" t="s">
        <v>955</v>
      </c>
      <c r="E949" s="4" t="str">
        <f>HYPERLINK("https://app.crepc.sk/?fn=detailBiblioForm&amp;sid=62444EC8270434F9F5C150AF8C")</f>
        <v>https://app.crepc.sk/?fn=detailBiblioForm&amp;sid=62444EC8270434F9F5C150AF8C</v>
      </c>
    </row>
    <row r="950" spans="3:5" ht="75" x14ac:dyDescent="0.25">
      <c r="C950" s="15">
        <v>519754</v>
      </c>
      <c r="D950" s="4" t="s">
        <v>956</v>
      </c>
      <c r="E950" s="4" t="str">
        <f>HYPERLINK("https://app.crepc.sk/?fn=detailBiblioForm&amp;sid=3CF9681F115FD6E29D64D3733A")</f>
        <v>https://app.crepc.sk/?fn=detailBiblioForm&amp;sid=3CF9681F115FD6E29D64D3733A</v>
      </c>
    </row>
    <row r="951" spans="3:5" ht="75" x14ac:dyDescent="0.25">
      <c r="C951" s="15">
        <v>498673</v>
      </c>
      <c r="D951" s="4" t="s">
        <v>957</v>
      </c>
      <c r="E951" s="4" t="str">
        <f>HYPERLINK("https://app.crepc.sk/?fn=detailBiblioForm&amp;sid=6CBD07FFF822E5E632771C6378")</f>
        <v>https://app.crepc.sk/?fn=detailBiblioForm&amp;sid=6CBD07FFF822E5E632771C6378</v>
      </c>
    </row>
    <row r="952" spans="3:5" ht="75" x14ac:dyDescent="0.25">
      <c r="C952" s="15">
        <v>492929</v>
      </c>
      <c r="D952" s="4" t="s">
        <v>958</v>
      </c>
      <c r="E952" s="4" t="str">
        <f>HYPERLINK("https://app.crepc.sk/?fn=detailBiblioForm&amp;sid=3012A5D3CF61AD8C7C058EB71A")</f>
        <v>https://app.crepc.sk/?fn=detailBiblioForm&amp;sid=3012A5D3CF61AD8C7C058EB71A</v>
      </c>
    </row>
    <row r="953" spans="3:5" ht="60" x14ac:dyDescent="0.25">
      <c r="C953" s="15">
        <v>498009</v>
      </c>
      <c r="D953" s="4" t="s">
        <v>959</v>
      </c>
      <c r="E953" s="4" t="str">
        <f>HYPERLINK("https://app.crepc.sk/?fn=detailBiblioForm&amp;sid=305215F248291490BC5A3CD4D7")</f>
        <v>https://app.crepc.sk/?fn=detailBiblioForm&amp;sid=305215F248291490BC5A3CD4D7</v>
      </c>
    </row>
    <row r="954" spans="3:5" ht="90" x14ac:dyDescent="0.25">
      <c r="C954" s="15">
        <v>435975</v>
      </c>
      <c r="D954" s="4" t="s">
        <v>960</v>
      </c>
      <c r="E954" s="4" t="str">
        <f>HYPERLINK("https://app.crepc.sk/?fn=detailBiblioForm&amp;sid=EA86E0589BCC28B194C90FA9BF")</f>
        <v>https://app.crepc.sk/?fn=detailBiblioForm&amp;sid=EA86E0589BCC28B194C90FA9BF</v>
      </c>
    </row>
    <row r="955" spans="3:5" ht="60" x14ac:dyDescent="0.25">
      <c r="C955" s="15">
        <v>471073</v>
      </c>
      <c r="D955" s="4" t="s">
        <v>961</v>
      </c>
      <c r="E955" s="4" t="str">
        <f>HYPERLINK("https://app.crepc.sk/?fn=detailBiblioForm&amp;sid=BF1B9EEB57A8E20ABDDB23E47A")</f>
        <v>https://app.crepc.sk/?fn=detailBiblioForm&amp;sid=BF1B9EEB57A8E20ABDDB23E47A</v>
      </c>
    </row>
    <row r="956" spans="3:5" ht="60" x14ac:dyDescent="0.25">
      <c r="C956" s="15">
        <v>506355</v>
      </c>
      <c r="D956" s="4" t="s">
        <v>962</v>
      </c>
      <c r="E956" s="4" t="str">
        <f>HYPERLINK("https://app.crepc.sk/?fn=detailBiblioForm&amp;sid=BBEDD8EDEF499DA8146C5D0332")</f>
        <v>https://app.crepc.sk/?fn=detailBiblioForm&amp;sid=BBEDD8EDEF499DA8146C5D0332</v>
      </c>
    </row>
    <row r="957" spans="3:5" ht="60" x14ac:dyDescent="0.25">
      <c r="C957" s="15">
        <v>501086</v>
      </c>
      <c r="D957" s="4" t="s">
        <v>963</v>
      </c>
      <c r="E957" s="4" t="str">
        <f>HYPERLINK("https://app.crepc.sk/?fn=detailBiblioForm&amp;sid=1EA230A4C2FB54E2BC423C065C")</f>
        <v>https://app.crepc.sk/?fn=detailBiblioForm&amp;sid=1EA230A4C2FB54E2BC423C065C</v>
      </c>
    </row>
    <row r="958" spans="3:5" ht="45" x14ac:dyDescent="0.25">
      <c r="C958" s="15">
        <v>468523</v>
      </c>
      <c r="D958" s="4" t="s">
        <v>964</v>
      </c>
      <c r="E958" s="4" t="str">
        <f>HYPERLINK("https://app.crepc.sk/?fn=detailBiblioForm&amp;sid=234FD712864E2777B59F842872")</f>
        <v>https://app.crepc.sk/?fn=detailBiblioForm&amp;sid=234FD712864E2777B59F842872</v>
      </c>
    </row>
    <row r="959" spans="3:5" ht="60" x14ac:dyDescent="0.25">
      <c r="C959" s="15">
        <v>493465</v>
      </c>
      <c r="D959" s="4" t="s">
        <v>965</v>
      </c>
      <c r="E959" s="4" t="str">
        <f>HYPERLINK("https://app.crepc.sk/?fn=detailBiblioForm&amp;sid=4C016C14589E63248791F24AE5")</f>
        <v>https://app.crepc.sk/?fn=detailBiblioForm&amp;sid=4C016C14589E63248791F24AE5</v>
      </c>
    </row>
    <row r="960" spans="3:5" ht="75" x14ac:dyDescent="0.25">
      <c r="C960" s="15">
        <v>514796</v>
      </c>
      <c r="D960" s="4" t="s">
        <v>966</v>
      </c>
      <c r="E960" s="4" t="str">
        <f>HYPERLINK("https://app.crepc.sk/?fn=detailBiblioForm&amp;sid=23D6B832D4F85AEFDF979A3CA5")</f>
        <v>https://app.crepc.sk/?fn=detailBiblioForm&amp;sid=23D6B832D4F85AEFDF979A3CA5</v>
      </c>
    </row>
    <row r="961" spans="3:5" ht="90" x14ac:dyDescent="0.25">
      <c r="C961" s="15">
        <v>482720</v>
      </c>
      <c r="D961" s="4" t="s">
        <v>967</v>
      </c>
      <c r="E961" s="4" t="str">
        <f>HYPERLINK("https://app.crepc.sk/?fn=detailBiblioForm&amp;sid=2ED50720E4EE5F9D729B39CFC8")</f>
        <v>https://app.crepc.sk/?fn=detailBiblioForm&amp;sid=2ED50720E4EE5F9D729B39CFC8</v>
      </c>
    </row>
    <row r="962" spans="3:5" ht="90" x14ac:dyDescent="0.25">
      <c r="C962" s="15">
        <v>493108</v>
      </c>
      <c r="D962" s="4" t="s">
        <v>968</v>
      </c>
      <c r="E962" s="4" t="str">
        <f>HYPERLINK("https://app.crepc.sk/?fn=detailBiblioForm&amp;sid=461C2D9728B8750112C0299B18")</f>
        <v>https://app.crepc.sk/?fn=detailBiblioForm&amp;sid=461C2D9728B8750112C0299B18</v>
      </c>
    </row>
    <row r="963" spans="3:5" ht="90" x14ac:dyDescent="0.25">
      <c r="C963" s="15">
        <v>505801</v>
      </c>
      <c r="D963" s="4" t="s">
        <v>969</v>
      </c>
      <c r="E963" s="4" t="str">
        <f>HYPERLINK("https://app.crepc.sk/?fn=detailBiblioForm&amp;sid=26733A8A64F1EAF6EDB5E13F1E")</f>
        <v>https://app.crepc.sk/?fn=detailBiblioForm&amp;sid=26733A8A64F1EAF6EDB5E13F1E</v>
      </c>
    </row>
    <row r="964" spans="3:5" ht="75" x14ac:dyDescent="0.25">
      <c r="C964" s="15">
        <v>489885</v>
      </c>
      <c r="D964" s="4" t="s">
        <v>970</v>
      </c>
      <c r="E964" s="4" t="str">
        <f>HYPERLINK("https://app.crepc.sk/?fn=detailBiblioForm&amp;sid=953B8F259F91F3968C7436BEB6")</f>
        <v>https://app.crepc.sk/?fn=detailBiblioForm&amp;sid=953B8F259F91F3968C7436BEB6</v>
      </c>
    </row>
    <row r="965" spans="3:5" ht="90" x14ac:dyDescent="0.25">
      <c r="C965" s="15">
        <v>518134</v>
      </c>
      <c r="D965" s="4" t="s">
        <v>971</v>
      </c>
      <c r="E965" s="4" t="str">
        <f>HYPERLINK("https://app.crepc.sk/?fn=detailBiblioForm&amp;sid=74B0108D96DB0DB3C07CBAE747")</f>
        <v>https://app.crepc.sk/?fn=detailBiblioForm&amp;sid=74B0108D96DB0DB3C07CBAE747</v>
      </c>
    </row>
    <row r="966" spans="3:5" ht="75" x14ac:dyDescent="0.25">
      <c r="C966" s="15">
        <v>482696</v>
      </c>
      <c r="D966" s="4" t="s">
        <v>972</v>
      </c>
      <c r="E966" s="4" t="str">
        <f>HYPERLINK("https://app.crepc.sk/?fn=detailBiblioForm&amp;sid=C1D78CBA0E759917267E6E39E1")</f>
        <v>https://app.crepc.sk/?fn=detailBiblioForm&amp;sid=C1D78CBA0E759917267E6E39E1</v>
      </c>
    </row>
    <row r="967" spans="3:5" ht="60" x14ac:dyDescent="0.25">
      <c r="C967" s="15">
        <v>504882</v>
      </c>
      <c r="D967" s="4" t="s">
        <v>973</v>
      </c>
      <c r="E967" s="4" t="str">
        <f>HYPERLINK("https://app.crepc.sk/?fn=detailBiblioForm&amp;sid=B9652E5E6AB49C4FA139087A21")</f>
        <v>https://app.crepc.sk/?fn=detailBiblioForm&amp;sid=B9652E5E6AB49C4FA139087A21</v>
      </c>
    </row>
    <row r="968" spans="3:5" ht="60" x14ac:dyDescent="0.25">
      <c r="C968" s="15">
        <v>496754</v>
      </c>
      <c r="D968" s="4" t="s">
        <v>974</v>
      </c>
      <c r="E968" s="4" t="str">
        <f>HYPERLINK("https://app.crepc.sk/?fn=detailBiblioForm&amp;sid=81EAB13891E59A2967A09C3CFB")</f>
        <v>https://app.crepc.sk/?fn=detailBiblioForm&amp;sid=81EAB13891E59A2967A09C3CFB</v>
      </c>
    </row>
    <row r="969" spans="3:5" ht="60" x14ac:dyDescent="0.25">
      <c r="C969" s="15">
        <v>495083</v>
      </c>
      <c r="D969" s="4" t="s">
        <v>975</v>
      </c>
      <c r="E969" s="4" t="str">
        <f>HYPERLINK("https://app.crepc.sk/?fn=detailBiblioForm&amp;sid=BBF5DCBAEAD8A0211F79B1FFB8")</f>
        <v>https://app.crepc.sk/?fn=detailBiblioForm&amp;sid=BBF5DCBAEAD8A0211F79B1FFB8</v>
      </c>
    </row>
    <row r="970" spans="3:5" ht="75" x14ac:dyDescent="0.25">
      <c r="C970" s="15">
        <v>513669</v>
      </c>
      <c r="D970" s="4" t="s">
        <v>976</v>
      </c>
      <c r="E970" s="4" t="str">
        <f>HYPERLINK("https://app.crepc.sk/?fn=detailBiblioForm&amp;sid=14EB7172A94AC8834B9DE3C895")</f>
        <v>https://app.crepc.sk/?fn=detailBiblioForm&amp;sid=14EB7172A94AC8834B9DE3C895</v>
      </c>
    </row>
    <row r="971" spans="3:5" ht="75" x14ac:dyDescent="0.25">
      <c r="C971" s="15">
        <v>520241</v>
      </c>
      <c r="D971" s="4" t="s">
        <v>977</v>
      </c>
      <c r="E971" s="4" t="str">
        <f>HYPERLINK("https://app.crepc.sk/?fn=detailBiblioForm&amp;sid=E017A0E6BBEAF5D313DBA72888")</f>
        <v>https://app.crepc.sk/?fn=detailBiblioForm&amp;sid=E017A0E6BBEAF5D313DBA72888</v>
      </c>
    </row>
    <row r="972" spans="3:5" ht="60" x14ac:dyDescent="0.25">
      <c r="C972" s="15">
        <v>495700</v>
      </c>
      <c r="D972" s="4" t="s">
        <v>978</v>
      </c>
      <c r="E972" s="4" t="str">
        <f>HYPERLINK("https://app.crepc.sk/?fn=detailBiblioForm&amp;sid=9826E54EB6A861039B3D1E052C")</f>
        <v>https://app.crepc.sk/?fn=detailBiblioForm&amp;sid=9826E54EB6A861039B3D1E052C</v>
      </c>
    </row>
    <row r="973" spans="3:5" ht="75" x14ac:dyDescent="0.25">
      <c r="C973" s="15">
        <v>462244</v>
      </c>
      <c r="D973" s="4" t="s">
        <v>979</v>
      </c>
      <c r="E973" s="4" t="str">
        <f>HYPERLINK("https://app.crepc.sk/?fn=detailBiblioForm&amp;sid=E68A28514C842E16D994554337")</f>
        <v>https://app.crepc.sk/?fn=detailBiblioForm&amp;sid=E68A28514C842E16D994554337</v>
      </c>
    </row>
    <row r="974" spans="3:5" ht="60" x14ac:dyDescent="0.25">
      <c r="C974" s="15">
        <v>466668</v>
      </c>
      <c r="D974" s="4" t="s">
        <v>980</v>
      </c>
      <c r="E974" s="4" t="str">
        <f>HYPERLINK("https://app.crepc.sk/?fn=detailBiblioForm&amp;sid=97284C91491757D9D3A85709B9")</f>
        <v>https://app.crepc.sk/?fn=detailBiblioForm&amp;sid=97284C91491757D9D3A85709B9</v>
      </c>
    </row>
    <row r="975" spans="3:5" ht="75" x14ac:dyDescent="0.25">
      <c r="C975" s="15">
        <v>512923</v>
      </c>
      <c r="D975" s="4" t="s">
        <v>981</v>
      </c>
      <c r="E975" s="4" t="str">
        <f>HYPERLINK("https://app.crepc.sk/?fn=detailBiblioForm&amp;sid=957010A5889D7A5A6444B3730C")</f>
        <v>https://app.crepc.sk/?fn=detailBiblioForm&amp;sid=957010A5889D7A5A6444B3730C</v>
      </c>
    </row>
    <row r="976" spans="3:5" ht="60" x14ac:dyDescent="0.25">
      <c r="C976" s="15">
        <v>471215</v>
      </c>
      <c r="D976" s="4" t="s">
        <v>982</v>
      </c>
      <c r="E976" s="4" t="str">
        <f>HYPERLINK("https://app.crepc.sk/?fn=detailBiblioForm&amp;sid=F18E6BFEFEE1B05F20A258BCE1")</f>
        <v>https://app.crepc.sk/?fn=detailBiblioForm&amp;sid=F18E6BFEFEE1B05F20A258BCE1</v>
      </c>
    </row>
    <row r="977" spans="3:5" ht="75" x14ac:dyDescent="0.25">
      <c r="C977" s="15">
        <v>429175</v>
      </c>
      <c r="D977" s="4" t="s">
        <v>983</v>
      </c>
      <c r="E977" s="4" t="str">
        <f>HYPERLINK("https://app.crepc.sk/?fn=detailBiblioForm&amp;sid=1F960971EB794925E5F73E5078")</f>
        <v>https://app.crepc.sk/?fn=detailBiblioForm&amp;sid=1F960971EB794925E5F73E5078</v>
      </c>
    </row>
    <row r="978" spans="3:5" ht="60" x14ac:dyDescent="0.25">
      <c r="C978" s="15">
        <v>451968</v>
      </c>
      <c r="D978" s="4" t="s">
        <v>984</v>
      </c>
      <c r="E978" s="4" t="str">
        <f>HYPERLINK("https://app.crepc.sk/?fn=detailBiblioForm&amp;sid=F76E8F1EB347E3E9563248BC99")</f>
        <v>https://app.crepc.sk/?fn=detailBiblioForm&amp;sid=F76E8F1EB347E3E9563248BC99</v>
      </c>
    </row>
    <row r="979" spans="3:5" ht="75" x14ac:dyDescent="0.25">
      <c r="C979" s="15">
        <v>317315</v>
      </c>
      <c r="D979" s="4" t="s">
        <v>985</v>
      </c>
      <c r="E979" s="4" t="str">
        <f>HYPERLINK("https://app.crepc.sk/?fn=detailBiblioForm&amp;sid=0DBE9D803C8CD429332A49AB47")</f>
        <v>https://app.crepc.sk/?fn=detailBiblioForm&amp;sid=0DBE9D803C8CD429332A49AB47</v>
      </c>
    </row>
    <row r="980" spans="3:5" ht="75" x14ac:dyDescent="0.25">
      <c r="C980" s="15">
        <v>529847</v>
      </c>
      <c r="D980" s="4" t="s">
        <v>986</v>
      </c>
      <c r="E980" s="4" t="str">
        <f>HYPERLINK("https://app.crepc.sk/?fn=detailBiblioForm&amp;sid=E5489D6BC24E578998A2605CBC")</f>
        <v>https://app.crepc.sk/?fn=detailBiblioForm&amp;sid=E5489D6BC24E578998A2605CBC</v>
      </c>
    </row>
    <row r="981" spans="3:5" ht="75" x14ac:dyDescent="0.25">
      <c r="C981" s="15">
        <v>479793</v>
      </c>
      <c r="D981" s="4" t="s">
        <v>987</v>
      </c>
      <c r="E981" s="4" t="str">
        <f>HYPERLINK("https://app.crepc.sk/?fn=detailBiblioForm&amp;sid=A7B55D0923B33869F35E77451E")</f>
        <v>https://app.crepc.sk/?fn=detailBiblioForm&amp;sid=A7B55D0923B33869F35E77451E</v>
      </c>
    </row>
    <row r="982" spans="3:5" ht="60" x14ac:dyDescent="0.25">
      <c r="C982" s="15">
        <v>512547</v>
      </c>
      <c r="D982" s="4" t="s">
        <v>988</v>
      </c>
      <c r="E982" s="4" t="str">
        <f>HYPERLINK("https://app.crepc.sk/?fn=detailBiblioForm&amp;sid=A5213ECA03C20E558710CF8C0A")</f>
        <v>https://app.crepc.sk/?fn=detailBiblioForm&amp;sid=A5213ECA03C20E558710CF8C0A</v>
      </c>
    </row>
    <row r="983" spans="3:5" ht="60" x14ac:dyDescent="0.25">
      <c r="C983" s="15">
        <v>499541</v>
      </c>
      <c r="D983" s="4" t="s">
        <v>989</v>
      </c>
      <c r="E983" s="4" t="str">
        <f>HYPERLINK("https://app.crepc.sk/?fn=detailBiblioForm&amp;sid=35C73577FAC974DDBA4C8B63C1")</f>
        <v>https://app.crepc.sk/?fn=detailBiblioForm&amp;sid=35C73577FAC974DDBA4C8B63C1</v>
      </c>
    </row>
    <row r="984" spans="3:5" ht="60" x14ac:dyDescent="0.25">
      <c r="C984" s="15">
        <v>478992</v>
      </c>
      <c r="D984" s="4" t="s">
        <v>990</v>
      </c>
      <c r="E984" s="4" t="str">
        <f>HYPERLINK("https://app.crepc.sk/?fn=detailBiblioForm&amp;sid=D4506146C671DFCA600961E528")</f>
        <v>https://app.crepc.sk/?fn=detailBiblioForm&amp;sid=D4506146C671DFCA600961E528</v>
      </c>
    </row>
    <row r="985" spans="3:5" ht="90" x14ac:dyDescent="0.25">
      <c r="C985" s="15">
        <v>465497</v>
      </c>
      <c r="D985" s="4" t="s">
        <v>991</v>
      </c>
      <c r="E985" s="4" t="str">
        <f>HYPERLINK("https://app.crepc.sk/?fn=detailBiblioForm&amp;sid=6E0CEA70D9B2B0795FCFB7A8F4")</f>
        <v>https://app.crepc.sk/?fn=detailBiblioForm&amp;sid=6E0CEA70D9B2B0795FCFB7A8F4</v>
      </c>
    </row>
    <row r="986" spans="3:5" ht="75" x14ac:dyDescent="0.25">
      <c r="C986" s="15">
        <v>461684</v>
      </c>
      <c r="D986" s="4" t="s">
        <v>992</v>
      </c>
      <c r="E986" s="4" t="str">
        <f>HYPERLINK("https://app.crepc.sk/?fn=detailBiblioForm&amp;sid=5E2AA8801657BEC81DF3527E5A")</f>
        <v>https://app.crepc.sk/?fn=detailBiblioForm&amp;sid=5E2AA8801657BEC81DF3527E5A</v>
      </c>
    </row>
    <row r="987" spans="3:5" ht="60" x14ac:dyDescent="0.25">
      <c r="C987" s="15">
        <v>493081</v>
      </c>
      <c r="D987" s="4" t="s">
        <v>993</v>
      </c>
      <c r="E987" s="4" t="str">
        <f>HYPERLINK("https://app.crepc.sk/?fn=detailBiblioForm&amp;sid=A08D0C06F20009E6DCE693DA9B")</f>
        <v>https://app.crepc.sk/?fn=detailBiblioForm&amp;sid=A08D0C06F20009E6DCE693DA9B</v>
      </c>
    </row>
    <row r="988" spans="3:5" ht="75" x14ac:dyDescent="0.25">
      <c r="C988" s="15">
        <v>519107</v>
      </c>
      <c r="D988" s="4" t="s">
        <v>994</v>
      </c>
      <c r="E988" s="4" t="str">
        <f>HYPERLINK("https://app.crepc.sk/?fn=detailBiblioForm&amp;sid=FD0B9331592A5B3110808D2A1B")</f>
        <v>https://app.crepc.sk/?fn=detailBiblioForm&amp;sid=FD0B9331592A5B3110808D2A1B</v>
      </c>
    </row>
    <row r="989" spans="3:5" ht="105" x14ac:dyDescent="0.25">
      <c r="C989" s="15">
        <v>461428</v>
      </c>
      <c r="D989" s="4" t="s">
        <v>995</v>
      </c>
      <c r="E989" s="4" t="str">
        <f>HYPERLINK("https://app.crepc.sk/?fn=detailBiblioForm&amp;sid=282A8926082B6C1756688FD4D6")</f>
        <v>https://app.crepc.sk/?fn=detailBiblioForm&amp;sid=282A8926082B6C1756688FD4D6</v>
      </c>
    </row>
    <row r="990" spans="3:5" ht="60" x14ac:dyDescent="0.25">
      <c r="C990" s="15">
        <v>493105</v>
      </c>
      <c r="D990" s="4" t="s">
        <v>996</v>
      </c>
      <c r="E990" s="4" t="str">
        <f>HYPERLINK("https://app.crepc.sk/?fn=detailBiblioForm&amp;sid=461C2D9728B8750112CD299B18")</f>
        <v>https://app.crepc.sk/?fn=detailBiblioForm&amp;sid=461C2D9728B8750112CD299B18</v>
      </c>
    </row>
    <row r="991" spans="3:5" ht="75" x14ac:dyDescent="0.25">
      <c r="C991" s="15">
        <v>502824</v>
      </c>
      <c r="D991" s="4" t="s">
        <v>997</v>
      </c>
      <c r="E991" s="4" t="str">
        <f>HYPERLINK("https://app.crepc.sk/?fn=detailBiblioForm&amp;sid=9EC8EE6D0EF59138D6E7C4A124")</f>
        <v>https://app.crepc.sk/?fn=detailBiblioForm&amp;sid=9EC8EE6D0EF59138D6E7C4A124</v>
      </c>
    </row>
    <row r="992" spans="3:5" ht="105" x14ac:dyDescent="0.25">
      <c r="C992" s="15">
        <v>460097</v>
      </c>
      <c r="D992" s="4" t="s">
        <v>998</v>
      </c>
      <c r="E992" s="4" t="str">
        <f>HYPERLINK("https://app.crepc.sk/?fn=detailBiblioForm&amp;sid=C23948C2C0377DCC1B8E2576D6")</f>
        <v>https://app.crepc.sk/?fn=detailBiblioForm&amp;sid=C23948C2C0377DCC1B8E2576D6</v>
      </c>
    </row>
    <row r="993" spans="3:5" ht="75" x14ac:dyDescent="0.25">
      <c r="C993" s="15">
        <v>529828</v>
      </c>
      <c r="D993" s="4" t="s">
        <v>999</v>
      </c>
      <c r="E993" s="4" t="str">
        <f>HYPERLINK("https://app.crepc.sk/?fn=detailBiblioForm&amp;sid=E5489D6BC24E57899EAD605CBC")</f>
        <v>https://app.crepc.sk/?fn=detailBiblioForm&amp;sid=E5489D6BC24E57899EAD605CBC</v>
      </c>
    </row>
    <row r="994" spans="3:5" ht="75" x14ac:dyDescent="0.25">
      <c r="C994" s="15">
        <v>463497</v>
      </c>
      <c r="D994" s="4" t="s">
        <v>1000</v>
      </c>
      <c r="E994" s="4" t="str">
        <f>HYPERLINK("https://app.crepc.sk/?fn=detailBiblioForm&amp;sid=796E8C6E642B47B1635D0D1BEB")</f>
        <v>https://app.crepc.sk/?fn=detailBiblioForm&amp;sid=796E8C6E642B47B1635D0D1BEB</v>
      </c>
    </row>
    <row r="995" spans="3:5" ht="90" x14ac:dyDescent="0.25">
      <c r="C995" s="15">
        <v>462958</v>
      </c>
      <c r="D995" s="4" t="s">
        <v>1001</v>
      </c>
      <c r="E995" s="4" t="str">
        <f>HYPERLINK("https://app.crepc.sk/?fn=detailBiblioForm&amp;sid=32F76EF9325E82ACFC51B1356B")</f>
        <v>https://app.crepc.sk/?fn=detailBiblioForm&amp;sid=32F76EF9325E82ACFC51B1356B</v>
      </c>
    </row>
    <row r="996" spans="3:5" ht="75" x14ac:dyDescent="0.25">
      <c r="C996" s="15">
        <v>509294</v>
      </c>
      <c r="D996" s="4" t="s">
        <v>1002</v>
      </c>
      <c r="E996" s="4" t="str">
        <f>HYPERLINK("https://app.crepc.sk/?fn=detailBiblioForm&amp;sid=51EE16A4EEEA6034BE69A5A8DC")</f>
        <v>https://app.crepc.sk/?fn=detailBiblioForm&amp;sid=51EE16A4EEEA6034BE69A5A8DC</v>
      </c>
    </row>
    <row r="997" spans="3:5" ht="75" x14ac:dyDescent="0.25">
      <c r="C997" s="15">
        <v>461483</v>
      </c>
      <c r="D997" s="4" t="s">
        <v>1003</v>
      </c>
      <c r="E997" s="4" t="str">
        <f>HYPERLINK("https://app.crepc.sk/?fn=detailBiblioForm&amp;sid=282A8926082B6C175C638FD4D6")</f>
        <v>https://app.crepc.sk/?fn=detailBiblioForm&amp;sid=282A8926082B6C175C638FD4D6</v>
      </c>
    </row>
    <row r="998" spans="3:5" ht="45" x14ac:dyDescent="0.25">
      <c r="C998" s="15">
        <v>506736</v>
      </c>
      <c r="D998" s="4" t="s">
        <v>1004</v>
      </c>
      <c r="E998" s="4" t="str">
        <f>HYPERLINK("https://app.crepc.sk/?fn=detailBiblioForm&amp;sid=AA397DACEC77CE6973205FFD90")</f>
        <v>https://app.crepc.sk/?fn=detailBiblioForm&amp;sid=AA397DACEC77CE6973205FFD90</v>
      </c>
    </row>
    <row r="999" spans="3:5" ht="45" x14ac:dyDescent="0.25">
      <c r="C999" s="15">
        <v>506357</v>
      </c>
      <c r="D999" s="4" t="s">
        <v>1005</v>
      </c>
      <c r="E999" s="4" t="str">
        <f>HYPERLINK("https://app.crepc.sk/?fn=detailBiblioForm&amp;sid=BBEDD8EDEF499DA8146E5D0332")</f>
        <v>https://app.crepc.sk/?fn=detailBiblioForm&amp;sid=BBEDD8EDEF499DA8146E5D0332</v>
      </c>
    </row>
    <row r="1000" spans="3:5" ht="75" x14ac:dyDescent="0.25">
      <c r="C1000" s="15">
        <v>512225</v>
      </c>
      <c r="D1000" s="4" t="s">
        <v>1006</v>
      </c>
      <c r="E1000" s="4" t="str">
        <f>HYPERLINK("https://app.crepc.sk/?fn=detailBiblioForm&amp;sid=8E6CCBF4393295FA74DBB71D32")</f>
        <v>https://app.crepc.sk/?fn=detailBiblioForm&amp;sid=8E6CCBF4393295FA74DBB71D32</v>
      </c>
    </row>
    <row r="1001" spans="3:5" ht="75" x14ac:dyDescent="0.25">
      <c r="C1001" s="15">
        <v>504388</v>
      </c>
      <c r="D1001" s="4" t="s">
        <v>1007</v>
      </c>
      <c r="E1001" s="4" t="str">
        <f>HYPERLINK("https://app.crepc.sk/?fn=detailBiblioForm&amp;sid=E261A8F37819079343E328A289")</f>
        <v>https://app.crepc.sk/?fn=detailBiblioForm&amp;sid=E261A8F37819079343E328A289</v>
      </c>
    </row>
    <row r="1002" spans="3:5" ht="75" x14ac:dyDescent="0.25">
      <c r="C1002" s="15">
        <v>517040</v>
      </c>
      <c r="D1002" s="4" t="s">
        <v>1008</v>
      </c>
      <c r="E1002" s="4" t="str">
        <f>HYPERLINK("https://app.crepc.sk/?fn=detailBiblioForm&amp;sid=57EE24F19297EE43771741AEEE")</f>
        <v>https://app.crepc.sk/?fn=detailBiblioForm&amp;sid=57EE24F19297EE43771741AEEE</v>
      </c>
    </row>
    <row r="1003" spans="3:5" ht="60" x14ac:dyDescent="0.25">
      <c r="C1003" s="15">
        <v>473078</v>
      </c>
      <c r="D1003" s="4" t="s">
        <v>1009</v>
      </c>
      <c r="E1003" s="4" t="str">
        <f>HYPERLINK("https://app.crepc.sk/?fn=detailBiblioForm&amp;sid=52CABADEC9521F98ACDEA4DCEB")</f>
        <v>https://app.crepc.sk/?fn=detailBiblioForm&amp;sid=52CABADEC9521F98ACDEA4DCEB</v>
      </c>
    </row>
    <row r="1004" spans="3:5" ht="45" x14ac:dyDescent="0.25">
      <c r="C1004" s="15">
        <v>507655</v>
      </c>
      <c r="D1004" s="4" t="s">
        <v>1010</v>
      </c>
      <c r="E1004" s="4" t="str">
        <f>HYPERLINK("https://app.crepc.sk/?fn=detailBiblioForm&amp;sid=A363D22A746428FBF1FF0C0F7A")</f>
        <v>https://app.crepc.sk/?fn=detailBiblioForm&amp;sid=A363D22A746428FBF1FF0C0F7A</v>
      </c>
    </row>
    <row r="1005" spans="3:5" ht="75" x14ac:dyDescent="0.25">
      <c r="C1005" s="15">
        <v>464588</v>
      </c>
      <c r="D1005" s="4" t="s">
        <v>1011</v>
      </c>
      <c r="E1005" s="4" t="str">
        <f>HYPERLINK("https://app.crepc.sk/?fn=detailBiblioForm&amp;sid=1850BCF6C62ECED3328CF389F2")</f>
        <v>https://app.crepc.sk/?fn=detailBiblioForm&amp;sid=1850BCF6C62ECED3328CF389F2</v>
      </c>
    </row>
    <row r="1006" spans="3:5" ht="90" x14ac:dyDescent="0.25">
      <c r="C1006" s="15">
        <v>470063</v>
      </c>
      <c r="D1006" s="4" t="s">
        <v>1012</v>
      </c>
      <c r="E1006" s="4" t="str">
        <f>HYPERLINK("https://app.crepc.sk/?fn=detailBiblioForm&amp;sid=480DD984465732B9F699FBED3F")</f>
        <v>https://app.crepc.sk/?fn=detailBiblioForm&amp;sid=480DD984465732B9F699FBED3F</v>
      </c>
    </row>
    <row r="1007" spans="3:5" ht="60" x14ac:dyDescent="0.25">
      <c r="C1007" s="15">
        <v>496876</v>
      </c>
      <c r="D1007" s="4" t="s">
        <v>1013</v>
      </c>
      <c r="E1007" s="4" t="str">
        <f>HYPERLINK("https://app.crepc.sk/?fn=detailBiblioForm&amp;sid=18E29BBCBCD03248D55FB8229A")</f>
        <v>https://app.crepc.sk/?fn=detailBiblioForm&amp;sid=18E29BBCBCD03248D55FB8229A</v>
      </c>
    </row>
    <row r="1008" spans="3:5" ht="60" x14ac:dyDescent="0.25">
      <c r="C1008" s="15">
        <v>463860</v>
      </c>
      <c r="D1008" s="4" t="s">
        <v>1014</v>
      </c>
      <c r="E1008" s="4" t="str">
        <f>HYPERLINK("https://app.crepc.sk/?fn=detailBiblioForm&amp;sid=B6F639877BD63906E576F6CC74")</f>
        <v>https://app.crepc.sk/?fn=detailBiblioForm&amp;sid=B6F639877BD63906E576F6CC74</v>
      </c>
    </row>
    <row r="1009" spans="3:5" ht="60" x14ac:dyDescent="0.25">
      <c r="C1009" s="15">
        <v>475568</v>
      </c>
      <c r="D1009" s="4" t="s">
        <v>1015</v>
      </c>
      <c r="E1009" s="4" t="str">
        <f>HYPERLINK("https://app.crepc.sk/?fn=detailBiblioForm&amp;sid=54129E2B34CA085C1BCC5E1BC6")</f>
        <v>https://app.crepc.sk/?fn=detailBiblioForm&amp;sid=54129E2B34CA085C1BCC5E1BC6</v>
      </c>
    </row>
    <row r="1010" spans="3:5" ht="60" x14ac:dyDescent="0.25">
      <c r="C1010" s="15">
        <v>502530</v>
      </c>
      <c r="D1010" s="4" t="s">
        <v>1016</v>
      </c>
      <c r="E1010" s="4" t="str">
        <f>HYPERLINK("https://app.crepc.sk/?fn=detailBiblioForm&amp;sid=12EB04908EA087649CEEC009A0")</f>
        <v>https://app.crepc.sk/?fn=detailBiblioForm&amp;sid=12EB04908EA087649CEEC009A0</v>
      </c>
    </row>
    <row r="1011" spans="3:5" ht="75" x14ac:dyDescent="0.25">
      <c r="C1011" s="15">
        <v>504672</v>
      </c>
      <c r="D1011" s="4" t="s">
        <v>1017</v>
      </c>
      <c r="E1011" s="4" t="str">
        <f>HYPERLINK("https://app.crepc.sk/?fn=detailBiblioForm&amp;sid=82558D5A2F342A5249BD263903")</f>
        <v>https://app.crepc.sk/?fn=detailBiblioForm&amp;sid=82558D5A2F342A5249BD263903</v>
      </c>
    </row>
    <row r="1012" spans="3:5" ht="60" x14ac:dyDescent="0.25">
      <c r="C1012" s="15">
        <v>495666</v>
      </c>
      <c r="D1012" s="4" t="s">
        <v>1018</v>
      </c>
      <c r="E1012" s="4" t="str">
        <f>HYPERLINK("https://app.crepc.sk/?fn=detailBiblioForm&amp;sid=AB574C4B6B0EDE3062D60166A6")</f>
        <v>https://app.crepc.sk/?fn=detailBiblioForm&amp;sid=AB574C4B6B0EDE3062D60166A6</v>
      </c>
    </row>
    <row r="1013" spans="3:5" ht="60" x14ac:dyDescent="0.25">
      <c r="C1013" s="15">
        <v>529832</v>
      </c>
      <c r="D1013" s="4" t="s">
        <v>1019</v>
      </c>
      <c r="E1013" s="4" t="str">
        <f>HYPERLINK("https://app.crepc.sk/?fn=detailBiblioForm&amp;sid=E5489D6BC24E57899FA7605CBC")</f>
        <v>https://app.crepc.sk/?fn=detailBiblioForm&amp;sid=E5489D6BC24E57899FA7605CBC</v>
      </c>
    </row>
    <row r="1014" spans="3:5" ht="75" x14ac:dyDescent="0.25">
      <c r="C1014" s="15">
        <v>504570</v>
      </c>
      <c r="D1014" s="4" t="s">
        <v>1020</v>
      </c>
      <c r="E1014" s="4" t="str">
        <f>HYPERLINK("https://app.crepc.sk/?fn=detailBiblioForm&amp;sid=7E2D778D3A367624EE9CFFD618")</f>
        <v>https://app.crepc.sk/?fn=detailBiblioForm&amp;sid=7E2D778D3A367624EE9CFFD618</v>
      </c>
    </row>
    <row r="1015" spans="3:5" ht="90" x14ac:dyDescent="0.25">
      <c r="C1015" s="15">
        <v>476584</v>
      </c>
      <c r="D1015" s="4" t="s">
        <v>1021</v>
      </c>
      <c r="E1015" s="4" t="str">
        <f>HYPERLINK("https://app.crepc.sk/?fn=detailBiblioForm&amp;sid=2CFDAEBC85534155A9C769CE1E")</f>
        <v>https://app.crepc.sk/?fn=detailBiblioForm&amp;sid=2CFDAEBC85534155A9C769CE1E</v>
      </c>
    </row>
    <row r="1016" spans="3:5" ht="60" x14ac:dyDescent="0.25">
      <c r="C1016" s="15">
        <v>497318</v>
      </c>
      <c r="D1016" s="4" t="s">
        <v>1022</v>
      </c>
      <c r="E1016" s="4" t="str">
        <f>HYPERLINK("https://app.crepc.sk/?fn=detailBiblioForm&amp;sid=A1D3D09C596F5F69F64399C7FE")</f>
        <v>https://app.crepc.sk/?fn=detailBiblioForm&amp;sid=A1D3D09C596F5F69F64399C7FE</v>
      </c>
    </row>
    <row r="1017" spans="3:5" ht="60" x14ac:dyDescent="0.25">
      <c r="C1017" s="15">
        <v>508073</v>
      </c>
      <c r="D1017" s="4" t="s">
        <v>1023</v>
      </c>
      <c r="E1017" s="4" t="str">
        <f>HYPERLINK("https://app.crepc.sk/?fn=detailBiblioForm&amp;sid=156975FC17BD39E83656C350BC")</f>
        <v>https://app.crepc.sk/?fn=detailBiblioForm&amp;sid=156975FC17BD39E83656C350BC</v>
      </c>
    </row>
    <row r="1018" spans="3:5" ht="75" x14ac:dyDescent="0.25">
      <c r="C1018" s="15">
        <v>512553</v>
      </c>
      <c r="D1018" s="4" t="s">
        <v>1024</v>
      </c>
      <c r="E1018" s="4" t="str">
        <f>HYPERLINK("https://app.crepc.sk/?fn=detailBiblioForm&amp;sid=A5213ECA03C20E558614CF8C0A")</f>
        <v>https://app.crepc.sk/?fn=detailBiblioForm&amp;sid=A5213ECA03C20E558614CF8C0A</v>
      </c>
    </row>
    <row r="1019" spans="3:5" ht="75" x14ac:dyDescent="0.25">
      <c r="C1019" s="15">
        <v>510415</v>
      </c>
      <c r="D1019" s="4" t="s">
        <v>1025</v>
      </c>
      <c r="E1019" s="4" t="str">
        <f>HYPERLINK("https://app.crepc.sk/?fn=detailBiblioForm&amp;sid=F664559925A71C4E5E1D83B09F")</f>
        <v>https://app.crepc.sk/?fn=detailBiblioForm&amp;sid=F664559925A71C4E5E1D83B09F</v>
      </c>
    </row>
    <row r="1020" spans="3:5" ht="60" x14ac:dyDescent="0.25">
      <c r="C1020" s="15">
        <v>526585</v>
      </c>
      <c r="D1020" s="4" t="s">
        <v>1026</v>
      </c>
      <c r="E1020" s="4" t="str">
        <f>HYPERLINK("https://app.crepc.sk/?fn=detailBiblioForm&amp;sid=CDAF6A33D4190CF5D77154A926")</f>
        <v>https://app.crepc.sk/?fn=detailBiblioForm&amp;sid=CDAF6A33D4190CF5D77154A926</v>
      </c>
    </row>
    <row r="1021" spans="3:5" ht="45" x14ac:dyDescent="0.25">
      <c r="C1021" s="15">
        <v>472627</v>
      </c>
      <c r="D1021" s="4" t="s">
        <v>1027</v>
      </c>
      <c r="E1021" s="4" t="str">
        <f>HYPERLINK("https://app.crepc.sk/?fn=detailBiblioForm&amp;sid=9AE86EE7FB8F2AA24CD49FA481")</f>
        <v>https://app.crepc.sk/?fn=detailBiblioForm&amp;sid=9AE86EE7FB8F2AA24CD49FA481</v>
      </c>
    </row>
    <row r="1022" spans="3:5" ht="45" x14ac:dyDescent="0.25">
      <c r="C1022" s="15">
        <v>515587</v>
      </c>
      <c r="D1022" s="4" t="s">
        <v>1028</v>
      </c>
      <c r="E1022" s="4" t="str">
        <f>HYPERLINK("https://app.crepc.sk/?fn=detailBiblioForm&amp;sid=C39247C36C730A4C122C3D2B9E")</f>
        <v>https://app.crepc.sk/?fn=detailBiblioForm&amp;sid=C39247C36C730A4C122C3D2B9E</v>
      </c>
    </row>
    <row r="1023" spans="3:5" ht="60" x14ac:dyDescent="0.25">
      <c r="C1023" s="15">
        <v>512491</v>
      </c>
      <c r="D1023" s="4" t="s">
        <v>1029</v>
      </c>
      <c r="E1023" s="4" t="str">
        <f>HYPERLINK("https://app.crepc.sk/?fn=detailBiblioForm&amp;sid=E3A9CAEA6873959EBC0F531D4E")</f>
        <v>https://app.crepc.sk/?fn=detailBiblioForm&amp;sid=E3A9CAEA6873959EBC0F531D4E</v>
      </c>
    </row>
    <row r="1024" spans="3:5" ht="60" x14ac:dyDescent="0.25">
      <c r="C1024" s="15">
        <v>476331</v>
      </c>
      <c r="D1024" s="4" t="s">
        <v>1030</v>
      </c>
      <c r="E1024" s="4" t="str">
        <f>HYPERLINK("https://app.crepc.sk/?fn=detailBiblioForm&amp;sid=A087527F9388351CBE037BA70B")</f>
        <v>https://app.crepc.sk/?fn=detailBiblioForm&amp;sid=A087527F9388351CBE037BA70B</v>
      </c>
    </row>
    <row r="1025" spans="3:5" ht="75" x14ac:dyDescent="0.25">
      <c r="C1025" s="15">
        <v>517281</v>
      </c>
      <c r="D1025" s="4" t="s">
        <v>1031</v>
      </c>
      <c r="E1025" s="4" t="str">
        <f>HYPERLINK("https://app.crepc.sk/?fn=detailBiblioForm&amp;sid=62444EC8270434F9FAC050AF8C")</f>
        <v>https://app.crepc.sk/?fn=detailBiblioForm&amp;sid=62444EC8270434F9FAC050AF8C</v>
      </c>
    </row>
    <row r="1026" spans="3:5" ht="60" x14ac:dyDescent="0.25">
      <c r="C1026" s="15">
        <v>492225</v>
      </c>
      <c r="D1026" s="4" t="s">
        <v>1032</v>
      </c>
      <c r="E1026" s="4" t="str">
        <f>HYPERLINK("https://app.crepc.sk/?fn=detailBiblioForm&amp;sid=BCB60F10BC514D5E331581B547")</f>
        <v>https://app.crepc.sk/?fn=detailBiblioForm&amp;sid=BCB60F10BC514D5E331581B547</v>
      </c>
    </row>
    <row r="1027" spans="3:5" ht="60" x14ac:dyDescent="0.25">
      <c r="C1027" s="15">
        <v>523413</v>
      </c>
      <c r="D1027" s="4" t="s">
        <v>1033</v>
      </c>
      <c r="E1027" s="4" t="str">
        <f>HYPERLINK("https://app.crepc.sk/?fn=detailBiblioForm&amp;sid=134F7010F97786482E1A2EA1AF")</f>
        <v>https://app.crepc.sk/?fn=detailBiblioForm&amp;sid=134F7010F97786482E1A2EA1AF</v>
      </c>
    </row>
    <row r="1028" spans="3:5" ht="75" x14ac:dyDescent="0.25">
      <c r="C1028" s="15">
        <v>514792</v>
      </c>
      <c r="D1028" s="4" t="s">
        <v>1034</v>
      </c>
      <c r="E1028" s="4" t="str">
        <f>HYPERLINK("https://app.crepc.sk/?fn=detailBiblioForm&amp;sid=23D6B832D4F85AEFDF939A3CA5")</f>
        <v>https://app.crepc.sk/?fn=detailBiblioForm&amp;sid=23D6B832D4F85AEFDF939A3CA5</v>
      </c>
    </row>
    <row r="1029" spans="3:5" ht="60" x14ac:dyDescent="0.25">
      <c r="C1029" s="15">
        <v>463909</v>
      </c>
      <c r="D1029" s="4" t="s">
        <v>1035</v>
      </c>
      <c r="E1029" s="4" t="str">
        <f>HYPERLINK("https://app.crepc.sk/?fn=detailBiblioForm&amp;sid=F79A654E6562A988611E3B843E")</f>
        <v>https://app.crepc.sk/?fn=detailBiblioForm&amp;sid=F79A654E6562A988611E3B843E</v>
      </c>
    </row>
    <row r="1030" spans="3:5" ht="90" x14ac:dyDescent="0.25">
      <c r="C1030" s="15">
        <v>463210</v>
      </c>
      <c r="D1030" s="4" t="s">
        <v>1036</v>
      </c>
      <c r="E1030" s="4" t="str">
        <f>HYPERLINK("https://app.crepc.sk/?fn=detailBiblioForm&amp;sid=E236139526BBCA0A277B918529")</f>
        <v>https://app.crepc.sk/?fn=detailBiblioForm&amp;sid=E236139526BBCA0A277B918529</v>
      </c>
    </row>
    <row r="1031" spans="3:5" ht="120" x14ac:dyDescent="0.25">
      <c r="C1031" s="15">
        <v>476593</v>
      </c>
      <c r="D1031" s="4" t="s">
        <v>1037</v>
      </c>
      <c r="E1031" s="4" t="str">
        <f>HYPERLINK("https://app.crepc.sk/?fn=detailBiblioForm&amp;sid=2CFDAEBC85534155A8C069CE1E")</f>
        <v>https://app.crepc.sk/?fn=detailBiblioForm&amp;sid=2CFDAEBC85534155A8C069CE1E</v>
      </c>
    </row>
    <row r="1032" spans="3:5" ht="60" x14ac:dyDescent="0.25">
      <c r="C1032" s="15">
        <v>462725</v>
      </c>
      <c r="D1032" s="4" t="s">
        <v>1038</v>
      </c>
      <c r="E1032" s="4" t="str">
        <f>HYPERLINK("https://app.crepc.sk/?fn=detailBiblioForm&amp;sid=A21312D1EC1E2783F6CA1773B8")</f>
        <v>https://app.crepc.sk/?fn=detailBiblioForm&amp;sid=A21312D1EC1E2783F6CA1773B8</v>
      </c>
    </row>
    <row r="1033" spans="3:5" ht="75" x14ac:dyDescent="0.25">
      <c r="C1033" s="15">
        <v>523442</v>
      </c>
      <c r="D1033" s="4" t="s">
        <v>1039</v>
      </c>
      <c r="E1033" s="4" t="str">
        <f>HYPERLINK("https://app.crepc.sk/?fn=detailBiblioForm&amp;sid=134F7010F97786482B1B2EA1AF")</f>
        <v>https://app.crepc.sk/?fn=detailBiblioForm&amp;sid=134F7010F97786482B1B2EA1AF</v>
      </c>
    </row>
    <row r="1034" spans="3:5" ht="60" x14ac:dyDescent="0.25">
      <c r="C1034" s="15">
        <v>514108</v>
      </c>
      <c r="D1034" s="4" t="s">
        <v>1040</v>
      </c>
      <c r="E1034" s="4" t="str">
        <f>HYPERLINK("https://app.crepc.sk/?fn=detailBiblioForm&amp;sid=9877436D16FD22AF795CADC550")</f>
        <v>https://app.crepc.sk/?fn=detailBiblioForm&amp;sid=9877436D16FD22AF795CADC550</v>
      </c>
    </row>
    <row r="1035" spans="3:5" ht="45" x14ac:dyDescent="0.25">
      <c r="C1035" s="15">
        <v>519747</v>
      </c>
      <c r="D1035" s="4" t="s">
        <v>1041</v>
      </c>
      <c r="E1035" s="4" t="str">
        <f>HYPERLINK("https://app.crepc.sk/?fn=detailBiblioForm&amp;sid=3CF9681F115FD6E29C67D3733A")</f>
        <v>https://app.crepc.sk/?fn=detailBiblioForm&amp;sid=3CF9681F115FD6E29C67D3733A</v>
      </c>
    </row>
    <row r="1036" spans="3:5" ht="60" x14ac:dyDescent="0.25">
      <c r="C1036" s="15">
        <v>523057</v>
      </c>
      <c r="D1036" s="4" t="s">
        <v>1042</v>
      </c>
      <c r="E1036" s="4" t="str">
        <f>HYPERLINK("https://app.crepc.sk/?fn=detailBiblioForm&amp;sid=3AEED5F70FAF2E07B8949D6A2D")</f>
        <v>https://app.crepc.sk/?fn=detailBiblioForm&amp;sid=3AEED5F70FAF2E07B8949D6A2D</v>
      </c>
    </row>
    <row r="1037" spans="3:5" ht="60" x14ac:dyDescent="0.25">
      <c r="C1037" s="15">
        <v>476501</v>
      </c>
      <c r="D1037" s="4" t="s">
        <v>1043</v>
      </c>
      <c r="E1037" s="4" t="str">
        <f>HYPERLINK("https://app.crepc.sk/?fn=detailBiblioForm&amp;sid=2CFDAEBC85534155A1C269CE1E")</f>
        <v>https://app.crepc.sk/?fn=detailBiblioForm&amp;sid=2CFDAEBC85534155A1C269CE1E</v>
      </c>
    </row>
    <row r="1038" spans="3:5" ht="60" x14ac:dyDescent="0.25">
      <c r="C1038" s="15">
        <v>510756</v>
      </c>
      <c r="D1038" s="4" t="s">
        <v>1044</v>
      </c>
      <c r="E1038" s="4" t="str">
        <f>HYPERLINK("https://app.crepc.sk/?fn=detailBiblioForm&amp;sid=34A53E83A13925354250E6936B")</f>
        <v>https://app.crepc.sk/?fn=detailBiblioForm&amp;sid=34A53E83A13925354250E6936B</v>
      </c>
    </row>
    <row r="1039" spans="3:5" ht="75" x14ac:dyDescent="0.25">
      <c r="C1039" s="15">
        <v>446115</v>
      </c>
      <c r="D1039" s="4" t="s">
        <v>1045</v>
      </c>
      <c r="E1039" s="4" t="str">
        <f>HYPERLINK("https://app.crepc.sk/?fn=detailBiblioForm&amp;sid=78EA7041B85B7B09CEA01A8FE3")</f>
        <v>https://app.crepc.sk/?fn=detailBiblioForm&amp;sid=78EA7041B85B7B09CEA01A8FE3</v>
      </c>
    </row>
    <row r="1040" spans="3:5" ht="45" x14ac:dyDescent="0.25">
      <c r="C1040" s="15">
        <v>495687</v>
      </c>
      <c r="D1040" s="4" t="s">
        <v>1046</v>
      </c>
      <c r="E1040" s="4" t="str">
        <f>HYPERLINK("https://app.crepc.sk/?fn=detailBiblioForm&amp;sid=AB574C4B6B0EDE306CD70166A6")</f>
        <v>https://app.crepc.sk/?fn=detailBiblioForm&amp;sid=AB574C4B6B0EDE306CD70166A6</v>
      </c>
    </row>
    <row r="1041" spans="3:5" ht="75" x14ac:dyDescent="0.25">
      <c r="C1041" s="15">
        <v>488080</v>
      </c>
      <c r="D1041" s="4" t="s">
        <v>1047</v>
      </c>
      <c r="E1041" s="4" t="str">
        <f>HYPERLINK("https://app.crepc.sk/?fn=detailBiblioForm&amp;sid=2685410F70B2C8E1EC4FD804D9")</f>
        <v>https://app.crepc.sk/?fn=detailBiblioForm&amp;sid=2685410F70B2C8E1EC4FD804D9</v>
      </c>
    </row>
    <row r="1042" spans="3:5" ht="45" x14ac:dyDescent="0.25">
      <c r="C1042" s="15">
        <v>472186</v>
      </c>
      <c r="D1042" s="4" t="s">
        <v>1048</v>
      </c>
      <c r="E1042" s="4" t="str">
        <f>HYPERLINK("https://app.crepc.sk/?fn=detailBiblioForm&amp;sid=C302BC315079A03D04E216453B")</f>
        <v>https://app.crepc.sk/?fn=detailBiblioForm&amp;sid=C302BC315079A03D04E216453B</v>
      </c>
    </row>
    <row r="1043" spans="3:5" ht="60" x14ac:dyDescent="0.25">
      <c r="C1043" s="15">
        <v>493078</v>
      </c>
      <c r="D1043" s="4" t="s">
        <v>1049</v>
      </c>
      <c r="E1043" s="4" t="str">
        <f>HYPERLINK("https://app.crepc.sk/?fn=detailBiblioForm&amp;sid=A08D0C06F20009E6D3EF93DA9B")</f>
        <v>https://app.crepc.sk/?fn=detailBiblioForm&amp;sid=A08D0C06F20009E6D3EF93DA9B</v>
      </c>
    </row>
    <row r="1044" spans="3:5" ht="75" x14ac:dyDescent="0.25">
      <c r="C1044" s="15">
        <v>528638</v>
      </c>
      <c r="D1044" s="4" t="s">
        <v>1050</v>
      </c>
      <c r="E1044" s="4" t="str">
        <f>HYPERLINK("https://app.crepc.sk/?fn=detailBiblioForm&amp;sid=2D09F01D77AA8787DE7B5E6FC3")</f>
        <v>https://app.crepc.sk/?fn=detailBiblioForm&amp;sid=2D09F01D77AA8787DE7B5E6FC3</v>
      </c>
    </row>
    <row r="1045" spans="3:5" ht="60" x14ac:dyDescent="0.25">
      <c r="C1045" s="15">
        <v>469114</v>
      </c>
      <c r="D1045" s="4" t="s">
        <v>1051</v>
      </c>
      <c r="E1045" s="4" t="str">
        <f>HYPERLINK("https://app.crepc.sk/?fn=detailBiblioForm&amp;sid=896E3BCE21AB991CC32FDFACE3")</f>
        <v>https://app.crepc.sk/?fn=detailBiblioForm&amp;sid=896E3BCE21AB991CC32FDFACE3</v>
      </c>
    </row>
    <row r="1046" spans="3:5" ht="60" x14ac:dyDescent="0.25">
      <c r="C1046" s="15">
        <v>472818</v>
      </c>
      <c r="D1046" s="4" t="s">
        <v>1052</v>
      </c>
      <c r="E1046" s="4" t="str">
        <f>HYPERLINK("https://app.crepc.sk/?fn=detailBiblioForm&amp;sid=D74D61C60D28D2C74FA64B48C0")</f>
        <v>https://app.crepc.sk/?fn=detailBiblioForm&amp;sid=D74D61C60D28D2C74FA64B48C0</v>
      </c>
    </row>
    <row r="1047" spans="3:5" ht="90" x14ac:dyDescent="0.25">
      <c r="C1047" s="15">
        <v>459837</v>
      </c>
      <c r="D1047" s="4" t="s">
        <v>1053</v>
      </c>
      <c r="E1047" s="4" t="str">
        <f>HYPERLINK("https://app.crepc.sk/?fn=detailBiblioForm&amp;sid=3E84F9FC946DB3DA42FBA9AAFC")</f>
        <v>https://app.crepc.sk/?fn=detailBiblioForm&amp;sid=3E84F9FC946DB3DA42FBA9AAFC</v>
      </c>
    </row>
    <row r="1048" spans="3:5" ht="60" x14ac:dyDescent="0.25">
      <c r="C1048" s="15">
        <v>519753</v>
      </c>
      <c r="D1048" s="4" t="s">
        <v>1054</v>
      </c>
      <c r="E1048" s="4" t="str">
        <f>HYPERLINK("https://app.crepc.sk/?fn=detailBiblioForm&amp;sid=3CF9681F115FD6E29D63D3733A")</f>
        <v>https://app.crepc.sk/?fn=detailBiblioForm&amp;sid=3CF9681F115FD6E29D63D3733A</v>
      </c>
    </row>
    <row r="1049" spans="3:5" ht="60" x14ac:dyDescent="0.25">
      <c r="C1049" s="15">
        <v>500334</v>
      </c>
      <c r="D1049" s="4" t="s">
        <v>1055</v>
      </c>
      <c r="E1049" s="4" t="str">
        <f>HYPERLINK("https://app.crepc.sk/?fn=detailBiblioForm&amp;sid=8EDC5DD7F068803C01D01542B2")</f>
        <v>https://app.crepc.sk/?fn=detailBiblioForm&amp;sid=8EDC5DD7F068803C01D01542B2</v>
      </c>
    </row>
    <row r="1050" spans="3:5" ht="75" x14ac:dyDescent="0.25">
      <c r="C1050" s="15">
        <v>463241</v>
      </c>
      <c r="D1050" s="4" t="s">
        <v>1056</v>
      </c>
      <c r="E1050" s="4" t="str">
        <f>HYPERLINK("https://app.crepc.sk/?fn=detailBiblioForm&amp;sid=E236139526BBCA0A227A918529")</f>
        <v>https://app.crepc.sk/?fn=detailBiblioForm&amp;sid=E236139526BBCA0A227A918529</v>
      </c>
    </row>
    <row r="1051" spans="3:5" ht="75" x14ac:dyDescent="0.25">
      <c r="C1051" s="15">
        <v>458603</v>
      </c>
      <c r="D1051" s="4" t="s">
        <v>1057</v>
      </c>
      <c r="E1051" s="4" t="str">
        <f>HYPERLINK("https://app.crepc.sk/?fn=detailBiblioForm&amp;sid=8CBF49421BBF0079F8C4AB89E5")</f>
        <v>https://app.crepc.sk/?fn=detailBiblioForm&amp;sid=8CBF49421BBF0079F8C4AB89E5</v>
      </c>
    </row>
    <row r="1052" spans="3:5" ht="105" x14ac:dyDescent="0.25">
      <c r="C1052" s="15">
        <v>459725</v>
      </c>
      <c r="D1052" s="4" t="s">
        <v>1058</v>
      </c>
      <c r="E1052" s="4" t="str">
        <f>HYPERLINK("https://app.crepc.sk/?fn=detailBiblioForm&amp;sid=999A66B5A0C89A77BAF65494CD")</f>
        <v>https://app.crepc.sk/?fn=detailBiblioForm&amp;sid=999A66B5A0C89A77BAF65494CD</v>
      </c>
    </row>
    <row r="1053" spans="3:5" ht="60" x14ac:dyDescent="0.25">
      <c r="C1053" s="15">
        <v>529249</v>
      </c>
      <c r="D1053" s="4" t="s">
        <v>1059</v>
      </c>
      <c r="E1053" s="4" t="str">
        <f>HYPERLINK("https://app.crepc.sk/?fn=detailBiblioForm&amp;sid=C7EE819E36417AEFCDC4C0E72A")</f>
        <v>https://app.crepc.sk/?fn=detailBiblioForm&amp;sid=C7EE819E36417AEFCDC4C0E72A</v>
      </c>
    </row>
    <row r="1054" spans="3:5" ht="45" x14ac:dyDescent="0.25">
      <c r="C1054" s="15">
        <v>471803</v>
      </c>
      <c r="D1054" s="4" t="s">
        <v>1060</v>
      </c>
      <c r="E1054" s="4" t="str">
        <f>HYPERLINK("https://app.crepc.sk/?fn=detailBiblioForm&amp;sid=539C15BD837FD15A0305B2AB85")</f>
        <v>https://app.crepc.sk/?fn=detailBiblioForm&amp;sid=539C15BD837FD15A0305B2AB85</v>
      </c>
    </row>
    <row r="1055" spans="3:5" ht="75" x14ac:dyDescent="0.25">
      <c r="C1055" s="15">
        <v>458173</v>
      </c>
      <c r="D1055" s="4" t="s">
        <v>1061</v>
      </c>
      <c r="E1055" s="4" t="str">
        <f>HYPERLINK("https://app.crepc.sk/?fn=detailBiblioForm&amp;sid=071A873BB8FAF95F5CD49A64F9")</f>
        <v>https://app.crepc.sk/?fn=detailBiblioForm&amp;sid=071A873BB8FAF95F5CD49A64F9</v>
      </c>
    </row>
    <row r="1056" spans="3:5" ht="90" x14ac:dyDescent="0.25">
      <c r="C1056" s="15">
        <v>458514</v>
      </c>
      <c r="D1056" s="4" t="s">
        <v>1062</v>
      </c>
      <c r="E1056" s="4" t="str">
        <f>HYPERLINK("https://app.crepc.sk/?fn=detailBiblioForm&amp;sid=E019584CF8560B6EA8E1530725")</f>
        <v>https://app.crepc.sk/?fn=detailBiblioForm&amp;sid=E019584CF8560B6EA8E1530725</v>
      </c>
    </row>
    <row r="1057" spans="3:5" ht="60" x14ac:dyDescent="0.25">
      <c r="C1057" s="15">
        <v>468521</v>
      </c>
      <c r="D1057" s="4" t="s">
        <v>1063</v>
      </c>
      <c r="E1057" s="4" t="str">
        <f>HYPERLINK("https://app.crepc.sk/?fn=detailBiblioForm&amp;sid=234FD712864E2777B59D842872")</f>
        <v>https://app.crepc.sk/?fn=detailBiblioForm&amp;sid=234FD712864E2777B59D842872</v>
      </c>
    </row>
    <row r="1058" spans="3:5" ht="75" x14ac:dyDescent="0.25">
      <c r="C1058" s="15">
        <v>493006</v>
      </c>
      <c r="D1058" s="4" t="s">
        <v>1064</v>
      </c>
      <c r="E1058" s="4" t="str">
        <f>HYPERLINK("https://app.crepc.sk/?fn=detailBiblioForm&amp;sid=A08D0C06F20009E6D4E193DA9B")</f>
        <v>https://app.crepc.sk/?fn=detailBiblioForm&amp;sid=A08D0C06F20009E6D4E193DA9B</v>
      </c>
    </row>
    <row r="1059" spans="3:5" ht="60" x14ac:dyDescent="0.25">
      <c r="C1059" s="15">
        <v>498345</v>
      </c>
      <c r="D1059" s="4" t="s">
        <v>1065</v>
      </c>
      <c r="E1059" s="4" t="str">
        <f>HYPERLINK("https://app.crepc.sk/?fn=detailBiblioForm&amp;sid=C8D33BDC6800A51D7317D59699")</f>
        <v>https://app.crepc.sk/?fn=detailBiblioForm&amp;sid=C8D33BDC6800A51D7317D59699</v>
      </c>
    </row>
    <row r="1060" spans="3:5" ht="60" x14ac:dyDescent="0.25">
      <c r="C1060" s="15">
        <v>527959</v>
      </c>
      <c r="D1060" s="4" t="s">
        <v>1066</v>
      </c>
      <c r="E1060" s="4" t="str">
        <f>HYPERLINK("https://app.crepc.sk/?fn=detailBiblioForm&amp;sid=3D2743D5EFB615AC06795E2FA8")</f>
        <v>https://app.crepc.sk/?fn=detailBiblioForm&amp;sid=3D2743D5EFB615AC06795E2FA8</v>
      </c>
    </row>
    <row r="1061" spans="3:5" ht="75" x14ac:dyDescent="0.25">
      <c r="C1061" s="15">
        <v>516149</v>
      </c>
      <c r="D1061" s="4" t="s">
        <v>1067</v>
      </c>
      <c r="E1061" s="4" t="str">
        <f>HYPERLINK("https://app.crepc.sk/?fn=detailBiblioForm&amp;sid=0EBA0D24DC47CEA5C9BBCAE410")</f>
        <v>https://app.crepc.sk/?fn=detailBiblioForm&amp;sid=0EBA0D24DC47CEA5C9BBCAE410</v>
      </c>
    </row>
    <row r="1062" spans="3:5" ht="60" x14ac:dyDescent="0.25">
      <c r="C1062" s="15">
        <v>477123</v>
      </c>
      <c r="D1062" s="4" t="s">
        <v>1068</v>
      </c>
      <c r="E1062" s="4" t="str">
        <f>HYPERLINK("https://app.crepc.sk/?fn=detailBiblioForm&amp;sid=638462AB682158D5B8DC3DD61B")</f>
        <v>https://app.crepc.sk/?fn=detailBiblioForm&amp;sid=638462AB682158D5B8DC3DD61B</v>
      </c>
    </row>
    <row r="1063" spans="3:5" ht="45" x14ac:dyDescent="0.25">
      <c r="C1063" s="15">
        <v>477122</v>
      </c>
      <c r="D1063" s="4" t="s">
        <v>1069</v>
      </c>
      <c r="E1063" s="4" t="str">
        <f>HYPERLINK("https://app.crepc.sk/?fn=detailBiblioForm&amp;sid=638462AB682158D5B8DD3DD61B")</f>
        <v>https://app.crepc.sk/?fn=detailBiblioForm&amp;sid=638462AB682158D5B8DD3DD61B</v>
      </c>
    </row>
    <row r="1064" spans="3:5" ht="45" x14ac:dyDescent="0.25">
      <c r="C1064" s="15">
        <v>495161</v>
      </c>
      <c r="D1064" s="4" t="s">
        <v>1070</v>
      </c>
      <c r="E1064" s="4" t="str">
        <f>HYPERLINK("https://app.crepc.sk/?fn=detailBiblioForm&amp;sid=6A891679F364FB5923D9774791")</f>
        <v>https://app.crepc.sk/?fn=detailBiblioForm&amp;sid=6A891679F364FB5923D9774791</v>
      </c>
    </row>
    <row r="1065" spans="3:5" ht="105" x14ac:dyDescent="0.25">
      <c r="C1065" s="15">
        <v>495686</v>
      </c>
      <c r="D1065" s="4" t="s">
        <v>1071</v>
      </c>
      <c r="E1065" s="4" t="str">
        <f>HYPERLINK("https://app.crepc.sk/?fn=detailBiblioForm&amp;sid=AB574C4B6B0EDE306CD60166A6")</f>
        <v>https://app.crepc.sk/?fn=detailBiblioForm&amp;sid=AB574C4B6B0EDE306CD60166A6</v>
      </c>
    </row>
    <row r="1066" spans="3:5" ht="60" x14ac:dyDescent="0.25">
      <c r="C1066" s="15">
        <v>459042</v>
      </c>
      <c r="D1066" s="4" t="s">
        <v>1072</v>
      </c>
      <c r="E1066" s="4" t="str">
        <f>HYPERLINK("https://app.crepc.sk/?fn=detailBiblioForm&amp;sid=C7DB2D1BF6DF5042AF07C7DC8A")</f>
        <v>https://app.crepc.sk/?fn=detailBiblioForm&amp;sid=C7DB2D1BF6DF5042AF07C7DC8A</v>
      </c>
    </row>
    <row r="1067" spans="3:5" ht="60" x14ac:dyDescent="0.25">
      <c r="C1067" s="15">
        <v>459875</v>
      </c>
      <c r="D1067" s="4" t="s">
        <v>1073</v>
      </c>
      <c r="E1067" s="4" t="str">
        <f>HYPERLINK("https://app.crepc.sk/?fn=detailBiblioForm&amp;sid=3E84F9FC946DB3DA46F9A9AAFC")</f>
        <v>https://app.crepc.sk/?fn=detailBiblioForm&amp;sid=3E84F9FC946DB3DA46F9A9AAFC</v>
      </c>
    </row>
    <row r="1068" spans="3:5" ht="105" x14ac:dyDescent="0.25">
      <c r="C1068" s="15">
        <v>469440</v>
      </c>
      <c r="D1068" s="4" t="s">
        <v>1074</v>
      </c>
      <c r="E1068" s="4" t="str">
        <f>HYPERLINK("https://app.crepc.sk/?fn=detailBiblioForm&amp;sid=60CFF5964A6149A88B2B33F7DF")</f>
        <v>https://app.crepc.sk/?fn=detailBiblioForm&amp;sid=60CFF5964A6149A88B2B33F7DF</v>
      </c>
    </row>
    <row r="1069" spans="3:5" ht="75" x14ac:dyDescent="0.25">
      <c r="C1069" s="15">
        <v>512563</v>
      </c>
      <c r="D1069" s="4" t="s">
        <v>1075</v>
      </c>
      <c r="E1069" s="4" t="str">
        <f>HYPERLINK("https://app.crepc.sk/?fn=detailBiblioForm&amp;sid=A5213ECA03C20E558514CF8C0A")</f>
        <v>https://app.crepc.sk/?fn=detailBiblioForm&amp;sid=A5213ECA03C20E558514CF8C0A</v>
      </c>
    </row>
    <row r="1070" spans="3:5" ht="60" x14ac:dyDescent="0.25">
      <c r="C1070" s="15">
        <v>506314</v>
      </c>
      <c r="D1070" s="4" t="s">
        <v>1076</v>
      </c>
      <c r="E1070" s="4" t="str">
        <f>HYPERLINK("https://app.crepc.sk/?fn=detailBiblioForm&amp;sid=BBEDD8EDEF499DA8106D5D0332")</f>
        <v>https://app.crepc.sk/?fn=detailBiblioForm&amp;sid=BBEDD8EDEF499DA8106D5D0332</v>
      </c>
    </row>
    <row r="1071" spans="3:5" ht="60" x14ac:dyDescent="0.25">
      <c r="C1071" s="15">
        <v>513670</v>
      </c>
      <c r="D1071" s="4" t="s">
        <v>1077</v>
      </c>
      <c r="E1071" s="4" t="str">
        <f>HYPERLINK("https://app.crepc.sk/?fn=detailBiblioForm&amp;sid=14EB7172A94AC8834A94E3C895")</f>
        <v>https://app.crepc.sk/?fn=detailBiblioForm&amp;sid=14EB7172A94AC8834A94E3C895</v>
      </c>
    </row>
    <row r="1072" spans="3:5" ht="105" x14ac:dyDescent="0.25">
      <c r="C1072" s="15">
        <v>470865</v>
      </c>
      <c r="D1072" s="4" t="s">
        <v>1078</v>
      </c>
      <c r="E1072" s="4" t="str">
        <f>HYPERLINK("https://app.crepc.sk/?fn=detailBiblioForm&amp;sid=A7698F732FD607066762AC9A68")</f>
        <v>https://app.crepc.sk/?fn=detailBiblioForm&amp;sid=A7698F732FD607066762AC9A68</v>
      </c>
    </row>
    <row r="1073" spans="3:5" ht="60" x14ac:dyDescent="0.25">
      <c r="C1073" s="15">
        <v>529804</v>
      </c>
      <c r="D1073" s="4" t="s">
        <v>1079</v>
      </c>
      <c r="E1073" s="4" t="str">
        <f>HYPERLINK("https://app.crepc.sk/?fn=detailBiblioForm&amp;sid=E5489D6BC24E57899CA1605CBC")</f>
        <v>https://app.crepc.sk/?fn=detailBiblioForm&amp;sid=E5489D6BC24E57899CA1605CBC</v>
      </c>
    </row>
    <row r="1074" spans="3:5" ht="90" x14ac:dyDescent="0.25">
      <c r="C1074" s="15">
        <v>469580</v>
      </c>
      <c r="D1074" s="4" t="s">
        <v>1080</v>
      </c>
      <c r="E1074" s="4" t="str">
        <f>HYPERLINK("https://app.crepc.sk/?fn=detailBiblioForm&amp;sid=E7D7E0932ADF3E22E42B06DECE")</f>
        <v>https://app.crepc.sk/?fn=detailBiblioForm&amp;sid=E7D7E0932ADF3E22E42B06DECE</v>
      </c>
    </row>
    <row r="1075" spans="3:5" ht="90" x14ac:dyDescent="0.25">
      <c r="C1075" s="15">
        <v>505289</v>
      </c>
      <c r="D1075" s="4" t="s">
        <v>1081</v>
      </c>
      <c r="E1075" s="4" t="str">
        <f>HYPERLINK("https://app.crepc.sk/?fn=detailBiblioForm&amp;sid=B2637568E27516263C1D65062C")</f>
        <v>https://app.crepc.sk/?fn=detailBiblioForm&amp;sid=B2637568E27516263C1D65062C</v>
      </c>
    </row>
    <row r="1076" spans="3:5" ht="45" x14ac:dyDescent="0.25">
      <c r="C1076" s="15">
        <v>506352</v>
      </c>
      <c r="D1076" s="4" t="s">
        <v>1082</v>
      </c>
      <c r="E1076" s="4" t="str">
        <f>HYPERLINK("https://app.crepc.sk/?fn=detailBiblioForm&amp;sid=BBEDD8EDEF499DA8146B5D0332")</f>
        <v>https://app.crepc.sk/?fn=detailBiblioForm&amp;sid=BBEDD8EDEF499DA8146B5D0332</v>
      </c>
    </row>
    <row r="1077" spans="3:5" ht="60" x14ac:dyDescent="0.25">
      <c r="C1077" s="15">
        <v>483050</v>
      </c>
      <c r="D1077" s="4" t="s">
        <v>1083</v>
      </c>
      <c r="E1077" s="4" t="str">
        <f>HYPERLINK("https://app.crepc.sk/?fn=detailBiblioForm&amp;sid=266F5775B190D2B5AE1534F145")</f>
        <v>https://app.crepc.sk/?fn=detailBiblioForm&amp;sid=266F5775B190D2B5AE1534F145</v>
      </c>
    </row>
    <row r="1078" spans="3:5" ht="75" x14ac:dyDescent="0.25">
      <c r="C1078" s="15">
        <v>493106</v>
      </c>
      <c r="D1078" s="4" t="s">
        <v>1084</v>
      </c>
      <c r="E1078" s="4" t="str">
        <f>HYPERLINK("https://app.crepc.sk/?fn=detailBiblioForm&amp;sid=461C2D9728B8750112CE299B18")</f>
        <v>https://app.crepc.sk/?fn=detailBiblioForm&amp;sid=461C2D9728B8750112CE299B18</v>
      </c>
    </row>
    <row r="1079" spans="3:5" ht="60" x14ac:dyDescent="0.25">
      <c r="C1079" s="15">
        <v>490886</v>
      </c>
      <c r="D1079" s="4" t="s">
        <v>1085</v>
      </c>
      <c r="E1079" s="4" t="str">
        <f>HYPERLINK("https://app.crepc.sk/?fn=detailBiblioForm&amp;sid=D57ED77E83F40C85A0CF87105C")</f>
        <v>https://app.crepc.sk/?fn=detailBiblioForm&amp;sid=D57ED77E83F40C85A0CF87105C</v>
      </c>
    </row>
    <row r="1080" spans="3:5" ht="60" x14ac:dyDescent="0.25">
      <c r="C1080" s="15">
        <v>460272</v>
      </c>
      <c r="D1080" s="4" t="s">
        <v>1086</v>
      </c>
      <c r="E1080" s="4" t="str">
        <f>HYPERLINK("https://app.crepc.sk/?fn=detailBiblioForm&amp;sid=246B88030FC05549B1A8FDE86E")</f>
        <v>https://app.crepc.sk/?fn=detailBiblioForm&amp;sid=246B88030FC05549B1A8FDE86E</v>
      </c>
    </row>
    <row r="1081" spans="3:5" ht="60" x14ac:dyDescent="0.25">
      <c r="C1081" s="15">
        <v>491159</v>
      </c>
      <c r="D1081" s="4" t="s">
        <v>1087</v>
      </c>
      <c r="E1081" s="4" t="str">
        <f>HYPERLINK("https://app.crepc.sk/?fn=detailBiblioForm&amp;sid=F4D6D13EA612E144B14421C73B")</f>
        <v>https://app.crepc.sk/?fn=detailBiblioForm&amp;sid=F4D6D13EA612E144B14421C73B</v>
      </c>
    </row>
    <row r="1082" spans="3:5" ht="75" x14ac:dyDescent="0.25">
      <c r="C1082" s="15">
        <v>527969</v>
      </c>
      <c r="D1082" s="4" t="s">
        <v>1088</v>
      </c>
      <c r="E1082" s="4" t="str">
        <f>HYPERLINK("https://app.crepc.sk/?fn=detailBiblioForm&amp;sid=3D2743D5EFB615AC05795E2FA8")</f>
        <v>https://app.crepc.sk/?fn=detailBiblioForm&amp;sid=3D2743D5EFB615AC05795E2FA8</v>
      </c>
    </row>
    <row r="1083" spans="3:5" ht="60" x14ac:dyDescent="0.25">
      <c r="C1083" s="15">
        <v>527948</v>
      </c>
      <c r="D1083" s="4" t="s">
        <v>1089</v>
      </c>
      <c r="E1083" s="4" t="str">
        <f>HYPERLINK("https://app.crepc.sk/?fn=detailBiblioForm&amp;sid=3D2743D5EFB615AC07785E2FA8")</f>
        <v>https://app.crepc.sk/?fn=detailBiblioForm&amp;sid=3D2743D5EFB615AC07785E2FA8</v>
      </c>
    </row>
    <row r="1084" spans="3:5" ht="60" x14ac:dyDescent="0.25">
      <c r="C1084" s="15">
        <v>490878</v>
      </c>
      <c r="D1084" s="4" t="s">
        <v>1090</v>
      </c>
      <c r="E1084" s="4" t="str">
        <f>HYPERLINK("https://app.crepc.sk/?fn=detailBiblioForm&amp;sid=D57ED77E83F40C85AFC187105C")</f>
        <v>https://app.crepc.sk/?fn=detailBiblioForm&amp;sid=D57ED77E83F40C85AFC187105C</v>
      </c>
    </row>
    <row r="1085" spans="3:5" ht="60" x14ac:dyDescent="0.25">
      <c r="C1085" s="15">
        <v>490877</v>
      </c>
      <c r="D1085" s="4" t="s">
        <v>1091</v>
      </c>
      <c r="E1085" s="4" t="str">
        <f>HYPERLINK("https://app.crepc.sk/?fn=detailBiblioForm&amp;sid=D57ED77E83F40C85AFCE87105C")</f>
        <v>https://app.crepc.sk/?fn=detailBiblioForm&amp;sid=D57ED77E83F40C85AFCE87105C</v>
      </c>
    </row>
    <row r="1086" spans="3:5" ht="60" x14ac:dyDescent="0.25">
      <c r="C1086" s="15">
        <v>451850</v>
      </c>
      <c r="D1086" s="4" t="s">
        <v>1092</v>
      </c>
      <c r="E1086" s="4" t="str">
        <f>HYPERLINK("https://app.crepc.sk/?fn=detailBiblioForm&amp;sid=447DFCD5D4F7DE588AFE627DFF")</f>
        <v>https://app.crepc.sk/?fn=detailBiblioForm&amp;sid=447DFCD5D4F7DE588AFE627DFF</v>
      </c>
    </row>
    <row r="1087" spans="3:5" ht="75" x14ac:dyDescent="0.25">
      <c r="C1087" s="15">
        <v>479156</v>
      </c>
      <c r="D1087" s="4" t="s">
        <v>1093</v>
      </c>
      <c r="E1087" s="4" t="str">
        <f>HYPERLINK("https://app.crepc.sk/?fn=detailBiblioForm&amp;sid=C75C6599736D1B49F4027186E8")</f>
        <v>https://app.crepc.sk/?fn=detailBiblioForm&amp;sid=C75C6599736D1B49F4027186E8</v>
      </c>
    </row>
    <row r="1088" spans="3:5" ht="60" x14ac:dyDescent="0.25">
      <c r="C1088" s="15">
        <v>502334</v>
      </c>
      <c r="D1088" s="4" t="s">
        <v>1094</v>
      </c>
      <c r="E1088" s="4" t="str">
        <f>HYPERLINK("https://app.crepc.sk/?fn=detailBiblioForm&amp;sid=1B4483E8BD0D6F6F65E411565B")</f>
        <v>https://app.crepc.sk/?fn=detailBiblioForm&amp;sid=1B4483E8BD0D6F6F65E411565B</v>
      </c>
    </row>
    <row r="1089" spans="3:5" ht="60" x14ac:dyDescent="0.25">
      <c r="C1089" s="15">
        <v>514099</v>
      </c>
      <c r="D1089" s="4" t="s">
        <v>1095</v>
      </c>
      <c r="E1089" s="4" t="str">
        <f>HYPERLINK("https://app.crepc.sk/?fn=detailBiblioForm&amp;sid=5F197B5B0CD8DA9E8763457241")</f>
        <v>https://app.crepc.sk/?fn=detailBiblioForm&amp;sid=5F197B5B0CD8DA9E8763457241</v>
      </c>
    </row>
    <row r="1090" spans="3:5" ht="75" x14ac:dyDescent="0.25">
      <c r="C1090" s="15">
        <v>470058</v>
      </c>
      <c r="D1090" s="4" t="s">
        <v>1096</v>
      </c>
      <c r="E1090" s="4" t="str">
        <f>HYPERLINK("https://app.crepc.sk/?fn=detailBiblioForm&amp;sid=480DD984465732B9F592FBED3F")</f>
        <v>https://app.crepc.sk/?fn=detailBiblioForm&amp;sid=480DD984465732B9F592FBED3F</v>
      </c>
    </row>
    <row r="1091" spans="3:5" ht="75" x14ac:dyDescent="0.25">
      <c r="C1091" s="15">
        <v>460159</v>
      </c>
      <c r="D1091" s="4" t="s">
        <v>1097</v>
      </c>
      <c r="E1091" s="4" t="str">
        <f>HYPERLINK("https://app.crepc.sk/?fn=detailBiblioForm&amp;sid=19FBC5BF53E8FD0BBFB9ADF48F")</f>
        <v>https://app.crepc.sk/?fn=detailBiblioForm&amp;sid=19FBC5BF53E8FD0BBFB9ADF48F</v>
      </c>
    </row>
    <row r="1092" spans="3:5" ht="75" x14ac:dyDescent="0.25">
      <c r="C1092" s="15">
        <v>502822</v>
      </c>
      <c r="D1092" s="4" t="s">
        <v>1098</v>
      </c>
      <c r="E1092" s="4" t="str">
        <f>HYPERLINK("https://app.crepc.sk/?fn=detailBiblioForm&amp;sid=9EC8EE6D0EF59138D6E1C4A124")</f>
        <v>https://app.crepc.sk/?fn=detailBiblioForm&amp;sid=9EC8EE6D0EF59138D6E1C4A124</v>
      </c>
    </row>
    <row r="1093" spans="3:5" ht="75" x14ac:dyDescent="0.25">
      <c r="C1093" s="15">
        <v>460726</v>
      </c>
      <c r="D1093" s="4" t="s">
        <v>1099</v>
      </c>
      <c r="E1093" s="4" t="str">
        <f>HYPERLINK("https://app.crepc.sk/?fn=detailBiblioForm&amp;sid=34B489568FB60E550D220D8BA1")</f>
        <v>https://app.crepc.sk/?fn=detailBiblioForm&amp;sid=34B489568FB60E550D220D8BA1</v>
      </c>
    </row>
    <row r="1094" spans="3:5" ht="90" x14ac:dyDescent="0.25">
      <c r="C1094" s="15">
        <v>522949</v>
      </c>
      <c r="D1094" s="4" t="s">
        <v>1100</v>
      </c>
      <c r="E1094" s="4" t="str">
        <f>HYPERLINK("https://app.crepc.sk/?fn=detailBiblioForm&amp;sid=74960B60A46A20C7E61D366346")</f>
        <v>https://app.crepc.sk/?fn=detailBiblioForm&amp;sid=74960B60A46A20C7E61D366346</v>
      </c>
    </row>
    <row r="1095" spans="3:5" ht="60" x14ac:dyDescent="0.25">
      <c r="C1095" s="15">
        <v>469628</v>
      </c>
      <c r="D1095" s="4" t="s">
        <v>1101</v>
      </c>
      <c r="E1095" s="4" t="str">
        <f>HYPERLINK("https://app.crepc.sk/?fn=detailBiblioForm&amp;sid=5FE160ABAE80CB3A805F6DEA7F")</f>
        <v>https://app.crepc.sk/?fn=detailBiblioForm&amp;sid=5FE160ABAE80CB3A805F6DEA7F</v>
      </c>
    </row>
    <row r="1096" spans="3:5" ht="60" x14ac:dyDescent="0.25">
      <c r="C1096" s="15">
        <v>529861</v>
      </c>
      <c r="D1096" s="4" t="s">
        <v>1102</v>
      </c>
      <c r="E1096" s="4" t="str">
        <f>HYPERLINK("https://app.crepc.sk/?fn=detailBiblioForm&amp;sid=E5489D6BC24E57899AA4605CBC")</f>
        <v>https://app.crepc.sk/?fn=detailBiblioForm&amp;sid=E5489D6BC24E57899AA4605CBC</v>
      </c>
    </row>
    <row r="1097" spans="3:5" ht="75" x14ac:dyDescent="0.25">
      <c r="C1097" s="15">
        <v>462924</v>
      </c>
      <c r="D1097" s="4" t="s">
        <v>1103</v>
      </c>
      <c r="E1097" s="4" t="str">
        <f>HYPERLINK("https://app.crepc.sk/?fn=detailBiblioForm&amp;sid=32F76EF9325E82ACFB5DB1356B")</f>
        <v>https://app.crepc.sk/?fn=detailBiblioForm&amp;sid=32F76EF9325E82ACFB5DB1356B</v>
      </c>
    </row>
    <row r="1098" spans="3:5" ht="75" x14ac:dyDescent="0.25">
      <c r="C1098" s="15">
        <v>458446</v>
      </c>
      <c r="D1098" s="4" t="s">
        <v>1104</v>
      </c>
      <c r="E1098" s="4" t="str">
        <f>HYPERLINK("https://app.crepc.sk/?fn=detailBiblioForm&amp;sid=857B44300334F5300686B1656C")</f>
        <v>https://app.crepc.sk/?fn=detailBiblioForm&amp;sid=857B44300334F5300686B1656C</v>
      </c>
    </row>
    <row r="1099" spans="3:5" ht="45" x14ac:dyDescent="0.25">
      <c r="C1099" s="15">
        <v>515622</v>
      </c>
      <c r="D1099" s="4" t="s">
        <v>1105</v>
      </c>
      <c r="E1099" s="4" t="str">
        <f>HYPERLINK("https://app.crepc.sk/?fn=detailBiblioForm&amp;sid=F402A4B5D253E53285B1074DEA")</f>
        <v>https://app.crepc.sk/?fn=detailBiblioForm&amp;sid=F402A4B5D253E53285B1074DEA</v>
      </c>
    </row>
    <row r="1100" spans="3:5" ht="75" x14ac:dyDescent="0.25">
      <c r="C1100" s="15">
        <v>462736</v>
      </c>
      <c r="D1100" s="4" t="s">
        <v>1106</v>
      </c>
      <c r="E1100" s="4" t="str">
        <f>HYPERLINK("https://app.crepc.sk/?fn=detailBiblioForm&amp;sid=A21312D1EC1E2783F7C91773B8")</f>
        <v>https://app.crepc.sk/?fn=detailBiblioForm&amp;sid=A21312D1EC1E2783F7C91773B8</v>
      </c>
    </row>
    <row r="1101" spans="3:5" ht="75" x14ac:dyDescent="0.25">
      <c r="C1101" s="15">
        <v>502827</v>
      </c>
      <c r="D1101" s="4" t="s">
        <v>1107</v>
      </c>
      <c r="E1101" s="4" t="str">
        <f>HYPERLINK("https://app.crepc.sk/?fn=detailBiblioForm&amp;sid=9EC8EE6D0EF59138D6E4C4A124")</f>
        <v>https://app.crepc.sk/?fn=detailBiblioForm&amp;sid=9EC8EE6D0EF59138D6E4C4A124</v>
      </c>
    </row>
    <row r="1102" spans="3:5" ht="75" x14ac:dyDescent="0.25">
      <c r="C1102" s="15">
        <v>469470</v>
      </c>
      <c r="D1102" s="4" t="s">
        <v>1108</v>
      </c>
      <c r="E1102" s="4" t="str">
        <f>HYPERLINK("https://app.crepc.sk/?fn=detailBiblioForm&amp;sid=60CFF5964A6149A8882B33F7DF")</f>
        <v>https://app.crepc.sk/?fn=detailBiblioForm&amp;sid=60CFF5964A6149A8882B33F7DF</v>
      </c>
    </row>
    <row r="1103" spans="3:5" ht="60" x14ac:dyDescent="0.25">
      <c r="C1103" s="15">
        <v>507905</v>
      </c>
      <c r="D1103" s="4" t="s">
        <v>1109</v>
      </c>
      <c r="E1103" s="4" t="str">
        <f>HYPERLINK("https://app.crepc.sk/?fn=detailBiblioForm&amp;sid=7551FE5B489329C5A6DA0E052F")</f>
        <v>https://app.crepc.sk/?fn=detailBiblioForm&amp;sid=7551FE5B489329C5A6DA0E052F</v>
      </c>
    </row>
    <row r="1104" spans="3:5" ht="60" x14ac:dyDescent="0.25">
      <c r="C1104" s="15">
        <v>489043</v>
      </c>
      <c r="D1104" s="4" t="s">
        <v>1110</v>
      </c>
      <c r="E1104" s="4" t="str">
        <f>HYPERLINK("https://app.crepc.sk/?fn=detailBiblioForm&amp;sid=34E7ED4AF4F84B72077216FA93")</f>
        <v>https://app.crepc.sk/?fn=detailBiblioForm&amp;sid=34E7ED4AF4F84B72077216FA93</v>
      </c>
    </row>
    <row r="1105" spans="3:5" ht="60" x14ac:dyDescent="0.25">
      <c r="C1105" s="15">
        <v>461234</v>
      </c>
      <c r="D1105" s="4" t="s">
        <v>1111</v>
      </c>
      <c r="E1105" s="4" t="str">
        <f>HYPERLINK("https://app.crepc.sk/?fn=detailBiblioForm&amp;sid=8537F87F3D8705D8C6B852C7AA")</f>
        <v>https://app.crepc.sk/?fn=detailBiblioForm&amp;sid=8537F87F3D8705D8C6B852C7AA</v>
      </c>
    </row>
    <row r="1106" spans="3:5" ht="90" x14ac:dyDescent="0.25">
      <c r="C1106" s="15">
        <v>458627</v>
      </c>
      <c r="D1106" s="4" t="s">
        <v>1112</v>
      </c>
      <c r="E1106" s="4" t="str">
        <f>HYPERLINK("https://app.crepc.sk/?fn=detailBiblioForm&amp;sid=8CBF49421BBF0079FAC0AB89E5")</f>
        <v>https://app.crepc.sk/?fn=detailBiblioForm&amp;sid=8CBF49421BBF0079FAC0AB89E5</v>
      </c>
    </row>
    <row r="1107" spans="3:5" ht="45" x14ac:dyDescent="0.25">
      <c r="C1107" s="15">
        <v>473021</v>
      </c>
      <c r="D1107" s="4" t="s">
        <v>1113</v>
      </c>
      <c r="E1107" s="4" t="str">
        <f>HYPERLINK("https://app.crepc.sk/?fn=detailBiblioForm&amp;sid=52CABADEC9521F98A9D7A4DCEB")</f>
        <v>https://app.crepc.sk/?fn=detailBiblioForm&amp;sid=52CABADEC9521F98A9D7A4DCEB</v>
      </c>
    </row>
    <row r="1108" spans="3:5" ht="60" x14ac:dyDescent="0.25">
      <c r="C1108" s="15">
        <v>461333</v>
      </c>
      <c r="D1108" s="4" t="s">
        <v>1114</v>
      </c>
      <c r="E1108" s="4" t="str">
        <f>HYPERLINK("https://app.crepc.sk/?fn=detailBiblioForm&amp;sid=5D6BB94765B7C57DD04384C2F9")</f>
        <v>https://app.crepc.sk/?fn=detailBiblioForm&amp;sid=5D6BB94765B7C57DD04384C2F9</v>
      </c>
    </row>
    <row r="1109" spans="3:5" ht="45" x14ac:dyDescent="0.25">
      <c r="C1109" s="15">
        <v>479761</v>
      </c>
      <c r="D1109" s="4" t="s">
        <v>1115</v>
      </c>
      <c r="E1109" s="4" t="str">
        <f>HYPERLINK("https://app.crepc.sk/?fn=detailBiblioForm&amp;sid=A7B55D0923B33869FC5C77451E")</f>
        <v>https://app.crepc.sk/?fn=detailBiblioForm&amp;sid=A7B55D0923B33869FC5C77451E</v>
      </c>
    </row>
    <row r="1110" spans="3:5" ht="75" x14ac:dyDescent="0.25">
      <c r="C1110" s="15">
        <v>500899</v>
      </c>
      <c r="D1110" s="4" t="s">
        <v>1116</v>
      </c>
      <c r="E1110" s="4" t="str">
        <f>HYPERLINK("https://app.crepc.sk/?fn=detailBiblioForm&amp;sid=53A2D645BFF5B868424398901D")</f>
        <v>https://app.crepc.sk/?fn=detailBiblioForm&amp;sid=53A2D645BFF5B868424398901D</v>
      </c>
    </row>
    <row r="1111" spans="3:5" ht="105" x14ac:dyDescent="0.25">
      <c r="C1111" s="15">
        <v>473312</v>
      </c>
      <c r="D1111" s="4" t="s">
        <v>1117</v>
      </c>
      <c r="E1111" s="4" t="str">
        <f>HYPERLINK("https://app.crepc.sk/?fn=detailBiblioForm&amp;sid=F67F46930D1CE8AD067DDA0B32")</f>
        <v>https://app.crepc.sk/?fn=detailBiblioForm&amp;sid=F67F46930D1CE8AD067DDA0B32</v>
      </c>
    </row>
    <row r="1112" spans="3:5" ht="45" x14ac:dyDescent="0.25">
      <c r="C1112" s="15">
        <v>473189</v>
      </c>
      <c r="D1112" s="4" t="s">
        <v>1118</v>
      </c>
      <c r="E1112" s="4" t="str">
        <f>HYPERLINK("https://app.crepc.sk/?fn=detailBiblioForm&amp;sid=FEF7A5722FA4E7A311EF4C9C50")</f>
        <v>https://app.crepc.sk/?fn=detailBiblioForm&amp;sid=FEF7A5722FA4E7A311EF4C9C50</v>
      </c>
    </row>
    <row r="1113" spans="3:5" ht="75" x14ac:dyDescent="0.25">
      <c r="C1113" s="15">
        <v>469490</v>
      </c>
      <c r="D1113" s="4" t="s">
        <v>1119</v>
      </c>
      <c r="E1113" s="4" t="str">
        <f>HYPERLINK("https://app.crepc.sk/?fn=detailBiblioForm&amp;sid=60CFF5964A6149A8862B33F7DF")</f>
        <v>https://app.crepc.sk/?fn=detailBiblioForm&amp;sid=60CFF5964A6149A8862B33F7DF</v>
      </c>
    </row>
    <row r="1114" spans="3:5" ht="60" x14ac:dyDescent="0.25">
      <c r="C1114" s="15">
        <v>519106</v>
      </c>
      <c r="D1114" s="4" t="s">
        <v>1120</v>
      </c>
      <c r="E1114" s="4" t="str">
        <f>HYPERLINK("https://app.crepc.sk/?fn=detailBiblioForm&amp;sid=FD0B9331592A5B3110818D2A1B")</f>
        <v>https://app.crepc.sk/?fn=detailBiblioForm&amp;sid=FD0B9331592A5B3110818D2A1B</v>
      </c>
    </row>
    <row r="1115" spans="3:5" ht="75" x14ac:dyDescent="0.25">
      <c r="C1115" s="15">
        <v>493877</v>
      </c>
      <c r="D1115" s="4" t="s">
        <v>1121</v>
      </c>
      <c r="E1115" s="4" t="str">
        <f>HYPERLINK("https://app.crepc.sk/?fn=detailBiblioForm&amp;sid=D4BFEB37CCCE8910B5FE1F0C52")</f>
        <v>https://app.crepc.sk/?fn=detailBiblioForm&amp;sid=D4BFEB37CCCE8910B5FE1F0C52</v>
      </c>
    </row>
    <row r="1116" spans="3:5" ht="75" x14ac:dyDescent="0.25">
      <c r="C1116" s="15">
        <v>458503</v>
      </c>
      <c r="D1116" s="4" t="s">
        <v>1122</v>
      </c>
      <c r="E1116" s="4" t="str">
        <f>HYPERLINK("https://app.crepc.sk/?fn=detailBiblioForm&amp;sid=E019584CF8560B6EA9E6530725")</f>
        <v>https://app.crepc.sk/?fn=detailBiblioForm&amp;sid=E019584CF8560B6EA9E6530725</v>
      </c>
    </row>
    <row r="1117" spans="3:5" ht="75" x14ac:dyDescent="0.25">
      <c r="C1117" s="15">
        <v>457232</v>
      </c>
      <c r="D1117" s="4" t="s">
        <v>1123</v>
      </c>
      <c r="E1117" s="4" t="str">
        <f>HYPERLINK("https://app.crepc.sk/?fn=detailBiblioForm&amp;sid=A3FD0E4E43B8895663C6AEF09F")</f>
        <v>https://app.crepc.sk/?fn=detailBiblioForm&amp;sid=A3FD0E4E43B8895663C6AEF09F</v>
      </c>
    </row>
    <row r="1118" spans="3:5" ht="60" x14ac:dyDescent="0.25">
      <c r="C1118" s="15">
        <v>492625</v>
      </c>
      <c r="D1118" s="4" t="s">
        <v>1124</v>
      </c>
      <c r="E1118" s="4" t="str">
        <f>HYPERLINK("https://app.crepc.sk/?fn=detailBiblioForm&amp;sid=518258C199CB2CC693A216CFCA")</f>
        <v>https://app.crepc.sk/?fn=detailBiblioForm&amp;sid=518258C199CB2CC693A216CFCA</v>
      </c>
    </row>
    <row r="1119" spans="3:5" ht="75" x14ac:dyDescent="0.25">
      <c r="C1119" s="15">
        <v>475571</v>
      </c>
      <c r="D1119" s="4" t="s">
        <v>1125</v>
      </c>
      <c r="E1119" s="4" t="str">
        <f>HYPERLINK("https://app.crepc.sk/?fn=detailBiblioForm&amp;sid=54129E2B34CA085C1AC55E1BC6")</f>
        <v>https://app.crepc.sk/?fn=detailBiblioForm&amp;sid=54129E2B34CA085C1AC55E1BC6</v>
      </c>
    </row>
    <row r="1120" spans="3:5" ht="45" x14ac:dyDescent="0.25">
      <c r="C1120" s="15">
        <v>468021</v>
      </c>
      <c r="D1120" s="4" t="s">
        <v>1126</v>
      </c>
      <c r="E1120" s="4" t="str">
        <f>HYPERLINK("https://app.crepc.sk/?fn=detailBiblioForm&amp;sid=DEE9E4D16F292F33A47184D90E")</f>
        <v>https://app.crepc.sk/?fn=detailBiblioForm&amp;sid=DEE9E4D16F292F33A47184D90E</v>
      </c>
    </row>
    <row r="1121" spans="3:5" ht="75" x14ac:dyDescent="0.25">
      <c r="C1121" s="15">
        <v>485718</v>
      </c>
      <c r="D1121" s="4" t="s">
        <v>1127</v>
      </c>
      <c r="E1121" s="4" t="str">
        <f>HYPERLINK("https://app.crepc.sk/?fn=detailBiblioForm&amp;sid=FB75511305117E61068F14AC57")</f>
        <v>https://app.crepc.sk/?fn=detailBiblioForm&amp;sid=FB75511305117E61068F14AC57</v>
      </c>
    </row>
    <row r="1122" spans="3:5" ht="60" x14ac:dyDescent="0.25">
      <c r="C1122" s="15">
        <v>469372</v>
      </c>
      <c r="D1122" s="4" t="s">
        <v>1128</v>
      </c>
      <c r="E1122" s="4" t="str">
        <f>HYPERLINK("https://app.crepc.sk/?fn=detailBiblioForm&amp;sid=D2DBA9C49076E1F211E6CA3EB6")</f>
        <v>https://app.crepc.sk/?fn=detailBiblioForm&amp;sid=D2DBA9C49076E1F211E6CA3EB6</v>
      </c>
    </row>
    <row r="1123" spans="3:5" ht="75" x14ac:dyDescent="0.25">
      <c r="C1123" s="15">
        <v>484597</v>
      </c>
      <c r="D1123" s="4" t="s">
        <v>1129</v>
      </c>
      <c r="E1123" s="4" t="str">
        <f>HYPERLINK("https://app.crepc.sk/?fn=detailBiblioForm&amp;sid=7A80AB3FD58BA47E8C7A4EE605")</f>
        <v>https://app.crepc.sk/?fn=detailBiblioForm&amp;sid=7A80AB3FD58BA47E8C7A4EE605</v>
      </c>
    </row>
    <row r="1124" spans="3:5" ht="90" x14ac:dyDescent="0.25">
      <c r="C1124" s="15">
        <v>521265</v>
      </c>
      <c r="D1124" s="4" t="s">
        <v>1130</v>
      </c>
      <c r="E1124" s="4" t="str">
        <f>HYPERLINK("https://app.crepc.sk/?fn=detailBiblioForm&amp;sid=449F06E9DA05D4D072F2601FD7")</f>
        <v>https://app.crepc.sk/?fn=detailBiblioForm&amp;sid=449F06E9DA05D4D072F2601FD7</v>
      </c>
    </row>
    <row r="1125" spans="3:5" ht="120" x14ac:dyDescent="0.25">
      <c r="C1125" s="15">
        <v>486501</v>
      </c>
      <c r="D1125" s="4" t="s">
        <v>1131</v>
      </c>
      <c r="E1125" s="4" t="str">
        <f>HYPERLINK("https://app.crepc.sk/?fn=detailBiblioForm&amp;sid=5A779C542B92DA12F403075FD2")</f>
        <v>https://app.crepc.sk/?fn=detailBiblioForm&amp;sid=5A779C542B92DA12F403075FD2</v>
      </c>
    </row>
    <row r="1126" spans="3:5" ht="45" x14ac:dyDescent="0.25">
      <c r="C1126" s="15">
        <v>507033</v>
      </c>
      <c r="D1126" s="4" t="s">
        <v>1132</v>
      </c>
      <c r="E1126" s="4" t="str">
        <f>HYPERLINK("https://app.crepc.sk/?fn=detailBiblioForm&amp;sid=D39E4C5E4C6DF59546F7638AA7")</f>
        <v>https://app.crepc.sk/?fn=detailBiblioForm&amp;sid=D39E4C5E4C6DF59546F7638AA7</v>
      </c>
    </row>
    <row r="1127" spans="3:5" ht="45" x14ac:dyDescent="0.25">
      <c r="C1127" s="15">
        <v>515515</v>
      </c>
      <c r="D1127" s="4" t="s">
        <v>1133</v>
      </c>
      <c r="E1127" s="4" t="str">
        <f>HYPERLINK("https://app.crepc.sk/?fn=detailBiblioForm&amp;sid=C39247C36C730A4C1B2E3D2B9E")</f>
        <v>https://app.crepc.sk/?fn=detailBiblioForm&amp;sid=C39247C36C730A4C1B2E3D2B9E</v>
      </c>
    </row>
    <row r="1128" spans="3:5" ht="60" x14ac:dyDescent="0.25">
      <c r="C1128" s="15">
        <v>440321</v>
      </c>
      <c r="D1128" s="4" t="s">
        <v>1134</v>
      </c>
      <c r="E1128" s="4" t="str">
        <f>HYPERLINK("https://app.crepc.sk/?fn=detailBiblioForm&amp;sid=AC303CDBB1BEAE3ACD6CA7321B")</f>
        <v>https://app.crepc.sk/?fn=detailBiblioForm&amp;sid=AC303CDBB1BEAE3ACD6CA7321B</v>
      </c>
    </row>
    <row r="1129" spans="3:5" ht="75" x14ac:dyDescent="0.25">
      <c r="C1129" s="15">
        <v>464565</v>
      </c>
      <c r="D1129" s="4" t="s">
        <v>1135</v>
      </c>
      <c r="E1129" s="4" t="str">
        <f>HYPERLINK("https://app.crepc.sk/?fn=detailBiblioForm&amp;sid=1850BCF6C62ECED33C81F389F2")</f>
        <v>https://app.crepc.sk/?fn=detailBiblioForm&amp;sid=1850BCF6C62ECED33C81F389F2</v>
      </c>
    </row>
    <row r="1130" spans="3:5" ht="60" x14ac:dyDescent="0.25">
      <c r="C1130" s="15">
        <v>498674</v>
      </c>
      <c r="D1130" s="4" t="s">
        <v>1136</v>
      </c>
      <c r="E1130" s="4" t="str">
        <f>HYPERLINK("https://app.crepc.sk/?fn=detailBiblioForm&amp;sid=6CBD07FFF822E5E632701C6378")</f>
        <v>https://app.crepc.sk/?fn=detailBiblioForm&amp;sid=6CBD07FFF822E5E632701C6378</v>
      </c>
    </row>
    <row r="1131" spans="3:5" ht="60" x14ac:dyDescent="0.25">
      <c r="C1131" s="15">
        <v>461963</v>
      </c>
      <c r="D1131" s="4" t="s">
        <v>1137</v>
      </c>
      <c r="E1131" s="4" t="str">
        <f>HYPERLINK("https://app.crepc.sk/?fn=detailBiblioForm&amp;sid=D866EC94339E8540C7C8D311C6")</f>
        <v>https://app.crepc.sk/?fn=detailBiblioForm&amp;sid=D866EC94339E8540C7C8D311C6</v>
      </c>
    </row>
    <row r="1132" spans="3:5" ht="60" x14ac:dyDescent="0.25">
      <c r="C1132" s="15">
        <v>493104</v>
      </c>
      <c r="D1132" s="4" t="s">
        <v>1138</v>
      </c>
      <c r="E1132" s="4" t="str">
        <f>HYPERLINK("https://app.crepc.sk/?fn=detailBiblioForm&amp;sid=461C2D9728B8750112CC299B18")</f>
        <v>https://app.crepc.sk/?fn=detailBiblioForm&amp;sid=461C2D9728B8750112CC299B18</v>
      </c>
    </row>
    <row r="1133" spans="3:5" ht="45" x14ac:dyDescent="0.25">
      <c r="C1133" s="15">
        <v>494127</v>
      </c>
      <c r="D1133" s="4" t="s">
        <v>1139</v>
      </c>
      <c r="E1133" s="4" t="str">
        <f>HYPERLINK("https://app.crepc.sk/?fn=detailBiblioForm&amp;sid=60FA8604E60AFFFC178B3243C8")</f>
        <v>https://app.crepc.sk/?fn=detailBiblioForm&amp;sid=60FA8604E60AFFFC178B3243C8</v>
      </c>
    </row>
    <row r="1134" spans="3:5" ht="60" x14ac:dyDescent="0.25">
      <c r="C1134" s="15">
        <v>502330</v>
      </c>
      <c r="D1134" s="4" t="s">
        <v>1140</v>
      </c>
      <c r="E1134" s="4" t="str">
        <f>HYPERLINK("https://app.crepc.sk/?fn=detailBiblioForm&amp;sid=1B4483E8BD0D6F6F65E011565B")</f>
        <v>https://app.crepc.sk/?fn=detailBiblioForm&amp;sid=1B4483E8BD0D6F6F65E011565B</v>
      </c>
    </row>
    <row r="1135" spans="3:5" ht="45" x14ac:dyDescent="0.25">
      <c r="C1135" s="15">
        <v>508670</v>
      </c>
      <c r="D1135" s="4" t="s">
        <v>1141</v>
      </c>
      <c r="E1135" s="4" t="str">
        <f>HYPERLINK("https://app.crepc.sk/?fn=detailBiblioForm&amp;sid=F555E6C16387A9B875FAAA94AE")</f>
        <v>https://app.crepc.sk/?fn=detailBiblioForm&amp;sid=F555E6C16387A9B875FAAA94AE</v>
      </c>
    </row>
    <row r="1136" spans="3:5" ht="45" x14ac:dyDescent="0.25">
      <c r="C1136" s="15">
        <v>466562</v>
      </c>
      <c r="D1136" s="4" t="s">
        <v>1142</v>
      </c>
      <c r="E1136" s="4" t="str">
        <f>HYPERLINK("https://app.crepc.sk/?fn=detailBiblioForm&amp;sid=E4539EC1375082275130216CB3")</f>
        <v>https://app.crepc.sk/?fn=detailBiblioForm&amp;sid=E4539EC1375082275130216CB3</v>
      </c>
    </row>
    <row r="1137" spans="3:5" ht="90" x14ac:dyDescent="0.25">
      <c r="C1137" s="15">
        <v>469540</v>
      </c>
      <c r="D1137" s="4" t="s">
        <v>1143</v>
      </c>
      <c r="E1137" s="4" t="str">
        <f>HYPERLINK("https://app.crepc.sk/?fn=detailBiblioForm&amp;sid=E7D7E0932ADF3E22E82B06DECE")</f>
        <v>https://app.crepc.sk/?fn=detailBiblioForm&amp;sid=E7D7E0932ADF3E22E82B06DECE</v>
      </c>
    </row>
    <row r="1138" spans="3:5" ht="75" x14ac:dyDescent="0.25">
      <c r="C1138" s="15">
        <v>493085</v>
      </c>
      <c r="D1138" s="4" t="s">
        <v>1144</v>
      </c>
      <c r="E1138" s="4" t="str">
        <f>HYPERLINK("https://app.crepc.sk/?fn=detailBiblioForm&amp;sid=A08D0C06F20009E6DCE293DA9B")</f>
        <v>https://app.crepc.sk/?fn=detailBiblioForm&amp;sid=A08D0C06F20009E6DCE293DA9B</v>
      </c>
    </row>
    <row r="1139" spans="3:5" ht="75" x14ac:dyDescent="0.25">
      <c r="C1139" s="15">
        <v>520457</v>
      </c>
      <c r="D1139" s="4" t="s">
        <v>1145</v>
      </c>
      <c r="E1139" s="4" t="str">
        <f>HYPERLINK("https://app.crepc.sk/?fn=detailBiblioForm&amp;sid=A3B65ED8C4EA60F68944C806B2")</f>
        <v>https://app.crepc.sk/?fn=detailBiblioForm&amp;sid=A3B65ED8C4EA60F68944C806B2</v>
      </c>
    </row>
    <row r="1140" spans="3:5" ht="60" x14ac:dyDescent="0.25">
      <c r="C1140" s="15">
        <v>459006</v>
      </c>
      <c r="D1140" s="4" t="s">
        <v>1146</v>
      </c>
      <c r="E1140" s="4" t="str">
        <f>HYPERLINK("https://app.crepc.sk/?fn=detailBiblioForm&amp;sid=C7DB2D1BF6DF5042AB03C7DC8A")</f>
        <v>https://app.crepc.sk/?fn=detailBiblioForm&amp;sid=C7DB2D1BF6DF5042AB03C7DC8A</v>
      </c>
    </row>
    <row r="1141" spans="3:5" ht="60" x14ac:dyDescent="0.25">
      <c r="C1141" s="15">
        <v>502828</v>
      </c>
      <c r="D1141" s="4" t="s">
        <v>1147</v>
      </c>
      <c r="E1141" s="4" t="str">
        <f>HYPERLINK("https://app.crepc.sk/?fn=detailBiblioForm&amp;sid=9EC8EE6D0EF59138D6EBC4A124")</f>
        <v>https://app.crepc.sk/?fn=detailBiblioForm&amp;sid=9EC8EE6D0EF59138D6EBC4A124</v>
      </c>
    </row>
    <row r="1142" spans="3:5" ht="60" x14ac:dyDescent="0.25">
      <c r="C1142" s="15">
        <v>481506</v>
      </c>
      <c r="D1142" s="4" t="s">
        <v>1148</v>
      </c>
      <c r="E1142" s="4" t="str">
        <f>HYPERLINK("https://app.crepc.sk/?fn=detailBiblioForm&amp;sid=2D19B3FD55874D6F71D9603105")</f>
        <v>https://app.crepc.sk/?fn=detailBiblioForm&amp;sid=2D19B3FD55874D6F71D9603105</v>
      </c>
    </row>
    <row r="1143" spans="3:5" ht="75" x14ac:dyDescent="0.25">
      <c r="C1143" s="15">
        <v>463494</v>
      </c>
      <c r="D1143" s="4" t="s">
        <v>1149</v>
      </c>
      <c r="E1143" s="4" t="str">
        <f>HYPERLINK("https://app.crepc.sk/?fn=detailBiblioForm&amp;sid=796E8C6E642B47B1635E0D1BEB")</f>
        <v>https://app.crepc.sk/?fn=detailBiblioForm&amp;sid=796E8C6E642B47B1635E0D1BEB</v>
      </c>
    </row>
    <row r="1144" spans="3:5" ht="60" x14ac:dyDescent="0.25">
      <c r="C1144" s="15">
        <v>468113</v>
      </c>
      <c r="D1144" s="4" t="s">
        <v>1150</v>
      </c>
      <c r="E1144" s="4" t="str">
        <f>HYPERLINK("https://app.crepc.sk/?fn=detailBiblioForm&amp;sid=72B2AEEDAE676B70E2E376BD91")</f>
        <v>https://app.crepc.sk/?fn=detailBiblioForm&amp;sid=72B2AEEDAE676B70E2E376BD91</v>
      </c>
    </row>
    <row r="1145" spans="3:5" ht="105" x14ac:dyDescent="0.25">
      <c r="C1145" s="15">
        <v>481534</v>
      </c>
      <c r="D1145" s="4" t="s">
        <v>1151</v>
      </c>
      <c r="E1145" s="4" t="str">
        <f>HYPERLINK("https://app.crepc.sk/?fn=detailBiblioForm&amp;sid=2D19B3FD55874D6F72DB603105")</f>
        <v>https://app.crepc.sk/?fn=detailBiblioForm&amp;sid=2D19B3FD55874D6F72DB603105</v>
      </c>
    </row>
    <row r="1146" spans="3:5" ht="75" x14ac:dyDescent="0.25">
      <c r="C1146" s="15">
        <v>523410</v>
      </c>
      <c r="D1146" s="4" t="s">
        <v>1152</v>
      </c>
      <c r="E1146" s="4" t="str">
        <f>HYPERLINK("https://app.crepc.sk/?fn=detailBiblioForm&amp;sid=134F7010F97786482E192EA1AF")</f>
        <v>https://app.crepc.sk/?fn=detailBiblioForm&amp;sid=134F7010F97786482E192EA1AF</v>
      </c>
    </row>
    <row r="1147" spans="3:5" ht="75" x14ac:dyDescent="0.25">
      <c r="C1147" s="15">
        <v>480652</v>
      </c>
      <c r="D1147" s="4" t="s">
        <v>1153</v>
      </c>
      <c r="E1147" s="4" t="str">
        <f>HYPERLINK("https://app.crepc.sk/?fn=detailBiblioForm&amp;sid=B6D423E4DA2EBA0974A400EDA9")</f>
        <v>https://app.crepc.sk/?fn=detailBiblioForm&amp;sid=B6D423E4DA2EBA0974A400EDA9</v>
      </c>
    </row>
    <row r="1148" spans="3:5" ht="75" x14ac:dyDescent="0.25">
      <c r="C1148" s="15">
        <v>472295</v>
      </c>
      <c r="D1148" s="4" t="s">
        <v>1154</v>
      </c>
      <c r="E1148" s="4" t="str">
        <f>HYPERLINK("https://app.crepc.sk/?fn=detailBiblioForm&amp;sid=0CB211958038C7491AA1707AE3")</f>
        <v>https://app.crepc.sk/?fn=detailBiblioForm&amp;sid=0CB211958038C7491AA1707AE3</v>
      </c>
    </row>
    <row r="1149" spans="3:5" ht="60" x14ac:dyDescent="0.25">
      <c r="C1149" s="15">
        <v>512515</v>
      </c>
      <c r="D1149" s="4" t="s">
        <v>1155</v>
      </c>
      <c r="E1149" s="4" t="str">
        <f>HYPERLINK("https://app.crepc.sk/?fn=detailBiblioForm&amp;sid=A5213ECA03C20E558212CF8C0A")</f>
        <v>https://app.crepc.sk/?fn=detailBiblioForm&amp;sid=A5213ECA03C20E558212CF8C0A</v>
      </c>
    </row>
    <row r="1150" spans="3:5" ht="60" x14ac:dyDescent="0.25">
      <c r="C1150" s="15">
        <v>515517</v>
      </c>
      <c r="D1150" s="4" t="s">
        <v>1156</v>
      </c>
      <c r="E1150" s="4" t="str">
        <f>HYPERLINK("https://app.crepc.sk/?fn=detailBiblioForm&amp;sid=C39247C36C730A4C1B2C3D2B9E")</f>
        <v>https://app.crepc.sk/?fn=detailBiblioForm&amp;sid=C39247C36C730A4C1B2C3D2B9E</v>
      </c>
    </row>
    <row r="1151" spans="3:5" ht="90" x14ac:dyDescent="0.25">
      <c r="C1151" s="15">
        <v>459840</v>
      </c>
      <c r="D1151" s="4" t="s">
        <v>1157</v>
      </c>
      <c r="E1151" s="4" t="str">
        <f>HYPERLINK("https://app.crepc.sk/?fn=detailBiblioForm&amp;sid=3E84F9FC946DB3DA45FCA9AAFC")</f>
        <v>https://app.crepc.sk/?fn=detailBiblioForm&amp;sid=3E84F9FC946DB3DA45FCA9AAFC</v>
      </c>
    </row>
    <row r="1152" spans="3:5" ht="75" x14ac:dyDescent="0.25">
      <c r="C1152" s="15">
        <v>493866</v>
      </c>
      <c r="D1152" s="4" t="s">
        <v>1158</v>
      </c>
      <c r="E1152" s="4" t="str">
        <f>HYPERLINK("https://app.crepc.sk/?fn=detailBiblioForm&amp;sid=D4BFEB37CCCE8910B4FF1F0C52")</f>
        <v>https://app.crepc.sk/?fn=detailBiblioForm&amp;sid=D4BFEB37CCCE8910B4FF1F0C52</v>
      </c>
    </row>
    <row r="1153" spans="3:5" ht="90" x14ac:dyDescent="0.25">
      <c r="C1153" s="15">
        <v>502821</v>
      </c>
      <c r="D1153" s="4" t="s">
        <v>1159</v>
      </c>
      <c r="E1153" s="4" t="str">
        <f>HYPERLINK("https://app.crepc.sk/?fn=detailBiblioForm&amp;sid=9EC8EE6D0EF59138D6E2C4A124")</f>
        <v>https://app.crepc.sk/?fn=detailBiblioForm&amp;sid=9EC8EE6D0EF59138D6E2C4A124</v>
      </c>
    </row>
    <row r="1154" spans="3:5" ht="45" x14ac:dyDescent="0.25">
      <c r="C1154" s="15">
        <v>506383</v>
      </c>
      <c r="D1154" s="4" t="s">
        <v>1160</v>
      </c>
      <c r="E1154" s="4" t="str">
        <f>HYPERLINK("https://app.crepc.sk/?fn=detailBiblioForm&amp;sid=BBEDD8EDEF499DA8196A5D0332")</f>
        <v>https://app.crepc.sk/?fn=detailBiblioForm&amp;sid=BBEDD8EDEF499DA8196A5D0332</v>
      </c>
    </row>
    <row r="1155" spans="3:5" ht="75" x14ac:dyDescent="0.25">
      <c r="C1155" s="15">
        <v>511449</v>
      </c>
      <c r="D1155" s="4" t="s">
        <v>1161</v>
      </c>
      <c r="E1155" s="4" t="str">
        <f>HYPERLINK("https://app.crepc.sk/?fn=detailBiblioForm&amp;sid=3663029739A3F24E1232EC1B3A")</f>
        <v>https://app.crepc.sk/?fn=detailBiblioForm&amp;sid=3663029739A3F24E1232EC1B3A</v>
      </c>
    </row>
    <row r="1156" spans="3:5" ht="75" x14ac:dyDescent="0.25">
      <c r="C1156" s="15">
        <v>432180</v>
      </c>
      <c r="D1156" s="4" t="s">
        <v>1162</v>
      </c>
      <c r="E1156" s="4" t="str">
        <f>HYPERLINK("https://app.crepc.sk/?fn=detailBiblioForm&amp;sid=36F9E267D0DFCA06FA9F599993")</f>
        <v>https://app.crepc.sk/?fn=detailBiblioForm&amp;sid=36F9E267D0DFCA06FA9F599993</v>
      </c>
    </row>
    <row r="1157" spans="3:5" ht="90" x14ac:dyDescent="0.25">
      <c r="C1157" s="15">
        <v>469468</v>
      </c>
      <c r="D1157" s="4" t="s">
        <v>1163</v>
      </c>
      <c r="E1157" s="4" t="str">
        <f>HYPERLINK("https://app.crepc.sk/?fn=detailBiblioForm&amp;sid=60CFF5964A6149A8892333F7DF")</f>
        <v>https://app.crepc.sk/?fn=detailBiblioForm&amp;sid=60CFF5964A6149A8892333F7DF</v>
      </c>
    </row>
    <row r="1158" spans="3:5" ht="75" x14ac:dyDescent="0.25">
      <c r="C1158" s="15">
        <v>497984</v>
      </c>
      <c r="D1158" s="4" t="s">
        <v>1164</v>
      </c>
      <c r="E1158" s="4" t="str">
        <f>HYPERLINK("https://app.crepc.sk/?fn=detailBiblioForm&amp;sid=D7403F7782EAA296B544B8FF15")</f>
        <v>https://app.crepc.sk/?fn=detailBiblioForm&amp;sid=D7403F7782EAA296B544B8FF15</v>
      </c>
    </row>
    <row r="1159" spans="3:5" ht="90" x14ac:dyDescent="0.25">
      <c r="C1159" s="15">
        <v>483876</v>
      </c>
      <c r="D1159" s="4" t="s">
        <v>1165</v>
      </c>
      <c r="E1159" s="4" t="str">
        <f>HYPERLINK("https://app.crepc.sk/?fn=detailBiblioForm&amp;sid=8325E7D70CE11315397EF6EB9C")</f>
        <v>https://app.crepc.sk/?fn=detailBiblioForm&amp;sid=8325E7D70CE11315397EF6EB9C</v>
      </c>
    </row>
    <row r="1160" spans="3:5" ht="60" x14ac:dyDescent="0.25">
      <c r="C1160" s="15">
        <v>496235</v>
      </c>
      <c r="D1160" s="4" t="s">
        <v>1166</v>
      </c>
      <c r="E1160" s="4" t="str">
        <f>HYPERLINK("https://app.crepc.sk/?fn=detailBiblioForm&amp;sid=A920A6B44AAA35D5D0109E29A9")</f>
        <v>https://app.crepc.sk/?fn=detailBiblioForm&amp;sid=A920A6B44AAA35D5D0109E29A9</v>
      </c>
    </row>
    <row r="1161" spans="3:5" ht="90" x14ac:dyDescent="0.25">
      <c r="C1161" s="15">
        <v>491202</v>
      </c>
      <c r="D1161" s="4" t="s">
        <v>1167</v>
      </c>
      <c r="E1161" s="4" t="str">
        <f>HYPERLINK("https://app.crepc.sk/?fn=detailBiblioForm&amp;sid=8DB6E5BC5001C95B7F7E5335C0")</f>
        <v>https://app.crepc.sk/?fn=detailBiblioForm&amp;sid=8DB6E5BC5001C95B7F7E5335C0</v>
      </c>
    </row>
    <row r="1162" spans="3:5" ht="45" x14ac:dyDescent="0.25">
      <c r="C1162" s="15">
        <v>495750</v>
      </c>
      <c r="D1162" s="4" t="s">
        <v>1168</v>
      </c>
      <c r="E1162" s="4" t="str">
        <f>HYPERLINK("https://app.crepc.sk/?fn=detailBiblioForm&amp;sid=9826E54EB6A861039E3D1E052C")</f>
        <v>https://app.crepc.sk/?fn=detailBiblioForm&amp;sid=9826E54EB6A861039E3D1E052C</v>
      </c>
    </row>
    <row r="1163" spans="3:5" ht="75" x14ac:dyDescent="0.25">
      <c r="C1163" s="15">
        <v>523445</v>
      </c>
      <c r="D1163" s="4" t="s">
        <v>1169</v>
      </c>
      <c r="E1163" s="4" t="str">
        <f>HYPERLINK("https://app.crepc.sk/?fn=detailBiblioForm&amp;sid=134F7010F97786482B1C2EA1AF")</f>
        <v>https://app.crepc.sk/?fn=detailBiblioForm&amp;sid=134F7010F97786482B1C2EA1AF</v>
      </c>
    </row>
    <row r="1164" spans="3:5" ht="75" x14ac:dyDescent="0.25">
      <c r="C1164" s="15">
        <v>461394</v>
      </c>
      <c r="D1164" s="4" t="s">
        <v>1170</v>
      </c>
      <c r="E1164" s="4" t="str">
        <f>HYPERLINK("https://app.crepc.sk/?fn=detailBiblioForm&amp;sid=5D6BB94765B7C57DDA4484C2F9")</f>
        <v>https://app.crepc.sk/?fn=detailBiblioForm&amp;sid=5D6BB94765B7C57DDA4484C2F9</v>
      </c>
    </row>
    <row r="1165" spans="3:5" ht="60" x14ac:dyDescent="0.25">
      <c r="C1165" s="15">
        <v>493809</v>
      </c>
      <c r="D1165" s="4" t="s">
        <v>1171</v>
      </c>
      <c r="E1165" s="4" t="str">
        <f>HYPERLINK("https://app.crepc.sk/?fn=detailBiblioForm&amp;sid=D4BFEB37CCCE8910B2F01F0C52")</f>
        <v>https://app.crepc.sk/?fn=detailBiblioForm&amp;sid=D4BFEB37CCCE8910B2F01F0C52</v>
      </c>
    </row>
    <row r="1166" spans="3:5" ht="75" x14ac:dyDescent="0.25">
      <c r="C1166" s="15">
        <v>469485</v>
      </c>
      <c r="D1166" s="4" t="s">
        <v>1172</v>
      </c>
      <c r="E1166" s="4" t="str">
        <f>HYPERLINK("https://app.crepc.sk/?fn=detailBiblioForm&amp;sid=60CFF5964A6149A8872E33F7DF")</f>
        <v>https://app.crepc.sk/?fn=detailBiblioForm&amp;sid=60CFF5964A6149A8872E33F7DF</v>
      </c>
    </row>
    <row r="1167" spans="3:5" ht="60" x14ac:dyDescent="0.25">
      <c r="C1167" s="15">
        <v>490707</v>
      </c>
      <c r="D1167" s="4" t="s">
        <v>1173</v>
      </c>
      <c r="E1167" s="4" t="str">
        <f>HYPERLINK("https://app.crepc.sk/?fn=detailBiblioForm&amp;sid=20AD554CFACDF30A33DFF9C867")</f>
        <v>https://app.crepc.sk/?fn=detailBiblioForm&amp;sid=20AD554CFACDF30A33DFF9C867</v>
      </c>
    </row>
    <row r="1168" spans="3:5" ht="60" x14ac:dyDescent="0.25">
      <c r="C1168" s="15">
        <v>465198</v>
      </c>
      <c r="D1168" s="4" t="s">
        <v>1174</v>
      </c>
      <c r="E1168" s="4" t="str">
        <f>HYPERLINK("https://app.crepc.sk/?fn=detailBiblioForm&amp;sid=6EE1AEFE679722B0E8CDC047CE")</f>
        <v>https://app.crepc.sk/?fn=detailBiblioForm&amp;sid=6EE1AEFE679722B0E8CDC047CE</v>
      </c>
    </row>
    <row r="1169" spans="3:5" ht="75" x14ac:dyDescent="0.25">
      <c r="C1169" s="15">
        <v>474807</v>
      </c>
      <c r="D1169" s="4" t="s">
        <v>1175</v>
      </c>
      <c r="E1169" s="4" t="str">
        <f>HYPERLINK("https://app.crepc.sk/?fn=detailBiblioForm&amp;sid=0290103C495A5E76A4CE24F1B3")</f>
        <v>https://app.crepc.sk/?fn=detailBiblioForm&amp;sid=0290103C495A5E76A4CE24F1B3</v>
      </c>
    </row>
    <row r="1170" spans="3:5" ht="60" x14ac:dyDescent="0.25">
      <c r="C1170" s="15">
        <v>482779</v>
      </c>
      <c r="D1170" s="4" t="s">
        <v>1176</v>
      </c>
      <c r="E1170" s="4" t="str">
        <f>HYPERLINK("https://app.crepc.sk/?fn=detailBiblioForm&amp;sid=2ED50720E4EE5F9D779239CFC8")</f>
        <v>https://app.crepc.sk/?fn=detailBiblioForm&amp;sid=2ED50720E4EE5F9D779239CFC8</v>
      </c>
    </row>
    <row r="1171" spans="3:5" ht="75" x14ac:dyDescent="0.25">
      <c r="C1171" s="15">
        <v>507759</v>
      </c>
      <c r="D1171" s="4" t="s">
        <v>1177</v>
      </c>
      <c r="E1171" s="4" t="str">
        <f>HYPERLINK("https://app.crepc.sk/?fn=detailBiblioForm&amp;sid=C04F301C819C39D13B80BEF9DA")</f>
        <v>https://app.crepc.sk/?fn=detailBiblioForm&amp;sid=C04F301C819C39D13B80BEF9DA</v>
      </c>
    </row>
    <row r="1172" spans="3:5" ht="75" x14ac:dyDescent="0.25">
      <c r="C1172" s="15">
        <v>467408</v>
      </c>
      <c r="D1172" s="4" t="s">
        <v>1178</v>
      </c>
      <c r="E1172" s="4" t="str">
        <f>HYPERLINK("https://app.crepc.sk/?fn=detailBiblioForm&amp;sid=43322ED3D967CE6D72E9E57015")</f>
        <v>https://app.crepc.sk/?fn=detailBiblioForm&amp;sid=43322ED3D967CE6D72E9E57015</v>
      </c>
    </row>
    <row r="1173" spans="3:5" ht="60" x14ac:dyDescent="0.25">
      <c r="C1173" s="15">
        <v>527968</v>
      </c>
      <c r="D1173" s="4" t="s">
        <v>1179</v>
      </c>
      <c r="E1173" s="4" t="str">
        <f>HYPERLINK("https://app.crepc.sk/?fn=detailBiblioForm&amp;sid=3D2743D5EFB615AC05785E2FA8")</f>
        <v>https://app.crepc.sk/?fn=detailBiblioForm&amp;sid=3D2743D5EFB615AC05785E2FA8</v>
      </c>
    </row>
    <row r="1174" spans="3:5" ht="60" x14ac:dyDescent="0.25">
      <c r="C1174" s="15">
        <v>491821</v>
      </c>
      <c r="D1174" s="4" t="s">
        <v>1180</v>
      </c>
      <c r="E1174" s="4" t="str">
        <f>HYPERLINK("https://app.crepc.sk/?fn=detailBiblioForm&amp;sid=63CBBAD848EC558EE0AC222B24")</f>
        <v>https://app.crepc.sk/?fn=detailBiblioForm&amp;sid=63CBBAD848EC558EE0AC222B24</v>
      </c>
    </row>
    <row r="1175" spans="3:5" ht="75" x14ac:dyDescent="0.25">
      <c r="C1175" s="15">
        <v>464257</v>
      </c>
      <c r="D1175" s="4" t="s">
        <v>1181</v>
      </c>
      <c r="E1175" s="4" t="str">
        <f>HYPERLINK("https://app.crepc.sk/?fn=detailBiblioForm&amp;sid=0112396EA62A71BCBABC6A840C")</f>
        <v>https://app.crepc.sk/?fn=detailBiblioForm&amp;sid=0112396EA62A71BCBABC6A840C</v>
      </c>
    </row>
    <row r="1176" spans="3:5" ht="60" x14ac:dyDescent="0.25">
      <c r="C1176" s="15">
        <v>461395</v>
      </c>
      <c r="D1176" s="4" t="s">
        <v>1182</v>
      </c>
      <c r="E1176" s="4" t="str">
        <f>HYPERLINK("https://app.crepc.sk/?fn=detailBiblioForm&amp;sid=5D6BB94765B7C57DDA4584C2F9")</f>
        <v>https://app.crepc.sk/?fn=detailBiblioForm&amp;sid=5D6BB94765B7C57DDA4584C2F9</v>
      </c>
    </row>
    <row r="1177" spans="3:5" ht="105" x14ac:dyDescent="0.25">
      <c r="C1177" s="15">
        <v>494090</v>
      </c>
      <c r="D1177" s="4" t="s">
        <v>1183</v>
      </c>
      <c r="E1177" s="4" t="str">
        <f>HYPERLINK("https://app.crepc.sk/?fn=detailBiblioForm&amp;sid=A9856A5D97442438E7C59EE6DF")</f>
        <v>https://app.crepc.sk/?fn=detailBiblioForm&amp;sid=A9856A5D97442438E7C59EE6DF</v>
      </c>
    </row>
    <row r="1178" spans="3:5" ht="75" x14ac:dyDescent="0.25">
      <c r="C1178" s="15">
        <v>527945</v>
      </c>
      <c r="D1178" s="4" t="s">
        <v>1184</v>
      </c>
      <c r="E1178" s="4" t="str">
        <f>HYPERLINK("https://app.crepc.sk/?fn=detailBiblioForm&amp;sid=3D2743D5EFB615AC07755E2FA8")</f>
        <v>https://app.crepc.sk/?fn=detailBiblioForm&amp;sid=3D2743D5EFB615AC07755E2FA8</v>
      </c>
    </row>
    <row r="1179" spans="3:5" ht="60" x14ac:dyDescent="0.25">
      <c r="C1179" s="15">
        <v>472073</v>
      </c>
      <c r="D1179" s="4" t="s">
        <v>1185</v>
      </c>
      <c r="E1179" s="4" t="str">
        <f>HYPERLINK("https://app.crepc.sk/?fn=detailBiblioForm&amp;sid=A8FC318995DD4AFB476416DBDB")</f>
        <v>https://app.crepc.sk/?fn=detailBiblioForm&amp;sid=A8FC318995DD4AFB476416DBDB</v>
      </c>
    </row>
    <row r="1180" spans="3:5" ht="75" x14ac:dyDescent="0.25">
      <c r="C1180" s="15">
        <v>461683</v>
      </c>
      <c r="D1180" s="4" t="s">
        <v>1186</v>
      </c>
      <c r="E1180" s="4" t="str">
        <f>HYPERLINK("https://app.crepc.sk/?fn=detailBiblioForm&amp;sid=5E2AA8801657BEC81DF4527E5A")</f>
        <v>https://app.crepc.sk/?fn=detailBiblioForm&amp;sid=5E2AA8801657BEC81DF4527E5A</v>
      </c>
    </row>
    <row r="1181" spans="3:5" ht="75" x14ac:dyDescent="0.25">
      <c r="C1181" s="15">
        <v>462927</v>
      </c>
      <c r="D1181" s="4" t="s">
        <v>1187</v>
      </c>
      <c r="E1181" s="4" t="str">
        <f>HYPERLINK("https://app.crepc.sk/?fn=detailBiblioForm&amp;sid=32F76EF9325E82ACFB5EB1356B")</f>
        <v>https://app.crepc.sk/?fn=detailBiblioForm&amp;sid=32F76EF9325E82ACFB5EB1356B</v>
      </c>
    </row>
    <row r="1182" spans="3:5" ht="60" x14ac:dyDescent="0.25">
      <c r="C1182" s="15">
        <v>461546</v>
      </c>
      <c r="D1182" s="4" t="s">
        <v>1188</v>
      </c>
      <c r="E1182" s="4" t="str">
        <f>HYPERLINK("https://app.crepc.sk/?fn=detailBiblioForm&amp;sid=F4434308ED673541DC484BC0F5")</f>
        <v>https://app.crepc.sk/?fn=detailBiblioForm&amp;sid=F4434308ED673541DC484BC0F5</v>
      </c>
    </row>
    <row r="1183" spans="3:5" ht="60" x14ac:dyDescent="0.25">
      <c r="C1183" s="15">
        <v>467574</v>
      </c>
      <c r="D1183" s="4" t="s">
        <v>1189</v>
      </c>
      <c r="E1183" s="4" t="str">
        <f>HYPERLINK("https://app.crepc.sk/?fn=detailBiblioForm&amp;sid=E12A1880FDC47DE6AEBF38704B")</f>
        <v>https://app.crepc.sk/?fn=detailBiblioForm&amp;sid=E12A1880FDC47DE6AEBF38704B</v>
      </c>
    </row>
    <row r="1184" spans="3:5" ht="90" x14ac:dyDescent="0.25">
      <c r="C1184" s="15">
        <v>473315</v>
      </c>
      <c r="D1184" s="4" t="s">
        <v>1190</v>
      </c>
      <c r="E1184" s="4" t="str">
        <f>HYPERLINK("https://app.crepc.sk/?fn=detailBiblioForm&amp;sid=F67F46930D1CE8AD067ADA0B32")</f>
        <v>https://app.crepc.sk/?fn=detailBiblioForm&amp;sid=F67F46930D1CE8AD067ADA0B32</v>
      </c>
    </row>
    <row r="1185" spans="3:5" ht="75" x14ac:dyDescent="0.25">
      <c r="C1185" s="15">
        <v>475319</v>
      </c>
      <c r="D1185" s="4" t="s">
        <v>1191</v>
      </c>
      <c r="E1185" s="4" t="str">
        <f>HYPERLINK("https://app.crepc.sk/?fn=detailBiblioForm&amp;sid=EBB00340FF4A326887F0F49EFA")</f>
        <v>https://app.crepc.sk/?fn=detailBiblioForm&amp;sid=EBB00340FF4A326887F0F49EFA</v>
      </c>
    </row>
    <row r="1186" spans="3:5" ht="60" x14ac:dyDescent="0.25">
      <c r="C1186" s="15">
        <v>513500</v>
      </c>
      <c r="D1186" s="4" t="s">
        <v>1192</v>
      </c>
      <c r="E1186" s="4" t="str">
        <f>HYPERLINK("https://app.crepc.sk/?fn=detailBiblioForm&amp;sid=B660E33DF1117A122690BB130C")</f>
        <v>https://app.crepc.sk/?fn=detailBiblioForm&amp;sid=B660E33DF1117A122690BB130C</v>
      </c>
    </row>
    <row r="1187" spans="3:5" ht="75" x14ac:dyDescent="0.25">
      <c r="C1187" s="15">
        <v>493084</v>
      </c>
      <c r="D1187" s="4" t="s">
        <v>1193</v>
      </c>
      <c r="E1187" s="4" t="str">
        <f>HYPERLINK("https://app.crepc.sk/?fn=detailBiblioForm&amp;sid=A08D0C06F20009E6DCE393DA9B")</f>
        <v>https://app.crepc.sk/?fn=detailBiblioForm&amp;sid=A08D0C06F20009E6DCE393DA9B</v>
      </c>
    </row>
    <row r="1188" spans="3:5" ht="75" x14ac:dyDescent="0.25">
      <c r="C1188" s="15">
        <v>471388</v>
      </c>
      <c r="D1188" s="4" t="s">
        <v>1194</v>
      </c>
      <c r="E1188" s="4" t="str">
        <f>HYPERLINK("https://app.crepc.sk/?fn=detailBiblioForm&amp;sid=B69DD8D33B6AEABADE05CC77CA")</f>
        <v>https://app.crepc.sk/?fn=detailBiblioForm&amp;sid=B69DD8D33B6AEABADE05CC77CA</v>
      </c>
    </row>
    <row r="1189" spans="3:5" ht="90" x14ac:dyDescent="0.25">
      <c r="C1189" s="15">
        <v>522966</v>
      </c>
      <c r="D1189" s="4" t="s">
        <v>1195</v>
      </c>
      <c r="E1189" s="4" t="str">
        <f>HYPERLINK("https://app.crepc.sk/?fn=detailBiblioForm&amp;sid=74960B60A46A20C7E412366346")</f>
        <v>https://app.crepc.sk/?fn=detailBiblioForm&amp;sid=74960B60A46A20C7E412366346</v>
      </c>
    </row>
    <row r="1190" spans="3:5" ht="60" x14ac:dyDescent="0.25">
      <c r="C1190" s="15">
        <v>517674</v>
      </c>
      <c r="D1190" s="4" t="s">
        <v>1196</v>
      </c>
      <c r="E1190" s="4" t="str">
        <f>HYPERLINK("https://app.crepc.sk/?fn=detailBiblioForm&amp;sid=5EBEF65034C3FA3918B651BE6F")</f>
        <v>https://app.crepc.sk/?fn=detailBiblioForm&amp;sid=5EBEF65034C3FA3918B651BE6F</v>
      </c>
    </row>
    <row r="1191" spans="3:5" ht="60" x14ac:dyDescent="0.25">
      <c r="C1191" s="15">
        <v>463203</v>
      </c>
      <c r="D1191" s="4" t="s">
        <v>1197</v>
      </c>
      <c r="E1191" s="4" t="str">
        <f>HYPERLINK("https://app.crepc.sk/?fn=detailBiblioForm&amp;sid=E236139526BBCA0A2678918529")</f>
        <v>https://app.crepc.sk/?fn=detailBiblioForm&amp;sid=E236139526BBCA0A2678918529</v>
      </c>
    </row>
    <row r="1192" spans="3:5" ht="75" x14ac:dyDescent="0.25">
      <c r="C1192" s="15">
        <v>492415</v>
      </c>
      <c r="D1192" s="4" t="s">
        <v>1198</v>
      </c>
      <c r="E1192" s="4" t="str">
        <f>HYPERLINK("https://app.crepc.sk/?fn=detailBiblioForm&amp;sid=60DA4A7A25F2FC786744DDC6FE")</f>
        <v>https://app.crepc.sk/?fn=detailBiblioForm&amp;sid=60DA4A7A25F2FC786744DDC6FE</v>
      </c>
    </row>
    <row r="1193" spans="3:5" ht="60" x14ac:dyDescent="0.25">
      <c r="C1193" s="15">
        <v>499418</v>
      </c>
      <c r="D1193" s="4" t="s">
        <v>1199</v>
      </c>
      <c r="E1193" s="4" t="str">
        <f>HYPERLINK("https://app.crepc.sk/?fn=detailBiblioForm&amp;sid=924C92DA1A4992594166A944A9")</f>
        <v>https://app.crepc.sk/?fn=detailBiblioForm&amp;sid=924C92DA1A4992594166A944A9</v>
      </c>
    </row>
    <row r="1194" spans="3:5" ht="75" x14ac:dyDescent="0.25">
      <c r="C1194" s="15">
        <v>461687</v>
      </c>
      <c r="D1194" s="4" t="s">
        <v>1200</v>
      </c>
      <c r="E1194" s="4" t="str">
        <f>HYPERLINK("https://app.crepc.sk/?fn=detailBiblioForm&amp;sid=5E2AA8801657BEC81DF0527E5A")</f>
        <v>https://app.crepc.sk/?fn=detailBiblioForm&amp;sid=5E2AA8801657BEC81DF0527E5A</v>
      </c>
    </row>
    <row r="1195" spans="3:5" ht="45" x14ac:dyDescent="0.25">
      <c r="C1195" s="15">
        <v>473313</v>
      </c>
      <c r="D1195" s="4" t="s">
        <v>1201</v>
      </c>
      <c r="E1195" s="4" t="str">
        <f>HYPERLINK("https://app.crepc.sk/?fn=detailBiblioForm&amp;sid=F67F46930D1CE8AD067CDA0B32")</f>
        <v>https://app.crepc.sk/?fn=detailBiblioForm&amp;sid=F67F46930D1CE8AD067CDA0B32</v>
      </c>
    </row>
    <row r="1196" spans="3:5" ht="60" x14ac:dyDescent="0.25">
      <c r="C1196" s="15">
        <v>516152</v>
      </c>
      <c r="D1196" s="4" t="s">
        <v>1202</v>
      </c>
      <c r="E1196" s="4" t="str">
        <f>HYPERLINK("https://app.crepc.sk/?fn=detailBiblioForm&amp;sid=0EBA0D24DC47CEA5C8B0CAE410")</f>
        <v>https://app.crepc.sk/?fn=detailBiblioForm&amp;sid=0EBA0D24DC47CEA5C8B0CAE410</v>
      </c>
    </row>
    <row r="1197" spans="3:5" ht="75" x14ac:dyDescent="0.25">
      <c r="C1197" s="15">
        <v>512584</v>
      </c>
      <c r="D1197" s="4" t="s">
        <v>1203</v>
      </c>
      <c r="E1197" s="4" t="str">
        <f>HYPERLINK("https://app.crepc.sk/?fn=detailBiblioForm&amp;sid=A5213ECA03C20E558B13CF8C0A")</f>
        <v>https://app.crepc.sk/?fn=detailBiblioForm&amp;sid=A5213ECA03C20E558B13CF8C0A</v>
      </c>
    </row>
    <row r="1198" spans="3:5" ht="45" x14ac:dyDescent="0.25">
      <c r="C1198" s="15">
        <v>505827</v>
      </c>
      <c r="D1198" s="4" t="s">
        <v>1204</v>
      </c>
      <c r="E1198" s="4" t="str">
        <f>HYPERLINK("https://app.crepc.sk/?fn=detailBiblioForm&amp;sid=26733A8A64F1EAF6EFB3E13F1E")</f>
        <v>https://app.crepc.sk/?fn=detailBiblioForm&amp;sid=26733A8A64F1EAF6EFB3E13F1E</v>
      </c>
    </row>
    <row r="1199" spans="3:5" ht="60" x14ac:dyDescent="0.25">
      <c r="C1199" s="15">
        <v>507653</v>
      </c>
      <c r="D1199" s="4" t="s">
        <v>1205</v>
      </c>
      <c r="E1199" s="4" t="str">
        <f>HYPERLINK("https://app.crepc.sk/?fn=detailBiblioForm&amp;sid=A363D22A746428FBF1F90C0F7A")</f>
        <v>https://app.crepc.sk/?fn=detailBiblioForm&amp;sid=A363D22A746428FBF1F90C0F7A</v>
      </c>
    </row>
    <row r="1200" spans="3:5" ht="75" x14ac:dyDescent="0.25">
      <c r="C1200" s="15">
        <v>527548</v>
      </c>
      <c r="D1200" s="4" t="s">
        <v>1206</v>
      </c>
      <c r="E1200" s="4" t="str">
        <f>HYPERLINK("https://app.crepc.sk/?fn=detailBiblioForm&amp;sid=748B640AF24D82A1C34C072EAD")</f>
        <v>https://app.crepc.sk/?fn=detailBiblioForm&amp;sid=748B640AF24D82A1C34C072EAD</v>
      </c>
    </row>
    <row r="1201" spans="3:5" ht="90" x14ac:dyDescent="0.25">
      <c r="C1201" s="15">
        <v>525717</v>
      </c>
      <c r="D1201" s="4" t="s">
        <v>1207</v>
      </c>
      <c r="E1201" s="4" t="str">
        <f>HYPERLINK("https://app.crepc.sk/?fn=detailBiblioForm&amp;sid=25EC2D8E739B99C7024080274F")</f>
        <v>https://app.crepc.sk/?fn=detailBiblioForm&amp;sid=25EC2D8E739B99C7024080274F</v>
      </c>
    </row>
    <row r="1202" spans="3:5" ht="75" x14ac:dyDescent="0.25">
      <c r="C1202" s="15">
        <v>470215</v>
      </c>
      <c r="D1202" s="4" t="s">
        <v>1208</v>
      </c>
      <c r="E1202" s="4" t="str">
        <f>HYPERLINK("https://app.crepc.sk/?fn=detailBiblioForm&amp;sid=FB1E18FF6F840056C905C97AEE")</f>
        <v>https://app.crepc.sk/?fn=detailBiblioForm&amp;sid=FB1E18FF6F840056C905C97AEE</v>
      </c>
    </row>
    <row r="1203" spans="3:5" ht="75" x14ac:dyDescent="0.25">
      <c r="C1203" s="15">
        <v>527953</v>
      </c>
      <c r="D1203" s="4" t="s">
        <v>1209</v>
      </c>
      <c r="E1203" s="4" t="str">
        <f>HYPERLINK("https://app.crepc.sk/?fn=detailBiblioForm&amp;sid=3D2743D5EFB615AC06735E2FA8")</f>
        <v>https://app.crepc.sk/?fn=detailBiblioForm&amp;sid=3D2743D5EFB615AC06735E2FA8</v>
      </c>
    </row>
    <row r="1204" spans="3:5" ht="60" x14ac:dyDescent="0.25">
      <c r="C1204" s="15">
        <v>497111</v>
      </c>
      <c r="D1204" s="4" t="s">
        <v>1210</v>
      </c>
      <c r="E1204" s="4" t="str">
        <f>HYPERLINK("https://app.crepc.sk/?fn=detailBiblioForm&amp;sid=0B7ABC0B6EC7FB96C74502FC4F")</f>
        <v>https://app.crepc.sk/?fn=detailBiblioForm&amp;sid=0B7ABC0B6EC7FB96C74502FC4F</v>
      </c>
    </row>
    <row r="1205" spans="3:5" ht="60" x14ac:dyDescent="0.25">
      <c r="C1205" s="15">
        <v>464892</v>
      </c>
      <c r="D1205" s="4" t="s">
        <v>1211</v>
      </c>
      <c r="E1205" s="4" t="str">
        <f>HYPERLINK("https://app.crepc.sk/?fn=detailBiblioForm&amp;sid=4433F76BA69BECB67BC61ABD29")</f>
        <v>https://app.crepc.sk/?fn=detailBiblioForm&amp;sid=4433F76BA69BECB67BC61ABD29</v>
      </c>
    </row>
    <row r="1206" spans="3:5" ht="60" x14ac:dyDescent="0.25">
      <c r="C1206" s="15">
        <v>475263</v>
      </c>
      <c r="D1206" s="4" t="s">
        <v>1212</v>
      </c>
      <c r="E1206" s="4" t="str">
        <f>HYPERLINK("https://app.crepc.sk/?fn=detailBiblioForm&amp;sid=BB8EFC728647E64BA00089EA9C")</f>
        <v>https://app.crepc.sk/?fn=detailBiblioForm&amp;sid=BB8EFC728647E64BA00089EA9C</v>
      </c>
    </row>
    <row r="1207" spans="3:5" ht="75" x14ac:dyDescent="0.25">
      <c r="C1207" s="15">
        <v>522158</v>
      </c>
      <c r="D1207" s="4" t="s">
        <v>1213</v>
      </c>
      <c r="E1207" s="4" t="str">
        <f>HYPERLINK("https://app.crepc.sk/?fn=detailBiblioForm&amp;sid=7D77D69721AA24B4DB9114BD4B")</f>
        <v>https://app.crepc.sk/?fn=detailBiblioForm&amp;sid=7D77D69721AA24B4DB9114BD4B</v>
      </c>
    </row>
    <row r="1208" spans="3:5" ht="75" x14ac:dyDescent="0.25">
      <c r="C1208" s="15">
        <v>513677</v>
      </c>
      <c r="D1208" s="4" t="s">
        <v>1214</v>
      </c>
      <c r="E1208" s="4" t="str">
        <f>HYPERLINK("https://app.crepc.sk/?fn=detailBiblioForm&amp;sid=14EB7172A94AC8834A93E3C895")</f>
        <v>https://app.crepc.sk/?fn=detailBiblioForm&amp;sid=14EB7172A94AC8834A93E3C895</v>
      </c>
    </row>
    <row r="1209" spans="3:5" ht="75" x14ac:dyDescent="0.25">
      <c r="C1209" s="15">
        <v>470049</v>
      </c>
      <c r="D1209" s="4" t="s">
        <v>1215</v>
      </c>
      <c r="E1209" s="4" t="str">
        <f>HYPERLINK("https://app.crepc.sk/?fn=detailBiblioForm&amp;sid=480DD984465732B9F493FBED3F")</f>
        <v>https://app.crepc.sk/?fn=detailBiblioForm&amp;sid=480DD984465732B9F493FBED3F</v>
      </c>
    </row>
    <row r="1210" spans="3:5" ht="60" x14ac:dyDescent="0.25">
      <c r="C1210" s="15">
        <v>480347</v>
      </c>
      <c r="D1210" s="4" t="s">
        <v>1216</v>
      </c>
      <c r="E1210" s="4" t="str">
        <f>HYPERLINK("https://app.crepc.sk/?fn=detailBiblioForm&amp;sid=D27A14E6B12143B3D0706D84F4")</f>
        <v>https://app.crepc.sk/?fn=detailBiblioForm&amp;sid=D27A14E6B12143B3D0706D84F4</v>
      </c>
    </row>
    <row r="1211" spans="3:5" ht="45" x14ac:dyDescent="0.25">
      <c r="C1211" s="15">
        <v>529833</v>
      </c>
      <c r="D1211" s="4" t="s">
        <v>1217</v>
      </c>
      <c r="E1211" s="4" t="str">
        <f>HYPERLINK("https://app.crepc.sk/?fn=detailBiblioForm&amp;sid=E5489D6BC24E57899FA6605CBC")</f>
        <v>https://app.crepc.sk/?fn=detailBiblioForm&amp;sid=E5489D6BC24E57899FA6605CBC</v>
      </c>
    </row>
    <row r="1212" spans="3:5" ht="75" x14ac:dyDescent="0.25">
      <c r="C1212" s="15">
        <v>469794</v>
      </c>
      <c r="D1212" s="4" t="s">
        <v>1218</v>
      </c>
      <c r="E1212" s="4" t="str">
        <f>HYPERLINK("https://app.crepc.sk/?fn=detailBiblioForm&amp;sid=DB790A6B6DDF8D4B1B97ED1D12")</f>
        <v>https://app.crepc.sk/?fn=detailBiblioForm&amp;sid=DB790A6B6DDF8D4B1B97ED1D12</v>
      </c>
    </row>
    <row r="1213" spans="3:5" ht="60" x14ac:dyDescent="0.25">
      <c r="C1213" s="15">
        <v>451386</v>
      </c>
      <c r="D1213" s="4" t="s">
        <v>1219</v>
      </c>
      <c r="E1213" s="4" t="str">
        <f>HYPERLINK("https://app.crepc.sk/?fn=detailBiblioForm&amp;sid=909A2FE36DECBB5DB5C3825675")</f>
        <v>https://app.crepc.sk/?fn=detailBiblioForm&amp;sid=909A2FE36DECBB5DB5C3825675</v>
      </c>
    </row>
    <row r="1214" spans="3:5" ht="60" x14ac:dyDescent="0.25">
      <c r="C1214" s="15">
        <v>493083</v>
      </c>
      <c r="D1214" s="4" t="s">
        <v>1220</v>
      </c>
      <c r="E1214" s="4" t="str">
        <f>HYPERLINK("https://app.crepc.sk/?fn=detailBiblioForm&amp;sid=A08D0C06F20009E6DCE493DA9B")</f>
        <v>https://app.crepc.sk/?fn=detailBiblioForm&amp;sid=A08D0C06F20009E6DCE493DA9B</v>
      </c>
    </row>
    <row r="1215" spans="3:5" ht="75" x14ac:dyDescent="0.25">
      <c r="C1215" s="15">
        <v>492731</v>
      </c>
      <c r="D1215" s="4" t="s">
        <v>1221</v>
      </c>
      <c r="E1215" s="4" t="str">
        <f>HYPERLINK("https://app.crepc.sk/?fn=detailBiblioForm&amp;sid=D5F6245029F2FAC3B7A0F13C0F")</f>
        <v>https://app.crepc.sk/?fn=detailBiblioForm&amp;sid=D5F6245029F2FAC3B7A0F13C0F</v>
      </c>
    </row>
    <row r="1216" spans="3:5" ht="105" x14ac:dyDescent="0.25">
      <c r="C1216" s="15">
        <v>462961</v>
      </c>
      <c r="D1216" s="4" t="s">
        <v>1222</v>
      </c>
      <c r="E1216" s="4" t="str">
        <f>HYPERLINK("https://app.crepc.sk/?fn=detailBiblioForm&amp;sid=32F76EF9325E82ACFF58B1356B")</f>
        <v>https://app.crepc.sk/?fn=detailBiblioForm&amp;sid=32F76EF9325E82ACFF58B1356B</v>
      </c>
    </row>
    <row r="1217" spans="3:5" ht="75" x14ac:dyDescent="0.25">
      <c r="C1217" s="15">
        <v>521495</v>
      </c>
      <c r="D1217" s="4" t="s">
        <v>1223</v>
      </c>
      <c r="E1217" s="4" t="str">
        <f>HYPERLINK("https://app.crepc.sk/?fn=detailBiblioForm&amp;sid=39BD55F66554E421636E52426C")</f>
        <v>https://app.crepc.sk/?fn=detailBiblioForm&amp;sid=39BD55F66554E421636E52426C</v>
      </c>
    </row>
    <row r="1218" spans="3:5" ht="45" x14ac:dyDescent="0.25">
      <c r="C1218" s="15">
        <v>473330</v>
      </c>
      <c r="D1218" s="4" t="s">
        <v>1224</v>
      </c>
      <c r="E1218" s="4" t="str">
        <f>HYPERLINK("https://app.crepc.sk/?fn=detailBiblioForm&amp;sid=F67F46930D1CE8AD047FDA0B32")</f>
        <v>https://app.crepc.sk/?fn=detailBiblioForm&amp;sid=F67F46930D1CE8AD047FDA0B32</v>
      </c>
    </row>
    <row r="1219" spans="3:5" ht="60" x14ac:dyDescent="0.25">
      <c r="C1219" s="15">
        <v>460724</v>
      </c>
      <c r="D1219" s="4" t="s">
        <v>1225</v>
      </c>
      <c r="E1219" s="4" t="str">
        <f>HYPERLINK("https://app.crepc.sk/?fn=detailBiblioForm&amp;sid=34B489568FB60E550D200D8BA1")</f>
        <v>https://app.crepc.sk/?fn=detailBiblioForm&amp;sid=34B489568FB60E550D200D8BA1</v>
      </c>
    </row>
    <row r="1220" spans="3:5" ht="90" x14ac:dyDescent="0.25">
      <c r="C1220" s="15">
        <v>458557</v>
      </c>
      <c r="D1220" s="4" t="s">
        <v>1226</v>
      </c>
      <c r="E1220" s="4" t="str">
        <f>HYPERLINK("https://app.crepc.sk/?fn=detailBiblioForm&amp;sid=E019584CF8560B6EACE2530725")</f>
        <v>https://app.crepc.sk/?fn=detailBiblioForm&amp;sid=E019584CF8560B6EACE2530725</v>
      </c>
    </row>
    <row r="1221" spans="3:5" ht="75" x14ac:dyDescent="0.25">
      <c r="C1221" s="15">
        <v>511935</v>
      </c>
      <c r="D1221" s="4" t="s">
        <v>1227</v>
      </c>
      <c r="E1221" s="4" t="str">
        <f>HYPERLINK("https://app.crepc.sk/?fn=detailBiblioForm&amp;sid=7C67099AC5BBA884296DA4E232")</f>
        <v>https://app.crepc.sk/?fn=detailBiblioForm&amp;sid=7C67099AC5BBA884296DA4E232</v>
      </c>
    </row>
    <row r="1222" spans="3:5" ht="60" x14ac:dyDescent="0.25">
      <c r="C1222" s="15">
        <v>465624</v>
      </c>
      <c r="D1222" s="4" t="s">
        <v>1228</v>
      </c>
      <c r="E1222" s="4" t="str">
        <f>HYPERLINK("https://app.crepc.sk/?fn=detailBiblioForm&amp;sid=D60DFC88C4A75522885A645AC5")</f>
        <v>https://app.crepc.sk/?fn=detailBiblioForm&amp;sid=D60DFC88C4A75522885A645AC5</v>
      </c>
    </row>
    <row r="1223" spans="3:5" ht="90" x14ac:dyDescent="0.25">
      <c r="C1223" s="15">
        <v>452562</v>
      </c>
      <c r="D1223" s="4" t="s">
        <v>1229</v>
      </c>
      <c r="E1223" s="4" t="str">
        <f>HYPERLINK("https://app.crepc.sk/?fn=detailBiblioForm&amp;sid=C2230EC1641BA99A1DCF03A93C")</f>
        <v>https://app.crepc.sk/?fn=detailBiblioForm&amp;sid=C2230EC1641BA99A1DCF03A93C</v>
      </c>
    </row>
    <row r="1224" spans="3:5" ht="45" x14ac:dyDescent="0.25">
      <c r="C1224" s="15">
        <v>513496</v>
      </c>
      <c r="D1224" s="4" t="s">
        <v>1230</v>
      </c>
      <c r="E1224" s="4" t="str">
        <f>HYPERLINK("https://app.crepc.sk/?fn=detailBiblioForm&amp;sid=90FB1ACF428CDAC667D54B841D")</f>
        <v>https://app.crepc.sk/?fn=detailBiblioForm&amp;sid=90FB1ACF428CDAC667D54B841D</v>
      </c>
    </row>
    <row r="1225" spans="3:5" ht="90" x14ac:dyDescent="0.25">
      <c r="C1225" s="15">
        <v>460037</v>
      </c>
      <c r="D1225" s="4" t="s">
        <v>1231</v>
      </c>
      <c r="E1225" s="4" t="str">
        <f>HYPERLINK("https://app.crepc.sk/?fn=detailBiblioForm&amp;sid=C23948C2C0377DCC118E2576D6")</f>
        <v>https://app.crepc.sk/?fn=detailBiblioForm&amp;sid=C23948C2C0377DCC118E2576D6</v>
      </c>
    </row>
    <row r="1226" spans="3:5" ht="90" x14ac:dyDescent="0.25">
      <c r="C1226" s="15">
        <v>500489</v>
      </c>
      <c r="D1226" s="4" t="s">
        <v>1232</v>
      </c>
      <c r="E1226" s="4" t="str">
        <f>HYPERLINK("https://app.crepc.sk/?fn=detailBiblioForm&amp;sid=576714E9FF7CA40370EB082395")</f>
        <v>https://app.crepc.sk/?fn=detailBiblioForm&amp;sid=576714E9FF7CA40370EB082395</v>
      </c>
    </row>
    <row r="1227" spans="3:5" ht="75" x14ac:dyDescent="0.25">
      <c r="C1227" s="15">
        <v>483989</v>
      </c>
      <c r="D1227" s="4" t="s">
        <v>1233</v>
      </c>
      <c r="E1227" s="4" t="str">
        <f>HYPERLINK("https://app.crepc.sk/?fn=detailBiblioForm&amp;sid=F8303E194D2A08F47BD073C2FC")</f>
        <v>https://app.crepc.sk/?fn=detailBiblioForm&amp;sid=F8303E194D2A08F47BD073C2FC</v>
      </c>
    </row>
    <row r="1228" spans="3:5" ht="60" x14ac:dyDescent="0.25">
      <c r="C1228" s="15">
        <v>443244</v>
      </c>
      <c r="D1228" s="4" t="s">
        <v>1234</v>
      </c>
      <c r="E1228" s="4" t="str">
        <f>HYPERLINK("https://app.crepc.sk/?fn=detailBiblioForm&amp;sid=05DFDDD0691F0F032071107290")</f>
        <v>https://app.crepc.sk/?fn=detailBiblioForm&amp;sid=05DFDDD0691F0F032071107290</v>
      </c>
    </row>
    <row r="1229" spans="3:5" ht="60" x14ac:dyDescent="0.25">
      <c r="C1229" s="15">
        <v>516043</v>
      </c>
      <c r="D1229" s="4" t="s">
        <v>1235</v>
      </c>
      <c r="E1229" s="4" t="str">
        <f>HYPERLINK("https://app.crepc.sk/?fn=detailBiblioForm&amp;sid=48DA8DFE6606DDBBC107DB85D1")</f>
        <v>https://app.crepc.sk/?fn=detailBiblioForm&amp;sid=48DA8DFE6606DDBBC107DB85D1</v>
      </c>
    </row>
    <row r="1230" spans="3:5" ht="45" x14ac:dyDescent="0.25">
      <c r="C1230" s="15">
        <v>516048</v>
      </c>
      <c r="D1230" s="4" t="s">
        <v>1236</v>
      </c>
      <c r="E1230" s="4" t="str">
        <f>HYPERLINK("https://app.crepc.sk/?fn=detailBiblioForm&amp;sid=48DA8DFE6606DDBBC10CDB85D1")</f>
        <v>https://app.crepc.sk/?fn=detailBiblioForm&amp;sid=48DA8DFE6606DDBBC10CDB85D1</v>
      </c>
    </row>
    <row r="1231" spans="3:5" ht="60" x14ac:dyDescent="0.25">
      <c r="C1231" s="15">
        <v>474461</v>
      </c>
      <c r="D1231" s="4" t="s">
        <v>1237</v>
      </c>
      <c r="E1231" s="4" t="str">
        <f>HYPERLINK("https://app.crepc.sk/?fn=detailBiblioForm&amp;sid=72152986B4F53D9CE5AB8BA3F9")</f>
        <v>https://app.crepc.sk/?fn=detailBiblioForm&amp;sid=72152986B4F53D9CE5AB8BA3F9</v>
      </c>
    </row>
    <row r="1232" spans="3:5" ht="60" x14ac:dyDescent="0.25">
      <c r="C1232" s="15">
        <v>521535</v>
      </c>
      <c r="D1232" s="4" t="s">
        <v>1238</v>
      </c>
      <c r="E1232" s="4" t="str">
        <f>HYPERLINK("https://app.crepc.sk/?fn=detailBiblioForm&amp;sid=69EDBD46E8091CB038CEA8A439")</f>
        <v>https://app.crepc.sk/?fn=detailBiblioForm&amp;sid=69EDBD46E8091CB038CEA8A439</v>
      </c>
    </row>
    <row r="1233" spans="3:5" ht="60" x14ac:dyDescent="0.25">
      <c r="C1233" s="15">
        <v>493080</v>
      </c>
      <c r="D1233" s="4" t="s">
        <v>1239</v>
      </c>
      <c r="E1233" s="4" t="str">
        <f>HYPERLINK("https://app.crepc.sk/?fn=detailBiblioForm&amp;sid=A08D0C06F20009E6DCE793DA9B")</f>
        <v>https://app.crepc.sk/?fn=detailBiblioForm&amp;sid=A08D0C06F20009E6DCE793DA9B</v>
      </c>
    </row>
    <row r="1234" spans="3:5" ht="60" x14ac:dyDescent="0.25">
      <c r="C1234" s="15">
        <v>472463</v>
      </c>
      <c r="D1234" s="4" t="s">
        <v>1240</v>
      </c>
      <c r="E1234" s="4" t="str">
        <f>HYPERLINK("https://app.crepc.sk/?fn=detailBiblioForm&amp;sid=184EC68F3FE2AFBAE9EDCB0137")</f>
        <v>https://app.crepc.sk/?fn=detailBiblioForm&amp;sid=184EC68F3FE2AFBAE9EDCB0137</v>
      </c>
    </row>
    <row r="1235" spans="3:5" ht="60" x14ac:dyDescent="0.25">
      <c r="C1235" s="15">
        <v>481471</v>
      </c>
      <c r="D1235" s="4" t="s">
        <v>1241</v>
      </c>
      <c r="E1235" s="4" t="str">
        <f>HYPERLINK("https://app.crepc.sk/?fn=detailBiblioForm&amp;sid=08804FEFE2BEEF04F730330096")</f>
        <v>https://app.crepc.sk/?fn=detailBiblioForm&amp;sid=08804FEFE2BEEF04F730330096</v>
      </c>
    </row>
    <row r="1236" spans="3:5" ht="60" x14ac:dyDescent="0.25">
      <c r="C1236" s="15">
        <v>482084</v>
      </c>
      <c r="D1236" s="4" t="s">
        <v>1242</v>
      </c>
      <c r="E1236" s="4" t="str">
        <f>HYPERLINK("https://app.crepc.sk/?fn=detailBiblioForm&amp;sid=C0E3D9FE3EAE50AEB0B68205C0")</f>
        <v>https://app.crepc.sk/?fn=detailBiblioForm&amp;sid=C0E3D9FE3EAE50AEB0B68205C0</v>
      </c>
    </row>
    <row r="1237" spans="3:5" ht="90" x14ac:dyDescent="0.25">
      <c r="C1237" s="15">
        <v>492803</v>
      </c>
      <c r="D1237" s="4" t="s">
        <v>1243</v>
      </c>
      <c r="E1237" s="4" t="str">
        <f>HYPERLINK("https://app.crepc.sk/?fn=detailBiblioForm&amp;sid=3F2B3D0BAC2BCE3C1B18E74E05")</f>
        <v>https://app.crepc.sk/?fn=detailBiblioForm&amp;sid=3F2B3D0BAC2BCE3C1B18E74E05</v>
      </c>
    </row>
    <row r="1238" spans="3:5" ht="75" x14ac:dyDescent="0.25">
      <c r="C1238" s="15">
        <v>479763</v>
      </c>
      <c r="D1238" s="4" t="s">
        <v>1244</v>
      </c>
      <c r="E1238" s="4" t="str">
        <f>HYPERLINK("https://app.crepc.sk/?fn=detailBiblioForm&amp;sid=A7B55D0923B33869FC5E77451E")</f>
        <v>https://app.crepc.sk/?fn=detailBiblioForm&amp;sid=A7B55D0923B33869FC5E77451E</v>
      </c>
    </row>
    <row r="1239" spans="3:5" ht="75" x14ac:dyDescent="0.25">
      <c r="C1239" s="15">
        <v>522786</v>
      </c>
      <c r="D1239" s="4" t="s">
        <v>1245</v>
      </c>
      <c r="E1239" s="4" t="str">
        <f>HYPERLINK("https://app.crepc.sk/?fn=detailBiblioForm&amp;sid=CEB5E8CB3627079231E0367762")</f>
        <v>https://app.crepc.sk/?fn=detailBiblioForm&amp;sid=CEB5E8CB3627079231E0367762</v>
      </c>
    </row>
    <row r="1240" spans="3:5" ht="75" x14ac:dyDescent="0.25">
      <c r="C1240" s="15">
        <v>471282</v>
      </c>
      <c r="D1240" s="4" t="s">
        <v>1246</v>
      </c>
      <c r="E1240" s="4" t="str">
        <f>HYPERLINK("https://app.crepc.sk/?fn=detailBiblioForm&amp;sid=F18E6BFEFEE1B05F29A558BCE1")</f>
        <v>https://app.crepc.sk/?fn=detailBiblioForm&amp;sid=F18E6BFEFEE1B05F29A558BCE1</v>
      </c>
    </row>
    <row r="1241" spans="3:5" ht="75" x14ac:dyDescent="0.25">
      <c r="C1241" s="15">
        <v>465621</v>
      </c>
      <c r="D1241" s="4" t="s">
        <v>1247</v>
      </c>
      <c r="E1241" s="4" t="str">
        <f>HYPERLINK("https://app.crepc.sk/?fn=detailBiblioForm&amp;sid=D60DFC88C4A75522885F645AC5")</f>
        <v>https://app.crepc.sk/?fn=detailBiblioForm&amp;sid=D60DFC88C4A75522885F645AC5</v>
      </c>
    </row>
    <row r="1242" spans="3:5" ht="120" x14ac:dyDescent="0.25">
      <c r="C1242" s="15">
        <v>466050</v>
      </c>
      <c r="D1242" s="4" t="s">
        <v>1248</v>
      </c>
      <c r="E1242" s="4" t="str">
        <f>HYPERLINK("https://app.crepc.sk/?fn=detailBiblioForm&amp;sid=2B6274DA8AD2F195486CBE7EEF")</f>
        <v>https://app.crepc.sk/?fn=detailBiblioForm&amp;sid=2B6274DA8AD2F195486CBE7EEF</v>
      </c>
    </row>
    <row r="1243" spans="3:5" ht="75" x14ac:dyDescent="0.25">
      <c r="C1243" s="15">
        <v>430007</v>
      </c>
      <c r="D1243" s="4" t="s">
        <v>1249</v>
      </c>
      <c r="E1243" s="4" t="str">
        <f>HYPERLINK("https://app.crepc.sk/?fn=detailBiblioForm&amp;sid=F2E556D6E2C83231B215416B40")</f>
        <v>https://app.crepc.sk/?fn=detailBiblioForm&amp;sid=F2E556D6E2C83231B215416B40</v>
      </c>
    </row>
    <row r="1244" spans="3:5" ht="60" x14ac:dyDescent="0.25">
      <c r="C1244" s="15">
        <v>519752</v>
      </c>
      <c r="D1244" s="4" t="s">
        <v>1250</v>
      </c>
      <c r="E1244" s="4" t="str">
        <f>HYPERLINK("https://app.crepc.sk/?fn=detailBiblioForm&amp;sid=3CF9681F115FD6E29D62D3733A")</f>
        <v>https://app.crepc.sk/?fn=detailBiblioForm&amp;sid=3CF9681F115FD6E29D62D3733A</v>
      </c>
    </row>
    <row r="1245" spans="3:5" ht="75" x14ac:dyDescent="0.25">
      <c r="C1245" s="15">
        <v>472074</v>
      </c>
      <c r="D1245" s="4" t="s">
        <v>1251</v>
      </c>
      <c r="E1245" s="4" t="str">
        <f>HYPERLINK("https://app.crepc.sk/?fn=detailBiblioForm&amp;sid=A8FC318995DD4AFB476316DBDB")</f>
        <v>https://app.crepc.sk/?fn=detailBiblioForm&amp;sid=A8FC318995DD4AFB476316DBDB</v>
      </c>
    </row>
    <row r="1246" spans="3:5" ht="90" x14ac:dyDescent="0.25">
      <c r="C1246" s="15">
        <v>458686</v>
      </c>
      <c r="D1246" s="4" t="s">
        <v>1252</v>
      </c>
      <c r="E1246" s="4" t="str">
        <f>HYPERLINK("https://app.crepc.sk/?fn=detailBiblioForm&amp;sid=8CBF49421BBF0079F0C1AB89E5")</f>
        <v>https://app.crepc.sk/?fn=detailBiblioForm&amp;sid=8CBF49421BBF0079F0C1AB89E5</v>
      </c>
    </row>
    <row r="1247" spans="3:5" ht="90" x14ac:dyDescent="0.25">
      <c r="C1247" s="15">
        <v>493111</v>
      </c>
      <c r="D1247" s="4" t="s">
        <v>1253</v>
      </c>
      <c r="E1247" s="4" t="str">
        <f>HYPERLINK("https://app.crepc.sk/?fn=detailBiblioForm&amp;sid=461C2D9728B8750113C9299B18")</f>
        <v>https://app.crepc.sk/?fn=detailBiblioForm&amp;sid=461C2D9728B8750113C9299B18</v>
      </c>
    </row>
    <row r="1248" spans="3:5" ht="75" x14ac:dyDescent="0.25">
      <c r="C1248" s="15">
        <v>525436</v>
      </c>
      <c r="D1248" s="4" t="s">
        <v>1254</v>
      </c>
      <c r="E1248" s="4" t="str">
        <f>HYPERLINK("https://app.crepc.sk/?fn=detailBiblioForm&amp;sid=FEA95A9C78405D1B37964F0FE1")</f>
        <v>https://app.crepc.sk/?fn=detailBiblioForm&amp;sid=FEA95A9C78405D1B37964F0FE1</v>
      </c>
    </row>
    <row r="1249" spans="3:5" ht="105" x14ac:dyDescent="0.25">
      <c r="C1249" s="15">
        <v>469476</v>
      </c>
      <c r="D1249" s="4" t="s">
        <v>1255</v>
      </c>
      <c r="E1249" s="4" t="str">
        <f>HYPERLINK("https://app.crepc.sk/?fn=detailBiblioForm&amp;sid=60CFF5964A6149A8882D33F7DF")</f>
        <v>https://app.crepc.sk/?fn=detailBiblioForm&amp;sid=60CFF5964A6149A8882D33F7DF</v>
      </c>
    </row>
    <row r="1250" spans="3:5" ht="90" x14ac:dyDescent="0.25">
      <c r="C1250" s="15">
        <v>504656</v>
      </c>
      <c r="D1250" s="4" t="s">
        <v>1256</v>
      </c>
      <c r="E1250" s="4" t="str">
        <f>HYPERLINK("https://app.crepc.sk/?fn=detailBiblioForm&amp;sid=82558D5A2F342A524BB9263903")</f>
        <v>https://app.crepc.sk/?fn=detailBiblioForm&amp;sid=82558D5A2F342A524BB9263903</v>
      </c>
    </row>
    <row r="1251" spans="3:5" ht="75" x14ac:dyDescent="0.25">
      <c r="C1251" s="15">
        <v>475317</v>
      </c>
      <c r="D1251" s="4" t="s">
        <v>1257</v>
      </c>
      <c r="E1251" s="4" t="str">
        <f>HYPERLINK("https://app.crepc.sk/?fn=detailBiblioForm&amp;sid=EBB00340FF4A326887FEF49EFA")</f>
        <v>https://app.crepc.sk/?fn=detailBiblioForm&amp;sid=EBB00340FF4A326887FEF49EFA</v>
      </c>
    </row>
    <row r="1252" spans="3:5" ht="75" x14ac:dyDescent="0.25">
      <c r="C1252" s="15">
        <v>472293</v>
      </c>
      <c r="D1252" s="4" t="s">
        <v>1258</v>
      </c>
      <c r="E1252" s="4" t="str">
        <f>HYPERLINK("https://app.crepc.sk/?fn=detailBiblioForm&amp;sid=0CB211958038C7491AA7707AE3")</f>
        <v>https://app.crepc.sk/?fn=detailBiblioForm&amp;sid=0CB211958038C7491AA7707AE3</v>
      </c>
    </row>
    <row r="1253" spans="3:5" ht="60" x14ac:dyDescent="0.25">
      <c r="C1253" s="15">
        <v>472253</v>
      </c>
      <c r="D1253" s="4" t="s">
        <v>1259</v>
      </c>
      <c r="E1253" s="4" t="str">
        <f>HYPERLINK("https://app.crepc.sk/?fn=detailBiblioForm&amp;sid=0CB211958038C74916A7707AE3")</f>
        <v>https://app.crepc.sk/?fn=detailBiblioForm&amp;sid=0CB211958038C74916A7707AE3</v>
      </c>
    </row>
    <row r="1254" spans="3:5" ht="75" x14ac:dyDescent="0.25">
      <c r="C1254" s="15">
        <v>526572</v>
      </c>
      <c r="D1254" s="4" t="s">
        <v>1260</v>
      </c>
      <c r="E1254" s="4" t="str">
        <f>HYPERLINK("https://app.crepc.sk/?fn=detailBiblioForm&amp;sid=CDAF6A33D4190CF5D87654A926")</f>
        <v>https://app.crepc.sk/?fn=detailBiblioForm&amp;sid=CDAF6A33D4190CF5D87654A926</v>
      </c>
    </row>
    <row r="1255" spans="3:5" ht="60" x14ac:dyDescent="0.25">
      <c r="C1255" s="15">
        <v>507652</v>
      </c>
      <c r="D1255" s="4" t="s">
        <v>1261</v>
      </c>
      <c r="E1255" s="4" t="str">
        <f>HYPERLINK("https://app.crepc.sk/?fn=detailBiblioForm&amp;sid=A363D22A746428FBF1F80C0F7A")</f>
        <v>https://app.crepc.sk/?fn=detailBiblioForm&amp;sid=A363D22A746428FBF1F80C0F7A</v>
      </c>
    </row>
    <row r="1256" spans="3:5" ht="60" x14ac:dyDescent="0.25">
      <c r="C1256" s="15">
        <v>501097</v>
      </c>
      <c r="D1256" s="4" t="s">
        <v>1262</v>
      </c>
      <c r="E1256" s="4" t="str">
        <f>HYPERLINK("https://app.crepc.sk/?fn=detailBiblioForm&amp;sid=1EA230A4C2FB54E2BD433C065C")</f>
        <v>https://app.crepc.sk/?fn=detailBiblioForm&amp;sid=1EA230A4C2FB54E2BD433C065C</v>
      </c>
    </row>
    <row r="1257" spans="3:5" ht="75" x14ac:dyDescent="0.25">
      <c r="C1257" s="15">
        <v>460009</v>
      </c>
      <c r="D1257" s="4" t="s">
        <v>1263</v>
      </c>
      <c r="E1257" s="4" t="str">
        <f>HYPERLINK("https://app.crepc.sk/?fn=detailBiblioForm&amp;sid=C23948C2C0377DCC12802576D6")</f>
        <v>https://app.crepc.sk/?fn=detailBiblioForm&amp;sid=C23948C2C0377DCC12802576D6</v>
      </c>
    </row>
    <row r="1258" spans="3:5" ht="60" x14ac:dyDescent="0.25">
      <c r="C1258" s="15">
        <v>513502</v>
      </c>
      <c r="D1258" s="4" t="s">
        <v>1264</v>
      </c>
      <c r="E1258" s="4" t="str">
        <f>HYPERLINK("https://app.crepc.sk/?fn=detailBiblioForm&amp;sid=B660E33DF1117A122692BB130C")</f>
        <v>https://app.crepc.sk/?fn=detailBiblioForm&amp;sid=B660E33DF1117A122692BB130C</v>
      </c>
    </row>
    <row r="1259" spans="3:5" ht="60" x14ac:dyDescent="0.25">
      <c r="C1259" s="15">
        <v>459177</v>
      </c>
      <c r="D1259" s="4" t="s">
        <v>1265</v>
      </c>
      <c r="E1259" s="4" t="str">
        <f>HYPERLINK("https://app.crepc.sk/?fn=detailBiblioForm&amp;sid=CBE5EC6E8B9F00D19BABE0E5DF")</f>
        <v>https://app.crepc.sk/?fn=detailBiblioForm&amp;sid=CBE5EC6E8B9F00D19BABE0E5DF</v>
      </c>
    </row>
    <row r="1260" spans="3:5" ht="60" x14ac:dyDescent="0.25">
      <c r="C1260" s="15">
        <v>462697</v>
      </c>
      <c r="D1260" s="4" t="s">
        <v>1266</v>
      </c>
      <c r="E1260" s="4" t="str">
        <f>HYPERLINK("https://app.crepc.sk/?fn=detailBiblioForm&amp;sid=DE038CA97CA1C471AB96D3CE71")</f>
        <v>https://app.crepc.sk/?fn=detailBiblioForm&amp;sid=DE038CA97CA1C471AB96D3CE71</v>
      </c>
    </row>
    <row r="1261" spans="3:5" ht="60" x14ac:dyDescent="0.25">
      <c r="C1261" s="15">
        <v>510973</v>
      </c>
      <c r="D1261" s="4" t="s">
        <v>1267</v>
      </c>
      <c r="E1261" s="4" t="str">
        <f>HYPERLINK("https://app.crepc.sk/?fn=detailBiblioForm&amp;sid=FB5377DED47B74D4D339469B70")</f>
        <v>https://app.crepc.sk/?fn=detailBiblioForm&amp;sid=FB5377DED47B74D4D339469B70</v>
      </c>
    </row>
    <row r="1262" spans="3:5" ht="75" x14ac:dyDescent="0.25">
      <c r="C1262" s="15">
        <v>522715</v>
      </c>
      <c r="D1262" s="4" t="s">
        <v>1268</v>
      </c>
      <c r="E1262" s="4" t="str">
        <f>HYPERLINK("https://app.crepc.sk/?fn=detailBiblioForm&amp;sid=CEB5E8CB3627079238E3367762")</f>
        <v>https://app.crepc.sk/?fn=detailBiblioForm&amp;sid=CEB5E8CB3627079238E3367762</v>
      </c>
    </row>
    <row r="1263" spans="3:5" ht="105" x14ac:dyDescent="0.25">
      <c r="C1263" s="15">
        <v>458685</v>
      </c>
      <c r="D1263" s="4" t="s">
        <v>1269</v>
      </c>
      <c r="E1263" s="4" t="str">
        <f>HYPERLINK("https://app.crepc.sk/?fn=detailBiblioForm&amp;sid=8CBF49421BBF0079F0C2AB89E5")</f>
        <v>https://app.crepc.sk/?fn=detailBiblioForm&amp;sid=8CBF49421BBF0079F0C2AB89E5</v>
      </c>
    </row>
    <row r="1264" spans="3:5" ht="60" x14ac:dyDescent="0.25">
      <c r="C1264" s="15">
        <v>505882</v>
      </c>
      <c r="D1264" s="4" t="s">
        <v>1270</v>
      </c>
      <c r="E1264" s="4" t="str">
        <f>HYPERLINK("https://app.crepc.sk/?fn=detailBiblioForm&amp;sid=26733A8A64F1EAF6E5B6E13F1E")</f>
        <v>https://app.crepc.sk/?fn=detailBiblioForm&amp;sid=26733A8A64F1EAF6E5B6E13F1E</v>
      </c>
    </row>
    <row r="1265" spans="3:5" ht="75" x14ac:dyDescent="0.25">
      <c r="C1265" s="15">
        <v>495688</v>
      </c>
      <c r="D1265" s="4" t="s">
        <v>1271</v>
      </c>
      <c r="E1265" s="4" t="str">
        <f>HYPERLINK("https://app.crepc.sk/?fn=detailBiblioForm&amp;sid=AB574C4B6B0EDE306CD80166A6")</f>
        <v>https://app.crepc.sk/?fn=detailBiblioForm&amp;sid=AB574C4B6B0EDE306CD80166A6</v>
      </c>
    </row>
    <row r="1266" spans="3:5" ht="75" x14ac:dyDescent="0.25">
      <c r="C1266" s="15">
        <v>469449</v>
      </c>
      <c r="D1266" s="4" t="s">
        <v>1272</v>
      </c>
      <c r="E1266" s="4" t="str">
        <f>HYPERLINK("https://app.crepc.sk/?fn=detailBiblioForm&amp;sid=60CFF5964A6149A88B2233F7DF")</f>
        <v>https://app.crepc.sk/?fn=detailBiblioForm&amp;sid=60CFF5964A6149A88B2233F7DF</v>
      </c>
    </row>
    <row r="1267" spans="3:5" ht="60" x14ac:dyDescent="0.25">
      <c r="C1267" s="15">
        <v>524015</v>
      </c>
      <c r="D1267" s="4" t="s">
        <v>1273</v>
      </c>
      <c r="E1267" s="4" t="str">
        <f>HYPERLINK("https://app.crepc.sk/?fn=detailBiblioForm&amp;sid=CC9B8B3184D0634FF84839B12A")</f>
        <v>https://app.crepc.sk/?fn=detailBiblioForm&amp;sid=CC9B8B3184D0634FF84839B12A</v>
      </c>
    </row>
    <row r="1268" spans="3:5" ht="75" x14ac:dyDescent="0.25">
      <c r="C1268" s="15">
        <v>513975</v>
      </c>
      <c r="D1268" s="4" t="s">
        <v>1274</v>
      </c>
      <c r="E1268" s="4" t="str">
        <f>HYPERLINK("https://app.crepc.sk/?fn=detailBiblioForm&amp;sid=1EAD79F2D14E82E308C2454075")</f>
        <v>https://app.crepc.sk/?fn=detailBiblioForm&amp;sid=1EAD79F2D14E82E308C2454075</v>
      </c>
    </row>
    <row r="1269" spans="3:5" ht="75" x14ac:dyDescent="0.25">
      <c r="C1269" s="15">
        <v>464033</v>
      </c>
      <c r="D1269" s="4" t="s">
        <v>1275</v>
      </c>
      <c r="E1269" s="4" t="str">
        <f>HYPERLINK("https://app.crepc.sk/?fn=detailBiblioForm&amp;sid=2B0ECF27A8CB92A2EC23BDB664")</f>
        <v>https://app.crepc.sk/?fn=detailBiblioForm&amp;sid=2B0ECF27A8CB92A2EC23BDB664</v>
      </c>
    </row>
    <row r="1270" spans="3:5" ht="60" x14ac:dyDescent="0.25">
      <c r="C1270" s="15">
        <v>525963</v>
      </c>
      <c r="D1270" s="4" t="s">
        <v>1276</v>
      </c>
      <c r="E1270" s="4" t="str">
        <f>HYPERLINK("https://app.crepc.sk/?fn=detailBiblioForm&amp;sid=0446DCEE7C6F4765D6B2BAEEE0")</f>
        <v>https://app.crepc.sk/?fn=detailBiblioForm&amp;sid=0446DCEE7C6F4765D6B2BAEEE0</v>
      </c>
    </row>
    <row r="1271" spans="3:5" ht="60" x14ac:dyDescent="0.25">
      <c r="C1271" s="15">
        <v>489685</v>
      </c>
      <c r="D1271" s="4" t="s">
        <v>1277</v>
      </c>
      <c r="E1271" s="4" t="str">
        <f>HYPERLINK("https://app.crepc.sk/?fn=detailBiblioForm&amp;sid=5581560727F955EBA0D05FA790")</f>
        <v>https://app.crepc.sk/?fn=detailBiblioForm&amp;sid=5581560727F955EBA0D05FA790</v>
      </c>
    </row>
    <row r="1272" spans="3:5" ht="120" x14ac:dyDescent="0.25">
      <c r="C1272" s="15">
        <v>509418</v>
      </c>
      <c r="D1272" s="4" t="s">
        <v>1278</v>
      </c>
      <c r="E1272" s="4" t="str">
        <f>HYPERLINK("https://app.crepc.sk/?fn=detailBiblioForm&amp;sid=1346D556A1208B2BE7DFD6D01F")</f>
        <v>https://app.crepc.sk/?fn=detailBiblioForm&amp;sid=1346D556A1208B2BE7DFD6D01F</v>
      </c>
    </row>
    <row r="1273" spans="3:5" ht="90" x14ac:dyDescent="0.25">
      <c r="C1273" s="15">
        <v>463492</v>
      </c>
      <c r="D1273" s="4" t="s">
        <v>1279</v>
      </c>
      <c r="E1273" s="4" t="str">
        <f>HYPERLINK("https://app.crepc.sk/?fn=detailBiblioForm&amp;sid=796E8C6E642B47B163580D1BEB")</f>
        <v>https://app.crepc.sk/?fn=detailBiblioForm&amp;sid=796E8C6E642B47B163580D1BEB</v>
      </c>
    </row>
    <row r="1274" spans="3:5" ht="60" x14ac:dyDescent="0.25">
      <c r="C1274" s="15">
        <v>495610</v>
      </c>
      <c r="D1274" s="4" t="s">
        <v>1280</v>
      </c>
      <c r="E1274" s="4" t="str">
        <f>HYPERLINK("https://app.crepc.sk/?fn=detailBiblioForm&amp;sid=AB574C4B6B0EDE3065D00166A6")</f>
        <v>https://app.crepc.sk/?fn=detailBiblioForm&amp;sid=AB574C4B6B0EDE3065D00166A6</v>
      </c>
    </row>
    <row r="1275" spans="3:5" ht="90" x14ac:dyDescent="0.25">
      <c r="C1275" s="15">
        <v>510162</v>
      </c>
      <c r="D1275" s="4" t="s">
        <v>1281</v>
      </c>
      <c r="E1275" s="4" t="str">
        <f>HYPERLINK("https://app.crepc.sk/?fn=detailBiblioForm&amp;sid=8425223069A9860C1CCE36A800")</f>
        <v>https://app.crepc.sk/?fn=detailBiblioForm&amp;sid=8425223069A9860C1CCE36A800</v>
      </c>
    </row>
    <row r="1276" spans="3:5" ht="75" x14ac:dyDescent="0.25">
      <c r="C1276" s="15">
        <v>508975</v>
      </c>
      <c r="D1276" s="4" t="s">
        <v>1282</v>
      </c>
      <c r="E1276" s="4" t="str">
        <f>HYPERLINK("https://app.crepc.sk/?fn=detailBiblioForm&amp;sid=CAA1A9E2D75D929AA35396B668")</f>
        <v>https://app.crepc.sk/?fn=detailBiblioForm&amp;sid=CAA1A9E2D75D929AA35396B668</v>
      </c>
    </row>
    <row r="1277" spans="3:5" ht="60" x14ac:dyDescent="0.25">
      <c r="C1277" s="15">
        <v>475816</v>
      </c>
      <c r="D1277" s="4" t="s">
        <v>1283</v>
      </c>
      <c r="E1277" s="4" t="str">
        <f>HYPERLINK("https://app.crepc.sk/?fn=detailBiblioForm&amp;sid=96B46CA843D0FC6DF85BFDA77E")</f>
        <v>https://app.crepc.sk/?fn=detailBiblioForm&amp;sid=96B46CA843D0FC6DF85BFDA77E</v>
      </c>
    </row>
    <row r="1278" spans="3:5" ht="75" x14ac:dyDescent="0.25">
      <c r="C1278" s="15">
        <v>469474</v>
      </c>
      <c r="D1278" s="4" t="s">
        <v>1284</v>
      </c>
      <c r="E1278" s="4" t="str">
        <f>HYPERLINK("https://app.crepc.sk/?fn=detailBiblioForm&amp;sid=60CFF5964A6149A8882F33F7DF")</f>
        <v>https://app.crepc.sk/?fn=detailBiblioForm&amp;sid=60CFF5964A6149A8882F33F7DF</v>
      </c>
    </row>
    <row r="1279" spans="3:5" ht="105" x14ac:dyDescent="0.25">
      <c r="C1279" s="15">
        <v>485720</v>
      </c>
      <c r="D1279" s="4" t="s">
        <v>1285</v>
      </c>
      <c r="E1279" s="4" t="str">
        <f>HYPERLINK("https://app.crepc.sk/?fn=detailBiblioForm&amp;sid=FB75511305117E61058714AC57")</f>
        <v>https://app.crepc.sk/?fn=detailBiblioForm&amp;sid=FB75511305117E61058714AC57</v>
      </c>
    </row>
    <row r="1280" spans="3:5" ht="60" x14ac:dyDescent="0.25">
      <c r="C1280" s="15">
        <v>481579</v>
      </c>
      <c r="D1280" s="4" t="s">
        <v>1286</v>
      </c>
      <c r="E1280" s="4" t="str">
        <f>HYPERLINK("https://app.crepc.sk/?fn=detailBiblioForm&amp;sid=2D19B3FD55874D6F76D6603105")</f>
        <v>https://app.crepc.sk/?fn=detailBiblioForm&amp;sid=2D19B3FD55874D6F76D6603105</v>
      </c>
    </row>
    <row r="1281" spans="3:5" ht="75" x14ac:dyDescent="0.25">
      <c r="C1281" s="15">
        <v>514797</v>
      </c>
      <c r="D1281" s="4" t="s">
        <v>1287</v>
      </c>
      <c r="E1281" s="4" t="str">
        <f>HYPERLINK("https://app.crepc.sk/?fn=detailBiblioForm&amp;sid=23D6B832D4F85AEFDF969A3CA5")</f>
        <v>https://app.crepc.sk/?fn=detailBiblioForm&amp;sid=23D6B832D4F85AEFDF969A3CA5</v>
      </c>
    </row>
    <row r="1282" spans="3:5" ht="60" x14ac:dyDescent="0.25">
      <c r="C1282" s="15">
        <v>489050</v>
      </c>
      <c r="D1282" s="4" t="s">
        <v>1288</v>
      </c>
      <c r="E1282" s="4" t="str">
        <f>HYPERLINK("https://app.crepc.sk/?fn=detailBiblioForm&amp;sid=34E7ED4AF4F84B72067116FA93")</f>
        <v>https://app.crepc.sk/?fn=detailBiblioForm&amp;sid=34E7ED4AF4F84B72067116FA93</v>
      </c>
    </row>
    <row r="1283" spans="3:5" ht="60" x14ac:dyDescent="0.25">
      <c r="C1283" s="15">
        <v>501091</v>
      </c>
      <c r="D1283" s="4" t="s">
        <v>1289</v>
      </c>
      <c r="E1283" s="4" t="str">
        <f>HYPERLINK("https://app.crepc.sk/?fn=detailBiblioForm&amp;sid=1EA230A4C2FB54E2BD453C065C")</f>
        <v>https://app.crepc.sk/?fn=detailBiblioForm&amp;sid=1EA230A4C2FB54E2BD453C065C</v>
      </c>
    </row>
    <row r="1284" spans="3:5" ht="90" x14ac:dyDescent="0.25">
      <c r="C1284" s="15">
        <v>429992</v>
      </c>
      <c r="D1284" s="4" t="s">
        <v>1290</v>
      </c>
      <c r="E1284" s="4" t="str">
        <f>HYPERLINK("https://app.crepc.sk/?fn=detailBiblioForm&amp;sid=F2CB1DB272C88107E5DE8E3AD3")</f>
        <v>https://app.crepc.sk/?fn=detailBiblioForm&amp;sid=F2CB1DB272C88107E5DE8E3AD3</v>
      </c>
    </row>
    <row r="1285" spans="3:5" ht="90" x14ac:dyDescent="0.25">
      <c r="C1285" s="15">
        <v>479772</v>
      </c>
      <c r="D1285" s="4" t="s">
        <v>1291</v>
      </c>
      <c r="E1285" s="4" t="str">
        <f>HYPERLINK("https://app.crepc.sk/?fn=detailBiblioForm&amp;sid=A7B55D0923B33869FD5F77451E")</f>
        <v>https://app.crepc.sk/?fn=detailBiblioForm&amp;sid=A7B55D0923B33869FD5F77451E</v>
      </c>
    </row>
    <row r="1286" spans="3:5" ht="75" x14ac:dyDescent="0.25">
      <c r="C1286" s="15">
        <v>478030</v>
      </c>
      <c r="D1286" s="4" t="s">
        <v>1292</v>
      </c>
      <c r="E1286" s="4" t="str">
        <f>HYPERLINK("https://app.crepc.sk/?fn=detailBiblioForm&amp;sid=CB5E56B0726D2DD5EBF595BDB5")</f>
        <v>https://app.crepc.sk/?fn=detailBiblioForm&amp;sid=CB5E56B0726D2DD5EBF595BDB5</v>
      </c>
    </row>
    <row r="1287" spans="3:5" ht="75" x14ac:dyDescent="0.25">
      <c r="C1287" s="15">
        <v>481337</v>
      </c>
      <c r="D1287" s="4" t="s">
        <v>1293</v>
      </c>
      <c r="E1287" s="4" t="str">
        <f>HYPERLINK("https://app.crepc.sk/?fn=detailBiblioForm&amp;sid=272C2BE0898E8394368A9FF37C")</f>
        <v>https://app.crepc.sk/?fn=detailBiblioForm&amp;sid=272C2BE0898E8394368A9FF37C</v>
      </c>
    </row>
    <row r="1288" spans="3:5" ht="75" x14ac:dyDescent="0.25">
      <c r="C1288" s="15">
        <v>492730</v>
      </c>
      <c r="D1288" s="4" t="s">
        <v>1294</v>
      </c>
      <c r="E1288" s="4" t="str">
        <f>HYPERLINK("https://app.crepc.sk/?fn=detailBiblioForm&amp;sid=D5F6245029F2FAC3B7A1F13C0F")</f>
        <v>https://app.crepc.sk/?fn=detailBiblioForm&amp;sid=D5F6245029F2FAC3B7A1F13C0F</v>
      </c>
    </row>
    <row r="1289" spans="3:5" ht="75" x14ac:dyDescent="0.25">
      <c r="C1289" s="15">
        <v>493463</v>
      </c>
      <c r="D1289" s="4" t="s">
        <v>1295</v>
      </c>
      <c r="E1289" s="4" t="str">
        <f>HYPERLINK("https://app.crepc.sk/?fn=detailBiblioForm&amp;sid=4C016C14589E63248797F24AE5")</f>
        <v>https://app.crepc.sk/?fn=detailBiblioForm&amp;sid=4C016C14589E63248797F24AE5</v>
      </c>
    </row>
    <row r="1290" spans="3:5" ht="105" x14ac:dyDescent="0.25">
      <c r="C1290" s="15">
        <v>463038</v>
      </c>
      <c r="D1290" s="4" t="s">
        <v>1296</v>
      </c>
      <c r="E1290" s="4" t="str">
        <f>HYPERLINK("https://app.crepc.sk/?fn=detailBiblioForm&amp;sid=28D1F0BE244D3379C9937189EB")</f>
        <v>https://app.crepc.sk/?fn=detailBiblioForm&amp;sid=28D1F0BE244D3379C9937189EB</v>
      </c>
    </row>
    <row r="1291" spans="3:5" ht="60" x14ac:dyDescent="0.25">
      <c r="C1291" s="15">
        <v>491982</v>
      </c>
      <c r="D1291" s="4" t="s">
        <v>1297</v>
      </c>
      <c r="E1291" s="4" t="str">
        <f>HYPERLINK("https://app.crepc.sk/?fn=detailBiblioForm&amp;sid=7E453A5A8955FCD66715C94942")</f>
        <v>https://app.crepc.sk/?fn=detailBiblioForm&amp;sid=7E453A5A8955FCD66715C94942</v>
      </c>
    </row>
    <row r="1292" spans="3:5" ht="60" x14ac:dyDescent="0.25">
      <c r="C1292" s="15">
        <v>462967</v>
      </c>
      <c r="D1292" s="4" t="s">
        <v>1298</v>
      </c>
      <c r="E1292" s="4" t="str">
        <f>HYPERLINK("https://app.crepc.sk/?fn=detailBiblioForm&amp;sid=32F76EF9325E82ACFF5EB1356B")</f>
        <v>https://app.crepc.sk/?fn=detailBiblioForm&amp;sid=32F76EF9325E82ACFF5EB1356B</v>
      </c>
    </row>
    <row r="1293" spans="3:5" ht="60" x14ac:dyDescent="0.25">
      <c r="C1293" s="15">
        <v>442686</v>
      </c>
      <c r="D1293" s="4" t="s">
        <v>1299</v>
      </c>
      <c r="E1293" s="4" t="str">
        <f>HYPERLINK("https://app.crepc.sk/?fn=detailBiblioForm&amp;sid=E0A737AA77CC1B73384A438573")</f>
        <v>https://app.crepc.sk/?fn=detailBiblioForm&amp;sid=E0A737AA77CC1B73384A438573</v>
      </c>
    </row>
    <row r="1294" spans="3:5" ht="75" x14ac:dyDescent="0.25">
      <c r="C1294" s="15">
        <v>427928</v>
      </c>
      <c r="D1294" s="4" t="s">
        <v>1300</v>
      </c>
      <c r="E1294" s="4" t="str">
        <f>HYPERLINK("https://app.crepc.sk/?fn=detailBiblioForm&amp;sid=8C33B2022A85A58E89B284D0D1")</f>
        <v>https://app.crepc.sk/?fn=detailBiblioForm&amp;sid=8C33B2022A85A58E89B284D0D1</v>
      </c>
    </row>
    <row r="1295" spans="3:5" ht="90" x14ac:dyDescent="0.25">
      <c r="C1295" s="15">
        <v>481799</v>
      </c>
      <c r="D1295" s="4" t="s">
        <v>1301</v>
      </c>
      <c r="E1295" s="4" t="str">
        <f>HYPERLINK("https://app.crepc.sk/?fn=detailBiblioForm&amp;sid=7533E11E51046A273F862B0696")</f>
        <v>https://app.crepc.sk/?fn=detailBiblioForm&amp;sid=7533E11E51046A273F862B0696</v>
      </c>
    </row>
    <row r="1296" spans="3:5" ht="60" x14ac:dyDescent="0.25">
      <c r="C1296" s="15">
        <v>466762</v>
      </c>
      <c r="D1296" s="4" t="s">
        <v>1302</v>
      </c>
      <c r="E1296" s="4" t="str">
        <f>HYPERLINK("https://app.crepc.sk/?fn=detailBiblioForm&amp;sid=2967F76C5095C99EA351B1582D")</f>
        <v>https://app.crepc.sk/?fn=detailBiblioForm&amp;sid=2967F76C5095C99EA351B1582D</v>
      </c>
    </row>
    <row r="1297" spans="3:5" ht="75" x14ac:dyDescent="0.25">
      <c r="C1297" s="15">
        <v>517931</v>
      </c>
      <c r="D1297" s="4" t="s">
        <v>1303</v>
      </c>
      <c r="E1297" s="4" t="str">
        <f>HYPERLINK("https://app.crepc.sk/?fn=detailBiblioForm&amp;sid=148FDE438532EDA111EE1A5FD5")</f>
        <v>https://app.crepc.sk/?fn=detailBiblioForm&amp;sid=148FDE438532EDA111EE1A5FD5</v>
      </c>
    </row>
    <row r="1298" spans="3:5" ht="75" x14ac:dyDescent="0.25">
      <c r="C1298" s="15">
        <v>458696</v>
      </c>
      <c r="D1298" s="4" t="s">
        <v>1304</v>
      </c>
      <c r="E1298" s="4" t="str">
        <f>HYPERLINK("https://app.crepc.sk/?fn=detailBiblioForm&amp;sid=8CBF49421BBF0079F1C1AB89E5")</f>
        <v>https://app.crepc.sk/?fn=detailBiblioForm&amp;sid=8CBF49421BBF0079F1C1AB89E5</v>
      </c>
    </row>
    <row r="1299" spans="3:5" ht="90" x14ac:dyDescent="0.25">
      <c r="C1299" s="15">
        <v>522991</v>
      </c>
      <c r="D1299" s="4" t="s">
        <v>1305</v>
      </c>
      <c r="E1299" s="4" t="str">
        <f>HYPERLINK("https://app.crepc.sk/?fn=detailBiblioForm&amp;sid=74960B60A46A20C7EB15366346")</f>
        <v>https://app.crepc.sk/?fn=detailBiblioForm&amp;sid=74960B60A46A20C7EB15366346</v>
      </c>
    </row>
    <row r="1300" spans="3:5" ht="75" x14ac:dyDescent="0.25">
      <c r="C1300" s="15">
        <v>468522</v>
      </c>
      <c r="D1300" s="4" t="s">
        <v>1306</v>
      </c>
      <c r="E1300" s="4" t="str">
        <f>HYPERLINK("https://app.crepc.sk/?fn=detailBiblioForm&amp;sid=234FD712864E2777B59E842872")</f>
        <v>https://app.crepc.sk/?fn=detailBiblioForm&amp;sid=234FD712864E2777B59E842872</v>
      </c>
    </row>
    <row r="1301" spans="3:5" ht="60" x14ac:dyDescent="0.25">
      <c r="C1301" s="15">
        <v>500945</v>
      </c>
      <c r="D1301" s="4" t="s">
        <v>1307</v>
      </c>
      <c r="E1301" s="4" t="str">
        <f>HYPERLINK("https://app.crepc.sk/?fn=detailBiblioForm&amp;sid=5F5FBA760FBAABB6F17622920E")</f>
        <v>https://app.crepc.sk/?fn=detailBiblioForm&amp;sid=5F5FBA760FBAABB6F17622920E</v>
      </c>
    </row>
    <row r="1302" spans="3:5" ht="90" x14ac:dyDescent="0.25">
      <c r="C1302" s="15">
        <v>458700</v>
      </c>
      <c r="D1302" s="4" t="s">
        <v>1308</v>
      </c>
      <c r="E1302" s="4" t="str">
        <f>HYPERLINK("https://app.crepc.sk/?fn=detailBiblioForm&amp;sid=D342465256AB49C035C9406A33")</f>
        <v>https://app.crepc.sk/?fn=detailBiblioForm&amp;sid=D342465256AB49C035C9406A33</v>
      </c>
    </row>
    <row r="1303" spans="3:5" ht="60" x14ac:dyDescent="0.25">
      <c r="C1303" s="15">
        <v>523356</v>
      </c>
      <c r="D1303" s="4" t="s">
        <v>1309</v>
      </c>
      <c r="E1303" s="4" t="str">
        <f>HYPERLINK("https://app.crepc.sk/?fn=detailBiblioForm&amp;sid=4DDB7F86E218AD26844B8C6577")</f>
        <v>https://app.crepc.sk/?fn=detailBiblioForm&amp;sid=4DDB7F86E218AD26844B8C6577</v>
      </c>
    </row>
    <row r="1304" spans="3:5" ht="45" x14ac:dyDescent="0.25">
      <c r="C1304" s="15">
        <v>514795</v>
      </c>
      <c r="D1304" s="4" t="s">
        <v>1310</v>
      </c>
      <c r="E1304" s="4" t="str">
        <f>HYPERLINK("https://app.crepc.sk/?fn=detailBiblioForm&amp;sid=23D6B832D4F85AEFDF949A3CA5")</f>
        <v>https://app.crepc.sk/?fn=detailBiblioForm&amp;sid=23D6B832D4F85AEFDF949A3CA5</v>
      </c>
    </row>
    <row r="1305" spans="3:5" ht="75" x14ac:dyDescent="0.25">
      <c r="C1305" s="15">
        <v>475962</v>
      </c>
      <c r="D1305" s="4" t="s">
        <v>1311</v>
      </c>
      <c r="E1305" s="4" t="str">
        <f>HYPERLINK("https://app.crepc.sk/?fn=detailBiblioForm&amp;sid=44C93A4E95DB8ED5E360B5FAFB")</f>
        <v>https://app.crepc.sk/?fn=detailBiblioForm&amp;sid=44C93A4E95DB8ED5E360B5FAFB</v>
      </c>
    </row>
    <row r="1306" spans="3:5" ht="120" x14ac:dyDescent="0.25">
      <c r="C1306" s="15">
        <v>462917</v>
      </c>
      <c r="D1306" s="4" t="s">
        <v>1312</v>
      </c>
      <c r="E1306" s="4" t="str">
        <f>HYPERLINK("https://app.crepc.sk/?fn=detailBiblioForm&amp;sid=32F76EF9325E82ACF85EB1356B")</f>
        <v>https://app.crepc.sk/?fn=detailBiblioForm&amp;sid=32F76EF9325E82ACF85EB1356B</v>
      </c>
    </row>
    <row r="1307" spans="3:5" ht="60" x14ac:dyDescent="0.25">
      <c r="C1307" s="15">
        <v>488078</v>
      </c>
      <c r="D1307" s="4" t="s">
        <v>1313</v>
      </c>
      <c r="E1307" s="4" t="str">
        <f>HYPERLINK("https://app.crepc.sk/?fn=detailBiblioForm&amp;sid=2685410F70B2C8E1E347D804D9")</f>
        <v>https://app.crepc.sk/?fn=detailBiblioForm&amp;sid=2685410F70B2C8E1E347D804D9</v>
      </c>
    </row>
    <row r="1308" spans="3:5" ht="60" x14ac:dyDescent="0.25">
      <c r="C1308" s="15">
        <v>459369</v>
      </c>
      <c r="D1308" s="4" t="s">
        <v>1314</v>
      </c>
      <c r="E1308" s="4" t="str">
        <f>HYPERLINK("https://app.crepc.sk/?fn=detailBiblioForm&amp;sid=38E9F2A312EDD8A1A69B9CC79D")</f>
        <v>https://app.crepc.sk/?fn=detailBiblioForm&amp;sid=38E9F2A312EDD8A1A69B9CC79D</v>
      </c>
    </row>
    <row r="1309" spans="3:5" ht="90" x14ac:dyDescent="0.25">
      <c r="C1309" s="15">
        <v>458175</v>
      </c>
      <c r="D1309" s="4" t="s">
        <v>1315</v>
      </c>
      <c r="E1309" s="4" t="str">
        <f>HYPERLINK("https://app.crepc.sk/?fn=detailBiblioForm&amp;sid=071A873BB8FAF95F5CD29A64F9")</f>
        <v>https://app.crepc.sk/?fn=detailBiblioForm&amp;sid=071A873BB8FAF95F5CD29A64F9</v>
      </c>
    </row>
    <row r="1310" spans="3:5" ht="105" x14ac:dyDescent="0.25">
      <c r="C1310" s="15">
        <v>460025</v>
      </c>
      <c r="D1310" s="4" t="s">
        <v>1316</v>
      </c>
      <c r="E1310" s="4" t="str">
        <f>HYPERLINK("https://app.crepc.sk/?fn=detailBiblioForm&amp;sid=C23948C2C0377DCC108C2576D6")</f>
        <v>https://app.crepc.sk/?fn=detailBiblioForm&amp;sid=C23948C2C0377DCC108C2576D6</v>
      </c>
    </row>
    <row r="1311" spans="3:5" ht="90" x14ac:dyDescent="0.25">
      <c r="C1311" s="15">
        <v>483015</v>
      </c>
      <c r="D1311" s="4" t="s">
        <v>1317</v>
      </c>
      <c r="E1311" s="4" t="str">
        <f>HYPERLINK("https://app.crepc.sk/?fn=detailBiblioForm&amp;sid=266F5775B190D2B5AA1034F145")</f>
        <v>https://app.crepc.sk/?fn=detailBiblioForm&amp;sid=266F5775B190D2B5AA1034F145</v>
      </c>
    </row>
    <row r="1312" spans="3:5" ht="75" x14ac:dyDescent="0.25">
      <c r="C1312" s="15">
        <v>457231</v>
      </c>
      <c r="D1312" s="4" t="s">
        <v>1318</v>
      </c>
      <c r="E1312" s="4" t="str">
        <f>HYPERLINK("https://app.crepc.sk/?fn=detailBiblioForm&amp;sid=A3FD0E4E43B8895663C5AEF09F")</f>
        <v>https://app.crepc.sk/?fn=detailBiblioForm&amp;sid=A3FD0E4E43B8895663C5AEF09F</v>
      </c>
    </row>
    <row r="1313" spans="3:5" ht="90" x14ac:dyDescent="0.25">
      <c r="C1313" s="15">
        <v>458899</v>
      </c>
      <c r="D1313" s="4" t="s">
        <v>1319</v>
      </c>
      <c r="E1313" s="4" t="str">
        <f>HYPERLINK("https://app.crepc.sk/?fn=detailBiblioForm&amp;sid=BDCE70B371BEE3D75DB1497EC3")</f>
        <v>https://app.crepc.sk/?fn=detailBiblioForm&amp;sid=BDCE70B371BEE3D75DB1497EC3</v>
      </c>
    </row>
    <row r="1314" spans="3:5" ht="60" x14ac:dyDescent="0.25">
      <c r="C1314" s="15">
        <v>518749</v>
      </c>
      <c r="D1314" s="4" t="s">
        <v>1320</v>
      </c>
      <c r="E1314" s="4" t="str">
        <f>HYPERLINK("https://app.crepc.sk/?fn=detailBiblioForm&amp;sid=D5D698E870B5262BE84525CC83")</f>
        <v>https://app.crepc.sk/?fn=detailBiblioForm&amp;sid=D5D698E870B5262BE84525CC83</v>
      </c>
    </row>
    <row r="1315" spans="3:5" ht="60" x14ac:dyDescent="0.25">
      <c r="C1315" s="15">
        <v>522836</v>
      </c>
      <c r="D1315" s="4" t="s">
        <v>1321</v>
      </c>
      <c r="E1315" s="4" t="str">
        <f>HYPERLINK("https://app.crepc.sk/?fn=detailBiblioForm&amp;sid=539443B4345030064BD8DAD65A")</f>
        <v>https://app.crepc.sk/?fn=detailBiblioForm&amp;sid=539443B4345030064BD8DAD65A</v>
      </c>
    </row>
    <row r="1316" spans="3:5" ht="75" x14ac:dyDescent="0.25">
      <c r="C1316" s="15">
        <v>497296</v>
      </c>
      <c r="D1316" s="4" t="s">
        <v>1322</v>
      </c>
      <c r="E1316" s="4" t="str">
        <f>HYPERLINK("https://app.crepc.sk/?fn=detailBiblioForm&amp;sid=E4575EC7D3BC21CE244F894EF0")</f>
        <v>https://app.crepc.sk/?fn=detailBiblioForm&amp;sid=E4575EC7D3BC21CE244F894EF0</v>
      </c>
    </row>
    <row r="1317" spans="3:5" ht="75" x14ac:dyDescent="0.25">
      <c r="C1317" s="15">
        <v>527949</v>
      </c>
      <c r="D1317" s="4" t="s">
        <v>1323</v>
      </c>
      <c r="E1317" s="4" t="str">
        <f>HYPERLINK("https://app.crepc.sk/?fn=detailBiblioForm&amp;sid=3D2743D5EFB615AC07795E2FA8")</f>
        <v>https://app.crepc.sk/?fn=detailBiblioForm&amp;sid=3D2743D5EFB615AC07795E2FA8</v>
      </c>
    </row>
    <row r="1318" spans="3:5" ht="60" x14ac:dyDescent="0.25">
      <c r="C1318" s="15">
        <v>469502</v>
      </c>
      <c r="D1318" s="4" t="s">
        <v>1324</v>
      </c>
      <c r="E1318" s="4" t="str">
        <f>HYPERLINK("https://app.crepc.sk/?fn=detailBiblioForm&amp;sid=E7D7E0932ADF3E22EC2906DECE")</f>
        <v>https://app.crepc.sk/?fn=detailBiblioForm&amp;sid=E7D7E0932ADF3E22EC2906DECE</v>
      </c>
    </row>
    <row r="1319" spans="3:5" ht="90" x14ac:dyDescent="0.25">
      <c r="C1319" s="15">
        <v>523405</v>
      </c>
      <c r="D1319" s="4" t="s">
        <v>1325</v>
      </c>
      <c r="E1319" s="4" t="str">
        <f>HYPERLINK("https://app.crepc.sk/?fn=detailBiblioForm&amp;sid=134F7010F97786482F1C2EA1AF")</f>
        <v>https://app.crepc.sk/?fn=detailBiblioForm&amp;sid=134F7010F97786482F1C2EA1AF</v>
      </c>
    </row>
    <row r="1320" spans="3:5" ht="75" x14ac:dyDescent="0.25">
      <c r="C1320" s="15">
        <v>481480</v>
      </c>
      <c r="D1320" s="4" t="s">
        <v>1326</v>
      </c>
      <c r="E1320" s="4" t="str">
        <f>HYPERLINK("https://app.crepc.sk/?fn=detailBiblioForm&amp;sid=08804FEFE2BEEF04F831330096")</f>
        <v>https://app.crepc.sk/?fn=detailBiblioForm&amp;sid=08804FEFE2BEEF04F831330096</v>
      </c>
    </row>
    <row r="1321" spans="3:5" ht="75" x14ac:dyDescent="0.25">
      <c r="C1321" s="15">
        <v>458478</v>
      </c>
      <c r="D1321" s="4" t="s">
        <v>1327</v>
      </c>
      <c r="E1321" s="4" t="str">
        <f>HYPERLINK("https://app.crepc.sk/?fn=detailBiblioForm&amp;sid=857B44300334F5300588B1656C")</f>
        <v>https://app.crepc.sk/?fn=detailBiblioForm&amp;sid=857B44300334F5300588B1656C</v>
      </c>
    </row>
    <row r="1322" spans="3:5" ht="45" x14ac:dyDescent="0.25">
      <c r="C1322" s="15">
        <v>518962</v>
      </c>
      <c r="D1322" s="4" t="s">
        <v>1328</v>
      </c>
      <c r="E1322" s="4" t="str">
        <f>HYPERLINK("https://app.crepc.sk/?fn=detailBiblioForm&amp;sid=5F2B250621F0AE7D4AD4130CDA")</f>
        <v>https://app.crepc.sk/?fn=detailBiblioForm&amp;sid=5F2B250621F0AE7D4AD4130CDA</v>
      </c>
    </row>
    <row r="1323" spans="3:5" ht="75" x14ac:dyDescent="0.25">
      <c r="C1323" s="15">
        <v>489529</v>
      </c>
      <c r="D1323" s="4" t="s">
        <v>1329</v>
      </c>
      <c r="E1323" s="4" t="str">
        <f>HYPERLINK("https://app.crepc.sk/?fn=detailBiblioForm&amp;sid=F85EB45CE9C89F9FEB4FF5D8EF")</f>
        <v>https://app.crepc.sk/?fn=detailBiblioForm&amp;sid=F85EB45CE9C89F9FEB4FF5D8EF</v>
      </c>
    </row>
    <row r="1324" spans="3:5" ht="90" x14ac:dyDescent="0.25">
      <c r="C1324" s="15">
        <v>444771</v>
      </c>
      <c r="D1324" s="4" t="s">
        <v>1330</v>
      </c>
      <c r="E1324" s="4" t="str">
        <f>HYPERLINK("https://app.crepc.sk/?fn=detailBiblioForm&amp;sid=FDCC891FB5F03A4687738A404B")</f>
        <v>https://app.crepc.sk/?fn=detailBiblioForm&amp;sid=FDCC891FB5F03A4687738A404B</v>
      </c>
    </row>
    <row r="1325" spans="3:5" ht="60" x14ac:dyDescent="0.25">
      <c r="C1325" s="15">
        <v>479762</v>
      </c>
      <c r="D1325" s="4" t="s">
        <v>1331</v>
      </c>
      <c r="E1325" s="4" t="str">
        <f>HYPERLINK("https://app.crepc.sk/?fn=detailBiblioForm&amp;sid=A7B55D0923B33869FC5F77451E")</f>
        <v>https://app.crepc.sk/?fn=detailBiblioForm&amp;sid=A7B55D0923B33869FC5F77451E</v>
      </c>
    </row>
    <row r="1326" spans="3:5" ht="60" x14ac:dyDescent="0.25">
      <c r="C1326" s="15">
        <v>459870</v>
      </c>
      <c r="D1326" s="4" t="s">
        <v>1332</v>
      </c>
      <c r="E1326" s="4" t="str">
        <f>HYPERLINK("https://app.crepc.sk/?fn=detailBiblioForm&amp;sid=3E84F9FC946DB3DA46FCA9AAFC")</f>
        <v>https://app.crepc.sk/?fn=detailBiblioForm&amp;sid=3E84F9FC946DB3DA46FCA9AAFC</v>
      </c>
    </row>
    <row r="1327" spans="3:5" ht="75" x14ac:dyDescent="0.25">
      <c r="C1327" s="15">
        <v>482504</v>
      </c>
      <c r="D1327" s="4" t="s">
        <v>1333</v>
      </c>
      <c r="E1327" s="4" t="str">
        <f>HYPERLINK("https://app.crepc.sk/?fn=detailBiblioForm&amp;sid=CC914A196ACFE79E5FE5D9F0CF")</f>
        <v>https://app.crepc.sk/?fn=detailBiblioForm&amp;sid=CC914A196ACFE79E5FE5D9F0CF</v>
      </c>
    </row>
    <row r="1328" spans="3:5" ht="60" x14ac:dyDescent="0.25">
      <c r="C1328" s="15">
        <v>514297</v>
      </c>
      <c r="D1328" s="4" t="s">
        <v>1334</v>
      </c>
      <c r="E1328" s="4" t="str">
        <f>HYPERLINK("https://app.crepc.sk/?fn=detailBiblioForm&amp;sid=051AA9EA4B35B8087F03E78E8E")</f>
        <v>https://app.crepc.sk/?fn=detailBiblioForm&amp;sid=051AA9EA4B35B8087F03E78E8E</v>
      </c>
    </row>
    <row r="1329" spans="3:5" ht="60" x14ac:dyDescent="0.25">
      <c r="C1329" s="15">
        <v>458177</v>
      </c>
      <c r="D1329" s="4" t="s">
        <v>1335</v>
      </c>
      <c r="E1329" s="4" t="str">
        <f>HYPERLINK("https://app.crepc.sk/?fn=detailBiblioForm&amp;sid=071A873BB8FAF95F5CD09A64F9")</f>
        <v>https://app.crepc.sk/?fn=detailBiblioForm&amp;sid=071A873BB8FAF95F5CD09A64F9</v>
      </c>
    </row>
    <row r="1330" spans="3:5" ht="75" x14ac:dyDescent="0.25">
      <c r="C1330" s="15">
        <v>515555</v>
      </c>
      <c r="D1330" s="4" t="s">
        <v>1336</v>
      </c>
      <c r="E1330" s="4" t="str">
        <f>HYPERLINK("https://app.crepc.sk/?fn=detailBiblioForm&amp;sid=C39247C36C730A4C1F2E3D2B9E")</f>
        <v>https://app.crepc.sk/?fn=detailBiblioForm&amp;sid=C39247C36C730A4C1F2E3D2B9E</v>
      </c>
    </row>
    <row r="1331" spans="3:5" ht="45" x14ac:dyDescent="0.25">
      <c r="C1331" s="15">
        <v>507914</v>
      </c>
      <c r="D1331" s="4" t="s">
        <v>1337</v>
      </c>
      <c r="E1331" s="4" t="str">
        <f>HYPERLINK("https://app.crepc.sk/?fn=detailBiblioForm&amp;sid=7551FE5B489329C5A7DB0E052F")</f>
        <v>https://app.crepc.sk/?fn=detailBiblioForm&amp;sid=7551FE5B489329C5A7DB0E052F</v>
      </c>
    </row>
    <row r="1332" spans="3:5" ht="75" x14ac:dyDescent="0.25">
      <c r="C1332" s="15">
        <v>460379</v>
      </c>
      <c r="D1332" s="4" t="s">
        <v>1338</v>
      </c>
      <c r="E1332" s="4" t="str">
        <f>HYPERLINK("https://app.crepc.sk/?fn=detailBiblioForm&amp;sid=F69DE0F0636EDDA7BAAD7ABC94")</f>
        <v>https://app.crepc.sk/?fn=detailBiblioForm&amp;sid=F69DE0F0636EDDA7BAAD7ABC94</v>
      </c>
    </row>
    <row r="1333" spans="3:5" ht="90" x14ac:dyDescent="0.25">
      <c r="C1333" s="15">
        <v>494843</v>
      </c>
      <c r="D1333" s="4" t="s">
        <v>1339</v>
      </c>
      <c r="E1333" s="4" t="str">
        <f>HYPERLINK("https://app.crepc.sk/?fn=detailBiblioForm&amp;sid=6E28FB632DC3A6F5952D53BFF8")</f>
        <v>https://app.crepc.sk/?fn=detailBiblioForm&amp;sid=6E28FB632DC3A6F5952D53BFF8</v>
      </c>
    </row>
    <row r="1334" spans="3:5" ht="90" x14ac:dyDescent="0.25">
      <c r="C1334" s="15">
        <v>458606</v>
      </c>
      <c r="D1334" s="4" t="s">
        <v>1340</v>
      </c>
      <c r="E1334" s="4" t="str">
        <f>HYPERLINK("https://app.crepc.sk/?fn=detailBiblioForm&amp;sid=8CBF49421BBF0079F8C1AB89E5")</f>
        <v>https://app.crepc.sk/?fn=detailBiblioForm&amp;sid=8CBF49421BBF0079F8C1AB89E5</v>
      </c>
    </row>
    <row r="1335" spans="3:5" ht="60" x14ac:dyDescent="0.25">
      <c r="C1335" s="15">
        <v>493107</v>
      </c>
      <c r="D1335" s="4" t="s">
        <v>1341</v>
      </c>
      <c r="E1335" s="4" t="str">
        <f>HYPERLINK("https://app.crepc.sk/?fn=detailBiblioForm&amp;sid=461C2D9728B8750112CF299B18")</f>
        <v>https://app.crepc.sk/?fn=detailBiblioForm&amp;sid=461C2D9728B8750112CF299B18</v>
      </c>
    </row>
    <row r="1336" spans="3:5" ht="75" x14ac:dyDescent="0.25">
      <c r="C1336" s="15">
        <v>458604</v>
      </c>
      <c r="D1336" s="4" t="s">
        <v>1342</v>
      </c>
      <c r="E1336" s="4" t="str">
        <f>HYPERLINK("https://app.crepc.sk/?fn=detailBiblioForm&amp;sid=8CBF49421BBF0079F8C3AB89E5")</f>
        <v>https://app.crepc.sk/?fn=detailBiblioForm&amp;sid=8CBF49421BBF0079F8C3AB89E5</v>
      </c>
    </row>
    <row r="1337" spans="3:5" ht="60" x14ac:dyDescent="0.25">
      <c r="C1337" s="15">
        <v>462113</v>
      </c>
      <c r="D1337" s="4" t="s">
        <v>1343</v>
      </c>
      <c r="E1337" s="4" t="str">
        <f>HYPERLINK("https://app.crepc.sk/?fn=detailBiblioForm&amp;sid=13EED7C7AB1DB02980F5C5C9DA")</f>
        <v>https://app.crepc.sk/?fn=detailBiblioForm&amp;sid=13EED7C7AB1DB02980F5C5C9DA</v>
      </c>
    </row>
    <row r="1338" spans="3:5" ht="90" x14ac:dyDescent="0.25">
      <c r="C1338" s="15">
        <v>522886</v>
      </c>
      <c r="D1338" s="4" t="s">
        <v>1344</v>
      </c>
      <c r="E1338" s="4" t="str">
        <f>HYPERLINK("https://app.crepc.sk/?fn=detailBiblioForm&amp;sid=539443B43450300640D8DAD65A")</f>
        <v>https://app.crepc.sk/?fn=detailBiblioForm&amp;sid=539443B43450300640D8DAD65A</v>
      </c>
    </row>
    <row r="1339" spans="3:5" ht="90" x14ac:dyDescent="0.25">
      <c r="C1339" s="15">
        <v>522945</v>
      </c>
      <c r="D1339" s="4" t="s">
        <v>1345</v>
      </c>
      <c r="E1339" s="4" t="str">
        <f>HYPERLINK("https://app.crepc.sk/?fn=detailBiblioForm&amp;sid=74960B60A46A20C7E611366346")</f>
        <v>https://app.crepc.sk/?fn=detailBiblioForm&amp;sid=74960B60A46A20C7E611366346</v>
      </c>
    </row>
    <row r="1340" spans="3:5" ht="60" x14ac:dyDescent="0.25">
      <c r="C1340" s="15">
        <v>498699</v>
      </c>
      <c r="D1340" s="4" t="s">
        <v>1346</v>
      </c>
      <c r="E1340" s="4" t="str">
        <f>HYPERLINK("https://app.crepc.sk/?fn=detailBiblioForm&amp;sid=6CBD07FFF822E5E63C7D1C6378")</f>
        <v>https://app.crepc.sk/?fn=detailBiblioForm&amp;sid=6CBD07FFF822E5E63C7D1C6378</v>
      </c>
    </row>
    <row r="1341" spans="3:5" ht="75" x14ac:dyDescent="0.25">
      <c r="C1341" s="15">
        <v>467270</v>
      </c>
      <c r="D1341" s="4" t="s">
        <v>1347</v>
      </c>
      <c r="E1341" s="4" t="str">
        <f>HYPERLINK("https://app.crepc.sk/?fn=detailBiblioForm&amp;sid=A0AB0E94D6E0CA0494C472D5EE")</f>
        <v>https://app.crepc.sk/?fn=detailBiblioForm&amp;sid=A0AB0E94D6E0CA0494C472D5EE</v>
      </c>
    </row>
    <row r="1342" spans="3:5" ht="60" x14ac:dyDescent="0.25">
      <c r="C1342" s="15">
        <v>475322</v>
      </c>
      <c r="D1342" s="4" t="s">
        <v>1348</v>
      </c>
      <c r="E1342" s="4" t="str">
        <f>HYPERLINK("https://app.crepc.sk/?fn=detailBiblioForm&amp;sid=EBB00340FF4A326884FBF49EFA")</f>
        <v>https://app.crepc.sk/?fn=detailBiblioForm&amp;sid=EBB00340FF4A326884FBF49EFA</v>
      </c>
    </row>
    <row r="1343" spans="3:5" ht="60" x14ac:dyDescent="0.25">
      <c r="C1343" s="15">
        <v>516974</v>
      </c>
      <c r="D1343" s="4" t="s">
        <v>1349</v>
      </c>
      <c r="E1343" s="4" t="str">
        <f>HYPERLINK("https://app.crepc.sk/?fn=detailBiblioForm&amp;sid=7F5FF1F0B0E8C62F4F6F4C74B3")</f>
        <v>https://app.crepc.sk/?fn=detailBiblioForm&amp;sid=7F5FF1F0B0E8C62F4F6F4C74B3</v>
      </c>
    </row>
    <row r="1344" spans="3:5" ht="75" x14ac:dyDescent="0.25">
      <c r="C1344" s="15">
        <v>499872</v>
      </c>
      <c r="D1344" s="4" t="s">
        <v>1350</v>
      </c>
      <c r="E1344" s="4" t="str">
        <f>HYPERLINK("https://app.crepc.sk/?fn=detailBiblioForm&amp;sid=D283CF08949910C0D570FB9ACC")</f>
        <v>https://app.crepc.sk/?fn=detailBiblioForm&amp;sid=D283CF08949910C0D570FB9ACC</v>
      </c>
    </row>
    <row r="1345" spans="3:5" ht="45" x14ac:dyDescent="0.25">
      <c r="C1345" s="15">
        <v>465642</v>
      </c>
      <c r="D1345" s="4" t="s">
        <v>1351</v>
      </c>
      <c r="E1345" s="4" t="str">
        <f>HYPERLINK("https://app.crepc.sk/?fn=detailBiblioForm&amp;sid=D60DFC88C4A755228E5C645AC5")</f>
        <v>https://app.crepc.sk/?fn=detailBiblioForm&amp;sid=D60DFC88C4A755228E5C645AC5</v>
      </c>
    </row>
    <row r="1346" spans="3:5" ht="60" x14ac:dyDescent="0.25">
      <c r="C1346" s="15">
        <v>521485</v>
      </c>
      <c r="D1346" s="4" t="s">
        <v>1352</v>
      </c>
      <c r="E1346" s="4" t="str">
        <f>HYPERLINK("https://app.crepc.sk/?fn=detailBiblioForm&amp;sid=39BD55F66554E421626E52426C")</f>
        <v>https://app.crepc.sk/?fn=detailBiblioForm&amp;sid=39BD55F66554E421626E52426C</v>
      </c>
    </row>
    <row r="1347" spans="3:5" ht="60" x14ac:dyDescent="0.25">
      <c r="C1347" s="15">
        <v>494339</v>
      </c>
      <c r="D1347" s="4" t="s">
        <v>1353</v>
      </c>
      <c r="E1347" s="4" t="str">
        <f>HYPERLINK("https://app.crepc.sk/?fn=detailBiblioForm&amp;sid=6CB30B46E1EA2F444072C54A53")</f>
        <v>https://app.crepc.sk/?fn=detailBiblioForm&amp;sid=6CB30B46E1EA2F444072C54A53</v>
      </c>
    </row>
    <row r="1348" spans="3:5" ht="60" x14ac:dyDescent="0.25">
      <c r="C1348" s="15">
        <v>469432</v>
      </c>
      <c r="D1348" s="4" t="s">
        <v>1354</v>
      </c>
      <c r="E1348" s="4" t="str">
        <f>HYPERLINK("https://app.crepc.sk/?fn=detailBiblioForm&amp;sid=60CFF5964A6149A88C2933F7DF")</f>
        <v>https://app.crepc.sk/?fn=detailBiblioForm&amp;sid=60CFF5964A6149A88C2933F7DF</v>
      </c>
    </row>
    <row r="1349" spans="3:5" ht="75" x14ac:dyDescent="0.25">
      <c r="C1349" s="15">
        <v>482739</v>
      </c>
      <c r="D1349" s="4" t="s">
        <v>1355</v>
      </c>
      <c r="E1349" s="4" t="str">
        <f>HYPERLINK("https://app.crepc.sk/?fn=detailBiblioForm&amp;sid=2ED50720E4EE5F9D739239CFC8")</f>
        <v>https://app.crepc.sk/?fn=detailBiblioForm&amp;sid=2ED50720E4EE5F9D739239CFC8</v>
      </c>
    </row>
    <row r="1350" spans="3:5" ht="60" x14ac:dyDescent="0.25">
      <c r="C1350" s="15">
        <v>503338</v>
      </c>
      <c r="D1350" s="4" t="s">
        <v>1356</v>
      </c>
      <c r="E1350" s="4" t="str">
        <f>HYPERLINK("https://app.crepc.sk/?fn=detailBiblioForm&amp;sid=B0397FD2063DC55628DB93E214")</f>
        <v>https://app.crepc.sk/?fn=detailBiblioForm&amp;sid=B0397FD2063DC55628DB93E214</v>
      </c>
    </row>
    <row r="1351" spans="3:5" ht="75" x14ac:dyDescent="0.25">
      <c r="C1351" s="15">
        <v>489686</v>
      </c>
      <c r="D1351" s="4" t="s">
        <v>1357</v>
      </c>
      <c r="E1351" s="4" t="str">
        <f>HYPERLINK("https://app.crepc.sk/?fn=detailBiblioForm&amp;sid=5581560727F955EBA0D35FA790")</f>
        <v>https://app.crepc.sk/?fn=detailBiblioForm&amp;sid=5581560727F955EBA0D35FA790</v>
      </c>
    </row>
    <row r="1352" spans="3:5" ht="75" x14ac:dyDescent="0.25">
      <c r="C1352" s="15">
        <v>490498</v>
      </c>
      <c r="D1352" s="4" t="s">
        <v>1358</v>
      </c>
      <c r="E1352" s="4" t="str">
        <f>HYPERLINK("https://app.crepc.sk/?fn=detailBiblioForm&amp;sid=E143DDC9CCDBFAA3839530EBF2")</f>
        <v>https://app.crepc.sk/?fn=detailBiblioForm&amp;sid=E143DDC9CCDBFAA3839530EBF2</v>
      </c>
    </row>
    <row r="1353" spans="3:5" ht="75" x14ac:dyDescent="0.25">
      <c r="C1353" s="15">
        <v>516036</v>
      </c>
      <c r="D1353" s="4" t="s">
        <v>1359</v>
      </c>
      <c r="E1353" s="4" t="str">
        <f>HYPERLINK("https://app.crepc.sk/?fn=detailBiblioForm&amp;sid=48DA8DFE6606DDBBC602DB85D1")</f>
        <v>https://app.crepc.sk/?fn=detailBiblioForm&amp;sid=48DA8DFE6606DDBBC602DB85D1</v>
      </c>
    </row>
    <row r="1354" spans="3:5" ht="45" x14ac:dyDescent="0.25">
      <c r="C1354" s="15">
        <v>483746</v>
      </c>
      <c r="D1354" s="4" t="s">
        <v>1360</v>
      </c>
      <c r="E1354" s="4" t="str">
        <f>HYPERLINK("https://app.crepc.sk/?fn=detailBiblioForm&amp;sid=AB6093B5D1C032CADB5B149EC0")</f>
        <v>https://app.crepc.sk/?fn=detailBiblioForm&amp;sid=AB6093B5D1C032CADB5B149EC0</v>
      </c>
    </row>
    <row r="1355" spans="3:5" ht="75" x14ac:dyDescent="0.25">
      <c r="C1355" s="15">
        <v>522879</v>
      </c>
      <c r="D1355" s="4" t="s">
        <v>1361</v>
      </c>
      <c r="E1355" s="4" t="str">
        <f>HYPERLINK("https://app.crepc.sk/?fn=detailBiblioForm&amp;sid=539443B4345030064FD7DAD65A")</f>
        <v>https://app.crepc.sk/?fn=detailBiblioForm&amp;sid=539443B4345030064FD7DAD65A</v>
      </c>
    </row>
    <row r="1356" spans="3:5" ht="60" x14ac:dyDescent="0.25">
      <c r="C1356" s="15">
        <v>521492</v>
      </c>
      <c r="D1356" s="4" t="s">
        <v>1362</v>
      </c>
      <c r="E1356" s="4" t="str">
        <f>HYPERLINK("https://app.crepc.sk/?fn=detailBiblioForm&amp;sid=39BD55F66554E421636952426C")</f>
        <v>https://app.crepc.sk/?fn=detailBiblioForm&amp;sid=39BD55F66554E421636952426C</v>
      </c>
    </row>
    <row r="1357" spans="3:5" ht="60" x14ac:dyDescent="0.25">
      <c r="C1357" s="15">
        <v>486559</v>
      </c>
      <c r="D1357" s="4" t="s">
        <v>1363</v>
      </c>
      <c r="E1357" s="4" t="str">
        <f>HYPERLINK("https://app.crepc.sk/?fn=detailBiblioForm&amp;sid=5A779C542B92DA12F10B075FD2")</f>
        <v>https://app.crepc.sk/?fn=detailBiblioForm&amp;sid=5A779C542B92DA12F10B075FD2</v>
      </c>
    </row>
    <row r="1358" spans="3:5" ht="75" x14ac:dyDescent="0.25">
      <c r="C1358" s="15">
        <v>476580</v>
      </c>
      <c r="D1358" s="4" t="s">
        <v>1364</v>
      </c>
      <c r="E1358" s="4" t="str">
        <f>HYPERLINK("https://app.crepc.sk/?fn=detailBiblioForm&amp;sid=2CFDAEBC85534155A9C369CE1E")</f>
        <v>https://app.crepc.sk/?fn=detailBiblioForm&amp;sid=2CFDAEBC85534155A9C369CE1E</v>
      </c>
    </row>
    <row r="1359" spans="3:5" ht="60" x14ac:dyDescent="0.25">
      <c r="C1359" s="15">
        <v>482760</v>
      </c>
      <c r="D1359" s="4" t="s">
        <v>1365</v>
      </c>
      <c r="E1359" s="4" t="str">
        <f>HYPERLINK("https://app.crepc.sk/?fn=detailBiblioForm&amp;sid=2ED50720E4EE5F9D769B39CFC8")</f>
        <v>https://app.crepc.sk/?fn=detailBiblioForm&amp;sid=2ED50720E4EE5F9D769B39CFC8</v>
      </c>
    </row>
    <row r="1360" spans="3:5" ht="45" x14ac:dyDescent="0.25">
      <c r="C1360" s="15">
        <v>496229</v>
      </c>
      <c r="D1360" s="4" t="s">
        <v>1366</v>
      </c>
      <c r="E1360" s="4" t="str">
        <f>HYPERLINK("https://app.crepc.sk/?fn=detailBiblioForm&amp;sid=A920A6B44AAA35D5D11C9E29A9")</f>
        <v>https://app.crepc.sk/?fn=detailBiblioForm&amp;sid=A920A6B44AAA35D5D11C9E29A9</v>
      </c>
    </row>
    <row r="1361" spans="3:5" ht="60" x14ac:dyDescent="0.25">
      <c r="C1361" s="15">
        <v>521490</v>
      </c>
      <c r="D1361" s="4" t="s">
        <v>1367</v>
      </c>
      <c r="E1361" s="4" t="str">
        <f>HYPERLINK("https://app.crepc.sk/?fn=detailBiblioForm&amp;sid=39BD55F66554E421636B52426C")</f>
        <v>https://app.crepc.sk/?fn=detailBiblioForm&amp;sid=39BD55F66554E421636B52426C</v>
      </c>
    </row>
    <row r="1362" spans="3:5" ht="60" x14ac:dyDescent="0.25">
      <c r="C1362" s="15">
        <v>473028</v>
      </c>
      <c r="D1362" s="4" t="s">
        <v>1368</v>
      </c>
      <c r="E1362" s="4" t="str">
        <f>HYPERLINK("https://app.crepc.sk/?fn=detailBiblioForm&amp;sid=52CABADEC9521F98A9DEA4DCEB")</f>
        <v>https://app.crepc.sk/?fn=detailBiblioForm&amp;sid=52CABADEC9521F98A9DEA4DCEB</v>
      </c>
    </row>
    <row r="1363" spans="3:5" ht="60" x14ac:dyDescent="0.25">
      <c r="C1363" s="15">
        <v>480474</v>
      </c>
      <c r="D1363" s="4" t="s">
        <v>1369</v>
      </c>
      <c r="E1363" s="4" t="str">
        <f>HYPERLINK("https://app.crepc.sk/?fn=detailBiblioForm&amp;sid=90D852D6C4E1BC8B798A98F659")</f>
        <v>https://app.crepc.sk/?fn=detailBiblioForm&amp;sid=90D852D6C4E1BC8B798A98F659</v>
      </c>
    </row>
    <row r="1364" spans="3:5" ht="60" x14ac:dyDescent="0.25">
      <c r="C1364" s="15">
        <v>494079</v>
      </c>
      <c r="D1364" s="4" t="s">
        <v>1370</v>
      </c>
      <c r="E1364" s="4" t="str">
        <f>HYPERLINK("https://app.crepc.sk/?fn=detailBiblioForm&amp;sid=A9856A5D97442438E9CC9EE6DF")</f>
        <v>https://app.crepc.sk/?fn=detailBiblioForm&amp;sid=A9856A5D97442438E9CC9EE6DF</v>
      </c>
    </row>
    <row r="1365" spans="3:5" ht="105" x14ac:dyDescent="0.25">
      <c r="C1365" s="15">
        <v>469754</v>
      </c>
      <c r="D1365" s="4" t="s">
        <v>1371</v>
      </c>
      <c r="E1365" s="4" t="str">
        <f>HYPERLINK("https://app.crepc.sk/?fn=detailBiblioForm&amp;sid=DB790A6B6DDF8D4B1797ED1D12")</f>
        <v>https://app.crepc.sk/?fn=detailBiblioForm&amp;sid=DB790A6B6DDF8D4B1797ED1D12</v>
      </c>
    </row>
    <row r="1366" spans="3:5" ht="60" x14ac:dyDescent="0.25">
      <c r="C1366" s="15">
        <v>483987</v>
      </c>
      <c r="D1366" s="4" t="s">
        <v>1372</v>
      </c>
      <c r="E1366" s="4" t="str">
        <f>HYPERLINK("https://app.crepc.sk/?fn=detailBiblioForm&amp;sid=F8303E194D2A08F47BDE73C2FC")</f>
        <v>https://app.crepc.sk/?fn=detailBiblioForm&amp;sid=F8303E194D2A08F47BDE73C2FC</v>
      </c>
    </row>
    <row r="1367" spans="3:5" ht="60" x14ac:dyDescent="0.25">
      <c r="C1367" s="15">
        <v>493087</v>
      </c>
      <c r="D1367" s="4" t="s">
        <v>1373</v>
      </c>
      <c r="E1367" s="4" t="str">
        <f>HYPERLINK("https://app.crepc.sk/?fn=detailBiblioForm&amp;sid=A08D0C06F20009E6DCE093DA9B")</f>
        <v>https://app.crepc.sk/?fn=detailBiblioForm&amp;sid=A08D0C06F20009E6DCE093DA9B</v>
      </c>
    </row>
    <row r="1368" spans="3:5" ht="45" x14ac:dyDescent="0.25">
      <c r="C1368" s="15">
        <v>468753</v>
      </c>
      <c r="D1368" s="4" t="s">
        <v>1374</v>
      </c>
      <c r="E1368" s="4" t="str">
        <f>HYPERLINK("https://app.crepc.sk/?fn=detailBiblioForm&amp;sid=41E35661D0C5470224FDD4B3B0")</f>
        <v>https://app.crepc.sk/?fn=detailBiblioForm&amp;sid=41E35661D0C5470224FDD4B3B0</v>
      </c>
    </row>
    <row r="1369" spans="3:5" ht="60" x14ac:dyDescent="0.25">
      <c r="C1369" s="15">
        <v>487311</v>
      </c>
      <c r="D1369" s="4" t="s">
        <v>1375</v>
      </c>
      <c r="E1369" s="4" t="str">
        <f>HYPERLINK("https://app.crepc.sk/?fn=detailBiblioForm&amp;sid=11D998CEAEDE9331F635BEA921")</f>
        <v>https://app.crepc.sk/?fn=detailBiblioForm&amp;sid=11D998CEAEDE9331F635BEA921</v>
      </c>
    </row>
    <row r="1370" spans="3:5" ht="75" x14ac:dyDescent="0.25">
      <c r="C1370" s="15">
        <v>525145</v>
      </c>
      <c r="D1370" s="4" t="s">
        <v>1376</v>
      </c>
      <c r="E1370" s="4" t="str">
        <f>HYPERLINK("https://app.crepc.sk/?fn=detailBiblioForm&amp;sid=DD3A4E4D185CCB4714EA1FBA51")</f>
        <v>https://app.crepc.sk/?fn=detailBiblioForm&amp;sid=DD3A4E4D185CCB4714EA1FBA51</v>
      </c>
    </row>
    <row r="1371" spans="3:5" ht="90" x14ac:dyDescent="0.25">
      <c r="C1371" s="15">
        <v>467259</v>
      </c>
      <c r="D1371" s="4" t="s">
        <v>1377</v>
      </c>
      <c r="E1371" s="4" t="str">
        <f>HYPERLINK("https://app.crepc.sk/?fn=detailBiblioForm&amp;sid=A0AB0E94D6E0CA0496CD72D5EE")</f>
        <v>https://app.crepc.sk/?fn=detailBiblioForm&amp;sid=A0AB0E94D6E0CA0496CD72D5EE</v>
      </c>
    </row>
    <row r="1372" spans="3:5" ht="75" x14ac:dyDescent="0.25">
      <c r="C1372" s="15">
        <v>466194</v>
      </c>
      <c r="D1372" s="4" t="s">
        <v>1378</v>
      </c>
      <c r="E1372" s="4" t="str">
        <f>HYPERLINK("https://app.crepc.sk/?fn=detailBiblioForm&amp;sid=E9867566383D31CE7DD9AD8EDB")</f>
        <v>https://app.crepc.sk/?fn=detailBiblioForm&amp;sid=E9867566383D31CE7DD9AD8EDB</v>
      </c>
    </row>
    <row r="1373" spans="3:5" ht="60" x14ac:dyDescent="0.25">
      <c r="C1373" s="15">
        <v>497456</v>
      </c>
      <c r="D1373" s="4" t="s">
        <v>1379</v>
      </c>
      <c r="E1373" s="4" t="str">
        <f>HYPERLINK("https://app.crepc.sk/?fn=detailBiblioForm&amp;sid=EFBDB662825DB7BC98C02439C5")</f>
        <v>https://app.crepc.sk/?fn=detailBiblioForm&amp;sid=EFBDB662825DB7BC98C02439C5</v>
      </c>
    </row>
    <row r="1374" spans="3:5" ht="75" x14ac:dyDescent="0.25">
      <c r="C1374" s="15">
        <v>458898</v>
      </c>
      <c r="D1374" s="4" t="s">
        <v>1380</v>
      </c>
      <c r="E1374" s="4" t="str">
        <f>HYPERLINK("https://app.crepc.sk/?fn=detailBiblioForm&amp;sid=BDCE70B371BEE3D75DB0497EC3")</f>
        <v>https://app.crepc.sk/?fn=detailBiblioForm&amp;sid=BDCE70B371BEE3D75DB0497EC3</v>
      </c>
    </row>
    <row r="1375" spans="3:5" ht="105" x14ac:dyDescent="0.25">
      <c r="C1375" s="15">
        <v>492751</v>
      </c>
      <c r="D1375" s="4" t="s">
        <v>1381</v>
      </c>
      <c r="E1375" s="4" t="str">
        <f>HYPERLINK("https://app.crepc.sk/?fn=detailBiblioForm&amp;sid=D5F6245029F2FAC3B1A0F13C0F")</f>
        <v>https://app.crepc.sk/?fn=detailBiblioForm&amp;sid=D5F6245029F2FAC3B1A0F13C0F</v>
      </c>
    </row>
    <row r="1376" spans="3:5" ht="60" x14ac:dyDescent="0.25">
      <c r="C1376" s="15">
        <v>469800</v>
      </c>
      <c r="D1376" s="4" t="s">
        <v>1382</v>
      </c>
      <c r="E1376" s="4" t="str">
        <f>HYPERLINK("https://app.crepc.sk/?fn=detailBiblioForm&amp;sid=11B331D2C7954567402D44CDB0")</f>
        <v>https://app.crepc.sk/?fn=detailBiblioForm&amp;sid=11B331D2C7954567402D44CDB0</v>
      </c>
    </row>
    <row r="1377" spans="1:5" ht="75" x14ac:dyDescent="0.25">
      <c r="C1377" s="15">
        <v>497693</v>
      </c>
      <c r="D1377" s="4" t="s">
        <v>1383</v>
      </c>
      <c r="E1377" s="4" t="str">
        <f>HYPERLINK("https://app.crepc.sk/?fn=detailBiblioForm&amp;sid=6231B9E906AF812C8092E30510")</f>
        <v>https://app.crepc.sk/?fn=detailBiblioForm&amp;sid=6231B9E906AF812C8092E30510</v>
      </c>
    </row>
    <row r="1378" spans="1:5" ht="75" x14ac:dyDescent="0.25">
      <c r="C1378" s="15">
        <v>497472</v>
      </c>
      <c r="D1378" s="4" t="s">
        <v>1384</v>
      </c>
      <c r="E1378" s="4" t="str">
        <f>HYPERLINK("https://app.crepc.sk/?fn=detailBiblioForm&amp;sid=EFBDB662825DB7BC9AC42439C5")</f>
        <v>https://app.crepc.sk/?fn=detailBiblioForm&amp;sid=EFBDB662825DB7BC9AC42439C5</v>
      </c>
    </row>
    <row r="1379" spans="1:5" ht="45" x14ac:dyDescent="0.25">
      <c r="C1379" s="15">
        <v>515606</v>
      </c>
      <c r="D1379" s="4" t="s">
        <v>1385</v>
      </c>
      <c r="E1379" s="4" t="str">
        <f>HYPERLINK("https://app.crepc.sk/?fn=detailBiblioForm&amp;sid=F402A4B5D253E53287B5074DEA")</f>
        <v>https://app.crepc.sk/?fn=detailBiblioForm&amp;sid=F402A4B5D253E53287B5074DEA</v>
      </c>
    </row>
    <row r="1380" spans="1:5" ht="75" x14ac:dyDescent="0.25">
      <c r="C1380" s="15">
        <v>510423</v>
      </c>
      <c r="D1380" s="4" t="s">
        <v>1386</v>
      </c>
      <c r="E1380" s="4" t="str">
        <f>HYPERLINK("https://app.crepc.sk/?fn=detailBiblioForm&amp;sid=F664559925A71C4E5D1B83B09F")</f>
        <v>https://app.crepc.sk/?fn=detailBiblioForm&amp;sid=F664559925A71C4E5D1B83B09F</v>
      </c>
    </row>
    <row r="1381" spans="1:5" ht="60" x14ac:dyDescent="0.25">
      <c r="C1381" s="15">
        <v>461272</v>
      </c>
      <c r="D1381" s="4" t="s">
        <v>1387</v>
      </c>
      <c r="E1381" s="4" t="str">
        <f>HYPERLINK("https://app.crepc.sk/?fn=detailBiblioForm&amp;sid=8537F87F3D8705D8C2BE52C7AA")</f>
        <v>https://app.crepc.sk/?fn=detailBiblioForm&amp;sid=8537F87F3D8705D8C2BE52C7AA</v>
      </c>
    </row>
    <row r="1382" spans="1:5" ht="75" x14ac:dyDescent="0.25">
      <c r="C1382" s="15">
        <v>492635</v>
      </c>
      <c r="D1382" s="4" t="s">
        <v>1388</v>
      </c>
      <c r="E1382" s="4" t="str">
        <f>HYPERLINK("https://app.crepc.sk/?fn=detailBiblioForm&amp;sid=518258C199CB2CC692A216CFCA")</f>
        <v>https://app.crepc.sk/?fn=detailBiblioForm&amp;sid=518258C199CB2CC692A216CFCA</v>
      </c>
    </row>
    <row r="1383" spans="1:5" ht="60" x14ac:dyDescent="0.25">
      <c r="C1383" s="15">
        <v>469562</v>
      </c>
      <c r="D1383" s="4" t="s">
        <v>1389</v>
      </c>
      <c r="E1383" s="4" t="str">
        <f>HYPERLINK("https://app.crepc.sk/?fn=detailBiblioForm&amp;sid=E7D7E0932ADF3E22EA2906DECE")</f>
        <v>https://app.crepc.sk/?fn=detailBiblioForm&amp;sid=E7D7E0932ADF3E22EA2906DECE</v>
      </c>
    </row>
    <row r="1384" spans="1:5" x14ac:dyDescent="0.25">
      <c r="A1384" s="20"/>
      <c r="B1384" s="20"/>
      <c r="C1384" s="20"/>
      <c r="D1384" s="20"/>
      <c r="E1384" s="20"/>
    </row>
    <row r="1385" spans="1:5" x14ac:dyDescent="0.25">
      <c r="A1385" s="20"/>
      <c r="B1385" s="20"/>
      <c r="C1385" s="20"/>
      <c r="D1385" s="20"/>
      <c r="E1385" s="20"/>
    </row>
    <row r="1386" spans="1:5" ht="30" x14ac:dyDescent="0.25">
      <c r="A1386" s="4" t="s">
        <v>1390</v>
      </c>
      <c r="B1386" s="15">
        <v>84</v>
      </c>
    </row>
    <row r="1387" spans="1:5" ht="45" x14ac:dyDescent="0.25">
      <c r="C1387" s="15">
        <v>149673</v>
      </c>
      <c r="D1387" s="4" t="s">
        <v>1391</v>
      </c>
      <c r="E1387" s="4" t="str">
        <f>HYPERLINK("https://app.crepc.sk/?fn=detailBiblioForm&amp;sid=26C7235C8E9E89C6F61B8EA616")</f>
        <v>https://app.crepc.sk/?fn=detailBiblioForm&amp;sid=26C7235C8E9E89C6F61B8EA616</v>
      </c>
    </row>
    <row r="1388" spans="1:5" ht="60" x14ac:dyDescent="0.25">
      <c r="C1388" s="15">
        <v>194230</v>
      </c>
      <c r="D1388" s="4" t="s">
        <v>1392</v>
      </c>
      <c r="E1388" s="4" t="str">
        <f>HYPERLINK("https://app.crepc.sk/?fn=detailBiblioForm&amp;sid=10A179E4A2FCBB3F0B69DFC67A")</f>
        <v>https://app.crepc.sk/?fn=detailBiblioForm&amp;sid=10A179E4A2FCBB3F0B69DFC67A</v>
      </c>
    </row>
    <row r="1389" spans="1:5" ht="45" x14ac:dyDescent="0.25">
      <c r="C1389" s="15">
        <v>161375</v>
      </c>
      <c r="D1389" s="4" t="s">
        <v>1393</v>
      </c>
      <c r="E1389" s="4" t="str">
        <f>HYPERLINK("https://app.crepc.sk/?fn=detailBiblioForm&amp;sid=F8FE310152E9D1F1EF102E57ED")</f>
        <v>https://app.crepc.sk/?fn=detailBiblioForm&amp;sid=F8FE310152E9D1F1EF102E57ED</v>
      </c>
    </row>
    <row r="1390" spans="1:5" ht="45" x14ac:dyDescent="0.25">
      <c r="C1390" s="15">
        <v>149719</v>
      </c>
      <c r="D1390" s="4" t="s">
        <v>1394</v>
      </c>
      <c r="E1390" s="4" t="str">
        <f>HYPERLINK("https://app.crepc.sk/?fn=detailBiblioForm&amp;sid=57B33341C8D8087239FFC541EE")</f>
        <v>https://app.crepc.sk/?fn=detailBiblioForm&amp;sid=57B33341C8D8087239FFC541EE</v>
      </c>
    </row>
    <row r="1391" spans="1:5" ht="195" x14ac:dyDescent="0.25">
      <c r="C1391" s="15">
        <v>112650</v>
      </c>
      <c r="D1391" s="4" t="s">
        <v>1395</v>
      </c>
      <c r="E1391" s="4" t="str">
        <f>HYPERLINK("https://app.crepc.sk/?fn=detailBiblioForm&amp;sid=0E8977C560C300761B182DC9C9")</f>
        <v>https://app.crepc.sk/?fn=detailBiblioForm&amp;sid=0E8977C560C300761B182DC9C9</v>
      </c>
    </row>
    <row r="1392" spans="1:5" ht="60" x14ac:dyDescent="0.25">
      <c r="C1392" s="15">
        <v>415580</v>
      </c>
      <c r="D1392" s="4" t="s">
        <v>1396</v>
      </c>
      <c r="E1392" s="4" t="str">
        <f>HYPERLINK("https://app.crepc.sk/?fn=detailBiblioForm&amp;sid=ADF8A059DAC19B7C066B0B2075")</f>
        <v>https://app.crepc.sk/?fn=detailBiblioForm&amp;sid=ADF8A059DAC19B7C066B0B2075</v>
      </c>
    </row>
    <row r="1393" spans="3:5" ht="60" x14ac:dyDescent="0.25">
      <c r="C1393" s="15">
        <v>159593</v>
      </c>
      <c r="D1393" s="4" t="s">
        <v>1397</v>
      </c>
      <c r="E1393" s="4" t="str">
        <f>HYPERLINK("https://app.crepc.sk/?fn=detailBiblioForm&amp;sid=030D6144E323D2914ED4C1F029")</f>
        <v>https://app.crepc.sk/?fn=detailBiblioForm&amp;sid=030D6144E323D2914ED4C1F029</v>
      </c>
    </row>
    <row r="1394" spans="3:5" ht="45" x14ac:dyDescent="0.25">
      <c r="C1394" s="15">
        <v>136394</v>
      </c>
      <c r="D1394" s="4" t="s">
        <v>1398</v>
      </c>
      <c r="E1394" s="4" t="str">
        <f>HYPERLINK("https://app.crepc.sk/?fn=detailBiblioForm&amp;sid=9C7036F15F469CEBDDCC709B2C")</f>
        <v>https://app.crepc.sk/?fn=detailBiblioForm&amp;sid=9C7036F15F469CEBDDCC709B2C</v>
      </c>
    </row>
    <row r="1395" spans="3:5" ht="45" x14ac:dyDescent="0.25">
      <c r="C1395" s="15">
        <v>125012</v>
      </c>
      <c r="D1395" s="4" t="s">
        <v>1399</v>
      </c>
      <c r="E1395" s="4" t="str">
        <f>HYPERLINK("https://app.crepc.sk/?fn=detailBiblioForm&amp;sid=ACBBACF06A26C1C922C3BFCB53")</f>
        <v>https://app.crepc.sk/?fn=detailBiblioForm&amp;sid=ACBBACF06A26C1C922C3BFCB53</v>
      </c>
    </row>
    <row r="1396" spans="3:5" ht="45" x14ac:dyDescent="0.25">
      <c r="C1396" s="15">
        <v>146078</v>
      </c>
      <c r="D1396" s="4" t="s">
        <v>1400</v>
      </c>
      <c r="E1396" s="4" t="str">
        <f>HYPERLINK("https://app.crepc.sk/?fn=detailBiblioForm&amp;sid=6F91D8ED6CD6362D972731705F")</f>
        <v>https://app.crepc.sk/?fn=detailBiblioForm&amp;sid=6F91D8ED6CD6362D972731705F</v>
      </c>
    </row>
    <row r="1397" spans="3:5" ht="60" x14ac:dyDescent="0.25">
      <c r="C1397" s="15">
        <v>143021</v>
      </c>
      <c r="D1397" s="4" t="s">
        <v>1401</v>
      </c>
      <c r="E1397" s="4" t="str">
        <f>HYPERLINK("https://app.crepc.sk/?fn=detailBiblioForm&amp;sid=0EA7DBD32D42EAF6EFED224B52")</f>
        <v>https://app.crepc.sk/?fn=detailBiblioForm&amp;sid=0EA7DBD32D42EAF6EFED224B52</v>
      </c>
    </row>
    <row r="1398" spans="3:5" ht="45" x14ac:dyDescent="0.25">
      <c r="C1398" s="15">
        <v>422300</v>
      </c>
      <c r="D1398" s="4" t="s">
        <v>1402</v>
      </c>
      <c r="E1398" s="4" t="str">
        <f>HYPERLINK("https://app.crepc.sk/?fn=detailBiblioForm&amp;sid=AF946B1BA58D5A544B72B317E0")</f>
        <v>https://app.crepc.sk/?fn=detailBiblioForm&amp;sid=AF946B1BA58D5A544B72B317E0</v>
      </c>
    </row>
    <row r="1399" spans="3:5" ht="120" x14ac:dyDescent="0.25">
      <c r="C1399" s="15">
        <v>87893</v>
      </c>
      <c r="D1399" s="4" t="s">
        <v>1403</v>
      </c>
      <c r="E1399" s="4" t="str">
        <f>HYPERLINK("https://app.crepc.sk/?fn=detailBiblioForm&amp;sid=9B60D6597724E2B7059043F2")</f>
        <v>https://app.crepc.sk/?fn=detailBiblioForm&amp;sid=9B60D6597724E2B7059043F2</v>
      </c>
    </row>
    <row r="1400" spans="3:5" ht="45" x14ac:dyDescent="0.25">
      <c r="C1400" s="15">
        <v>150619</v>
      </c>
      <c r="D1400" s="4" t="s">
        <v>1404</v>
      </c>
      <c r="E1400" s="4" t="str">
        <f>HYPERLINK("https://app.crepc.sk/?fn=detailBiblioForm&amp;sid=E06C6FAF64E52D017D41EB472B")</f>
        <v>https://app.crepc.sk/?fn=detailBiblioForm&amp;sid=E06C6FAF64E52D017D41EB472B</v>
      </c>
    </row>
    <row r="1401" spans="3:5" ht="45" x14ac:dyDescent="0.25">
      <c r="C1401" s="15">
        <v>182687</v>
      </c>
      <c r="D1401" s="4" t="s">
        <v>1405</v>
      </c>
      <c r="E1401" s="4" t="str">
        <f>HYPERLINK("https://app.crepc.sk/?fn=detailBiblioForm&amp;sid=AA9A59A4FA5B9CCA51922111BD")</f>
        <v>https://app.crepc.sk/?fn=detailBiblioForm&amp;sid=AA9A59A4FA5B9CCA51922111BD</v>
      </c>
    </row>
    <row r="1402" spans="3:5" ht="45" x14ac:dyDescent="0.25">
      <c r="C1402" s="15">
        <v>166568</v>
      </c>
      <c r="D1402" s="4" t="s">
        <v>1406</v>
      </c>
      <c r="E1402" s="4" t="str">
        <f>HYPERLINK("https://app.crepc.sk/?fn=detailBiblioForm&amp;sid=CBF19E20E3617CA9F149E89637")</f>
        <v>https://app.crepc.sk/?fn=detailBiblioForm&amp;sid=CBF19E20E3617CA9F149E89637</v>
      </c>
    </row>
    <row r="1403" spans="3:5" ht="45" x14ac:dyDescent="0.25">
      <c r="C1403" s="15">
        <v>313692</v>
      </c>
      <c r="D1403" s="4" t="s">
        <v>1407</v>
      </c>
      <c r="E1403" s="4" t="str">
        <f>HYPERLINK("https://app.crepc.sk/?fn=detailBiblioForm&amp;sid=52D95D66ED74B9C2F191B986D9")</f>
        <v>https://app.crepc.sk/?fn=detailBiblioForm&amp;sid=52D95D66ED74B9C2F191B986D9</v>
      </c>
    </row>
    <row r="1404" spans="3:5" ht="45" x14ac:dyDescent="0.25">
      <c r="C1404" s="15">
        <v>186438</v>
      </c>
      <c r="D1404" s="4" t="s">
        <v>1408</v>
      </c>
      <c r="E1404" s="4" t="str">
        <f>HYPERLINK("https://app.crepc.sk/?fn=detailBiblioForm&amp;sid=71F69C32541FA509386E11A618")</f>
        <v>https://app.crepc.sk/?fn=detailBiblioForm&amp;sid=71F69C32541FA509386E11A618</v>
      </c>
    </row>
    <row r="1405" spans="3:5" ht="45" x14ac:dyDescent="0.25">
      <c r="C1405" s="15">
        <v>179040</v>
      </c>
      <c r="D1405" s="4" t="s">
        <v>1409</v>
      </c>
      <c r="E1405" s="4" t="str">
        <f>HYPERLINK("https://app.crepc.sk/?fn=detailBiblioForm&amp;sid=52D5268610832158DAA2FA1575")</f>
        <v>https://app.crepc.sk/?fn=detailBiblioForm&amp;sid=52D5268610832158DAA2FA1575</v>
      </c>
    </row>
    <row r="1406" spans="3:5" ht="45" x14ac:dyDescent="0.25">
      <c r="C1406" s="15">
        <v>420279</v>
      </c>
      <c r="D1406" s="4" t="s">
        <v>1410</v>
      </c>
      <c r="E1406" s="4" t="str">
        <f>HYPERLINK("https://app.crepc.sk/?fn=detailBiblioForm&amp;sid=50D168C6DED1E9D8DCC36C1ABF")</f>
        <v>https://app.crepc.sk/?fn=detailBiblioForm&amp;sid=50D168C6DED1E9D8DCC36C1ABF</v>
      </c>
    </row>
    <row r="1407" spans="3:5" ht="45" x14ac:dyDescent="0.25">
      <c r="C1407" s="15">
        <v>201046</v>
      </c>
      <c r="D1407" s="4" t="s">
        <v>1411</v>
      </c>
      <c r="E1407" s="4" t="str">
        <f>HYPERLINK("https://app.crepc.sk/?fn=detailBiblioForm&amp;sid=243046BA5D04E9C174057A43A4")</f>
        <v>https://app.crepc.sk/?fn=detailBiblioForm&amp;sid=243046BA5D04E9C174057A43A4</v>
      </c>
    </row>
    <row r="1408" spans="3:5" ht="45" x14ac:dyDescent="0.25">
      <c r="C1408" s="15">
        <v>55959</v>
      </c>
      <c r="D1408" s="4" t="s">
        <v>1412</v>
      </c>
      <c r="E1408" s="4" t="str">
        <f>HYPERLINK("https://app.crepc.sk/?fn=detailBiblioForm&amp;sid=F52090AFBC2F38AB8A0E0338")</f>
        <v>https://app.crepc.sk/?fn=detailBiblioForm&amp;sid=F52090AFBC2F38AB8A0E0338</v>
      </c>
    </row>
    <row r="1409" spans="3:5" ht="60" x14ac:dyDescent="0.25">
      <c r="C1409" s="15">
        <v>196737</v>
      </c>
      <c r="D1409" s="4" t="s">
        <v>1413</v>
      </c>
      <c r="E1409" s="4" t="str">
        <f>HYPERLINK("https://app.crepc.sk/?fn=detailBiblioForm&amp;sid=959B0CD35FC03E1AE6CC263F38")</f>
        <v>https://app.crepc.sk/?fn=detailBiblioForm&amp;sid=959B0CD35FC03E1AE6CC263F38</v>
      </c>
    </row>
    <row r="1410" spans="3:5" ht="45" x14ac:dyDescent="0.25">
      <c r="C1410" s="15">
        <v>104291</v>
      </c>
      <c r="D1410" s="4" t="s">
        <v>1414</v>
      </c>
      <c r="E1410" s="4" t="str">
        <f>HYPERLINK("https://app.crepc.sk/?fn=detailBiblioForm&amp;sid=6E72E145B6DED42F44C288103F")</f>
        <v>https://app.crepc.sk/?fn=detailBiblioForm&amp;sid=6E72E145B6DED42F44C288103F</v>
      </c>
    </row>
    <row r="1411" spans="3:5" ht="60" x14ac:dyDescent="0.25">
      <c r="C1411" s="15">
        <v>128087</v>
      </c>
      <c r="D1411" s="4" t="s">
        <v>1415</v>
      </c>
      <c r="E1411" s="4" t="str">
        <f>HYPERLINK("https://app.crepc.sk/?fn=detailBiblioForm&amp;sid=0A2FCD8A47F4386457C9BC7E57")</f>
        <v>https://app.crepc.sk/?fn=detailBiblioForm&amp;sid=0A2FCD8A47F4386457C9BC7E57</v>
      </c>
    </row>
    <row r="1412" spans="3:5" ht="75" x14ac:dyDescent="0.25">
      <c r="C1412" s="15">
        <v>144448</v>
      </c>
      <c r="D1412" s="4" t="s">
        <v>1416</v>
      </c>
      <c r="E1412" s="4" t="str">
        <f>HYPERLINK("https://app.crepc.sk/?fn=detailBiblioForm&amp;sid=D46893ECD122FB25D2AED068C2")</f>
        <v>https://app.crepc.sk/?fn=detailBiblioForm&amp;sid=D46893ECD122FB25D2AED068C2</v>
      </c>
    </row>
    <row r="1413" spans="3:5" ht="45" x14ac:dyDescent="0.25">
      <c r="C1413" s="15">
        <v>71013</v>
      </c>
      <c r="D1413" s="4" t="s">
        <v>1417</v>
      </c>
      <c r="E1413" s="4" t="str">
        <f>HYPERLINK("https://app.crepc.sk/?fn=detailBiblioForm&amp;sid=945411CC2C2E7EC9A1A65081")</f>
        <v>https://app.crepc.sk/?fn=detailBiblioForm&amp;sid=945411CC2C2E7EC9A1A65081</v>
      </c>
    </row>
    <row r="1414" spans="3:5" ht="45" x14ac:dyDescent="0.25">
      <c r="C1414" s="15">
        <v>213887</v>
      </c>
      <c r="D1414" s="4" t="s">
        <v>1418</v>
      </c>
      <c r="E1414" s="4" t="str">
        <f>HYPERLINK("https://app.crepc.sk/?fn=detailBiblioForm&amp;sid=5530D6118388D4B8A55A02153C")</f>
        <v>https://app.crepc.sk/?fn=detailBiblioForm&amp;sid=5530D6118388D4B8A55A02153C</v>
      </c>
    </row>
    <row r="1415" spans="3:5" ht="45" x14ac:dyDescent="0.25">
      <c r="C1415" s="15">
        <v>216966</v>
      </c>
      <c r="D1415" s="4" t="s">
        <v>1419</v>
      </c>
      <c r="E1415" s="4" t="str">
        <f>HYPERLINK("https://app.crepc.sk/?fn=detailBiblioForm&amp;sid=796AEDFF3F2608F5F4D49371A7")</f>
        <v>https://app.crepc.sk/?fn=detailBiblioForm&amp;sid=796AEDFF3F2608F5F4D49371A7</v>
      </c>
    </row>
    <row r="1416" spans="3:5" ht="75" x14ac:dyDescent="0.25">
      <c r="C1416" s="15">
        <v>57724</v>
      </c>
      <c r="D1416" s="4" t="s">
        <v>1420</v>
      </c>
      <c r="E1416" s="4" t="str">
        <f>HYPERLINK("https://app.crepc.sk/?fn=detailBiblioForm&amp;sid=C3E4A33B8A4843667CF67ED8")</f>
        <v>https://app.crepc.sk/?fn=detailBiblioForm&amp;sid=C3E4A33B8A4843667CF67ED8</v>
      </c>
    </row>
    <row r="1417" spans="3:5" ht="60" x14ac:dyDescent="0.25">
      <c r="C1417" s="15">
        <v>152257</v>
      </c>
      <c r="D1417" s="4" t="s">
        <v>1421</v>
      </c>
      <c r="E1417" s="4" t="str">
        <f>HYPERLINK("https://app.crepc.sk/?fn=detailBiblioForm&amp;sid=C3244647CD7CB0B77C776FBDAB")</f>
        <v>https://app.crepc.sk/?fn=detailBiblioForm&amp;sid=C3244647CD7CB0B77C776FBDAB</v>
      </c>
    </row>
    <row r="1418" spans="3:5" ht="60" x14ac:dyDescent="0.25">
      <c r="C1418" s="15">
        <v>83373</v>
      </c>
      <c r="D1418" s="4" t="s">
        <v>1422</v>
      </c>
      <c r="E1418" s="4" t="str">
        <f>HYPERLINK("https://app.crepc.sk/?fn=detailBiblioForm&amp;sid=98283446A7E9E18EBF5AF361")</f>
        <v>https://app.crepc.sk/?fn=detailBiblioForm&amp;sid=98283446A7E9E18EBF5AF361</v>
      </c>
    </row>
    <row r="1419" spans="3:5" ht="60" x14ac:dyDescent="0.25">
      <c r="C1419" s="15">
        <v>83359</v>
      </c>
      <c r="D1419" s="4" t="s">
        <v>1423</v>
      </c>
      <c r="E1419" s="4" t="str">
        <f>HYPERLINK("https://app.crepc.sk/?fn=detailBiblioForm&amp;sid=6431A7A733788E0C7EBD6AD2")</f>
        <v>https://app.crepc.sk/?fn=detailBiblioForm&amp;sid=6431A7A733788E0C7EBD6AD2</v>
      </c>
    </row>
    <row r="1420" spans="3:5" ht="75" x14ac:dyDescent="0.25">
      <c r="C1420" s="15">
        <v>229404</v>
      </c>
      <c r="D1420" s="4" t="s">
        <v>1424</v>
      </c>
      <c r="E1420" s="4" t="str">
        <f>HYPERLINK("https://app.crepc.sk/?fn=detailBiblioForm&amp;sid=73EA3198123D9A75D6C5B49E07")</f>
        <v>https://app.crepc.sk/?fn=detailBiblioForm&amp;sid=73EA3198123D9A75D6C5B49E07</v>
      </c>
    </row>
    <row r="1421" spans="3:5" ht="60" x14ac:dyDescent="0.25">
      <c r="C1421" s="15">
        <v>86162</v>
      </c>
      <c r="D1421" s="4" t="s">
        <v>1425</v>
      </c>
      <c r="E1421" s="4" t="str">
        <f>HYPERLINK("https://app.crepc.sk/?fn=detailBiblioForm&amp;sid=1C0B9DC05ACFF2F995E614C8")</f>
        <v>https://app.crepc.sk/?fn=detailBiblioForm&amp;sid=1C0B9DC05ACFF2F995E614C8</v>
      </c>
    </row>
    <row r="1422" spans="3:5" ht="75" x14ac:dyDescent="0.25">
      <c r="C1422" s="15">
        <v>311623</v>
      </c>
      <c r="D1422" s="4" t="s">
        <v>1426</v>
      </c>
      <c r="E1422" s="4" t="str">
        <f>HYPERLINK("https://app.crepc.sk/?fn=detailBiblioForm&amp;sid=4F3E6110BFE0574A622B968407")</f>
        <v>https://app.crepc.sk/?fn=detailBiblioForm&amp;sid=4F3E6110BFE0574A622B968407</v>
      </c>
    </row>
    <row r="1423" spans="3:5" ht="45" x14ac:dyDescent="0.25">
      <c r="C1423" s="15">
        <v>103100</v>
      </c>
      <c r="D1423" s="4" t="s">
        <v>1427</v>
      </c>
      <c r="E1423" s="4" t="str">
        <f>HYPERLINK("https://app.crepc.sk/?fn=detailBiblioForm&amp;sid=1C4C6AA85D9A3B933791B2703D")</f>
        <v>https://app.crepc.sk/?fn=detailBiblioForm&amp;sid=1C4C6AA85D9A3B933791B2703D</v>
      </c>
    </row>
    <row r="1424" spans="3:5" ht="45" x14ac:dyDescent="0.25">
      <c r="C1424" s="15">
        <v>88096</v>
      </c>
      <c r="D1424" s="4" t="s">
        <v>1428</v>
      </c>
      <c r="E1424" s="4" t="str">
        <f>HYPERLINK("https://app.crepc.sk/?fn=detailBiblioForm&amp;sid=E71AB42D038636318DE19B04")</f>
        <v>https://app.crepc.sk/?fn=detailBiblioForm&amp;sid=E71AB42D038636318DE19B04</v>
      </c>
    </row>
    <row r="1425" spans="3:5" ht="60" x14ac:dyDescent="0.25">
      <c r="C1425" s="15">
        <v>83032</v>
      </c>
      <c r="D1425" s="4" t="s">
        <v>1429</v>
      </c>
      <c r="E1425" s="4" t="str">
        <f>HYPERLINK("https://app.crepc.sk/?fn=detailBiblioForm&amp;sid=5E32326C5E1723CA397639E0")</f>
        <v>https://app.crepc.sk/?fn=detailBiblioForm&amp;sid=5E32326C5E1723CA397639E0</v>
      </c>
    </row>
    <row r="1426" spans="3:5" ht="45" x14ac:dyDescent="0.25">
      <c r="C1426" s="15">
        <v>64043</v>
      </c>
      <c r="D1426" s="4" t="s">
        <v>1430</v>
      </c>
      <c r="E1426" s="4" t="str">
        <f>HYPERLINK("https://app.crepc.sk/?fn=detailBiblioForm&amp;sid=F8C0A91E6E14FE2236E60126")</f>
        <v>https://app.crepc.sk/?fn=detailBiblioForm&amp;sid=F8C0A91E6E14FE2236E60126</v>
      </c>
    </row>
    <row r="1427" spans="3:5" ht="45" x14ac:dyDescent="0.25">
      <c r="C1427" s="15">
        <v>415976</v>
      </c>
      <c r="D1427" s="4" t="s">
        <v>1431</v>
      </c>
      <c r="E1427" s="4" t="str">
        <f>HYPERLINK("https://app.crepc.sk/?fn=detailBiblioForm&amp;sid=F7482C8978A199F7F5A8719CE2")</f>
        <v>https://app.crepc.sk/?fn=detailBiblioForm&amp;sid=F7482C8978A199F7F5A8719CE2</v>
      </c>
    </row>
    <row r="1428" spans="3:5" ht="45" x14ac:dyDescent="0.25">
      <c r="C1428" s="15">
        <v>110161</v>
      </c>
      <c r="D1428" s="4" t="s">
        <v>1432</v>
      </c>
      <c r="E1428" s="4" t="str">
        <f>HYPERLINK("https://app.crepc.sk/?fn=detailBiblioForm&amp;sid=8A0066A0CA5331690C243C6DCB")</f>
        <v>https://app.crepc.sk/?fn=detailBiblioForm&amp;sid=8A0066A0CA5331690C243C6DCB</v>
      </c>
    </row>
    <row r="1429" spans="3:5" ht="45" x14ac:dyDescent="0.25">
      <c r="C1429" s="15">
        <v>309380</v>
      </c>
      <c r="D1429" s="4" t="s">
        <v>1433</v>
      </c>
      <c r="E1429" s="4" t="str">
        <f>HYPERLINK("https://app.crepc.sk/?fn=detailBiblioForm&amp;sid=3106B7E81CE24AA360D9ECAD02")</f>
        <v>https://app.crepc.sk/?fn=detailBiblioForm&amp;sid=3106B7E81CE24AA360D9ECAD02</v>
      </c>
    </row>
    <row r="1430" spans="3:5" ht="195" x14ac:dyDescent="0.25">
      <c r="C1430" s="15">
        <v>127786</v>
      </c>
      <c r="D1430" s="4" t="s">
        <v>1434</v>
      </c>
      <c r="E1430" s="4" t="str">
        <f>HYPERLINK("https://app.crepc.sk/?fn=detailBiblioForm&amp;sid=EE95B465952BB5C00E022BA78C")</f>
        <v>https://app.crepc.sk/?fn=detailBiblioForm&amp;sid=EE95B465952BB5C00E022BA78C</v>
      </c>
    </row>
    <row r="1431" spans="3:5" ht="45" x14ac:dyDescent="0.25">
      <c r="C1431" s="15">
        <v>145242</v>
      </c>
      <c r="D1431" s="4" t="s">
        <v>1435</v>
      </c>
      <c r="E1431" s="4" t="str">
        <f>HYPERLINK("https://app.crepc.sk/?fn=detailBiblioForm&amp;sid=92F98CEFD52BF35245CBC1FECC")</f>
        <v>https://app.crepc.sk/?fn=detailBiblioForm&amp;sid=92F98CEFD52BF35245CBC1FECC</v>
      </c>
    </row>
    <row r="1432" spans="3:5" ht="45" x14ac:dyDescent="0.25">
      <c r="C1432" s="15">
        <v>180760</v>
      </c>
      <c r="D1432" s="4" t="s">
        <v>1436</v>
      </c>
      <c r="E1432" s="4" t="str">
        <f>HYPERLINK("https://app.crepc.sk/?fn=detailBiblioForm&amp;sid=46F337D26E70386BC8350607C3")</f>
        <v>https://app.crepc.sk/?fn=detailBiblioForm&amp;sid=46F337D26E70386BC8350607C3</v>
      </c>
    </row>
    <row r="1433" spans="3:5" ht="45" x14ac:dyDescent="0.25">
      <c r="C1433" s="15">
        <v>208398</v>
      </c>
      <c r="D1433" s="4" t="s">
        <v>1437</v>
      </c>
      <c r="E1433" s="4" t="str">
        <f>HYPERLINK("https://app.crepc.sk/?fn=detailBiblioForm&amp;sid=EF657BB17E5AFCA0DBE30C4F60")</f>
        <v>https://app.crepc.sk/?fn=detailBiblioForm&amp;sid=EF657BB17E5AFCA0DBE30C4F60</v>
      </c>
    </row>
    <row r="1434" spans="3:5" ht="45" x14ac:dyDescent="0.25">
      <c r="C1434" s="15">
        <v>69331</v>
      </c>
      <c r="D1434" s="4" t="s">
        <v>1438</v>
      </c>
      <c r="E1434" s="4" t="str">
        <f>HYPERLINK("https://app.crepc.sk/?fn=detailBiblioForm&amp;sid=BD75346F3B8E4DA9BA251D16")</f>
        <v>https://app.crepc.sk/?fn=detailBiblioForm&amp;sid=BD75346F3B8E4DA9BA251D16</v>
      </c>
    </row>
    <row r="1435" spans="3:5" ht="60" x14ac:dyDescent="0.25">
      <c r="C1435" s="15">
        <v>103234</v>
      </c>
      <c r="D1435" s="4" t="s">
        <v>1439</v>
      </c>
      <c r="E1435" s="4" t="str">
        <f>HYPERLINK("https://app.crepc.sk/?fn=detailBiblioForm&amp;sid=26BAE0713B0B941B8CC64F3650")</f>
        <v>https://app.crepc.sk/?fn=detailBiblioForm&amp;sid=26BAE0713B0B941B8CC64F3650</v>
      </c>
    </row>
    <row r="1436" spans="3:5" ht="60" x14ac:dyDescent="0.25">
      <c r="C1436" s="15">
        <v>215114</v>
      </c>
      <c r="D1436" s="4" t="s">
        <v>1440</v>
      </c>
      <c r="E1436" s="4" t="str">
        <f>HYPERLINK("https://app.crepc.sk/?fn=detailBiblioForm&amp;sid=4D5574EB40FC4DF079DEC88A83")</f>
        <v>https://app.crepc.sk/?fn=detailBiblioForm&amp;sid=4D5574EB40FC4DF079DEC88A83</v>
      </c>
    </row>
    <row r="1437" spans="3:5" ht="75" x14ac:dyDescent="0.25">
      <c r="C1437" s="15">
        <v>165594</v>
      </c>
      <c r="D1437" s="4" t="s">
        <v>1441</v>
      </c>
      <c r="E1437" s="4" t="str">
        <f>HYPERLINK("https://app.crepc.sk/?fn=detailBiblioForm&amp;sid=7F3536D8180CDFBB144750B454")</f>
        <v>https://app.crepc.sk/?fn=detailBiblioForm&amp;sid=7F3536D8180CDFBB144750B454</v>
      </c>
    </row>
    <row r="1438" spans="3:5" ht="45" x14ac:dyDescent="0.25">
      <c r="C1438" s="15">
        <v>124220</v>
      </c>
      <c r="D1438" s="4" t="s">
        <v>1442</v>
      </c>
      <c r="E1438" s="4" t="str">
        <f>HYPERLINK("https://app.crepc.sk/?fn=detailBiblioForm&amp;sid=59734746E12AE9CA309AF3E561")</f>
        <v>https://app.crepc.sk/?fn=detailBiblioForm&amp;sid=59734746E12AE9CA309AF3E561</v>
      </c>
    </row>
    <row r="1439" spans="3:5" ht="45" x14ac:dyDescent="0.25">
      <c r="C1439" s="15">
        <v>115799</v>
      </c>
      <c r="D1439" s="4" t="s">
        <v>1443</v>
      </c>
      <c r="E1439" s="4" t="str">
        <f>HYPERLINK("https://app.crepc.sk/?fn=detailBiblioForm&amp;sid=D6D3FA1F9AF5FFB8A869CC7F52")</f>
        <v>https://app.crepc.sk/?fn=detailBiblioForm&amp;sid=D6D3FA1F9AF5FFB8A869CC7F52</v>
      </c>
    </row>
    <row r="1440" spans="3:5" ht="195" x14ac:dyDescent="0.25">
      <c r="C1440" s="15">
        <v>94847</v>
      </c>
      <c r="D1440" s="4" t="s">
        <v>1444</v>
      </c>
      <c r="E1440" s="4" t="str">
        <f>HYPERLINK("https://app.crepc.sk/?fn=detailBiblioForm&amp;sid=6DA891449A1D1E299B5F48CE")</f>
        <v>https://app.crepc.sk/?fn=detailBiblioForm&amp;sid=6DA891449A1D1E299B5F48CE</v>
      </c>
    </row>
    <row r="1441" spans="3:5" ht="75" x14ac:dyDescent="0.25">
      <c r="C1441" s="15">
        <v>84662</v>
      </c>
      <c r="D1441" s="4" t="s">
        <v>1445</v>
      </c>
      <c r="E1441" s="4" t="str">
        <f>HYPERLINK("https://app.crepc.sk/?fn=detailBiblioForm&amp;sid=69F04B69EBFCD75ADE10B48B")</f>
        <v>https://app.crepc.sk/?fn=detailBiblioForm&amp;sid=69F04B69EBFCD75ADE10B48B</v>
      </c>
    </row>
    <row r="1442" spans="3:5" ht="60" x14ac:dyDescent="0.25">
      <c r="C1442" s="15">
        <v>117834</v>
      </c>
      <c r="D1442" s="4" t="s">
        <v>1446</v>
      </c>
      <c r="E1442" s="4" t="str">
        <f>HYPERLINK("https://app.crepc.sk/?fn=detailBiblioForm&amp;sid=CABE63230C4296FD1B6D41B36E")</f>
        <v>https://app.crepc.sk/?fn=detailBiblioForm&amp;sid=CABE63230C4296FD1B6D41B36E</v>
      </c>
    </row>
    <row r="1443" spans="3:5" ht="45" x14ac:dyDescent="0.25">
      <c r="C1443" s="15">
        <v>71426</v>
      </c>
      <c r="D1443" s="4" t="s">
        <v>1447</v>
      </c>
      <c r="E1443" s="4" t="str">
        <f>HYPERLINK("https://app.crepc.sk/?fn=detailBiblioForm&amp;sid=F5F0422B6C437E46EC79799A")</f>
        <v>https://app.crepc.sk/?fn=detailBiblioForm&amp;sid=F5F0422B6C437E46EC79799A</v>
      </c>
    </row>
    <row r="1444" spans="3:5" ht="60" x14ac:dyDescent="0.25">
      <c r="C1444" s="15">
        <v>133287</v>
      </c>
      <c r="D1444" s="4" t="s">
        <v>1448</v>
      </c>
      <c r="E1444" s="4" t="str">
        <f>HYPERLINK("https://app.crepc.sk/?fn=detailBiblioForm&amp;sid=4E8C5892CF92DB7E648A622F65")</f>
        <v>https://app.crepc.sk/?fn=detailBiblioForm&amp;sid=4E8C5892CF92DB7E648A622F65</v>
      </c>
    </row>
    <row r="1445" spans="3:5" ht="45" x14ac:dyDescent="0.25">
      <c r="C1445" s="15">
        <v>434604</v>
      </c>
      <c r="D1445" s="4" t="s">
        <v>1449</v>
      </c>
      <c r="E1445" s="4" t="str">
        <f>HYPERLINK("https://app.crepc.sk/?fn=detailBiblioForm&amp;sid=7166C1BDD77531030DC8F6060F")</f>
        <v>https://app.crepc.sk/?fn=detailBiblioForm&amp;sid=7166C1BDD77531030DC8F6060F</v>
      </c>
    </row>
    <row r="1446" spans="3:5" ht="60" x14ac:dyDescent="0.25">
      <c r="C1446" s="15">
        <v>143023</v>
      </c>
      <c r="D1446" s="4" t="s">
        <v>1450</v>
      </c>
      <c r="E1446" s="4" t="str">
        <f>HYPERLINK("https://app.crepc.sk/?fn=detailBiblioForm&amp;sid=0EA7DBD32D42EAF6EFEF224B52")</f>
        <v>https://app.crepc.sk/?fn=detailBiblioForm&amp;sid=0EA7DBD32D42EAF6EFEF224B52</v>
      </c>
    </row>
    <row r="1447" spans="3:5" ht="45" x14ac:dyDescent="0.25">
      <c r="C1447" s="15">
        <v>186232</v>
      </c>
      <c r="D1447" s="4" t="s">
        <v>1451</v>
      </c>
      <c r="E1447" s="4" t="str">
        <f>HYPERLINK("https://app.crepc.sk/?fn=detailBiblioForm&amp;sid=4013D2F8FE5692F45DC9415971")</f>
        <v>https://app.crepc.sk/?fn=detailBiblioForm&amp;sid=4013D2F8FE5692F45DC9415971</v>
      </c>
    </row>
    <row r="1448" spans="3:5" ht="45" x14ac:dyDescent="0.25">
      <c r="C1448" s="15">
        <v>175002</v>
      </c>
      <c r="D1448" s="4" t="s">
        <v>1452</v>
      </c>
      <c r="E1448" s="4" t="str">
        <f>HYPERLINK("https://app.crepc.sk/?fn=detailBiblioForm&amp;sid=378281AEB05FBF717136A4B0F1")</f>
        <v>https://app.crepc.sk/?fn=detailBiblioForm&amp;sid=378281AEB05FBF717136A4B0F1</v>
      </c>
    </row>
    <row r="1449" spans="3:5" ht="60" x14ac:dyDescent="0.25">
      <c r="C1449" s="15">
        <v>98156</v>
      </c>
      <c r="D1449" s="4" t="s">
        <v>1453</v>
      </c>
      <c r="E1449" s="4" t="str">
        <f>HYPERLINK("https://app.crepc.sk/?fn=detailBiblioForm&amp;sid=1748FA8D41C16CFAC7B27590")</f>
        <v>https://app.crepc.sk/?fn=detailBiblioForm&amp;sid=1748FA8D41C16CFAC7B27590</v>
      </c>
    </row>
    <row r="1450" spans="3:5" ht="60" x14ac:dyDescent="0.25">
      <c r="C1450" s="15">
        <v>98129</v>
      </c>
      <c r="D1450" s="4" t="s">
        <v>1454</v>
      </c>
      <c r="E1450" s="4" t="str">
        <f>HYPERLINK("https://app.crepc.sk/?fn=detailBiblioForm&amp;sid=2FD4DE0BB2CB36D191EF0548")</f>
        <v>https://app.crepc.sk/?fn=detailBiblioForm&amp;sid=2FD4DE0BB2CB36D191EF0548</v>
      </c>
    </row>
    <row r="1451" spans="3:5" ht="60" x14ac:dyDescent="0.25">
      <c r="C1451" s="15">
        <v>231914</v>
      </c>
      <c r="D1451" s="4" t="s">
        <v>1455</v>
      </c>
      <c r="E1451" s="4" t="str">
        <f>HYPERLINK("https://app.crepc.sk/?fn=detailBiblioForm&amp;sid=59491F0E5D5E9D78DAD052D43D")</f>
        <v>https://app.crepc.sk/?fn=detailBiblioForm&amp;sid=59491F0E5D5E9D78DAD052D43D</v>
      </c>
    </row>
    <row r="1452" spans="3:5" ht="60" x14ac:dyDescent="0.25">
      <c r="C1452" s="15">
        <v>98153</v>
      </c>
      <c r="D1452" s="4" t="s">
        <v>1456</v>
      </c>
      <c r="E1452" s="4" t="str">
        <f>HYPERLINK("https://app.crepc.sk/?fn=detailBiblioForm&amp;sid=1748FA8D41C16CFAC2B27590")</f>
        <v>https://app.crepc.sk/?fn=detailBiblioForm&amp;sid=1748FA8D41C16CFAC2B27590</v>
      </c>
    </row>
    <row r="1453" spans="3:5" ht="60" x14ac:dyDescent="0.25">
      <c r="C1453" s="15">
        <v>98139</v>
      </c>
      <c r="D1453" s="4" t="s">
        <v>1457</v>
      </c>
      <c r="E1453" s="4" t="str">
        <f>HYPERLINK("https://app.crepc.sk/?fn=detailBiblioForm&amp;sid=E3911E55B55ADF8F925FC86C")</f>
        <v>https://app.crepc.sk/?fn=detailBiblioForm&amp;sid=E3911E55B55ADF8F925FC86C</v>
      </c>
    </row>
    <row r="1454" spans="3:5" ht="60" x14ac:dyDescent="0.25">
      <c r="C1454" s="15">
        <v>191085</v>
      </c>
      <c r="D1454" s="4" t="s">
        <v>1458</v>
      </c>
      <c r="E1454" s="4" t="str">
        <f>HYPERLINK("https://app.crepc.sk/?fn=detailBiblioForm&amp;sid=E46EC5C652959FE81194738D9A")</f>
        <v>https://app.crepc.sk/?fn=detailBiblioForm&amp;sid=E46EC5C652959FE81194738D9A</v>
      </c>
    </row>
    <row r="1455" spans="3:5" ht="60" x14ac:dyDescent="0.25">
      <c r="C1455" s="15">
        <v>134779</v>
      </c>
      <c r="D1455" s="4" t="s">
        <v>1459</v>
      </c>
      <c r="E1455" s="4" t="str">
        <f>HYPERLINK("https://app.crepc.sk/?fn=detailBiblioForm&amp;sid=30B1ADDF6CEA0E22B357BE07DF")</f>
        <v>https://app.crepc.sk/?fn=detailBiblioForm&amp;sid=30B1ADDF6CEA0E22B357BE07DF</v>
      </c>
    </row>
    <row r="1456" spans="3:5" ht="45" x14ac:dyDescent="0.25">
      <c r="C1456" s="15">
        <v>136400</v>
      </c>
      <c r="D1456" s="4" t="s">
        <v>1460</v>
      </c>
      <c r="E1456" s="4" t="str">
        <f>HYPERLINK("https://app.crepc.sk/?fn=detailBiblioForm&amp;sid=B6A4D7332C46D305B84C17FF25")</f>
        <v>https://app.crepc.sk/?fn=detailBiblioForm&amp;sid=B6A4D7332C46D305B84C17FF25</v>
      </c>
    </row>
    <row r="1457" spans="1:5" ht="60" x14ac:dyDescent="0.25">
      <c r="C1457" s="15">
        <v>94843</v>
      </c>
      <c r="D1457" s="4" t="s">
        <v>1461</v>
      </c>
      <c r="E1457" s="4" t="str">
        <f>HYPERLINK("https://app.crepc.sk/?fn=detailBiblioForm&amp;sid=6DA891449A1D1E299F5F48CE")</f>
        <v>https://app.crepc.sk/?fn=detailBiblioForm&amp;sid=6DA891449A1D1E299F5F48CE</v>
      </c>
    </row>
    <row r="1458" spans="1:5" ht="90" x14ac:dyDescent="0.25">
      <c r="C1458" s="15">
        <v>70988</v>
      </c>
      <c r="D1458" s="4" t="s">
        <v>1462</v>
      </c>
      <c r="E1458" s="4" t="str">
        <f>HYPERLINK("https://app.crepc.sk/?fn=detailBiblioForm&amp;sid=9CFA8F83621AE4A978E1DE83")</f>
        <v>https://app.crepc.sk/?fn=detailBiblioForm&amp;sid=9CFA8F83621AE4A978E1DE83</v>
      </c>
    </row>
    <row r="1459" spans="1:5" ht="45" x14ac:dyDescent="0.25">
      <c r="C1459" s="15">
        <v>74542</v>
      </c>
      <c r="D1459" s="4" t="s">
        <v>1463</v>
      </c>
      <c r="E1459" s="4" t="str">
        <f>HYPERLINK("https://app.crepc.sk/?fn=detailBiblioForm&amp;sid=7DC6F83733C2E63A7ED65D08")</f>
        <v>https://app.crepc.sk/?fn=detailBiblioForm&amp;sid=7DC6F83733C2E63A7ED65D08</v>
      </c>
    </row>
    <row r="1460" spans="1:5" ht="45" x14ac:dyDescent="0.25">
      <c r="C1460" s="15">
        <v>241185</v>
      </c>
      <c r="D1460" s="4" t="s">
        <v>1464</v>
      </c>
      <c r="E1460" s="4" t="str">
        <f>HYPERLINK("https://app.crepc.sk/?fn=detailBiblioForm&amp;sid=65CC8B494803E9B1ECF8404186")</f>
        <v>https://app.crepc.sk/?fn=detailBiblioForm&amp;sid=65CC8B494803E9B1ECF8404186</v>
      </c>
    </row>
    <row r="1461" spans="1:5" ht="45" x14ac:dyDescent="0.25">
      <c r="C1461" s="15">
        <v>180473</v>
      </c>
      <c r="D1461" s="4" t="s">
        <v>1465</v>
      </c>
      <c r="E1461" s="4" t="str">
        <f>HYPERLINK("https://app.crepc.sk/?fn=detailBiblioForm&amp;sid=46E5F073F744ACC4F97A236061")</f>
        <v>https://app.crepc.sk/?fn=detailBiblioForm&amp;sid=46E5F073F744ACC4F97A236061</v>
      </c>
    </row>
    <row r="1462" spans="1:5" ht="60" x14ac:dyDescent="0.25">
      <c r="C1462" s="15">
        <v>215685</v>
      </c>
      <c r="D1462" s="4" t="s">
        <v>1466</v>
      </c>
      <c r="E1462" s="4" t="str">
        <f>HYPERLINK("https://app.crepc.sk/?fn=detailBiblioForm&amp;sid=71C258F70EEA1E8C30FB0ED63E")</f>
        <v>https://app.crepc.sk/?fn=detailBiblioForm&amp;sid=71C258F70EEA1E8C30FB0ED63E</v>
      </c>
    </row>
    <row r="1463" spans="1:5" ht="45" x14ac:dyDescent="0.25">
      <c r="C1463" s="15">
        <v>51506</v>
      </c>
      <c r="D1463" s="4" t="s">
        <v>1467</v>
      </c>
      <c r="E1463" s="4" t="str">
        <f>HYPERLINK("https://app.crepc.sk/?fn=detailBiblioForm&amp;sid=C417DA5BEF244A49155B7A2F")</f>
        <v>https://app.crepc.sk/?fn=detailBiblioForm&amp;sid=C417DA5BEF244A49155B7A2F</v>
      </c>
    </row>
    <row r="1464" spans="1:5" ht="45" x14ac:dyDescent="0.25">
      <c r="C1464" s="15">
        <v>79888</v>
      </c>
      <c r="D1464" s="4" t="s">
        <v>1468</v>
      </c>
      <c r="E1464" s="4" t="str">
        <f>HYPERLINK("https://app.crepc.sk/?fn=detailBiblioForm&amp;sid=A761738FF9AD5D66194724FB")</f>
        <v>https://app.crepc.sk/?fn=detailBiblioForm&amp;sid=A761738FF9AD5D66194724FB</v>
      </c>
    </row>
    <row r="1465" spans="1:5" ht="60" x14ac:dyDescent="0.25">
      <c r="C1465" s="15">
        <v>211436</v>
      </c>
      <c r="D1465" s="4" t="s">
        <v>1469</v>
      </c>
      <c r="E1465" s="4" t="str">
        <f>HYPERLINK("https://app.crepc.sk/?fn=detailBiblioForm&amp;sid=E68DA448349DA48E313EAC5BDB")</f>
        <v>https://app.crepc.sk/?fn=detailBiblioForm&amp;sid=E68DA448349DA48E313EAC5BDB</v>
      </c>
    </row>
    <row r="1466" spans="1:5" ht="45" x14ac:dyDescent="0.25">
      <c r="C1466" s="15">
        <v>201206</v>
      </c>
      <c r="D1466" s="4" t="s">
        <v>1470</v>
      </c>
      <c r="E1466" s="4" t="str">
        <f>HYPERLINK("https://app.crepc.sk/?fn=detailBiblioForm&amp;sid=4DA2528AD0C8792BAB8948611A")</f>
        <v>https://app.crepc.sk/?fn=detailBiblioForm&amp;sid=4DA2528AD0C8792BAB8948611A</v>
      </c>
    </row>
    <row r="1467" spans="1:5" ht="195" x14ac:dyDescent="0.25">
      <c r="C1467" s="15">
        <v>77785</v>
      </c>
      <c r="D1467" s="4" t="s">
        <v>1471</v>
      </c>
      <c r="E1467" s="4" t="str">
        <f>HYPERLINK("https://app.crepc.sk/?fn=detailBiblioForm&amp;sid=F44C07FC4E532F94B3534EAE")</f>
        <v>https://app.crepc.sk/?fn=detailBiblioForm&amp;sid=F44C07FC4E532F94B3534EAE</v>
      </c>
    </row>
    <row r="1468" spans="1:5" ht="60" x14ac:dyDescent="0.25">
      <c r="C1468" s="15">
        <v>119272</v>
      </c>
      <c r="D1468" s="4" t="s">
        <v>1472</v>
      </c>
      <c r="E1468" s="4" t="str">
        <f>HYPERLINK("https://app.crepc.sk/?fn=detailBiblioForm&amp;sid=D58B3EF0452D9D30BD4F161BAA")</f>
        <v>https://app.crepc.sk/?fn=detailBiblioForm&amp;sid=D58B3EF0452D9D30BD4F161BAA</v>
      </c>
    </row>
    <row r="1469" spans="1:5" ht="45" x14ac:dyDescent="0.25">
      <c r="C1469" s="15">
        <v>200625</v>
      </c>
      <c r="D1469" s="4" t="s">
        <v>1473</v>
      </c>
      <c r="E1469" s="4" t="str">
        <f>HYPERLINK("https://app.crepc.sk/?fn=detailBiblioForm&amp;sid=61D46AF4896B8B8963BE454EA7")</f>
        <v>https://app.crepc.sk/?fn=detailBiblioForm&amp;sid=61D46AF4896B8B8963BE454EA7</v>
      </c>
    </row>
    <row r="1470" spans="1:5" ht="45" x14ac:dyDescent="0.25">
      <c r="C1470" s="15">
        <v>107101</v>
      </c>
      <c r="D1470" s="4" t="s">
        <v>1474</v>
      </c>
      <c r="E1470" s="4" t="str">
        <f>HYPERLINK("https://app.crepc.sk/?fn=detailBiblioForm&amp;sid=F9D8D464D56E4BF9F995618DE6")</f>
        <v>https://app.crepc.sk/?fn=detailBiblioForm&amp;sid=F9D8D464D56E4BF9F995618DE6</v>
      </c>
    </row>
    <row r="1471" spans="1:5" ht="30" x14ac:dyDescent="0.25">
      <c r="A1471" s="4" t="s">
        <v>1475</v>
      </c>
      <c r="B1471" s="15">
        <v>127</v>
      </c>
    </row>
    <row r="1472" spans="1:5" ht="45" x14ac:dyDescent="0.25">
      <c r="C1472" s="15">
        <v>241435</v>
      </c>
      <c r="D1472" s="4" t="s">
        <v>1476</v>
      </c>
      <c r="E1472" s="4" t="str">
        <f>HYPERLINK("https://app.crepc.sk/?fn=detailBiblioForm&amp;sid=B282C407C3CFEAF523944D3722")</f>
        <v>https://app.crepc.sk/?fn=detailBiblioForm&amp;sid=B282C407C3CFEAF523944D3722</v>
      </c>
    </row>
    <row r="1473" spans="3:5" ht="45" x14ac:dyDescent="0.25">
      <c r="C1473" s="15">
        <v>209567</v>
      </c>
      <c r="D1473" s="4" t="s">
        <v>1477</v>
      </c>
      <c r="E1473" s="4" t="str">
        <f>HYPERLINK("https://app.crepc.sk/?fn=detailBiblioForm&amp;sid=5D15CCFBDD7C9C1324BB8220DC")</f>
        <v>https://app.crepc.sk/?fn=detailBiblioForm&amp;sid=5D15CCFBDD7C9C1324BB8220DC</v>
      </c>
    </row>
    <row r="1474" spans="3:5" ht="120" x14ac:dyDescent="0.25">
      <c r="C1474" s="15">
        <v>118768</v>
      </c>
      <c r="D1474" s="4" t="s">
        <v>1478</v>
      </c>
      <c r="E1474" s="4" t="str">
        <f>HYPERLINK("https://app.crepc.sk/?fn=detailBiblioForm&amp;sid=46EC41480997D7F106B6C7D544")</f>
        <v>https://app.crepc.sk/?fn=detailBiblioForm&amp;sid=46EC41480997D7F106B6C7D544</v>
      </c>
    </row>
    <row r="1475" spans="3:5" ht="45" x14ac:dyDescent="0.25">
      <c r="C1475" s="15">
        <v>221879</v>
      </c>
      <c r="D1475" s="4" t="s">
        <v>1479</v>
      </c>
      <c r="E1475" s="4" t="str">
        <f>HYPERLINK("https://app.crepc.sk/?fn=detailBiblioForm&amp;sid=CF8B0AA5B1679DEC06D412959B")</f>
        <v>https://app.crepc.sk/?fn=detailBiblioForm&amp;sid=CF8B0AA5B1679DEC06D412959B</v>
      </c>
    </row>
    <row r="1476" spans="3:5" ht="60" x14ac:dyDescent="0.25">
      <c r="C1476" s="15">
        <v>206887</v>
      </c>
      <c r="D1476" s="4" t="s">
        <v>1480</v>
      </c>
      <c r="E1476" s="4" t="str">
        <f>HYPERLINK("https://app.crepc.sk/?fn=detailBiblioForm&amp;sid=01F693E10B7407154BB3413BCF")</f>
        <v>https://app.crepc.sk/?fn=detailBiblioForm&amp;sid=01F693E10B7407154BB3413BCF</v>
      </c>
    </row>
    <row r="1477" spans="3:5" ht="45" x14ac:dyDescent="0.25">
      <c r="C1477" s="15">
        <v>51258</v>
      </c>
      <c r="D1477" s="4" t="s">
        <v>1481</v>
      </c>
      <c r="E1477" s="4" t="str">
        <f>HYPERLINK("https://app.crepc.sk/?fn=detailBiblioForm&amp;sid=A5213ECA03C20E558B7ED996")</f>
        <v>https://app.crepc.sk/?fn=detailBiblioForm&amp;sid=A5213ECA03C20E558B7ED996</v>
      </c>
    </row>
    <row r="1478" spans="3:5" ht="45" x14ac:dyDescent="0.25">
      <c r="C1478" s="15">
        <v>117883</v>
      </c>
      <c r="D1478" s="4" t="s">
        <v>1482</v>
      </c>
      <c r="E1478" s="4" t="str">
        <f>HYPERLINK("https://app.crepc.sk/?fn=detailBiblioForm&amp;sid=CABE63230C4296FD106A41B36E")</f>
        <v>https://app.crepc.sk/?fn=detailBiblioForm&amp;sid=CABE63230C4296FD106A41B36E</v>
      </c>
    </row>
    <row r="1479" spans="3:5" ht="45" x14ac:dyDescent="0.25">
      <c r="C1479" s="15">
        <v>58136</v>
      </c>
      <c r="D1479" s="4" t="s">
        <v>1483</v>
      </c>
      <c r="E1479" s="4" t="str">
        <f>HYPERLINK("https://app.crepc.sk/?fn=detailBiblioForm&amp;sid=E1DFD08B62F3AB60923A1EF2")</f>
        <v>https://app.crepc.sk/?fn=detailBiblioForm&amp;sid=E1DFD08B62F3AB60923A1EF2</v>
      </c>
    </row>
    <row r="1480" spans="3:5" ht="60" x14ac:dyDescent="0.25">
      <c r="C1480" s="15">
        <v>244424</v>
      </c>
      <c r="D1480" s="4" t="s">
        <v>1484</v>
      </c>
      <c r="E1480" s="4" t="str">
        <f>HYPERLINK("https://app.crepc.sk/?fn=detailBiblioForm&amp;sid=EBD36AD372BA50A6AFB21DEA24")</f>
        <v>https://app.crepc.sk/?fn=detailBiblioForm&amp;sid=EBD36AD372BA50A6AFB21DEA24</v>
      </c>
    </row>
    <row r="1481" spans="3:5" ht="45" x14ac:dyDescent="0.25">
      <c r="C1481" s="15">
        <v>119462</v>
      </c>
      <c r="D1481" s="4" t="s">
        <v>1485</v>
      </c>
      <c r="E1481" s="4" t="str">
        <f>HYPERLINK("https://app.crepc.sk/?fn=detailBiblioForm&amp;sid=F36B9AAD60772977F1514FEDDA")</f>
        <v>https://app.crepc.sk/?fn=detailBiblioForm&amp;sid=F36B9AAD60772977F1514FEDDA</v>
      </c>
    </row>
    <row r="1482" spans="3:5" ht="45" x14ac:dyDescent="0.25">
      <c r="C1482" s="15">
        <v>218486</v>
      </c>
      <c r="D1482" s="4" t="s">
        <v>1486</v>
      </c>
      <c r="E1482" s="4" t="str">
        <f>HYPERLINK("https://app.crepc.sk/?fn=detailBiblioForm&amp;sid=BFE5C12B22C0C935C2EC3853B1")</f>
        <v>https://app.crepc.sk/?fn=detailBiblioForm&amp;sid=BFE5C12B22C0C935C2EC3853B1</v>
      </c>
    </row>
    <row r="1483" spans="3:5" ht="45" x14ac:dyDescent="0.25">
      <c r="C1483" s="15">
        <v>64467</v>
      </c>
      <c r="D1483" s="4" t="s">
        <v>1487</v>
      </c>
      <c r="E1483" s="4" t="str">
        <f>HYPERLINK("https://app.crepc.sk/?fn=detailBiblioForm&amp;sid=4487696AFCCD84300CB077BE")</f>
        <v>https://app.crepc.sk/?fn=detailBiblioForm&amp;sid=4487696AFCCD84300CB077BE</v>
      </c>
    </row>
    <row r="1484" spans="3:5" ht="60" x14ac:dyDescent="0.25">
      <c r="C1484" s="15">
        <v>95132</v>
      </c>
      <c r="D1484" s="4" t="s">
        <v>1488</v>
      </c>
      <c r="E1484" s="4" t="str">
        <f>HYPERLINK("https://app.crepc.sk/?fn=detailBiblioForm&amp;sid=286DCDC1C046F33E7D1A31A5")</f>
        <v>https://app.crepc.sk/?fn=detailBiblioForm&amp;sid=286DCDC1C046F33E7D1A31A5</v>
      </c>
    </row>
    <row r="1485" spans="3:5" ht="45" x14ac:dyDescent="0.25">
      <c r="C1485" s="15">
        <v>124006</v>
      </c>
      <c r="D1485" s="4" t="s">
        <v>1489</v>
      </c>
      <c r="E1485" s="4" t="str">
        <f>HYPERLINK("https://app.crepc.sk/?fn=detailBiblioForm&amp;sid=111DEF23A8694C1DD5D6413CE8")</f>
        <v>https://app.crepc.sk/?fn=detailBiblioForm&amp;sid=111DEF23A8694C1DD5D6413CE8</v>
      </c>
    </row>
    <row r="1486" spans="3:5" ht="60" x14ac:dyDescent="0.25">
      <c r="C1486" s="15">
        <v>309075</v>
      </c>
      <c r="D1486" s="4" t="s">
        <v>1490</v>
      </c>
      <c r="E1486" s="4" t="str">
        <f>HYPERLINK("https://app.crepc.sk/?fn=detailBiblioForm&amp;sid=D70A56A8DACDB1895F378BDD7C")</f>
        <v>https://app.crepc.sk/?fn=detailBiblioForm&amp;sid=D70A56A8DACDB1895F378BDD7C</v>
      </c>
    </row>
    <row r="1487" spans="3:5" ht="45" x14ac:dyDescent="0.25">
      <c r="C1487" s="15">
        <v>236268</v>
      </c>
      <c r="D1487" s="4" t="s">
        <v>1491</v>
      </c>
      <c r="E1487" s="4" t="str">
        <f>HYPERLINK("https://app.crepc.sk/?fn=detailBiblioForm&amp;sid=C110776E543635D21DBEA03168")</f>
        <v>https://app.crepc.sk/?fn=detailBiblioForm&amp;sid=C110776E543635D21DBEA03168</v>
      </c>
    </row>
    <row r="1488" spans="3:5" ht="60" x14ac:dyDescent="0.25">
      <c r="C1488" s="15">
        <v>62339</v>
      </c>
      <c r="D1488" s="4" t="s">
        <v>1492</v>
      </c>
      <c r="E1488" s="4" t="str">
        <f>HYPERLINK("https://app.crepc.sk/?fn=detailBiblioForm&amp;sid=8EB751920B20E23F7F7186C2")</f>
        <v>https://app.crepc.sk/?fn=detailBiblioForm&amp;sid=8EB751920B20E23F7F7186C2</v>
      </c>
    </row>
    <row r="1489" spans="3:5" ht="60" x14ac:dyDescent="0.25">
      <c r="C1489" s="15">
        <v>230410</v>
      </c>
      <c r="D1489" s="4" t="s">
        <v>1493</v>
      </c>
      <c r="E1489" s="4" t="str">
        <f>HYPERLINK("https://app.crepc.sk/?fn=detailBiblioForm&amp;sid=9AC08A873A9141DED222D812FD")</f>
        <v>https://app.crepc.sk/?fn=detailBiblioForm&amp;sid=9AC08A873A9141DED222D812FD</v>
      </c>
    </row>
    <row r="1490" spans="3:5" ht="45" x14ac:dyDescent="0.25">
      <c r="C1490" s="15">
        <v>185797</v>
      </c>
      <c r="D1490" s="4" t="s">
        <v>1494</v>
      </c>
      <c r="E1490" s="4" t="str">
        <f>HYPERLINK("https://app.crepc.sk/?fn=detailBiblioForm&amp;sid=D39A92077CB2E2E728478E9F9A")</f>
        <v>https://app.crepc.sk/?fn=detailBiblioForm&amp;sid=D39A92077CB2E2E728478E9F9A</v>
      </c>
    </row>
    <row r="1491" spans="3:5" ht="60" x14ac:dyDescent="0.25">
      <c r="C1491" s="15">
        <v>94924</v>
      </c>
      <c r="D1491" s="4" t="s">
        <v>1495</v>
      </c>
      <c r="E1491" s="4" t="str">
        <f>HYPERLINK("https://app.crepc.sk/?fn=detailBiblioForm&amp;sid=A540E0A1F121D3A32B384757")</f>
        <v>https://app.crepc.sk/?fn=detailBiblioForm&amp;sid=A540E0A1F121D3A32B384757</v>
      </c>
    </row>
    <row r="1492" spans="3:5" ht="60" x14ac:dyDescent="0.25">
      <c r="C1492" s="15">
        <v>431835</v>
      </c>
      <c r="D1492" s="4" t="s">
        <v>1496</v>
      </c>
      <c r="E1492" s="4" t="str">
        <f>HYPERLINK("https://app.crepc.sk/?fn=detailBiblioForm&amp;sid=3DE6CF9C5F52DC5A469762B88A")</f>
        <v>https://app.crepc.sk/?fn=detailBiblioForm&amp;sid=3DE6CF9C5F52DC5A469762B88A</v>
      </c>
    </row>
    <row r="1493" spans="3:5" ht="60" x14ac:dyDescent="0.25">
      <c r="C1493" s="15">
        <v>94931</v>
      </c>
      <c r="D1493" s="4" t="s">
        <v>1497</v>
      </c>
      <c r="E1493" s="4" t="str">
        <f>HYPERLINK("https://app.crepc.sk/?fn=detailBiblioForm&amp;sid=535C25B59A33EA74310C2A03")</f>
        <v>https://app.crepc.sk/?fn=detailBiblioForm&amp;sid=535C25B59A33EA74310C2A03</v>
      </c>
    </row>
    <row r="1494" spans="3:5" ht="90" x14ac:dyDescent="0.25">
      <c r="C1494" s="15">
        <v>106405</v>
      </c>
      <c r="D1494" s="4" t="s">
        <v>1498</v>
      </c>
      <c r="E1494" s="4" t="str">
        <f>HYPERLINK("https://app.crepc.sk/?fn=detailBiblioForm&amp;sid=A2BBB5BDBF4DF2E945BAD8FD36")</f>
        <v>https://app.crepc.sk/?fn=detailBiblioForm&amp;sid=A2BBB5BDBF4DF2E945BAD8FD36</v>
      </c>
    </row>
    <row r="1495" spans="3:5" ht="45" x14ac:dyDescent="0.25">
      <c r="C1495" s="15">
        <v>244763</v>
      </c>
      <c r="D1495" s="4" t="s">
        <v>1499</v>
      </c>
      <c r="E1495" s="4" t="str">
        <f>HYPERLINK("https://app.crepc.sk/?fn=detailBiblioForm&amp;sid=C5430B75513C4E7F26FCE1F354")</f>
        <v>https://app.crepc.sk/?fn=detailBiblioForm&amp;sid=C5430B75513C4E7F26FCE1F354</v>
      </c>
    </row>
    <row r="1496" spans="3:5" ht="45" x14ac:dyDescent="0.25">
      <c r="C1496" s="15">
        <v>313586</v>
      </c>
      <c r="D1496" s="4" t="s">
        <v>1500</v>
      </c>
      <c r="E1496" s="4" t="str">
        <f>HYPERLINK("https://app.crepc.sk/?fn=detailBiblioForm&amp;sid=84C2C2F763AF22E2C1050E9486")</f>
        <v>https://app.crepc.sk/?fn=detailBiblioForm&amp;sid=84C2C2F763AF22E2C1050E9486</v>
      </c>
    </row>
    <row r="1497" spans="3:5" ht="45" x14ac:dyDescent="0.25">
      <c r="C1497" s="15">
        <v>202539</v>
      </c>
      <c r="D1497" s="4" t="s">
        <v>1501</v>
      </c>
      <c r="E1497" s="4" t="str">
        <f>HYPERLINK("https://app.crepc.sk/?fn=detailBiblioForm&amp;sid=3036734F2764D6FCC63CD36630")</f>
        <v>https://app.crepc.sk/?fn=detailBiblioForm&amp;sid=3036734F2764D6FCC63CD36630</v>
      </c>
    </row>
    <row r="1498" spans="3:5" ht="45" x14ac:dyDescent="0.25">
      <c r="C1498" s="15">
        <v>428163</v>
      </c>
      <c r="D1498" s="4" t="s">
        <v>1502</v>
      </c>
      <c r="E1498" s="4" t="str">
        <f>HYPERLINK("https://app.crepc.sk/?fn=detailBiblioForm&amp;sid=DCDDD0C427F279D0971B43A078")</f>
        <v>https://app.crepc.sk/?fn=detailBiblioForm&amp;sid=DCDDD0C427F279D0971B43A078</v>
      </c>
    </row>
    <row r="1499" spans="3:5" ht="45" x14ac:dyDescent="0.25">
      <c r="C1499" s="15">
        <v>225010</v>
      </c>
      <c r="D1499" s="4" t="s">
        <v>1503</v>
      </c>
      <c r="E1499" s="4" t="str">
        <f>HYPERLINK("https://app.crepc.sk/?fn=detailBiblioForm&amp;sid=A2AD548EC83AF4476BD7476AD3")</f>
        <v>https://app.crepc.sk/?fn=detailBiblioForm&amp;sid=A2AD548EC83AF4476BD7476AD3</v>
      </c>
    </row>
    <row r="1500" spans="3:5" ht="45" x14ac:dyDescent="0.25">
      <c r="C1500" s="15">
        <v>189337</v>
      </c>
      <c r="D1500" s="4" t="s">
        <v>1504</v>
      </c>
      <c r="E1500" s="4" t="str">
        <f>HYPERLINK("https://app.crepc.sk/?fn=detailBiblioForm&amp;sid=81706160F8CD7D6D7316CBB3A7")</f>
        <v>https://app.crepc.sk/?fn=detailBiblioForm&amp;sid=81706160F8CD7D6D7316CBB3A7</v>
      </c>
    </row>
    <row r="1501" spans="3:5" ht="45" x14ac:dyDescent="0.25">
      <c r="C1501" s="15">
        <v>169460</v>
      </c>
      <c r="D1501" s="4" t="s">
        <v>1505</v>
      </c>
      <c r="E1501" s="4" t="str">
        <f>HYPERLINK("https://app.crepc.sk/?fn=detailBiblioForm&amp;sid=9F4BAE23A344452BBA8228E28A")</f>
        <v>https://app.crepc.sk/?fn=detailBiblioForm&amp;sid=9F4BAE23A344452BBA8228E28A</v>
      </c>
    </row>
    <row r="1502" spans="3:5" ht="45" x14ac:dyDescent="0.25">
      <c r="C1502" s="15">
        <v>223197</v>
      </c>
      <c r="D1502" s="4" t="s">
        <v>1506</v>
      </c>
      <c r="E1502" s="4" t="str">
        <f>HYPERLINK("https://app.crepc.sk/?fn=detailBiblioForm&amp;sid=3CCA95DFCBDFD5503D69FB1A00")</f>
        <v>https://app.crepc.sk/?fn=detailBiblioForm&amp;sid=3CCA95DFCBDFD5503D69FB1A00</v>
      </c>
    </row>
    <row r="1503" spans="3:5" ht="60" x14ac:dyDescent="0.25">
      <c r="C1503" s="15">
        <v>245590</v>
      </c>
      <c r="D1503" s="4" t="s">
        <v>1507</v>
      </c>
      <c r="E1503" s="4" t="str">
        <f>HYPERLINK("https://app.crepc.sk/?fn=detailBiblioForm&amp;sid=2D7D087DC286DEBC7AC0E2F33B")</f>
        <v>https://app.crepc.sk/?fn=detailBiblioForm&amp;sid=2D7D087DC286DEBC7AC0E2F33B</v>
      </c>
    </row>
    <row r="1504" spans="3:5" ht="45" x14ac:dyDescent="0.25">
      <c r="C1504" s="15">
        <v>163185</v>
      </c>
      <c r="D1504" s="4" t="s">
        <v>1508</v>
      </c>
      <c r="E1504" s="4" t="str">
        <f>HYPERLINK("https://app.crepc.sk/?fn=detailBiblioForm&amp;sid=E90F038DF6A63573EDB8F54B16")</f>
        <v>https://app.crepc.sk/?fn=detailBiblioForm&amp;sid=E90F038DF6A63573EDB8F54B16</v>
      </c>
    </row>
    <row r="1505" spans="3:5" ht="45" x14ac:dyDescent="0.25">
      <c r="C1505" s="15">
        <v>74444</v>
      </c>
      <c r="D1505" s="4" t="s">
        <v>1509</v>
      </c>
      <c r="E1505" s="4" t="str">
        <f>HYPERLINK("https://app.crepc.sk/?fn=detailBiblioForm&amp;sid=DAFAADE086037A6E9385569C")</f>
        <v>https://app.crepc.sk/?fn=detailBiblioForm&amp;sid=DAFAADE086037A6E9385569C</v>
      </c>
    </row>
    <row r="1506" spans="3:5" ht="45" x14ac:dyDescent="0.25">
      <c r="C1506" s="15">
        <v>186441</v>
      </c>
      <c r="D1506" s="4" t="s">
        <v>1510</v>
      </c>
      <c r="E1506" s="4" t="str">
        <f>HYPERLINK("https://app.crepc.sk/?fn=detailBiblioForm&amp;sid=71F69C32541FA5093F6711A618")</f>
        <v>https://app.crepc.sk/?fn=detailBiblioForm&amp;sid=71F69C32541FA5093F6711A618</v>
      </c>
    </row>
    <row r="1507" spans="3:5" ht="60" x14ac:dyDescent="0.25">
      <c r="C1507" s="15">
        <v>312473</v>
      </c>
      <c r="D1507" s="4" t="s">
        <v>1511</v>
      </c>
      <c r="E1507" s="4" t="str">
        <f>HYPERLINK("https://app.crepc.sk/?fn=detailBiblioForm&amp;sid=29E831AA7AE2D19108E32E0FED")</f>
        <v>https://app.crepc.sk/?fn=detailBiblioForm&amp;sid=29E831AA7AE2D19108E32E0FED</v>
      </c>
    </row>
    <row r="1508" spans="3:5" ht="60" x14ac:dyDescent="0.25">
      <c r="C1508" s="15">
        <v>185106</v>
      </c>
      <c r="D1508" s="4" t="s">
        <v>1512</v>
      </c>
      <c r="E1508" s="4" t="str">
        <f>HYPERLINK("https://app.crepc.sk/?fn=detailBiblioForm&amp;sid=5EBE627ECA7CA644EAD2DB4608")</f>
        <v>https://app.crepc.sk/?fn=detailBiblioForm&amp;sid=5EBE627ECA7CA644EAD2DB4608</v>
      </c>
    </row>
    <row r="1509" spans="3:5" ht="75" x14ac:dyDescent="0.25">
      <c r="C1509" s="15">
        <v>211928</v>
      </c>
      <c r="D1509" s="4" t="s">
        <v>1513</v>
      </c>
      <c r="E1509" s="4" t="str">
        <f>HYPERLINK("https://app.crepc.sk/?fn=detailBiblioForm&amp;sid=04E2D599306659661632FFA65D")</f>
        <v>https://app.crepc.sk/?fn=detailBiblioForm&amp;sid=04E2D599306659661632FFA65D</v>
      </c>
    </row>
    <row r="1510" spans="3:5" ht="45" x14ac:dyDescent="0.25">
      <c r="C1510" s="15">
        <v>154971</v>
      </c>
      <c r="D1510" s="4" t="s">
        <v>1514</v>
      </c>
      <c r="E1510" s="4" t="str">
        <f>HYPERLINK("https://app.crepc.sk/?fn=detailBiblioForm&amp;sid=8DF0640F98642636B042F6576C")</f>
        <v>https://app.crepc.sk/?fn=detailBiblioForm&amp;sid=8DF0640F98642636B042F6576C</v>
      </c>
    </row>
    <row r="1511" spans="3:5" ht="60" x14ac:dyDescent="0.25">
      <c r="C1511" s="15">
        <v>109648</v>
      </c>
      <c r="D1511" s="4" t="s">
        <v>1515</v>
      </c>
      <c r="E1511" s="4" t="str">
        <f>HYPERLINK("https://app.crepc.sk/?fn=detailBiblioForm&amp;sid=15CAFFC3B9CE7DA23022DBD162")</f>
        <v>https://app.crepc.sk/?fn=detailBiblioForm&amp;sid=15CAFFC3B9CE7DA23022DBD162</v>
      </c>
    </row>
    <row r="1512" spans="3:5" ht="45" x14ac:dyDescent="0.25">
      <c r="C1512" s="15">
        <v>105725</v>
      </c>
      <c r="D1512" s="4" t="s">
        <v>1516</v>
      </c>
      <c r="E1512" s="4" t="str">
        <f>HYPERLINK("https://app.crepc.sk/?fn=detailBiblioForm&amp;sid=8BCE8CAA360877AE784234C6D3")</f>
        <v>https://app.crepc.sk/?fn=detailBiblioForm&amp;sid=8BCE8CAA360877AE784234C6D3</v>
      </c>
    </row>
    <row r="1513" spans="3:5" ht="45" x14ac:dyDescent="0.25">
      <c r="C1513" s="15">
        <v>451233</v>
      </c>
      <c r="D1513" s="4" t="s">
        <v>1517</v>
      </c>
      <c r="E1513" s="4" t="str">
        <f>HYPERLINK("https://app.crepc.sk/?fn=detailBiblioForm&amp;sid=E0E1BFB7DC95181FCF306844EB")</f>
        <v>https://app.crepc.sk/?fn=detailBiblioForm&amp;sid=E0E1BFB7DC95181FCF306844EB</v>
      </c>
    </row>
    <row r="1514" spans="3:5" ht="45" x14ac:dyDescent="0.25">
      <c r="C1514" s="15">
        <v>173217</v>
      </c>
      <c r="D1514" s="4" t="s">
        <v>1518</v>
      </c>
      <c r="E1514" s="4" t="str">
        <f>HYPERLINK("https://app.crepc.sk/?fn=detailBiblioForm&amp;sid=7950E184AA7EAF4CBC87985512")</f>
        <v>https://app.crepc.sk/?fn=detailBiblioForm&amp;sid=7950E184AA7EAF4CBC87985512</v>
      </c>
    </row>
    <row r="1515" spans="3:5" ht="45" x14ac:dyDescent="0.25">
      <c r="C1515" s="15">
        <v>82866</v>
      </c>
      <c r="D1515" s="4" t="s">
        <v>1519</v>
      </c>
      <c r="E1515" s="4" t="str">
        <f>HYPERLINK("https://app.crepc.sk/?fn=detailBiblioForm&amp;sid=E5752095E5CCBE6859019BDF")</f>
        <v>https://app.crepc.sk/?fn=detailBiblioForm&amp;sid=E5752095E5CCBE6859019BDF</v>
      </c>
    </row>
    <row r="1516" spans="3:5" ht="45" x14ac:dyDescent="0.25">
      <c r="C1516" s="15">
        <v>170767</v>
      </c>
      <c r="D1516" s="4" t="s">
        <v>1520</v>
      </c>
      <c r="E1516" s="4" t="str">
        <f>HYPERLINK("https://app.crepc.sk/?fn=detailBiblioForm&amp;sid=6327E39BEACEDA030702649419")</f>
        <v>https://app.crepc.sk/?fn=detailBiblioForm&amp;sid=6327E39BEACEDA030702649419</v>
      </c>
    </row>
    <row r="1517" spans="3:5" ht="45" x14ac:dyDescent="0.25">
      <c r="C1517" s="15">
        <v>121870</v>
      </c>
      <c r="D1517" s="4" t="s">
        <v>1521</v>
      </c>
      <c r="E1517" s="4" t="str">
        <f>HYPERLINK("https://app.crepc.sk/?fn=detailBiblioForm&amp;sid=FB227A2458B7F9F417672D5E19")</f>
        <v>https://app.crepc.sk/?fn=detailBiblioForm&amp;sid=FB227A2458B7F9F417672D5E19</v>
      </c>
    </row>
    <row r="1518" spans="3:5" ht="45" x14ac:dyDescent="0.25">
      <c r="C1518" s="15">
        <v>191086</v>
      </c>
      <c r="D1518" s="4" t="s">
        <v>1522</v>
      </c>
      <c r="E1518" s="4" t="str">
        <f>HYPERLINK("https://app.crepc.sk/?fn=detailBiblioForm&amp;sid=E46EC5C652959FE81197738D9A")</f>
        <v>https://app.crepc.sk/?fn=detailBiblioForm&amp;sid=E46EC5C652959FE81197738D9A</v>
      </c>
    </row>
    <row r="1519" spans="3:5" ht="60" x14ac:dyDescent="0.25">
      <c r="C1519" s="15">
        <v>102781</v>
      </c>
      <c r="D1519" s="4" t="s">
        <v>1523</v>
      </c>
      <c r="E1519" s="4" t="str">
        <f>HYPERLINK("https://app.crepc.sk/?fn=detailBiblioForm&amp;sid=B7849FF1DE1334BAB8AB4EB383")</f>
        <v>https://app.crepc.sk/?fn=detailBiblioForm&amp;sid=B7849FF1DE1334BAB8AB4EB383</v>
      </c>
    </row>
    <row r="1520" spans="3:5" ht="105" x14ac:dyDescent="0.25">
      <c r="C1520" s="15">
        <v>137635</v>
      </c>
      <c r="D1520" s="4" t="s">
        <v>1524</v>
      </c>
      <c r="E1520" s="4" t="str">
        <f>HYPERLINK("https://app.crepc.sk/?fn=detailBiblioForm&amp;sid=2EA0EB8F50B4443ADAEEBFBE4C")</f>
        <v>https://app.crepc.sk/?fn=detailBiblioForm&amp;sid=2EA0EB8F50B4443ADAEEBFBE4C</v>
      </c>
    </row>
    <row r="1521" spans="3:5" ht="45" x14ac:dyDescent="0.25">
      <c r="C1521" s="15">
        <v>248835</v>
      </c>
      <c r="D1521" s="4" t="s">
        <v>1525</v>
      </c>
      <c r="E1521" s="4" t="str">
        <f>HYPERLINK("https://app.crepc.sk/?fn=detailBiblioForm&amp;sid=5228D5716807430FBB1C401FCD")</f>
        <v>https://app.crepc.sk/?fn=detailBiblioForm&amp;sid=5228D5716807430FBB1C401FCD</v>
      </c>
    </row>
    <row r="1522" spans="3:5" ht="60" x14ac:dyDescent="0.25">
      <c r="C1522" s="15">
        <v>236505</v>
      </c>
      <c r="D1522" s="4" t="s">
        <v>1526</v>
      </c>
      <c r="E1522" s="4" t="str">
        <f>HYPERLINK("https://app.crepc.sk/?fn=detailBiblioForm&amp;sid=19352EF2D61EDBFEA43E4C768C")</f>
        <v>https://app.crepc.sk/?fn=detailBiblioForm&amp;sid=19352EF2D61EDBFEA43E4C768C</v>
      </c>
    </row>
    <row r="1523" spans="3:5" ht="45" x14ac:dyDescent="0.25">
      <c r="C1523" s="15">
        <v>118452</v>
      </c>
      <c r="D1523" s="4" t="s">
        <v>1527</v>
      </c>
      <c r="E1523" s="4" t="str">
        <f>HYPERLINK("https://app.crepc.sk/?fn=detailBiblioForm&amp;sid=8F9B8B9196C1A43A61348E462A")</f>
        <v>https://app.crepc.sk/?fn=detailBiblioForm&amp;sid=8F9B8B9196C1A43A61348E462A</v>
      </c>
    </row>
    <row r="1524" spans="3:5" ht="45" x14ac:dyDescent="0.25">
      <c r="C1524" s="15">
        <v>431021</v>
      </c>
      <c r="D1524" s="4" t="s">
        <v>1528</v>
      </c>
      <c r="E1524" s="4" t="str">
        <f>HYPERLINK("https://app.crepc.sk/?fn=detailBiblioForm&amp;sid=BA3ABD185719F92EB988E64DEC")</f>
        <v>https://app.crepc.sk/?fn=detailBiblioForm&amp;sid=BA3ABD185719F92EB988E64DEC</v>
      </c>
    </row>
    <row r="1525" spans="3:5" ht="75" x14ac:dyDescent="0.25">
      <c r="C1525" s="15">
        <v>420379</v>
      </c>
      <c r="D1525" s="4" t="s">
        <v>1529</v>
      </c>
      <c r="E1525" s="4" t="str">
        <f>HYPERLINK("https://app.crepc.sk/?fn=detailBiblioForm&amp;sid=4E11F73174AA8AEA1C3FD2EF89")</f>
        <v>https://app.crepc.sk/?fn=detailBiblioForm&amp;sid=4E11F73174AA8AEA1C3FD2EF89</v>
      </c>
    </row>
    <row r="1526" spans="3:5" ht="45" x14ac:dyDescent="0.25">
      <c r="C1526" s="15">
        <v>197344</v>
      </c>
      <c r="D1526" s="4" t="s">
        <v>1530</v>
      </c>
      <c r="E1526" s="4" t="str">
        <f>HYPERLINK("https://app.crepc.sk/?fn=detailBiblioForm&amp;sid=DC4ED816FF1BFB25870C897557")</f>
        <v>https://app.crepc.sk/?fn=detailBiblioForm&amp;sid=DC4ED816FF1BFB25870C897557</v>
      </c>
    </row>
    <row r="1527" spans="3:5" ht="45" x14ac:dyDescent="0.25">
      <c r="C1527" s="15">
        <v>433392</v>
      </c>
      <c r="D1527" s="4" t="s">
        <v>1531</v>
      </c>
      <c r="E1527" s="4" t="str">
        <f>HYPERLINK("https://app.crepc.sk/?fn=detailBiblioForm&amp;sid=E96E6EA66B9B13587D6374684F")</f>
        <v>https://app.crepc.sk/?fn=detailBiblioForm&amp;sid=E96E6EA66B9B13587D6374684F</v>
      </c>
    </row>
    <row r="1528" spans="3:5" ht="45" x14ac:dyDescent="0.25">
      <c r="C1528" s="15">
        <v>138717</v>
      </c>
      <c r="D1528" s="4" t="s">
        <v>1532</v>
      </c>
      <c r="E1528" s="4" t="str">
        <f>HYPERLINK("https://app.crepc.sk/?fn=detailBiblioForm&amp;sid=B05445C3B1156175C1C0E1ECCB")</f>
        <v>https://app.crepc.sk/?fn=detailBiblioForm&amp;sid=B05445C3B1156175C1C0E1ECCB</v>
      </c>
    </row>
    <row r="1529" spans="3:5" ht="45" x14ac:dyDescent="0.25">
      <c r="C1529" s="15">
        <v>97881</v>
      </c>
      <c r="D1529" s="4" t="s">
        <v>1533</v>
      </c>
      <c r="E1529" s="4" t="str">
        <f>HYPERLINK("https://app.crepc.sk/?fn=detailBiblioForm&amp;sid=7525A7D614253CCC8A0EC043")</f>
        <v>https://app.crepc.sk/?fn=detailBiblioForm&amp;sid=7525A7D614253CCC8A0EC043</v>
      </c>
    </row>
    <row r="1530" spans="3:5" ht="45" x14ac:dyDescent="0.25">
      <c r="C1530" s="15">
        <v>245386</v>
      </c>
      <c r="D1530" s="4" t="s">
        <v>1534</v>
      </c>
      <c r="E1530" s="4" t="str">
        <f>HYPERLINK("https://app.crepc.sk/?fn=detailBiblioForm&amp;sid=9DE3930058222689BEA72F2705")</f>
        <v>https://app.crepc.sk/?fn=detailBiblioForm&amp;sid=9DE3930058222689BEA72F2705</v>
      </c>
    </row>
    <row r="1531" spans="3:5" ht="45" x14ac:dyDescent="0.25">
      <c r="C1531" s="15">
        <v>436093</v>
      </c>
      <c r="D1531" s="4" t="s">
        <v>1535</v>
      </c>
      <c r="E1531" s="4" t="str">
        <f>HYPERLINK("https://app.crepc.sk/?fn=detailBiblioForm&amp;sid=0D8840D8555AF42F4D816A8F01")</f>
        <v>https://app.crepc.sk/?fn=detailBiblioForm&amp;sid=0D8840D8555AF42F4D816A8F01</v>
      </c>
    </row>
    <row r="1532" spans="3:5" ht="60" x14ac:dyDescent="0.25">
      <c r="C1532" s="15">
        <v>95091</v>
      </c>
      <c r="D1532" s="4" t="s">
        <v>1536</v>
      </c>
      <c r="E1532" s="4" t="str">
        <f>HYPERLINK("https://app.crepc.sk/?fn=detailBiblioForm&amp;sid=03BB5EAC57E00E902F268119")</f>
        <v>https://app.crepc.sk/?fn=detailBiblioForm&amp;sid=03BB5EAC57E00E902F268119</v>
      </c>
    </row>
    <row r="1533" spans="3:5" ht="45" x14ac:dyDescent="0.25">
      <c r="C1533" s="15">
        <v>163061</v>
      </c>
      <c r="D1533" s="4" t="s">
        <v>1537</v>
      </c>
      <c r="E1533" s="4" t="str">
        <f>HYPERLINK("https://app.crepc.sk/?fn=detailBiblioForm&amp;sid=50FE609ECAA3CD9EE6C901F139")</f>
        <v>https://app.crepc.sk/?fn=detailBiblioForm&amp;sid=50FE609ECAA3CD9EE6C901F139</v>
      </c>
    </row>
    <row r="1534" spans="3:5" ht="45" x14ac:dyDescent="0.25">
      <c r="C1534" s="15">
        <v>96943</v>
      </c>
      <c r="D1534" s="4" t="s">
        <v>1538</v>
      </c>
      <c r="E1534" s="4" t="str">
        <f>HYPERLINK("https://app.crepc.sk/?fn=detailBiblioForm&amp;sid=7C66ED4F1E2B26C996850ED1")</f>
        <v>https://app.crepc.sk/?fn=detailBiblioForm&amp;sid=7C66ED4F1E2B26C996850ED1</v>
      </c>
    </row>
    <row r="1535" spans="3:5" ht="60" x14ac:dyDescent="0.25">
      <c r="C1535" s="15">
        <v>179224</v>
      </c>
      <c r="D1535" s="4" t="s">
        <v>1539</v>
      </c>
      <c r="E1535" s="4" t="str">
        <f>HYPERLINK("https://app.crepc.sk/?fn=detailBiblioForm&amp;sid=4B1C4D75B6D4960DFFA369EC63")</f>
        <v>https://app.crepc.sk/?fn=detailBiblioForm&amp;sid=4B1C4D75B6D4960DFFA369EC63</v>
      </c>
    </row>
    <row r="1536" spans="3:5" ht="45" x14ac:dyDescent="0.25">
      <c r="C1536" s="15">
        <v>87935</v>
      </c>
      <c r="D1536" s="4" t="s">
        <v>1540</v>
      </c>
      <c r="E1536" s="4" t="str">
        <f>HYPERLINK("https://app.crepc.sk/?fn=detailBiblioForm&amp;sid=EF0688F41A47105B70616B49")</f>
        <v>https://app.crepc.sk/?fn=detailBiblioForm&amp;sid=EF0688F41A47105B70616B49</v>
      </c>
    </row>
    <row r="1537" spans="3:5" ht="45" x14ac:dyDescent="0.25">
      <c r="C1537" s="15">
        <v>134059</v>
      </c>
      <c r="D1537" s="4" t="s">
        <v>1541</v>
      </c>
      <c r="E1537" s="4" t="str">
        <f>HYPERLINK("https://app.crepc.sk/?fn=detailBiblioForm&amp;sid=5E30695270CDBCB7A6617D836D")</f>
        <v>https://app.crepc.sk/?fn=detailBiblioForm&amp;sid=5E30695270CDBCB7A6617D836D</v>
      </c>
    </row>
    <row r="1538" spans="3:5" ht="60" x14ac:dyDescent="0.25">
      <c r="C1538" s="15">
        <v>226961</v>
      </c>
      <c r="D1538" s="4" t="s">
        <v>1542</v>
      </c>
      <c r="E1538" s="4" t="str">
        <f>HYPERLINK("https://app.crepc.sk/?fn=detailBiblioForm&amp;sid=E28066AA7FF097E381594D3B00")</f>
        <v>https://app.crepc.sk/?fn=detailBiblioForm&amp;sid=E28066AA7FF097E381594D3B00</v>
      </c>
    </row>
    <row r="1539" spans="3:5" ht="45" x14ac:dyDescent="0.25">
      <c r="C1539" s="15">
        <v>136404</v>
      </c>
      <c r="D1539" s="4" t="s">
        <v>1543</v>
      </c>
      <c r="E1539" s="4" t="str">
        <f>HYPERLINK("https://app.crepc.sk/?fn=detailBiblioForm&amp;sid=B6A4D7332C46D305B84817FF25")</f>
        <v>https://app.crepc.sk/?fn=detailBiblioForm&amp;sid=B6A4D7332C46D305B84817FF25</v>
      </c>
    </row>
    <row r="1540" spans="3:5" ht="45" x14ac:dyDescent="0.25">
      <c r="C1540" s="15">
        <v>211679</v>
      </c>
      <c r="D1540" s="4" t="s">
        <v>1544</v>
      </c>
      <c r="E1540" s="4" t="str">
        <f>HYPERLINK("https://app.crepc.sk/?fn=detailBiblioForm&amp;sid=F2AFAD5AEBEB1CE81E76937402")</f>
        <v>https://app.crepc.sk/?fn=detailBiblioForm&amp;sid=F2AFAD5AEBEB1CE81E76937402</v>
      </c>
    </row>
    <row r="1541" spans="3:5" ht="60" x14ac:dyDescent="0.25">
      <c r="C1541" s="15">
        <v>445213</v>
      </c>
      <c r="D1541" s="4" t="s">
        <v>1545</v>
      </c>
      <c r="E1541" s="4" t="str">
        <f>HYPERLINK("https://app.crepc.sk/?fn=detailBiblioForm&amp;sid=87E26BDA1F34FFA6545046AB7E")</f>
        <v>https://app.crepc.sk/?fn=detailBiblioForm&amp;sid=87E26BDA1F34FFA6545046AB7E</v>
      </c>
    </row>
    <row r="1542" spans="3:5" ht="60" x14ac:dyDescent="0.25">
      <c r="C1542" s="15">
        <v>175113</v>
      </c>
      <c r="D1542" s="4" t="s">
        <v>1546</v>
      </c>
      <c r="E1542" s="4" t="str">
        <f>HYPERLINK("https://app.crepc.sk/?fn=detailBiblioForm&amp;sid=A3900C45A119566173F3918F0F")</f>
        <v>https://app.crepc.sk/?fn=detailBiblioForm&amp;sid=A3900C45A119566173F3918F0F</v>
      </c>
    </row>
    <row r="1543" spans="3:5" ht="60" x14ac:dyDescent="0.25">
      <c r="C1543" s="15">
        <v>91066</v>
      </c>
      <c r="D1543" s="4" t="s">
        <v>1547</v>
      </c>
      <c r="E1543" s="4" t="str">
        <f>HYPERLINK("https://app.crepc.sk/?fn=detailBiblioForm&amp;sid=344D10F7CF61123A6D7CDAB9")</f>
        <v>https://app.crepc.sk/?fn=detailBiblioForm&amp;sid=344D10F7CF61123A6D7CDAB9</v>
      </c>
    </row>
    <row r="1544" spans="3:5" ht="45" x14ac:dyDescent="0.25">
      <c r="C1544" s="15">
        <v>219484</v>
      </c>
      <c r="D1544" s="4" t="s">
        <v>1548</v>
      </c>
      <c r="E1544" s="4" t="str">
        <f>HYPERLINK("https://app.crepc.sk/?fn=detailBiblioForm&amp;sid=8474A37DD4CFE7851E518DE929")</f>
        <v>https://app.crepc.sk/?fn=detailBiblioForm&amp;sid=8474A37DD4CFE7851E518DE929</v>
      </c>
    </row>
    <row r="1545" spans="3:5" ht="45" x14ac:dyDescent="0.25">
      <c r="C1545" s="15">
        <v>436149</v>
      </c>
      <c r="D1545" s="4" t="s">
        <v>1549</v>
      </c>
      <c r="E1545" s="4" t="str">
        <f>HYPERLINK("https://app.crepc.sk/?fn=detailBiblioForm&amp;sid=F8B0ADCB0E369D199991F069F9")</f>
        <v>https://app.crepc.sk/?fn=detailBiblioForm&amp;sid=F8B0ADCB0E369D199991F069F9</v>
      </c>
    </row>
    <row r="1546" spans="3:5" ht="45" x14ac:dyDescent="0.25">
      <c r="C1546" s="15">
        <v>254512</v>
      </c>
      <c r="D1546" s="4" t="s">
        <v>1550</v>
      </c>
      <c r="E1546" s="4" t="str">
        <f>HYPERLINK("https://app.crepc.sk/?fn=detailBiblioForm&amp;sid=6A93279CD14837B1D088865CD7")</f>
        <v>https://app.crepc.sk/?fn=detailBiblioForm&amp;sid=6A93279CD14837B1D088865CD7</v>
      </c>
    </row>
    <row r="1547" spans="3:5" ht="90" x14ac:dyDescent="0.25">
      <c r="C1547" s="15">
        <v>225204</v>
      </c>
      <c r="D1547" s="4" t="s">
        <v>1551</v>
      </c>
      <c r="E1547" s="4" t="str">
        <f>HYPERLINK("https://app.crepc.sk/?fn=detailBiblioForm&amp;sid=E9B37A09C12042D87CBA9FF49E")</f>
        <v>https://app.crepc.sk/?fn=detailBiblioForm&amp;sid=E9B37A09C12042D87CBA9FF49E</v>
      </c>
    </row>
    <row r="1548" spans="3:5" ht="60" x14ac:dyDescent="0.25">
      <c r="C1548" s="15">
        <v>99620</v>
      </c>
      <c r="D1548" s="4" t="s">
        <v>1552</v>
      </c>
      <c r="E1548" s="4" t="str">
        <f>HYPERLINK("https://app.crepc.sk/?fn=detailBiblioForm&amp;sid=5904B23904FF6D77D95DE88B")</f>
        <v>https://app.crepc.sk/?fn=detailBiblioForm&amp;sid=5904B23904FF6D77D95DE88B</v>
      </c>
    </row>
    <row r="1549" spans="3:5" ht="45" x14ac:dyDescent="0.25">
      <c r="C1549" s="15">
        <v>419539</v>
      </c>
      <c r="D1549" s="4" t="s">
        <v>1553</v>
      </c>
      <c r="E1549" s="4" t="str">
        <f>HYPERLINK("https://app.crepc.sk/?fn=detailBiblioForm&amp;sid=147DE4E58F33913E2E8ADCEAD2")</f>
        <v>https://app.crepc.sk/?fn=detailBiblioForm&amp;sid=147DE4E58F33913E2E8ADCEAD2</v>
      </c>
    </row>
    <row r="1550" spans="3:5" ht="45" x14ac:dyDescent="0.25">
      <c r="C1550" s="15">
        <v>148207</v>
      </c>
      <c r="D1550" s="4" t="s">
        <v>1554</v>
      </c>
      <c r="E1550" s="4" t="str">
        <f>HYPERLINK("https://app.crepc.sk/?fn=detailBiblioForm&amp;sid=F2FAE62FE51E8196D4A7113BAC")</f>
        <v>https://app.crepc.sk/?fn=detailBiblioForm&amp;sid=F2FAE62FE51E8196D4A7113BAC</v>
      </c>
    </row>
    <row r="1551" spans="3:5" ht="45" x14ac:dyDescent="0.25">
      <c r="C1551" s="15">
        <v>208710</v>
      </c>
      <c r="D1551" s="4" t="s">
        <v>1555</v>
      </c>
      <c r="E1551" s="4" t="str">
        <f>HYPERLINK("https://app.crepc.sk/?fn=detailBiblioForm&amp;sid=017379AFD53D9473D3749ADCB7")</f>
        <v>https://app.crepc.sk/?fn=detailBiblioForm&amp;sid=017379AFD53D9473D3749ADCB7</v>
      </c>
    </row>
    <row r="1552" spans="3:5" ht="45" x14ac:dyDescent="0.25">
      <c r="C1552" s="15">
        <v>418277</v>
      </c>
      <c r="D1552" s="4" t="s">
        <v>1556</v>
      </c>
      <c r="E1552" s="4" t="str">
        <f>HYPERLINK("https://app.crepc.sk/?fn=detailBiblioForm&amp;sid=F984F674FC714E1355A0F2CC1B")</f>
        <v>https://app.crepc.sk/?fn=detailBiblioForm&amp;sid=F984F674FC714E1355A0F2CC1B</v>
      </c>
    </row>
    <row r="1553" spans="3:5" ht="45" x14ac:dyDescent="0.25">
      <c r="C1553" s="15">
        <v>316990</v>
      </c>
      <c r="D1553" s="4" t="s">
        <v>1557</v>
      </c>
      <c r="E1553" s="4" t="str">
        <f>HYPERLINK("https://app.crepc.sk/?fn=detailBiblioForm&amp;sid=AF862B856DC48993D9BCEAF2E2")</f>
        <v>https://app.crepc.sk/?fn=detailBiblioForm&amp;sid=AF862B856DC48993D9BCEAF2E2</v>
      </c>
    </row>
    <row r="1554" spans="3:5" ht="45" x14ac:dyDescent="0.25">
      <c r="C1554" s="15">
        <v>416765</v>
      </c>
      <c r="D1554" s="4" t="s">
        <v>1558</v>
      </c>
      <c r="E1554" s="4" t="str">
        <f>HYPERLINK("https://app.crepc.sk/?fn=detailBiblioForm&amp;sid=FFF02B87E998ACF2F32A56DEC9")</f>
        <v>https://app.crepc.sk/?fn=detailBiblioForm&amp;sid=FFF02B87E998ACF2F32A56DEC9</v>
      </c>
    </row>
    <row r="1555" spans="3:5" ht="60" x14ac:dyDescent="0.25">
      <c r="C1555" s="15">
        <v>239950</v>
      </c>
      <c r="D1555" s="4" t="s">
        <v>1559</v>
      </c>
      <c r="E1555" s="4" t="str">
        <f>HYPERLINK("https://app.crepc.sk/?fn=detailBiblioForm&amp;sid=220CFBF9A44403AF9B92525823")</f>
        <v>https://app.crepc.sk/?fn=detailBiblioForm&amp;sid=220CFBF9A44403AF9B92525823</v>
      </c>
    </row>
    <row r="1556" spans="3:5" ht="105" x14ac:dyDescent="0.25">
      <c r="C1556" s="15">
        <v>426881</v>
      </c>
      <c r="D1556" s="4" t="s">
        <v>1560</v>
      </c>
      <c r="E1556" s="4" t="str">
        <f>HYPERLINK("https://app.crepc.sk/?fn=detailBiblioForm&amp;sid=EA925759360338DA35271ED9BA")</f>
        <v>https://app.crepc.sk/?fn=detailBiblioForm&amp;sid=EA925759360338DA35271ED9BA</v>
      </c>
    </row>
    <row r="1557" spans="3:5" ht="60" x14ac:dyDescent="0.25">
      <c r="C1557" s="15">
        <v>444776</v>
      </c>
      <c r="D1557" s="4" t="s">
        <v>1561</v>
      </c>
      <c r="E1557" s="4" t="str">
        <f>HYPERLINK("https://app.crepc.sk/?fn=detailBiblioForm&amp;sid=FDCC891FB5F03A4687748A404B")</f>
        <v>https://app.crepc.sk/?fn=detailBiblioForm&amp;sid=FDCC891FB5F03A4687748A404B</v>
      </c>
    </row>
    <row r="1558" spans="3:5" ht="60" x14ac:dyDescent="0.25">
      <c r="C1558" s="15">
        <v>71413</v>
      </c>
      <c r="D1558" s="4" t="s">
        <v>1562</v>
      </c>
      <c r="E1558" s="4" t="str">
        <f>HYPERLINK("https://app.crepc.sk/?fn=detailBiblioForm&amp;sid=044738A43305E918B0273923")</f>
        <v>https://app.crepc.sk/?fn=detailBiblioForm&amp;sid=044738A43305E918B0273923</v>
      </c>
    </row>
    <row r="1559" spans="3:5" ht="45" x14ac:dyDescent="0.25">
      <c r="C1559" s="15">
        <v>228949</v>
      </c>
      <c r="D1559" s="4" t="s">
        <v>1563</v>
      </c>
      <c r="E1559" s="4" t="str">
        <f>HYPERLINK("https://app.crepc.sk/?fn=detailBiblioForm&amp;sid=A7DFDA93880351E58676ED50F0")</f>
        <v>https://app.crepc.sk/?fn=detailBiblioForm&amp;sid=A7DFDA93880351E58676ED50F0</v>
      </c>
    </row>
    <row r="1560" spans="3:5" ht="45" x14ac:dyDescent="0.25">
      <c r="C1560" s="15">
        <v>131625</v>
      </c>
      <c r="D1560" s="4" t="s">
        <v>1564</v>
      </c>
      <c r="E1560" s="4" t="str">
        <f>HYPERLINK("https://app.crepc.sk/?fn=detailBiblioForm&amp;sid=A1B940EDBC42898418D26863AD")</f>
        <v>https://app.crepc.sk/?fn=detailBiblioForm&amp;sid=A1B940EDBC42898418D26863AD</v>
      </c>
    </row>
    <row r="1561" spans="3:5" ht="60" x14ac:dyDescent="0.25">
      <c r="C1561" s="15">
        <v>243952</v>
      </c>
      <c r="D1561" s="4" t="s">
        <v>1565</v>
      </c>
      <c r="E1561" s="4" t="str">
        <f>HYPERLINK("https://app.crepc.sk/?fn=detailBiblioForm&amp;sid=4E0FD8AB6AD170354A533E4C45")</f>
        <v>https://app.crepc.sk/?fn=detailBiblioForm&amp;sid=4E0FD8AB6AD170354A533E4C45</v>
      </c>
    </row>
    <row r="1562" spans="3:5" ht="60" x14ac:dyDescent="0.25">
      <c r="C1562" s="15">
        <v>437019</v>
      </c>
      <c r="D1562" s="4" t="s">
        <v>1566</v>
      </c>
      <c r="E1562" s="4" t="str">
        <f>HYPERLINK("https://app.crepc.sk/?fn=detailBiblioForm&amp;sid=5B2F96CCFBE3C177F9874936C0")</f>
        <v>https://app.crepc.sk/?fn=detailBiblioForm&amp;sid=5B2F96CCFBE3C177F9874936C0</v>
      </c>
    </row>
    <row r="1563" spans="3:5" ht="60" x14ac:dyDescent="0.25">
      <c r="C1563" s="15">
        <v>125720</v>
      </c>
      <c r="D1563" s="4" t="s">
        <v>1567</v>
      </c>
      <c r="E1563" s="4" t="str">
        <f>HYPERLINK("https://app.crepc.sk/?fn=detailBiblioForm&amp;sid=4D3EF2F8D05B848E6B92397035")</f>
        <v>https://app.crepc.sk/?fn=detailBiblioForm&amp;sid=4D3EF2F8D05B848E6B92397035</v>
      </c>
    </row>
    <row r="1564" spans="3:5" ht="45" x14ac:dyDescent="0.25">
      <c r="C1564" s="15">
        <v>222434</v>
      </c>
      <c r="D1564" s="4" t="s">
        <v>1568</v>
      </c>
      <c r="E1564" s="4" t="str">
        <f>HYPERLINK("https://app.crepc.sk/?fn=detailBiblioForm&amp;sid=57287C6E520C6E73803D568321")</f>
        <v>https://app.crepc.sk/?fn=detailBiblioForm&amp;sid=57287C6E520C6E73803D568321</v>
      </c>
    </row>
    <row r="1565" spans="3:5" ht="45" x14ac:dyDescent="0.25">
      <c r="C1565" s="15">
        <v>117122</v>
      </c>
      <c r="D1565" s="4" t="s">
        <v>1569</v>
      </c>
      <c r="E1565" s="4" t="str">
        <f>HYPERLINK("https://app.crepc.sk/?fn=detailBiblioForm&amp;sid=6B68A92B6F46FD75E8678F4FE2")</f>
        <v>https://app.crepc.sk/?fn=detailBiblioForm&amp;sid=6B68A92B6F46FD75E8678F4FE2</v>
      </c>
    </row>
    <row r="1566" spans="3:5" ht="45" x14ac:dyDescent="0.25">
      <c r="C1566" s="15">
        <v>210676</v>
      </c>
      <c r="D1566" s="4" t="s">
        <v>1570</v>
      </c>
      <c r="E1566" s="4" t="str">
        <f>HYPERLINK("https://app.crepc.sk/?fn=detailBiblioForm&amp;sid=8ABD05AB2D2CD5443BE8719140")</f>
        <v>https://app.crepc.sk/?fn=detailBiblioForm&amp;sid=8ABD05AB2D2CD5443BE8719140</v>
      </c>
    </row>
    <row r="1567" spans="3:5" ht="45" x14ac:dyDescent="0.25">
      <c r="C1567" s="15">
        <v>117286</v>
      </c>
      <c r="D1567" s="4" t="s">
        <v>1571</v>
      </c>
      <c r="E1567" s="4" t="str">
        <f>HYPERLINK("https://app.crepc.sk/?fn=detailBiblioForm&amp;sid=4152576857568BE6F114899DC6")</f>
        <v>https://app.crepc.sk/?fn=detailBiblioForm&amp;sid=4152576857568BE6F114899DC6</v>
      </c>
    </row>
    <row r="1568" spans="3:5" ht="45" x14ac:dyDescent="0.25">
      <c r="C1568" s="15">
        <v>150798</v>
      </c>
      <c r="D1568" s="4" t="s">
        <v>1572</v>
      </c>
      <c r="E1568" s="4" t="str">
        <f>HYPERLINK("https://app.crepc.sk/?fn=detailBiblioForm&amp;sid=4ABE047C0F04576E250655E493")</f>
        <v>https://app.crepc.sk/?fn=detailBiblioForm&amp;sid=4ABE047C0F04576E250655E493</v>
      </c>
    </row>
    <row r="1569" spans="3:5" ht="45" x14ac:dyDescent="0.25">
      <c r="C1569" s="15">
        <v>150796</v>
      </c>
      <c r="D1569" s="4" t="s">
        <v>1573</v>
      </c>
      <c r="E1569" s="4" t="str">
        <f>HYPERLINK("https://app.crepc.sk/?fn=detailBiblioForm&amp;sid=4ABE047C0F04576E250855E493")</f>
        <v>https://app.crepc.sk/?fn=detailBiblioForm&amp;sid=4ABE047C0F04576E250855E493</v>
      </c>
    </row>
    <row r="1570" spans="3:5" ht="60" x14ac:dyDescent="0.25">
      <c r="C1570" s="15">
        <v>255319</v>
      </c>
      <c r="D1570" s="4" t="s">
        <v>1574</v>
      </c>
      <c r="E1570" s="4" t="str">
        <f>HYPERLINK("https://app.crepc.sk/?fn=detailBiblioForm&amp;sid=240D82286EC66312FF4E4ACBFC")</f>
        <v>https://app.crepc.sk/?fn=detailBiblioForm&amp;sid=240D82286EC66312FF4E4ACBFC</v>
      </c>
    </row>
    <row r="1571" spans="3:5" ht="45" x14ac:dyDescent="0.25">
      <c r="C1571" s="15">
        <v>103237</v>
      </c>
      <c r="D1571" s="4" t="s">
        <v>1575</v>
      </c>
      <c r="E1571" s="4" t="str">
        <f>HYPERLINK("https://app.crepc.sk/?fn=detailBiblioForm&amp;sid=26BAE0713B0B941B8CC54F3650")</f>
        <v>https://app.crepc.sk/?fn=detailBiblioForm&amp;sid=26BAE0713B0B941B8CC54F3650</v>
      </c>
    </row>
    <row r="1572" spans="3:5" ht="45" x14ac:dyDescent="0.25">
      <c r="C1572" s="15">
        <v>453585</v>
      </c>
      <c r="D1572" s="4" t="s">
        <v>1576</v>
      </c>
      <c r="E1572" s="4" t="str">
        <f>HYPERLINK("https://app.crepc.sk/?fn=detailBiblioForm&amp;sid=363E3362E176FDAD866EF4D970")</f>
        <v>https://app.crepc.sk/?fn=detailBiblioForm&amp;sid=363E3362E176FDAD866EF4D970</v>
      </c>
    </row>
    <row r="1573" spans="3:5" ht="45" x14ac:dyDescent="0.25">
      <c r="C1573" s="15">
        <v>68495</v>
      </c>
      <c r="D1573" s="4" t="s">
        <v>1577</v>
      </c>
      <c r="E1573" s="4" t="str">
        <f>HYPERLINK("https://app.crepc.sk/?fn=detailBiblioForm&amp;sid=E57BCEAF7061E9335AC74A17")</f>
        <v>https://app.crepc.sk/?fn=detailBiblioForm&amp;sid=E57BCEAF7061E9335AC74A17</v>
      </c>
    </row>
    <row r="1574" spans="3:5" ht="45" x14ac:dyDescent="0.25">
      <c r="C1574" s="15">
        <v>194506</v>
      </c>
      <c r="D1574" s="4" t="s">
        <v>1578</v>
      </c>
      <c r="E1574" s="4" t="str">
        <f>HYPERLINK("https://app.crepc.sk/?fn=detailBiblioForm&amp;sid=B3499CADE72D03543EFBA5BCCD")</f>
        <v>https://app.crepc.sk/?fn=detailBiblioForm&amp;sid=B3499CADE72D03543EFBA5BCCD</v>
      </c>
    </row>
    <row r="1575" spans="3:5" ht="45" x14ac:dyDescent="0.25">
      <c r="C1575" s="15">
        <v>234383</v>
      </c>
      <c r="D1575" s="4" t="s">
        <v>1579</v>
      </c>
      <c r="E1575" s="4" t="str">
        <f>HYPERLINK("https://app.crepc.sk/?fn=detailBiblioForm&amp;sid=3C2D8A65EFEE235C41940D915D")</f>
        <v>https://app.crepc.sk/?fn=detailBiblioForm&amp;sid=3C2D8A65EFEE235C41940D915D</v>
      </c>
    </row>
    <row r="1576" spans="3:5" ht="60" x14ac:dyDescent="0.25">
      <c r="C1576" s="15">
        <v>74024</v>
      </c>
      <c r="D1576" s="4" t="s">
        <v>1580</v>
      </c>
      <c r="E1576" s="4" t="str">
        <f>HYPERLINK("https://app.crepc.sk/?fn=detailBiblioForm&amp;sid=FFC893BED29285EC7D30C35B")</f>
        <v>https://app.crepc.sk/?fn=detailBiblioForm&amp;sid=FFC893BED29285EC7D30C35B</v>
      </c>
    </row>
    <row r="1577" spans="3:5" ht="45" x14ac:dyDescent="0.25">
      <c r="C1577" s="15">
        <v>148240</v>
      </c>
      <c r="D1577" s="4" t="s">
        <v>1581</v>
      </c>
      <c r="E1577" s="4" t="str">
        <f>HYPERLINK("https://app.crepc.sk/?fn=detailBiblioForm&amp;sid=F2FAE62FE51E8196D0A0113BAC")</f>
        <v>https://app.crepc.sk/?fn=detailBiblioForm&amp;sid=F2FAE62FE51E8196D0A0113BAC</v>
      </c>
    </row>
    <row r="1578" spans="3:5" ht="60" x14ac:dyDescent="0.25">
      <c r="C1578" s="15">
        <v>68987</v>
      </c>
      <c r="D1578" s="4" t="s">
        <v>1582</v>
      </c>
      <c r="E1578" s="4" t="str">
        <f>HYPERLINK("https://app.crepc.sk/?fn=detailBiblioForm&amp;sid=BF7D2F7C89B4A1BB960168AD")</f>
        <v>https://app.crepc.sk/?fn=detailBiblioForm&amp;sid=BF7D2F7C89B4A1BB960168AD</v>
      </c>
    </row>
    <row r="1579" spans="3:5" ht="45" x14ac:dyDescent="0.25">
      <c r="C1579" s="15">
        <v>53835</v>
      </c>
      <c r="D1579" s="4" t="s">
        <v>1583</v>
      </c>
      <c r="E1579" s="4" t="str">
        <f>HYPERLINK("https://app.crepc.sk/?fn=detailBiblioForm&amp;sid=0036857B98EF7E34D98ED50D")</f>
        <v>https://app.crepc.sk/?fn=detailBiblioForm&amp;sid=0036857B98EF7E34D98ED50D</v>
      </c>
    </row>
    <row r="1580" spans="3:5" ht="45" x14ac:dyDescent="0.25">
      <c r="C1580" s="15">
        <v>134771</v>
      </c>
      <c r="D1580" s="4" t="s">
        <v>1584</v>
      </c>
      <c r="E1580" s="4" t="str">
        <f>HYPERLINK("https://app.crepc.sk/?fn=detailBiblioForm&amp;sid=30B1ADDF6CEA0E22B35FBE07DF")</f>
        <v>https://app.crepc.sk/?fn=detailBiblioForm&amp;sid=30B1ADDF6CEA0E22B35FBE07DF</v>
      </c>
    </row>
    <row r="1581" spans="3:5" ht="60" x14ac:dyDescent="0.25">
      <c r="C1581" s="15">
        <v>132257</v>
      </c>
      <c r="D1581" s="4" t="s">
        <v>1585</v>
      </c>
      <c r="E1581" s="4" t="str">
        <f>HYPERLINK("https://app.crepc.sk/?fn=detailBiblioForm&amp;sid=D50C3B9973047BD9921A50B270")</f>
        <v>https://app.crepc.sk/?fn=detailBiblioForm&amp;sid=D50C3B9973047BD9921A50B270</v>
      </c>
    </row>
    <row r="1582" spans="3:5" ht="60" x14ac:dyDescent="0.25">
      <c r="C1582" s="15">
        <v>51063</v>
      </c>
      <c r="D1582" s="4" t="s">
        <v>1586</v>
      </c>
      <c r="E1582" s="4" t="str">
        <f>HYPERLINK("https://app.crepc.sk/?fn=detailBiblioForm&amp;sid=BB29F255FBB69693A7F43919")</f>
        <v>https://app.crepc.sk/?fn=detailBiblioForm&amp;sid=BB29F255FBB69693A7F43919</v>
      </c>
    </row>
    <row r="1583" spans="3:5" ht="45" x14ac:dyDescent="0.25">
      <c r="C1583" s="15">
        <v>95100</v>
      </c>
      <c r="D1583" s="4" t="s">
        <v>1587</v>
      </c>
      <c r="E1583" s="4" t="str">
        <f>HYPERLINK("https://app.crepc.sk/?fn=detailBiblioForm&amp;sid=570314A3C0BE2695E867BADB")</f>
        <v>https://app.crepc.sk/?fn=detailBiblioForm&amp;sid=570314A3C0BE2695E867BADB</v>
      </c>
    </row>
    <row r="1584" spans="3:5" ht="45" x14ac:dyDescent="0.25">
      <c r="C1584" s="15">
        <v>310274</v>
      </c>
      <c r="D1584" s="4" t="s">
        <v>1588</v>
      </c>
      <c r="E1584" s="4" t="str">
        <f>HYPERLINK("https://app.crepc.sk/?fn=detailBiblioForm&amp;sid=BA80C833B457BFD30109023DB9")</f>
        <v>https://app.crepc.sk/?fn=detailBiblioForm&amp;sid=BA80C833B457BFD30109023DB9</v>
      </c>
    </row>
    <row r="1585" spans="1:5" ht="45" x14ac:dyDescent="0.25">
      <c r="C1585" s="15">
        <v>167646</v>
      </c>
      <c r="D1585" s="4" t="s">
        <v>1589</v>
      </c>
      <c r="E1585" s="4" t="str">
        <f>HYPERLINK("https://app.crepc.sk/?fn=detailBiblioForm&amp;sid=AF3291F10EFAAB2E0CB7DF7A2C")</f>
        <v>https://app.crepc.sk/?fn=detailBiblioForm&amp;sid=AF3291F10EFAAB2E0CB7DF7A2C</v>
      </c>
    </row>
    <row r="1586" spans="1:5" ht="45" x14ac:dyDescent="0.25">
      <c r="C1586" s="15">
        <v>195706</v>
      </c>
      <c r="D1586" s="4" t="s">
        <v>1590</v>
      </c>
      <c r="E1586" s="4" t="str">
        <f>HYPERLINK("https://app.crepc.sk/?fn=detailBiblioForm&amp;sid=295815C2A9E117C13DBCA4E4D3")</f>
        <v>https://app.crepc.sk/?fn=detailBiblioForm&amp;sid=295815C2A9E117C13DBCA4E4D3</v>
      </c>
    </row>
    <row r="1587" spans="1:5" ht="45" x14ac:dyDescent="0.25">
      <c r="C1587" s="15">
        <v>431692</v>
      </c>
      <c r="D1587" s="4" t="s">
        <v>1591</v>
      </c>
      <c r="E1587" s="4" t="str">
        <f>HYPERLINK("https://app.crepc.sk/?fn=detailBiblioForm&amp;sid=2A8645EE3178FF1E37C013D7FC")</f>
        <v>https://app.crepc.sk/?fn=detailBiblioForm&amp;sid=2A8645EE3178FF1E37C013D7FC</v>
      </c>
    </row>
    <row r="1588" spans="1:5" ht="60" x14ac:dyDescent="0.25">
      <c r="C1588" s="15">
        <v>161382</v>
      </c>
      <c r="D1588" s="4" t="s">
        <v>1592</v>
      </c>
      <c r="E1588" s="4" t="str">
        <f>HYPERLINK("https://app.crepc.sk/?fn=detailBiblioForm&amp;sid=F8FE310152E9D1F1E0172E57ED")</f>
        <v>https://app.crepc.sk/?fn=detailBiblioForm&amp;sid=F8FE310152E9D1F1E0172E57ED</v>
      </c>
    </row>
    <row r="1589" spans="1:5" ht="60" x14ac:dyDescent="0.25">
      <c r="C1589" s="15">
        <v>254511</v>
      </c>
      <c r="D1589" s="4" t="s">
        <v>1593</v>
      </c>
      <c r="E1589" s="4" t="str">
        <f>HYPERLINK("https://app.crepc.sk/?fn=detailBiblioForm&amp;sid=6A93279CD14837B1D08B865CD7")</f>
        <v>https://app.crepc.sk/?fn=detailBiblioForm&amp;sid=6A93279CD14837B1D08B865CD7</v>
      </c>
    </row>
    <row r="1590" spans="1:5" ht="60" x14ac:dyDescent="0.25">
      <c r="C1590" s="15">
        <v>161379</v>
      </c>
      <c r="D1590" s="4" t="s">
        <v>1594</v>
      </c>
      <c r="E1590" s="4" t="str">
        <f>HYPERLINK("https://app.crepc.sk/?fn=detailBiblioForm&amp;sid=F8FE310152E9D1F1EF1C2E57ED")</f>
        <v>https://app.crepc.sk/?fn=detailBiblioForm&amp;sid=F8FE310152E9D1F1EF1C2E57ED</v>
      </c>
    </row>
    <row r="1591" spans="1:5" ht="45" x14ac:dyDescent="0.25">
      <c r="C1591" s="15">
        <v>421054</v>
      </c>
      <c r="D1591" s="4" t="s">
        <v>1595</v>
      </c>
      <c r="E1591" s="4" t="str">
        <f>HYPERLINK("https://app.crepc.sk/?fn=detailBiblioForm&amp;sid=8D0C24B185390D5D6CA6F411CE")</f>
        <v>https://app.crepc.sk/?fn=detailBiblioForm&amp;sid=8D0C24B185390D5D6CA6F411CE</v>
      </c>
    </row>
    <row r="1592" spans="1:5" ht="45" x14ac:dyDescent="0.25">
      <c r="C1592" s="15">
        <v>315389</v>
      </c>
      <c r="D1592" s="4" t="s">
        <v>1596</v>
      </c>
      <c r="E1592" s="4" t="str">
        <f>HYPERLINK("https://app.crepc.sk/?fn=detailBiblioForm&amp;sid=55621F876DA874636645036671")</f>
        <v>https://app.crepc.sk/?fn=detailBiblioForm&amp;sid=55621F876DA874636645036671</v>
      </c>
    </row>
    <row r="1593" spans="1:5" ht="45" x14ac:dyDescent="0.25">
      <c r="C1593" s="15">
        <v>211949</v>
      </c>
      <c r="D1593" s="4" t="s">
        <v>1597</v>
      </c>
      <c r="E1593" s="4" t="str">
        <f>HYPERLINK("https://app.crepc.sk/?fn=detailBiblioForm&amp;sid=04E2D599306659661033FFA65D")</f>
        <v>https://app.crepc.sk/?fn=detailBiblioForm&amp;sid=04E2D599306659661033FFA65D</v>
      </c>
    </row>
    <row r="1594" spans="1:5" ht="45" x14ac:dyDescent="0.25">
      <c r="C1594" s="15">
        <v>439106</v>
      </c>
      <c r="D1594" s="4" t="s">
        <v>1598</v>
      </c>
      <c r="E1594" s="4" t="str">
        <f>HYPERLINK("https://app.crepc.sk/?fn=detailBiblioForm&amp;sid=8977221462BF9EBB4EC12C5E19")</f>
        <v>https://app.crepc.sk/?fn=detailBiblioForm&amp;sid=8977221462BF9EBB4EC12C5E19</v>
      </c>
    </row>
    <row r="1595" spans="1:5" ht="45" x14ac:dyDescent="0.25">
      <c r="C1595" s="15">
        <v>315630</v>
      </c>
      <c r="D1595" s="4" t="s">
        <v>1599</v>
      </c>
      <c r="E1595" s="4" t="str">
        <f>HYPERLINK("https://app.crepc.sk/?fn=detailBiblioForm&amp;sid=529BAC41B3BEAAB589291F4001")</f>
        <v>https://app.crepc.sk/?fn=detailBiblioForm&amp;sid=529BAC41B3BEAAB589291F4001</v>
      </c>
    </row>
    <row r="1596" spans="1:5" ht="75" x14ac:dyDescent="0.25">
      <c r="C1596" s="15">
        <v>217396</v>
      </c>
      <c r="D1596" s="4" t="s">
        <v>1600</v>
      </c>
      <c r="E1596" s="4" t="str">
        <f>HYPERLINK("https://app.crepc.sk/?fn=detailBiblioForm&amp;sid=4575872B0B1DDACE1A6EA0B43C")</f>
        <v>https://app.crepc.sk/?fn=detailBiblioForm&amp;sid=4575872B0B1DDACE1A6EA0B43C</v>
      </c>
    </row>
    <row r="1597" spans="1:5" ht="45" x14ac:dyDescent="0.25">
      <c r="C1597" s="15">
        <v>94917</v>
      </c>
      <c r="D1597" s="4" t="s">
        <v>1601</v>
      </c>
      <c r="E1597" s="4" t="str">
        <f>HYPERLINK("https://app.crepc.sk/?fn=detailBiblioForm&amp;sid=D2E03CC864873081C43D938A")</f>
        <v>https://app.crepc.sk/?fn=detailBiblioForm&amp;sid=D2E03CC864873081C43D938A</v>
      </c>
    </row>
    <row r="1598" spans="1:5" ht="45" x14ac:dyDescent="0.25">
      <c r="C1598" s="15">
        <v>421870</v>
      </c>
      <c r="D1598" s="4" t="s">
        <v>1602</v>
      </c>
      <c r="E1598" s="4" t="str">
        <f>HYPERLINK("https://app.crepc.sk/?fn=detailBiblioForm&amp;sid=EE09CE23445DA698B3FA8833E1")</f>
        <v>https://app.crepc.sk/?fn=detailBiblioForm&amp;sid=EE09CE23445DA698B3FA8833E1</v>
      </c>
    </row>
    <row r="1599" spans="1:5" ht="30" x14ac:dyDescent="0.25">
      <c r="A1599" s="4" t="s">
        <v>1603</v>
      </c>
      <c r="B1599" s="15">
        <v>4</v>
      </c>
    </row>
    <row r="1600" spans="1:5" ht="75" x14ac:dyDescent="0.25">
      <c r="C1600" s="15">
        <v>83326</v>
      </c>
      <c r="D1600" s="4" t="s">
        <v>1604</v>
      </c>
      <c r="E1600" s="4" t="str">
        <f>HYPERLINK("https://app.crepc.sk/?fn=detailBiblioForm&amp;sid=3A6EC691606842EE3C423827")</f>
        <v>https://app.crepc.sk/?fn=detailBiblioForm&amp;sid=3A6EC691606842EE3C423827</v>
      </c>
    </row>
    <row r="1601" spans="1:5" ht="75" x14ac:dyDescent="0.25">
      <c r="C1601" s="15">
        <v>429400</v>
      </c>
      <c r="D1601" s="4" t="s">
        <v>1605</v>
      </c>
      <c r="E1601" s="4" t="str">
        <f>HYPERLINK("https://app.crepc.sk/?fn=detailBiblioForm&amp;sid=E8A29C648C5DE1742EB04FDFA1")</f>
        <v>https://app.crepc.sk/?fn=detailBiblioForm&amp;sid=E8A29C648C5DE1742EB04FDFA1</v>
      </c>
    </row>
    <row r="1602" spans="1:5" ht="90" x14ac:dyDescent="0.25">
      <c r="C1602" s="15">
        <v>202546</v>
      </c>
      <c r="D1602" s="4" t="s">
        <v>1606</v>
      </c>
      <c r="E1602" s="4" t="str">
        <f>HYPERLINK("https://app.crepc.sk/?fn=detailBiblioForm&amp;sid=3036734F2764D6FCC133D36630")</f>
        <v>https://app.crepc.sk/?fn=detailBiblioForm&amp;sid=3036734F2764D6FCC133D36630</v>
      </c>
    </row>
    <row r="1603" spans="1:5" ht="90" x14ac:dyDescent="0.25">
      <c r="C1603" s="15">
        <v>202549</v>
      </c>
      <c r="D1603" s="4" t="s">
        <v>1607</v>
      </c>
      <c r="E1603" s="4" t="str">
        <f>HYPERLINK("https://app.crepc.sk/?fn=detailBiblioForm&amp;sid=3036734F2764D6FCC13CD36630")</f>
        <v>https://app.crepc.sk/?fn=detailBiblioForm&amp;sid=3036734F2764D6FCC13CD36630</v>
      </c>
    </row>
    <row r="1604" spans="1:5" ht="30" x14ac:dyDescent="0.25">
      <c r="A1604" s="4" t="s">
        <v>1608</v>
      </c>
      <c r="B1604" s="15">
        <v>11</v>
      </c>
    </row>
    <row r="1605" spans="1:5" ht="75" x14ac:dyDescent="0.25">
      <c r="C1605" s="15">
        <v>244578</v>
      </c>
      <c r="D1605" s="4" t="s">
        <v>1609</v>
      </c>
      <c r="E1605" s="4" t="str">
        <f>HYPERLINK("https://app.crepc.sk/?fn=detailBiblioForm&amp;sid=7CD45A5C10A06C781DFFABC625")</f>
        <v>https://app.crepc.sk/?fn=detailBiblioForm&amp;sid=7CD45A5C10A06C781DFFABC625</v>
      </c>
    </row>
    <row r="1606" spans="1:5" ht="90" x14ac:dyDescent="0.25">
      <c r="C1606" s="15">
        <v>228245</v>
      </c>
      <c r="D1606" s="4" t="s">
        <v>1610</v>
      </c>
      <c r="E1606" s="4" t="str">
        <f>HYPERLINK("https://app.crepc.sk/?fn=detailBiblioForm&amp;sid=AF76E74BF3CFEA1C409D851A00")</f>
        <v>https://app.crepc.sk/?fn=detailBiblioForm&amp;sid=AF76E74BF3CFEA1C409D851A00</v>
      </c>
    </row>
    <row r="1607" spans="1:5" ht="60" x14ac:dyDescent="0.25">
      <c r="C1607" s="15">
        <v>311924</v>
      </c>
      <c r="D1607" s="4" t="s">
        <v>1611</v>
      </c>
      <c r="E1607" s="4" t="str">
        <f>HYPERLINK("https://app.crepc.sk/?fn=detailBiblioForm&amp;sid=396B080C231206F953699ED740")</f>
        <v>https://app.crepc.sk/?fn=detailBiblioForm&amp;sid=396B080C231206F953699ED740</v>
      </c>
    </row>
    <row r="1608" spans="1:5" ht="60" x14ac:dyDescent="0.25">
      <c r="C1608" s="15">
        <v>73482</v>
      </c>
      <c r="D1608" s="4" t="s">
        <v>1612</v>
      </c>
      <c r="E1608" s="4" t="str">
        <f>HYPERLINK("https://app.crepc.sk/?fn=detailBiblioForm&amp;sid=C310301B550CB59113C80223")</f>
        <v>https://app.crepc.sk/?fn=detailBiblioForm&amp;sid=C310301B550CB59113C80223</v>
      </c>
    </row>
    <row r="1609" spans="1:5" ht="60" x14ac:dyDescent="0.25">
      <c r="C1609" s="15">
        <v>55925</v>
      </c>
      <c r="D1609" s="4" t="s">
        <v>1613</v>
      </c>
      <c r="E1609" s="4" t="str">
        <f>HYPERLINK("https://app.crepc.sk/?fn=detailBiblioForm&amp;sid=97479A35FF431FBCE1E5D2CD")</f>
        <v>https://app.crepc.sk/?fn=detailBiblioForm&amp;sid=97479A35FF431FBCE1E5D2CD</v>
      </c>
    </row>
    <row r="1610" spans="1:5" ht="135" x14ac:dyDescent="0.25">
      <c r="C1610" s="15">
        <v>515195</v>
      </c>
      <c r="D1610" s="4" t="s">
        <v>1614</v>
      </c>
      <c r="E1610" s="4" t="str">
        <f>HYPERLINK("https://app.crepc.sk/?fn=detailBiblioForm&amp;sid=343705CA675215C52F9AC53FAD")</f>
        <v>https://app.crepc.sk/?fn=detailBiblioForm&amp;sid=343705CA675215C52F9AC53FAD</v>
      </c>
    </row>
    <row r="1611" spans="1:5" ht="60" x14ac:dyDescent="0.25">
      <c r="C1611" s="15">
        <v>305945</v>
      </c>
      <c r="D1611" s="4" t="s">
        <v>1615</v>
      </c>
      <c r="E1611" s="4" t="str">
        <f>HYPERLINK("https://app.crepc.sk/?fn=detailBiblioForm&amp;sid=26D3F01130691A98F577E8D10E")</f>
        <v>https://app.crepc.sk/?fn=detailBiblioForm&amp;sid=26D3F01130691A98F577E8D10E</v>
      </c>
    </row>
    <row r="1612" spans="1:5" ht="75" x14ac:dyDescent="0.25">
      <c r="C1612" s="15">
        <v>55922</v>
      </c>
      <c r="D1612" s="4" t="s">
        <v>1616</v>
      </c>
      <c r="E1612" s="4" t="str">
        <f>HYPERLINK("https://app.crepc.sk/?fn=detailBiblioForm&amp;sid=97479A35FF431FBCE6E5D2CD")</f>
        <v>https://app.crepc.sk/?fn=detailBiblioForm&amp;sid=97479A35FF431FBCE6E5D2CD</v>
      </c>
    </row>
    <row r="1613" spans="1:5" ht="105" x14ac:dyDescent="0.25">
      <c r="C1613" s="15">
        <v>75859</v>
      </c>
      <c r="D1613" s="4" t="s">
        <v>1617</v>
      </c>
      <c r="E1613" s="4" t="str">
        <f>HYPERLINK("https://app.crepc.sk/?fn=detailBiblioForm&amp;sid=A84F8E2DBF3AD6D4AB22FBDD")</f>
        <v>https://app.crepc.sk/?fn=detailBiblioForm&amp;sid=A84F8E2DBF3AD6D4AB22FBDD</v>
      </c>
    </row>
    <row r="1614" spans="1:5" ht="75" x14ac:dyDescent="0.25">
      <c r="C1614" s="15">
        <v>243928</v>
      </c>
      <c r="D1614" s="4" t="s">
        <v>1618</v>
      </c>
      <c r="E1614" s="4" t="str">
        <f>HYPERLINK("https://app.crepc.sk/?fn=detailBiblioForm&amp;sid=4E0FD8AB6AD170354D593E4C45")</f>
        <v>https://app.crepc.sk/?fn=detailBiblioForm&amp;sid=4E0FD8AB6AD170354D593E4C45</v>
      </c>
    </row>
    <row r="1615" spans="1:5" ht="60" x14ac:dyDescent="0.25">
      <c r="C1615" s="15">
        <v>54772</v>
      </c>
      <c r="D1615" s="4" t="s">
        <v>1619</v>
      </c>
      <c r="E1615" s="4" t="str">
        <f>HYPERLINK("https://app.crepc.sk/?fn=detailBiblioForm&amp;sid=DB4D30A86EF4B033C92C5499")</f>
        <v>https://app.crepc.sk/?fn=detailBiblioForm&amp;sid=DB4D30A86EF4B033C92C5499</v>
      </c>
    </row>
    <row r="1616" spans="1:5" ht="30" x14ac:dyDescent="0.25">
      <c r="A1616" s="4" t="s">
        <v>1620</v>
      </c>
      <c r="B1616" s="15">
        <v>7</v>
      </c>
    </row>
    <row r="1617" spans="1:5" ht="60" x14ac:dyDescent="0.25">
      <c r="C1617" s="15">
        <v>180831</v>
      </c>
      <c r="D1617" s="4" t="s">
        <v>1621</v>
      </c>
      <c r="E1617" s="4" t="str">
        <f>HYPERLINK("https://app.crepc.sk/?fn=detailBiblioForm&amp;sid=CAE3E57F1FDC62BA2ABDB4FED8")</f>
        <v>https://app.crepc.sk/?fn=detailBiblioForm&amp;sid=CAE3E57F1FDC62BA2ABDB4FED8</v>
      </c>
    </row>
    <row r="1618" spans="1:5" ht="60" x14ac:dyDescent="0.25">
      <c r="C1618" s="15">
        <v>311953</v>
      </c>
      <c r="D1618" s="4" t="s">
        <v>1622</v>
      </c>
      <c r="E1618" s="4" t="str">
        <f>HYPERLINK("https://app.crepc.sk/?fn=detailBiblioForm&amp;sid=396B080C231206F9546E9ED740")</f>
        <v>https://app.crepc.sk/?fn=detailBiblioForm&amp;sid=396B080C231206F9546E9ED740</v>
      </c>
    </row>
    <row r="1619" spans="1:5" ht="75" x14ac:dyDescent="0.25">
      <c r="C1619" s="15">
        <v>224304</v>
      </c>
      <c r="D1619" s="4" t="s">
        <v>1623</v>
      </c>
      <c r="E1619" s="4" t="str">
        <f>HYPERLINK("https://app.crepc.sk/?fn=detailBiblioForm&amp;sid=ADB89B80C16DD51A5379821E07")</f>
        <v>https://app.crepc.sk/?fn=detailBiblioForm&amp;sid=ADB89B80C16DD51A5379821E07</v>
      </c>
    </row>
    <row r="1620" spans="1:5" ht="75" x14ac:dyDescent="0.25">
      <c r="C1620" s="15">
        <v>224979</v>
      </c>
      <c r="D1620" s="4" t="s">
        <v>1624</v>
      </c>
      <c r="E1620" s="4" t="str">
        <f>HYPERLINK("https://app.crepc.sk/?fn=detailBiblioForm&amp;sid=A17FDCE096B34C5168535AEA85")</f>
        <v>https://app.crepc.sk/?fn=detailBiblioForm&amp;sid=A17FDCE096B34C5168535AEA85</v>
      </c>
    </row>
    <row r="1621" spans="1:5" ht="75" x14ac:dyDescent="0.25">
      <c r="C1621" s="15">
        <v>422628</v>
      </c>
      <c r="D1621" s="4" t="s">
        <v>1625</v>
      </c>
      <c r="E1621" s="4" t="str">
        <f>HYPERLINK("https://app.crepc.sk/?fn=detailBiblioForm&amp;sid=595C10E24534013611857F4B15")</f>
        <v>https://app.crepc.sk/?fn=detailBiblioForm&amp;sid=595C10E24534013611857F4B15</v>
      </c>
    </row>
    <row r="1622" spans="1:5" ht="75" x14ac:dyDescent="0.25">
      <c r="C1622" s="15">
        <v>83990</v>
      </c>
      <c r="D1622" s="4" t="s">
        <v>1626</v>
      </c>
      <c r="E1622" s="4" t="str">
        <f>HYPERLINK("https://app.crepc.sk/?fn=detailBiblioForm&amp;sid=80B1DEBAF5B5BF9A154E4B91")</f>
        <v>https://app.crepc.sk/?fn=detailBiblioForm&amp;sid=80B1DEBAF5B5BF9A154E4B91</v>
      </c>
    </row>
    <row r="1623" spans="1:5" ht="75" x14ac:dyDescent="0.25">
      <c r="C1623" s="15">
        <v>164017</v>
      </c>
      <c r="D1623" s="4" t="s">
        <v>1627</v>
      </c>
      <c r="E1623" s="4" t="str">
        <f>HYPERLINK("https://app.crepc.sk/?fn=detailBiblioForm&amp;sid=C66CE58CAAF5BE605D65333172")</f>
        <v>https://app.crepc.sk/?fn=detailBiblioForm&amp;sid=C66CE58CAAF5BE605D65333172</v>
      </c>
    </row>
    <row r="1624" spans="1:5" ht="30" x14ac:dyDescent="0.25">
      <c r="A1624" s="4" t="s">
        <v>1628</v>
      </c>
      <c r="B1624" s="15">
        <v>23</v>
      </c>
    </row>
    <row r="1625" spans="1:5" ht="60" x14ac:dyDescent="0.25">
      <c r="C1625" s="15">
        <v>424556</v>
      </c>
      <c r="D1625" s="4" t="s">
        <v>1629</v>
      </c>
      <c r="E1625" s="4" t="str">
        <f>HYPERLINK("https://app.crepc.sk/?fn=detailBiblioForm&amp;sid=012CCE62C622B66939F459F13E")</f>
        <v>https://app.crepc.sk/?fn=detailBiblioForm&amp;sid=012CCE62C622B66939F459F13E</v>
      </c>
    </row>
    <row r="1626" spans="1:5" ht="45" x14ac:dyDescent="0.25">
      <c r="C1626" s="15">
        <v>94992</v>
      </c>
      <c r="D1626" s="4" t="s">
        <v>1630</v>
      </c>
      <c r="E1626" s="4" t="str">
        <f>HYPERLINK("https://app.crepc.sk/?fn=detailBiblioForm&amp;sid=EF0B06E628ECD7F4CA2808BF")</f>
        <v>https://app.crepc.sk/?fn=detailBiblioForm&amp;sid=EF0B06E628ECD7F4CA2808BF</v>
      </c>
    </row>
    <row r="1627" spans="1:5" ht="90" x14ac:dyDescent="0.25">
      <c r="C1627" s="15">
        <v>314099</v>
      </c>
      <c r="D1627" s="4" t="s">
        <v>1631</v>
      </c>
      <c r="E1627" s="4" t="str">
        <f>HYPERLINK("https://app.crepc.sk/?fn=detailBiblioForm&amp;sid=52CF6327BC03DBAB551A815F18")</f>
        <v>https://app.crepc.sk/?fn=detailBiblioForm&amp;sid=52CF6327BC03DBAB551A815F18</v>
      </c>
    </row>
    <row r="1628" spans="1:5" ht="60" x14ac:dyDescent="0.25">
      <c r="C1628" s="15">
        <v>200554</v>
      </c>
      <c r="D1628" s="4" t="s">
        <v>1632</v>
      </c>
      <c r="E1628" s="4" t="str">
        <f>HYPERLINK("https://app.crepc.sk/?fn=detailBiblioForm&amp;sid=91D350D805BE9AB6AF8F715CC5")</f>
        <v>https://app.crepc.sk/?fn=detailBiblioForm&amp;sid=91D350D805BE9AB6AF8F715CC5</v>
      </c>
    </row>
    <row r="1629" spans="1:5" ht="60" x14ac:dyDescent="0.25">
      <c r="C1629" s="15">
        <v>311930</v>
      </c>
      <c r="D1629" s="4" t="s">
        <v>1633</v>
      </c>
      <c r="E1629" s="4" t="str">
        <f>HYPERLINK("https://app.crepc.sk/?fn=detailBiblioForm&amp;sid=396B080C231206F9526D9ED740")</f>
        <v>https://app.crepc.sk/?fn=detailBiblioForm&amp;sid=396B080C231206F9526D9ED740</v>
      </c>
    </row>
    <row r="1630" spans="1:5" ht="105" x14ac:dyDescent="0.25">
      <c r="C1630" s="15">
        <v>75888</v>
      </c>
      <c r="D1630" s="4" t="s">
        <v>1634</v>
      </c>
      <c r="E1630" s="4" t="str">
        <f>HYPERLINK("https://app.crepc.sk/?fn=detailBiblioForm&amp;sid=235551506FD4958B904960FB")</f>
        <v>https://app.crepc.sk/?fn=detailBiblioForm&amp;sid=235551506FD4958B904960FB</v>
      </c>
    </row>
    <row r="1631" spans="1:5" ht="60" x14ac:dyDescent="0.25">
      <c r="C1631" s="15">
        <v>98627</v>
      </c>
      <c r="D1631" s="4" t="s">
        <v>1635</v>
      </c>
      <c r="E1631" s="4" t="str">
        <f>HYPERLINK("https://app.crepc.sk/?fn=detailBiblioForm&amp;sid=5F87C9263833AE7AF4C04B08")</f>
        <v>https://app.crepc.sk/?fn=detailBiblioForm&amp;sid=5F87C9263833AE7AF4C04B08</v>
      </c>
    </row>
    <row r="1632" spans="1:5" ht="60" x14ac:dyDescent="0.25">
      <c r="C1632" s="15">
        <v>311904</v>
      </c>
      <c r="D1632" s="4" t="s">
        <v>1636</v>
      </c>
      <c r="E1632" s="4" t="str">
        <f>HYPERLINK("https://app.crepc.sk/?fn=detailBiblioForm&amp;sid=396B080C231206F951699ED740")</f>
        <v>https://app.crepc.sk/?fn=detailBiblioForm&amp;sid=396B080C231206F951699ED740</v>
      </c>
    </row>
    <row r="1633" spans="1:5" ht="75" x14ac:dyDescent="0.25">
      <c r="C1633" s="15">
        <v>424553</v>
      </c>
      <c r="D1633" s="4" t="s">
        <v>1637</v>
      </c>
      <c r="E1633" s="4" t="str">
        <f>HYPERLINK("https://app.crepc.sk/?fn=detailBiblioForm&amp;sid=012CCE62C622B66939F159F13E")</f>
        <v>https://app.crepc.sk/?fn=detailBiblioForm&amp;sid=012CCE62C622B66939F159F13E</v>
      </c>
    </row>
    <row r="1634" spans="1:5" ht="60" x14ac:dyDescent="0.25">
      <c r="C1634" s="15">
        <v>98630</v>
      </c>
      <c r="D1634" s="4" t="s">
        <v>1638</v>
      </c>
      <c r="E1634" s="4" t="str">
        <f>HYPERLINK("https://app.crepc.sk/?fn=detailBiblioForm&amp;sid=E05A3DD1D02A358749D9BB57")</f>
        <v>https://app.crepc.sk/?fn=detailBiblioForm&amp;sid=E05A3DD1D02A358749D9BB57</v>
      </c>
    </row>
    <row r="1635" spans="1:5" ht="75" x14ac:dyDescent="0.25">
      <c r="C1635" s="15">
        <v>163849</v>
      </c>
      <c r="D1635" s="4" t="s">
        <v>1639</v>
      </c>
      <c r="E1635" s="4" t="str">
        <f>HYPERLINK("https://app.crepc.sk/?fn=detailBiblioForm&amp;sid=AFFB5693EB24A8FD71C87098CD")</f>
        <v>https://app.crepc.sk/?fn=detailBiblioForm&amp;sid=AFFB5693EB24A8FD71C87098CD</v>
      </c>
    </row>
    <row r="1636" spans="1:5" ht="75" x14ac:dyDescent="0.25">
      <c r="C1636" s="15">
        <v>305948</v>
      </c>
      <c r="D1636" s="4" t="s">
        <v>1640</v>
      </c>
      <c r="E1636" s="4" t="str">
        <f>HYPERLINK("https://app.crepc.sk/?fn=detailBiblioForm&amp;sid=26D3F01130691A98F57AE8D10E")</f>
        <v>https://app.crepc.sk/?fn=detailBiblioForm&amp;sid=26D3F01130691A98F57AE8D10E</v>
      </c>
    </row>
    <row r="1637" spans="1:5" ht="60" x14ac:dyDescent="0.25">
      <c r="C1637" s="15">
        <v>98632</v>
      </c>
      <c r="D1637" s="4" t="s">
        <v>1641</v>
      </c>
      <c r="E1637" s="4" t="str">
        <f>HYPERLINK("https://app.crepc.sk/?fn=detailBiblioForm&amp;sid=E05A3DD1D02A35874BD9BB57")</f>
        <v>https://app.crepc.sk/?fn=detailBiblioForm&amp;sid=E05A3DD1D02A35874BD9BB57</v>
      </c>
    </row>
    <row r="1638" spans="1:5" ht="60" x14ac:dyDescent="0.25">
      <c r="C1638" s="15">
        <v>99453</v>
      </c>
      <c r="D1638" s="4" t="s">
        <v>1642</v>
      </c>
      <c r="E1638" s="4" t="str">
        <f>HYPERLINK("https://app.crepc.sk/?fn=detailBiblioForm&amp;sid=45F3E60D356FDEA7EF4447AF")</f>
        <v>https://app.crepc.sk/?fn=detailBiblioForm&amp;sid=45F3E60D356FDEA7EF4447AF</v>
      </c>
    </row>
    <row r="1639" spans="1:5" ht="90" x14ac:dyDescent="0.25">
      <c r="C1639" s="15">
        <v>75895</v>
      </c>
      <c r="D1639" s="4" t="s">
        <v>1643</v>
      </c>
      <c r="E1639" s="4" t="str">
        <f>HYPERLINK("https://app.crepc.sk/?fn=detailBiblioForm&amp;sid=44AB5D107A7BD50768D9D509")</f>
        <v>https://app.crepc.sk/?fn=detailBiblioForm&amp;sid=44AB5D107A7BD50768D9D509</v>
      </c>
    </row>
    <row r="1640" spans="1:5" ht="60" x14ac:dyDescent="0.25">
      <c r="C1640" s="15">
        <v>149015</v>
      </c>
      <c r="D1640" s="4" t="s">
        <v>1644</v>
      </c>
      <c r="E1640" s="4" t="str">
        <f>HYPERLINK("https://app.crepc.sk/?fn=detailBiblioForm&amp;sid=394581B55BAE63AC60A8D47953")</f>
        <v>https://app.crepc.sk/?fn=detailBiblioForm&amp;sid=394581B55BAE63AC60A8D47953</v>
      </c>
    </row>
    <row r="1641" spans="1:5" ht="60" x14ac:dyDescent="0.25">
      <c r="C1641" s="15">
        <v>124432</v>
      </c>
      <c r="D1641" s="4" t="s">
        <v>1645</v>
      </c>
      <c r="E1641" s="4" t="str">
        <f>HYPERLINK("https://app.crepc.sk/?fn=detailBiblioForm&amp;sid=334EBFF4980CD77440452B0A8A")</f>
        <v>https://app.crepc.sk/?fn=detailBiblioForm&amp;sid=334EBFF4980CD77440452B0A8A</v>
      </c>
    </row>
    <row r="1642" spans="1:5" ht="60" x14ac:dyDescent="0.25">
      <c r="C1642" s="15">
        <v>311929</v>
      </c>
      <c r="D1642" s="4" t="s">
        <v>1646</v>
      </c>
      <c r="E1642" s="4" t="str">
        <f>HYPERLINK("https://app.crepc.sk/?fn=detailBiblioForm&amp;sid=396B080C231206F953649ED740")</f>
        <v>https://app.crepc.sk/?fn=detailBiblioForm&amp;sid=396B080C231206F953649ED740</v>
      </c>
    </row>
    <row r="1643" spans="1:5" ht="75" x14ac:dyDescent="0.25">
      <c r="C1643" s="15">
        <v>138342</v>
      </c>
      <c r="D1643" s="4" t="s">
        <v>1647</v>
      </c>
      <c r="E1643" s="4" t="str">
        <f>HYPERLINK("https://app.crepc.sk/?fn=detailBiblioForm&amp;sid=7D24A8B9D266E99513C46468AD")</f>
        <v>https://app.crepc.sk/?fn=detailBiblioForm&amp;sid=7D24A8B9D266E99513C46468AD</v>
      </c>
    </row>
    <row r="1644" spans="1:5" ht="75" x14ac:dyDescent="0.25">
      <c r="C1644" s="15">
        <v>138343</v>
      </c>
      <c r="D1644" s="4" t="s">
        <v>1648</v>
      </c>
      <c r="E1644" s="4" t="str">
        <f>HYPERLINK("https://app.crepc.sk/?fn=detailBiblioForm&amp;sid=7D24A8B9D266E99513C56468AD")</f>
        <v>https://app.crepc.sk/?fn=detailBiblioForm&amp;sid=7D24A8B9D266E99513C56468AD</v>
      </c>
    </row>
    <row r="1645" spans="1:5" ht="60" x14ac:dyDescent="0.25">
      <c r="C1645" s="15">
        <v>99529</v>
      </c>
      <c r="D1645" s="4" t="s">
        <v>1649</v>
      </c>
      <c r="E1645" s="4" t="str">
        <f>HYPERLINK("https://app.crepc.sk/?fn=detailBiblioForm&amp;sid=322C5FB8C35CD4C1BB1CCE1B")</f>
        <v>https://app.crepc.sk/?fn=detailBiblioForm&amp;sid=322C5FB8C35CD4C1BB1CCE1B</v>
      </c>
    </row>
    <row r="1646" spans="1:5" ht="75" x14ac:dyDescent="0.25">
      <c r="C1646" s="15">
        <v>424555</v>
      </c>
      <c r="D1646" s="4" t="s">
        <v>1650</v>
      </c>
      <c r="E1646" s="4" t="str">
        <f>HYPERLINK("https://app.crepc.sk/?fn=detailBiblioForm&amp;sid=012CCE62C622B66939F759F13E")</f>
        <v>https://app.crepc.sk/?fn=detailBiblioForm&amp;sid=012CCE62C622B66939F759F13E</v>
      </c>
    </row>
    <row r="1647" spans="1:5" ht="90" x14ac:dyDescent="0.25">
      <c r="C1647" s="15">
        <v>416381</v>
      </c>
      <c r="D1647" s="4" t="s">
        <v>1651</v>
      </c>
      <c r="E1647" s="4" t="str">
        <f>HYPERLINK("https://app.crepc.sk/?fn=detailBiblioForm&amp;sid=02D97EB19DA28A2B9A2D1F2725")</f>
        <v>https://app.crepc.sk/?fn=detailBiblioForm&amp;sid=02D97EB19DA28A2B9A2D1F2725</v>
      </c>
    </row>
    <row r="1648" spans="1:5" ht="30" x14ac:dyDescent="0.25">
      <c r="A1648" s="4" t="s">
        <v>1652</v>
      </c>
      <c r="B1648" s="15">
        <v>19</v>
      </c>
    </row>
    <row r="1649" spans="3:5" ht="60" x14ac:dyDescent="0.25">
      <c r="C1649" s="15">
        <v>233531</v>
      </c>
      <c r="D1649" s="4" t="s">
        <v>1653</v>
      </c>
      <c r="E1649" s="4" t="str">
        <f>HYPERLINK("https://app.crepc.sk/?fn=detailBiblioForm&amp;sid=E8E1951BE9D47401108AA6B2DD")</f>
        <v>https://app.crepc.sk/?fn=detailBiblioForm&amp;sid=E8E1951BE9D47401108AA6B2DD</v>
      </c>
    </row>
    <row r="1650" spans="3:5" ht="45" x14ac:dyDescent="0.25">
      <c r="C1650" s="15">
        <v>205514</v>
      </c>
      <c r="D1650" s="4" t="s">
        <v>1654</v>
      </c>
      <c r="E1650" s="4" t="str">
        <f>HYPERLINK("https://app.crepc.sk/?fn=detailBiblioForm&amp;sid=1B1E3C1E1F334B1A4305FA7123")</f>
        <v>https://app.crepc.sk/?fn=detailBiblioForm&amp;sid=1B1E3C1E1F334B1A4305FA7123</v>
      </c>
    </row>
    <row r="1651" spans="3:5" ht="75" x14ac:dyDescent="0.25">
      <c r="C1651" s="15">
        <v>214085</v>
      </c>
      <c r="D1651" s="4" t="s">
        <v>1655</v>
      </c>
      <c r="E1651" s="4" t="str">
        <f>HYPERLINK("https://app.crepc.sk/?fn=detailBiblioForm&amp;sid=0CA6853F587D492ABF98141C0B")</f>
        <v>https://app.crepc.sk/?fn=detailBiblioForm&amp;sid=0CA6853F587D492ABF98141C0B</v>
      </c>
    </row>
    <row r="1652" spans="3:5" ht="75" x14ac:dyDescent="0.25">
      <c r="C1652" s="15">
        <v>214087</v>
      </c>
      <c r="D1652" s="4" t="s">
        <v>1656</v>
      </c>
      <c r="E1652" s="4" t="str">
        <f>HYPERLINK("https://app.crepc.sk/?fn=detailBiblioForm&amp;sid=0CA6853F587D492ABF9A141C0B")</f>
        <v>https://app.crepc.sk/?fn=detailBiblioForm&amp;sid=0CA6853F587D492ABF9A141C0B</v>
      </c>
    </row>
    <row r="1653" spans="3:5" ht="60" x14ac:dyDescent="0.25">
      <c r="C1653" s="15">
        <v>214096</v>
      </c>
      <c r="D1653" s="4" t="s">
        <v>1657</v>
      </c>
      <c r="E1653" s="4" t="str">
        <f>HYPERLINK("https://app.crepc.sk/?fn=detailBiblioForm&amp;sid=0CA6853F587D492ABE9B141C0B")</f>
        <v>https://app.crepc.sk/?fn=detailBiblioForm&amp;sid=0CA6853F587D492ABE9B141C0B</v>
      </c>
    </row>
    <row r="1654" spans="3:5" ht="75" x14ac:dyDescent="0.25">
      <c r="C1654" s="15">
        <v>214098</v>
      </c>
      <c r="D1654" s="4" t="s">
        <v>1658</v>
      </c>
      <c r="E1654" s="4" t="str">
        <f>HYPERLINK("https://app.crepc.sk/?fn=detailBiblioForm&amp;sid=0CA6853F587D492ABE95141C0B")</f>
        <v>https://app.crepc.sk/?fn=detailBiblioForm&amp;sid=0CA6853F587D492ABE95141C0B</v>
      </c>
    </row>
    <row r="1655" spans="3:5" ht="75" x14ac:dyDescent="0.25">
      <c r="C1655" s="15">
        <v>214150</v>
      </c>
      <c r="D1655" s="4" t="s">
        <v>1659</v>
      </c>
      <c r="E1655" s="4" t="str">
        <f>HYPERLINK("https://app.crepc.sk/?fn=detailBiblioForm&amp;sid=0BE591AD4FD969D74D5ADA6597")</f>
        <v>https://app.crepc.sk/?fn=detailBiblioForm&amp;sid=0BE591AD4FD969D74D5ADA6597</v>
      </c>
    </row>
    <row r="1656" spans="3:5" ht="75" x14ac:dyDescent="0.25">
      <c r="C1656" s="15">
        <v>213909</v>
      </c>
      <c r="D1656" s="4" t="s">
        <v>1660</v>
      </c>
      <c r="E1656" s="4" t="str">
        <f>HYPERLINK("https://app.crepc.sk/?fn=detailBiblioForm&amp;sid=5C150E32B6874145F914418AD1")</f>
        <v>https://app.crepc.sk/?fn=detailBiblioForm&amp;sid=5C150E32B6874145F914418AD1</v>
      </c>
    </row>
    <row r="1657" spans="3:5" ht="45" x14ac:dyDescent="0.25">
      <c r="C1657" s="15">
        <v>253038</v>
      </c>
      <c r="D1657" s="4" t="s">
        <v>1661</v>
      </c>
      <c r="E1657" s="4" t="str">
        <f>HYPERLINK("https://app.crepc.sk/?fn=detailBiblioForm&amp;sid=3296DC5FE4977ADD2421194F74")</f>
        <v>https://app.crepc.sk/?fn=detailBiblioForm&amp;sid=3296DC5FE4977ADD2421194F74</v>
      </c>
    </row>
    <row r="1658" spans="3:5" ht="195" x14ac:dyDescent="0.25">
      <c r="C1658" s="15">
        <v>127766</v>
      </c>
      <c r="D1658" s="4" t="s">
        <v>1662</v>
      </c>
      <c r="E1658" s="4" t="str">
        <f>HYPERLINK("https://app.crepc.sk/?fn=detailBiblioForm&amp;sid=EE95B465952BB5C000022BA78C")</f>
        <v>https://app.crepc.sk/?fn=detailBiblioForm&amp;sid=EE95B465952BB5C000022BA78C</v>
      </c>
    </row>
    <row r="1659" spans="3:5" ht="45" x14ac:dyDescent="0.25">
      <c r="C1659" s="15">
        <v>220907</v>
      </c>
      <c r="D1659" s="4" t="s">
        <v>1663</v>
      </c>
      <c r="E1659" s="4" t="str">
        <f>HYPERLINK("https://app.crepc.sk/?fn=detailBiblioForm&amp;sid=0A2191265DCECE3E6DE23553D4")</f>
        <v>https://app.crepc.sk/?fn=detailBiblioForm&amp;sid=0A2191265DCECE3E6DE23553D4</v>
      </c>
    </row>
    <row r="1660" spans="3:5" ht="45" x14ac:dyDescent="0.25">
      <c r="C1660" s="15">
        <v>413887</v>
      </c>
      <c r="D1660" s="4" t="s">
        <v>1664</v>
      </c>
      <c r="E1660" s="4" t="str">
        <f>HYPERLINK("https://app.crepc.sk/?fn=detailBiblioForm&amp;sid=0666E4DD92649C3D195A7B444D")</f>
        <v>https://app.crepc.sk/?fn=detailBiblioForm&amp;sid=0666E4DD92649C3D195A7B444D</v>
      </c>
    </row>
    <row r="1661" spans="3:5" ht="165" x14ac:dyDescent="0.25">
      <c r="C1661" s="15">
        <v>438329</v>
      </c>
      <c r="D1661" s="4" t="s">
        <v>1665</v>
      </c>
      <c r="E1661" s="4" t="str">
        <f>HYPERLINK("https://app.crepc.sk/?fn=detailBiblioForm&amp;sid=3BE95C725A62C7D4994BF9E8A0")</f>
        <v>https://app.crepc.sk/?fn=detailBiblioForm&amp;sid=3BE95C725A62C7D4994BF9E8A0</v>
      </c>
    </row>
    <row r="1662" spans="3:5" ht="45" x14ac:dyDescent="0.25">
      <c r="C1662" s="15">
        <v>256330</v>
      </c>
      <c r="D1662" s="4" t="s">
        <v>1666</v>
      </c>
      <c r="E1662" s="4" t="str">
        <f>HYPERLINK("https://app.crepc.sk/?fn=detailBiblioForm&amp;sid=53338FE5898FBD3D2F9F6AFB9B")</f>
        <v>https://app.crepc.sk/?fn=detailBiblioForm&amp;sid=53338FE5898FBD3D2F9F6AFB9B</v>
      </c>
    </row>
    <row r="1663" spans="3:5" ht="45" x14ac:dyDescent="0.25">
      <c r="C1663" s="15">
        <v>209427</v>
      </c>
      <c r="D1663" s="4" t="s">
        <v>1667</v>
      </c>
      <c r="E1663" s="4" t="str">
        <f>HYPERLINK("https://app.crepc.sk/?fn=detailBiblioForm&amp;sid=C700BBDD7432265F2B9AB16113")</f>
        <v>https://app.crepc.sk/?fn=detailBiblioForm&amp;sid=C700BBDD7432265F2B9AB16113</v>
      </c>
    </row>
    <row r="1664" spans="3:5" ht="45" x14ac:dyDescent="0.25">
      <c r="C1664" s="15">
        <v>154926</v>
      </c>
      <c r="D1664" s="4" t="s">
        <v>1668</v>
      </c>
      <c r="E1664" s="4" t="str">
        <f>HYPERLINK("https://app.crepc.sk/?fn=detailBiblioForm&amp;sid=8DF0640F98642636B545F6576C")</f>
        <v>https://app.crepc.sk/?fn=detailBiblioForm&amp;sid=8DF0640F98642636B545F6576C</v>
      </c>
    </row>
    <row r="1665" spans="1:5" ht="45" x14ac:dyDescent="0.25">
      <c r="C1665" s="15">
        <v>419107</v>
      </c>
      <c r="D1665" s="4" t="s">
        <v>1669</v>
      </c>
      <c r="E1665" s="4" t="str">
        <f>HYPERLINK("https://app.crepc.sk/?fn=detailBiblioForm&amp;sid=52A70A1BEBCB2B35657B5171DB")</f>
        <v>https://app.crepc.sk/?fn=detailBiblioForm&amp;sid=52A70A1BEBCB2B35657B5171DB</v>
      </c>
    </row>
    <row r="1666" spans="1:5" ht="45" x14ac:dyDescent="0.25">
      <c r="C1666" s="15">
        <v>232598</v>
      </c>
      <c r="D1666" s="4" t="s">
        <v>1670</v>
      </c>
      <c r="E1666" s="4" t="str">
        <f>HYPERLINK("https://app.crepc.sk/?fn=detailBiblioForm&amp;sid=967B4833B26BF8F32FB820819D")</f>
        <v>https://app.crepc.sk/?fn=detailBiblioForm&amp;sid=967B4833B26BF8F32FB820819D</v>
      </c>
    </row>
    <row r="1667" spans="1:5" ht="75" x14ac:dyDescent="0.25">
      <c r="C1667" s="15">
        <v>419109</v>
      </c>
      <c r="D1667" s="4" t="s">
        <v>1671</v>
      </c>
      <c r="E1667" s="4" t="str">
        <f>HYPERLINK("https://app.crepc.sk/?fn=detailBiblioForm&amp;sid=52A70A1BEBCB2B3565755171DB")</f>
        <v>https://app.crepc.sk/?fn=detailBiblioForm&amp;sid=52A70A1BEBCB2B3565755171DB</v>
      </c>
    </row>
    <row r="1668" spans="1:5" ht="30" x14ac:dyDescent="0.25">
      <c r="A1668" s="4" t="s">
        <v>1672</v>
      </c>
      <c r="B1668" s="15">
        <v>158</v>
      </c>
    </row>
    <row r="1669" spans="1:5" ht="45" x14ac:dyDescent="0.25">
      <c r="C1669" s="15">
        <v>304621</v>
      </c>
      <c r="D1669" s="4" t="s">
        <v>1673</v>
      </c>
      <c r="E1669" s="4" t="str">
        <f>HYPERLINK("https://app.crepc.sk/?fn=detailBiblioForm&amp;sid=C9884AA49470EF612AB811B2CB")</f>
        <v>https://app.crepc.sk/?fn=detailBiblioForm&amp;sid=C9884AA49470EF612AB811B2CB</v>
      </c>
    </row>
    <row r="1670" spans="1:5" ht="60" x14ac:dyDescent="0.25">
      <c r="C1670" s="15">
        <v>442262</v>
      </c>
      <c r="D1670" s="4" t="s">
        <v>1674</v>
      </c>
      <c r="E1670" s="4" t="str">
        <f>HYPERLINK("https://app.crepc.sk/?fn=detailBiblioForm&amp;sid=449A78BFE483A8EAFBF549C553")</f>
        <v>https://app.crepc.sk/?fn=detailBiblioForm&amp;sid=449A78BFE483A8EAFBF549C553</v>
      </c>
    </row>
    <row r="1671" spans="1:5" ht="60" x14ac:dyDescent="0.25">
      <c r="C1671" s="15">
        <v>82238</v>
      </c>
      <c r="D1671" s="4" t="s">
        <v>1675</v>
      </c>
      <c r="E1671" s="4" t="str">
        <f>HYPERLINK("https://app.crepc.sk/?fn=detailBiblioForm&amp;sid=F5B4583EEFF27814162F6BE5")</f>
        <v>https://app.crepc.sk/?fn=detailBiblioForm&amp;sid=F5B4583EEFF27814162F6BE5</v>
      </c>
    </row>
    <row r="1672" spans="1:5" ht="45" x14ac:dyDescent="0.25">
      <c r="C1672" s="15">
        <v>311684</v>
      </c>
      <c r="D1672" s="4" t="s">
        <v>1676</v>
      </c>
      <c r="E1672" s="4" t="str">
        <f>HYPERLINK("https://app.crepc.sk/?fn=detailBiblioForm&amp;sid=4F3E6110BFE0574A682C968407")</f>
        <v>https://app.crepc.sk/?fn=detailBiblioForm&amp;sid=4F3E6110BFE0574A682C968407</v>
      </c>
    </row>
    <row r="1673" spans="1:5" ht="45" x14ac:dyDescent="0.25">
      <c r="C1673" s="15">
        <v>452664</v>
      </c>
      <c r="D1673" s="4" t="s">
        <v>1677</v>
      </c>
      <c r="E1673" s="4" t="str">
        <f>HYPERLINK("https://app.crepc.sk/?fn=detailBiblioForm&amp;sid=BFF17292256AB5EFFDCE4A0D1B")</f>
        <v>https://app.crepc.sk/?fn=detailBiblioForm&amp;sid=BFF17292256AB5EFFDCE4A0D1B</v>
      </c>
    </row>
    <row r="1674" spans="1:5" ht="45" x14ac:dyDescent="0.25">
      <c r="C1674" s="15">
        <v>78618</v>
      </c>
      <c r="D1674" s="4" t="s">
        <v>1678</v>
      </c>
      <c r="E1674" s="4" t="str">
        <f>HYPERLINK("https://app.crepc.sk/?fn=detailBiblioForm&amp;sid=B738D0AD8D41EE5270168CBA")</f>
        <v>https://app.crepc.sk/?fn=detailBiblioForm&amp;sid=B738D0AD8D41EE5270168CBA</v>
      </c>
    </row>
    <row r="1675" spans="1:5" ht="60" x14ac:dyDescent="0.25">
      <c r="C1675" s="15">
        <v>201010</v>
      </c>
      <c r="D1675" s="4" t="s">
        <v>1679</v>
      </c>
      <c r="E1675" s="4" t="str">
        <f>HYPERLINK("https://app.crepc.sk/?fn=detailBiblioForm&amp;sid=243046BA5D04E9C171037A43A4")</f>
        <v>https://app.crepc.sk/?fn=detailBiblioForm&amp;sid=243046BA5D04E9C171037A43A4</v>
      </c>
    </row>
    <row r="1676" spans="1:5" ht="75" x14ac:dyDescent="0.25">
      <c r="C1676" s="15">
        <v>53698</v>
      </c>
      <c r="D1676" s="4" t="s">
        <v>1680</v>
      </c>
      <c r="E1676" s="4" t="str">
        <f>HYPERLINK("https://app.crepc.sk/?fn=detailBiblioForm&amp;sid=8541CC7602DFC06600651516")</f>
        <v>https://app.crepc.sk/?fn=detailBiblioForm&amp;sid=8541CC7602DFC06600651516</v>
      </c>
    </row>
    <row r="1677" spans="1:5" ht="45" x14ac:dyDescent="0.25">
      <c r="C1677" s="15">
        <v>255180</v>
      </c>
      <c r="D1677" s="4" t="s">
        <v>1681</v>
      </c>
      <c r="E1677" s="4" t="str">
        <f>HYPERLINK("https://app.crepc.sk/?fn=detailBiblioForm&amp;sid=E6E3E8772486F0B4395100C5AF")</f>
        <v>https://app.crepc.sk/?fn=detailBiblioForm&amp;sid=E6E3E8772486F0B4395100C5AF</v>
      </c>
    </row>
    <row r="1678" spans="1:5" ht="75" x14ac:dyDescent="0.25">
      <c r="C1678" s="15">
        <v>193918</v>
      </c>
      <c r="D1678" s="4" t="s">
        <v>1682</v>
      </c>
      <c r="E1678" s="4" t="str">
        <f>HYPERLINK("https://app.crepc.sk/?fn=detailBiblioForm&amp;sid=6E8414B611B693E1AB470DD94F")</f>
        <v>https://app.crepc.sk/?fn=detailBiblioForm&amp;sid=6E8414B611B693E1AB470DD94F</v>
      </c>
    </row>
    <row r="1679" spans="1:5" ht="45" x14ac:dyDescent="0.25">
      <c r="C1679" s="15">
        <v>120200</v>
      </c>
      <c r="D1679" s="4" t="s">
        <v>1683</v>
      </c>
      <c r="E1679" s="4" t="str">
        <f>HYPERLINK("https://app.crepc.sk/?fn=detailBiblioForm&amp;sid=C31F93A747B848A98CAFFCAE21")</f>
        <v>https://app.crepc.sk/?fn=detailBiblioForm&amp;sid=C31F93A747B848A98CAFFCAE21</v>
      </c>
    </row>
    <row r="1680" spans="1:5" ht="45" x14ac:dyDescent="0.25">
      <c r="C1680" s="15">
        <v>95196</v>
      </c>
      <c r="D1680" s="4" t="s">
        <v>1684</v>
      </c>
      <c r="E1680" s="4" t="str">
        <f>HYPERLINK("https://app.crepc.sk/?fn=detailBiblioForm&amp;sid=F9695B4FB62EB04192F24AC7")</f>
        <v>https://app.crepc.sk/?fn=detailBiblioForm&amp;sid=F9695B4FB62EB04192F24AC7</v>
      </c>
    </row>
    <row r="1681" spans="3:5" ht="60" x14ac:dyDescent="0.25">
      <c r="C1681" s="15">
        <v>445166</v>
      </c>
      <c r="D1681" s="4" t="s">
        <v>1685</v>
      </c>
      <c r="E1681" s="4" t="str">
        <f>HYPERLINK("https://app.crepc.sk/?fn=detailBiblioForm&amp;sid=0899011EB907D11077B4E7DCE6")</f>
        <v>https://app.crepc.sk/?fn=detailBiblioForm&amp;sid=0899011EB907D11077B4E7DCE6</v>
      </c>
    </row>
    <row r="1682" spans="3:5" ht="60" x14ac:dyDescent="0.25">
      <c r="C1682" s="15">
        <v>445180</v>
      </c>
      <c r="D1682" s="4" t="s">
        <v>1686</v>
      </c>
      <c r="E1682" s="4" t="str">
        <f>HYPERLINK("https://app.crepc.sk/?fn=detailBiblioForm&amp;sid=0899011EB907D11079B2E7DCE6")</f>
        <v>https://app.crepc.sk/?fn=detailBiblioForm&amp;sid=0899011EB907D11079B2E7DCE6</v>
      </c>
    </row>
    <row r="1683" spans="3:5" ht="60" x14ac:dyDescent="0.25">
      <c r="C1683" s="15">
        <v>445189</v>
      </c>
      <c r="D1683" s="4" t="s">
        <v>1687</v>
      </c>
      <c r="E1683" s="4" t="str">
        <f>HYPERLINK("https://app.crepc.sk/?fn=detailBiblioForm&amp;sid=0899011EB907D11079BBE7DCE6")</f>
        <v>https://app.crepc.sk/?fn=detailBiblioForm&amp;sid=0899011EB907D11079BBE7DCE6</v>
      </c>
    </row>
    <row r="1684" spans="3:5" ht="45" x14ac:dyDescent="0.25">
      <c r="C1684" s="15">
        <v>223227</v>
      </c>
      <c r="D1684" s="4" t="s">
        <v>1688</v>
      </c>
      <c r="E1684" s="4" t="str">
        <f>HYPERLINK("https://app.crepc.sk/?fn=detailBiblioForm&amp;sid=A560E0A5BF5D2849B8C0E84DBE")</f>
        <v>https://app.crepc.sk/?fn=detailBiblioForm&amp;sid=A560E0A5BF5D2849B8C0E84DBE</v>
      </c>
    </row>
    <row r="1685" spans="3:5" ht="75" x14ac:dyDescent="0.25">
      <c r="C1685" s="15">
        <v>452661</v>
      </c>
      <c r="D1685" s="4" t="s">
        <v>1689</v>
      </c>
      <c r="E1685" s="4" t="str">
        <f>HYPERLINK("https://app.crepc.sk/?fn=detailBiblioForm&amp;sid=BFF17292256AB5EFFDCB4A0D1B")</f>
        <v>https://app.crepc.sk/?fn=detailBiblioForm&amp;sid=BFF17292256AB5EFFDCB4A0D1B</v>
      </c>
    </row>
    <row r="1686" spans="3:5" ht="75" x14ac:dyDescent="0.25">
      <c r="C1686" s="15">
        <v>440787</v>
      </c>
      <c r="D1686" s="4" t="s">
        <v>1690</v>
      </c>
      <c r="E1686" s="4" t="str">
        <f>HYPERLINK("https://app.crepc.sk/?fn=detailBiblioForm&amp;sid=C3C046FDC00D8772C636A536D3")</f>
        <v>https://app.crepc.sk/?fn=detailBiblioForm&amp;sid=C3C046FDC00D8772C636A536D3</v>
      </c>
    </row>
    <row r="1687" spans="3:5" ht="45" x14ac:dyDescent="0.25">
      <c r="C1687" s="15">
        <v>252709</v>
      </c>
      <c r="D1687" s="4" t="s">
        <v>1691</v>
      </c>
      <c r="E1687" s="4" t="str">
        <f>HYPERLINK("https://app.crepc.sk/?fn=detailBiblioForm&amp;sid=4874CCCA7B6B2FFB2D3D9FDFFB")</f>
        <v>https://app.crepc.sk/?fn=detailBiblioForm&amp;sid=4874CCCA7B6B2FFB2D3D9FDFFB</v>
      </c>
    </row>
    <row r="1688" spans="3:5" ht="45" x14ac:dyDescent="0.25">
      <c r="C1688" s="15">
        <v>174325</v>
      </c>
      <c r="D1688" s="4" t="s">
        <v>1692</v>
      </c>
      <c r="E1688" s="4" t="str">
        <f>HYPERLINK("https://app.crepc.sk/?fn=detailBiblioForm&amp;sid=4F55101800366CEF5FF0A9CD0A")</f>
        <v>https://app.crepc.sk/?fn=detailBiblioForm&amp;sid=4F55101800366CEF5FF0A9CD0A</v>
      </c>
    </row>
    <row r="1689" spans="3:5" ht="45" x14ac:dyDescent="0.25">
      <c r="C1689" s="15">
        <v>215409</v>
      </c>
      <c r="D1689" s="4" t="s">
        <v>1693</v>
      </c>
      <c r="E1689" s="4" t="str">
        <f>HYPERLINK("https://app.crepc.sk/?fn=detailBiblioForm&amp;sid=F4218EA09CD1A95748259ECBAC")</f>
        <v>https://app.crepc.sk/?fn=detailBiblioForm&amp;sid=F4218EA09CD1A95748259ECBAC</v>
      </c>
    </row>
    <row r="1690" spans="3:5" ht="45" x14ac:dyDescent="0.25">
      <c r="C1690" s="15">
        <v>431314</v>
      </c>
      <c r="D1690" s="4" t="s">
        <v>1694</v>
      </c>
      <c r="E1690" s="4" t="str">
        <f>HYPERLINK("https://app.crepc.sk/?fn=detailBiblioForm&amp;sid=3B4E0D23E18AC9251E57CCD577")</f>
        <v>https://app.crepc.sk/?fn=detailBiblioForm&amp;sid=3B4E0D23E18AC9251E57CCD577</v>
      </c>
    </row>
    <row r="1691" spans="3:5" ht="45" x14ac:dyDescent="0.25">
      <c r="C1691" s="15">
        <v>211196</v>
      </c>
      <c r="D1691" s="4" t="s">
        <v>1695</v>
      </c>
      <c r="E1691" s="4" t="str">
        <f>HYPERLINK("https://app.crepc.sk/?fn=detailBiblioForm&amp;sid=790410D0BB97568B77DD4DEBFA")</f>
        <v>https://app.crepc.sk/?fn=detailBiblioForm&amp;sid=790410D0BB97568B77DD4DEBFA</v>
      </c>
    </row>
    <row r="1692" spans="3:5" ht="75" x14ac:dyDescent="0.25">
      <c r="C1692" s="15">
        <v>452647</v>
      </c>
      <c r="D1692" s="4" t="s">
        <v>1696</v>
      </c>
      <c r="E1692" s="4" t="str">
        <f>HYPERLINK("https://app.crepc.sk/?fn=detailBiblioForm&amp;sid=BFF17292256AB5EFFFCD4A0D1B")</f>
        <v>https://app.crepc.sk/?fn=detailBiblioForm&amp;sid=BFF17292256AB5EFFFCD4A0D1B</v>
      </c>
    </row>
    <row r="1693" spans="3:5" ht="60" x14ac:dyDescent="0.25">
      <c r="C1693" s="15">
        <v>244277</v>
      </c>
      <c r="D1693" s="4" t="s">
        <v>1697</v>
      </c>
      <c r="E1693" s="4" t="str">
        <f>HYPERLINK("https://app.crepc.sk/?fn=detailBiblioForm&amp;sid=63FF369799133303925C465EA7")</f>
        <v>https://app.crepc.sk/?fn=detailBiblioForm&amp;sid=63FF369799133303925C465EA7</v>
      </c>
    </row>
    <row r="1694" spans="3:5" ht="75" x14ac:dyDescent="0.25">
      <c r="C1694" s="15">
        <v>81789</v>
      </c>
      <c r="D1694" s="4" t="s">
        <v>1698</v>
      </c>
      <c r="E1694" s="4" t="str">
        <f>HYPERLINK("https://app.crepc.sk/?fn=detailBiblioForm&amp;sid=BF9E38252A65DA4C1B27CC7E")</f>
        <v>https://app.crepc.sk/?fn=detailBiblioForm&amp;sid=BF9E38252A65DA4C1B27CC7E</v>
      </c>
    </row>
    <row r="1695" spans="3:5" ht="60" x14ac:dyDescent="0.25">
      <c r="C1695" s="15">
        <v>216285</v>
      </c>
      <c r="D1695" s="4" t="s">
        <v>1699</v>
      </c>
      <c r="E1695" s="4" t="str">
        <f>HYPERLINK("https://app.crepc.sk/?fn=detailBiblioForm&amp;sid=F094E74840BE5AF6276C35B4F5")</f>
        <v>https://app.crepc.sk/?fn=detailBiblioForm&amp;sid=F094E74840BE5AF6276C35B4F5</v>
      </c>
    </row>
    <row r="1696" spans="3:5" ht="45" x14ac:dyDescent="0.25">
      <c r="C1696" s="15">
        <v>161396</v>
      </c>
      <c r="D1696" s="4" t="s">
        <v>1700</v>
      </c>
      <c r="E1696" s="4" t="str">
        <f>HYPERLINK("https://app.crepc.sk/?fn=detailBiblioForm&amp;sid=F8FE310152E9D1F1E1132E57ED")</f>
        <v>https://app.crepc.sk/?fn=detailBiblioForm&amp;sid=F8FE310152E9D1F1E1132E57ED</v>
      </c>
    </row>
    <row r="1697" spans="3:5" ht="45" x14ac:dyDescent="0.25">
      <c r="C1697" s="15">
        <v>442304</v>
      </c>
      <c r="D1697" s="4" t="s">
        <v>1701</v>
      </c>
      <c r="E1697" s="4" t="str">
        <f>HYPERLINK("https://app.crepc.sk/?fn=detailBiblioForm&amp;sid=F661DE2421DD595D54C962841D")</f>
        <v>https://app.crepc.sk/?fn=detailBiblioForm&amp;sid=F661DE2421DD595D54C962841D</v>
      </c>
    </row>
    <row r="1698" spans="3:5" ht="45" x14ac:dyDescent="0.25">
      <c r="C1698" s="15">
        <v>189066</v>
      </c>
      <c r="D1698" s="4" t="s">
        <v>1702</v>
      </c>
      <c r="E1698" s="4" t="str">
        <f>HYPERLINK("https://app.crepc.sk/?fn=detailBiblioForm&amp;sid=74BB039856D7C25D221AE3CE4E")</f>
        <v>https://app.crepc.sk/?fn=detailBiblioForm&amp;sid=74BB039856D7C25D221AE3CE4E</v>
      </c>
    </row>
    <row r="1699" spans="3:5" ht="45" x14ac:dyDescent="0.25">
      <c r="C1699" s="15">
        <v>116482</v>
      </c>
      <c r="D1699" s="4" t="s">
        <v>1703</v>
      </c>
      <c r="E1699" s="4" t="str">
        <f>HYPERLINK("https://app.crepc.sk/?fn=detailBiblioForm&amp;sid=E2F93AEC495D93B32B42774800")</f>
        <v>https://app.crepc.sk/?fn=detailBiblioForm&amp;sid=E2F93AEC495D93B32B42774800</v>
      </c>
    </row>
    <row r="1700" spans="3:5" ht="60" x14ac:dyDescent="0.25">
      <c r="C1700" s="15">
        <v>451935</v>
      </c>
      <c r="D1700" s="4" t="s">
        <v>1704</v>
      </c>
      <c r="E1700" s="4" t="str">
        <f>HYPERLINK("https://app.crepc.sk/?fn=detailBiblioForm&amp;sid=F76E8F1EB347E3E9533F48BC99")</f>
        <v>https://app.crepc.sk/?fn=detailBiblioForm&amp;sid=F76E8F1EB347E3E9533F48BC99</v>
      </c>
    </row>
    <row r="1701" spans="3:5" ht="45" x14ac:dyDescent="0.25">
      <c r="C1701" s="15">
        <v>178307</v>
      </c>
      <c r="D1701" s="4" t="s">
        <v>1705</v>
      </c>
      <c r="E1701" s="4" t="str">
        <f>HYPERLINK("https://app.crepc.sk/?fn=detailBiblioForm&amp;sid=A5BC586C45F5195268E345B98C")</f>
        <v>https://app.crepc.sk/?fn=detailBiblioForm&amp;sid=A5BC586C45F5195268E345B98C</v>
      </c>
    </row>
    <row r="1702" spans="3:5" ht="60" x14ac:dyDescent="0.25">
      <c r="C1702" s="15">
        <v>202225</v>
      </c>
      <c r="D1702" s="4" t="s">
        <v>1706</v>
      </c>
      <c r="E1702" s="4" t="str">
        <f>HYPERLINK("https://app.crepc.sk/?fn=detailBiblioForm&amp;sid=328A0EA2F0FAB7AE866D93E35A")</f>
        <v>https://app.crepc.sk/?fn=detailBiblioForm&amp;sid=328A0EA2F0FAB7AE866D93E35A</v>
      </c>
    </row>
    <row r="1703" spans="3:5" ht="45" x14ac:dyDescent="0.25">
      <c r="C1703" s="15">
        <v>442731</v>
      </c>
      <c r="D1703" s="4" t="s">
        <v>1707</v>
      </c>
      <c r="E1703" s="4" t="str">
        <f>HYPERLINK("https://app.crepc.sk/?fn=detailBiblioForm&amp;sid=11792E3C8BD16047690FC8B6DC")</f>
        <v>https://app.crepc.sk/?fn=detailBiblioForm&amp;sid=11792E3C8BD16047690FC8B6DC</v>
      </c>
    </row>
    <row r="1704" spans="3:5" ht="60" x14ac:dyDescent="0.25">
      <c r="C1704" s="15">
        <v>452671</v>
      </c>
      <c r="D1704" s="4" t="s">
        <v>1708</v>
      </c>
      <c r="E1704" s="4" t="str">
        <f>HYPERLINK("https://app.crepc.sk/?fn=detailBiblioForm&amp;sid=BFF17292256AB5EFFCCB4A0D1B")</f>
        <v>https://app.crepc.sk/?fn=detailBiblioForm&amp;sid=BFF17292256AB5EFFCCB4A0D1B</v>
      </c>
    </row>
    <row r="1705" spans="3:5" ht="45" x14ac:dyDescent="0.25">
      <c r="C1705" s="15">
        <v>234422</v>
      </c>
      <c r="D1705" s="4" t="s">
        <v>1709</v>
      </c>
      <c r="E1705" s="4" t="str">
        <f>HYPERLINK("https://app.crepc.sk/?fn=detailBiblioForm&amp;sid=2B45DDE94BBE08A82AF9F88C29")</f>
        <v>https://app.crepc.sk/?fn=detailBiblioForm&amp;sid=2B45DDE94BBE08A82AF9F88C29</v>
      </c>
    </row>
    <row r="1706" spans="3:5" ht="45" x14ac:dyDescent="0.25">
      <c r="C1706" s="15">
        <v>254154</v>
      </c>
      <c r="D1706" s="4" t="s">
        <v>1710</v>
      </c>
      <c r="E1706" s="4" t="str">
        <f>HYPERLINK("https://app.crepc.sk/?fn=detailBiblioForm&amp;sid=5626D67ABF6ED4EECC645A2CB8")</f>
        <v>https://app.crepc.sk/?fn=detailBiblioForm&amp;sid=5626D67ABF6ED4EECC645A2CB8</v>
      </c>
    </row>
    <row r="1707" spans="3:5" ht="75" x14ac:dyDescent="0.25">
      <c r="C1707" s="15">
        <v>452654</v>
      </c>
      <c r="D1707" s="4" t="s">
        <v>1711</v>
      </c>
      <c r="E1707" s="4" t="str">
        <f>HYPERLINK("https://app.crepc.sk/?fn=detailBiblioForm&amp;sid=BFF17292256AB5EFFECE4A0D1B")</f>
        <v>https://app.crepc.sk/?fn=detailBiblioForm&amp;sid=BFF17292256AB5EFFECE4A0D1B</v>
      </c>
    </row>
    <row r="1708" spans="3:5" ht="60" x14ac:dyDescent="0.25">
      <c r="C1708" s="15">
        <v>117373</v>
      </c>
      <c r="D1708" s="4" t="s">
        <v>1712</v>
      </c>
      <c r="E1708" s="4" t="str">
        <f>HYPERLINK("https://app.crepc.sk/?fn=detailBiblioForm&amp;sid=CCDF67E7FC0AADE0B8B89FDF23")</f>
        <v>https://app.crepc.sk/?fn=detailBiblioForm&amp;sid=CCDF67E7FC0AADE0B8B89FDF23</v>
      </c>
    </row>
    <row r="1709" spans="3:5" ht="45" x14ac:dyDescent="0.25">
      <c r="C1709" s="15">
        <v>142655</v>
      </c>
      <c r="D1709" s="4" t="s">
        <v>1713</v>
      </c>
      <c r="E1709" s="4" t="str">
        <f>HYPERLINK("https://app.crepc.sk/?fn=detailBiblioForm&amp;sid=1080C1D973035A087121EAFF90")</f>
        <v>https://app.crepc.sk/?fn=detailBiblioForm&amp;sid=1080C1D973035A087121EAFF90</v>
      </c>
    </row>
    <row r="1710" spans="3:5" ht="60" x14ac:dyDescent="0.25">
      <c r="C1710" s="15">
        <v>103109</v>
      </c>
      <c r="D1710" s="4" t="s">
        <v>1714</v>
      </c>
      <c r="E1710" s="4" t="str">
        <f>HYPERLINK("https://app.crepc.sk/?fn=detailBiblioForm&amp;sid=1C4C6AA85D9A3B933798B2703D")</f>
        <v>https://app.crepc.sk/?fn=detailBiblioForm&amp;sid=1C4C6AA85D9A3B933798B2703D</v>
      </c>
    </row>
    <row r="1711" spans="3:5" ht="45" x14ac:dyDescent="0.25">
      <c r="C1711" s="15">
        <v>211586</v>
      </c>
      <c r="D1711" s="4" t="s">
        <v>1715</v>
      </c>
      <c r="E1711" s="4" t="str">
        <f>HYPERLINK("https://app.crepc.sk/?fn=detailBiblioForm&amp;sid=D6132714D64CD717DD852C425E")</f>
        <v>https://app.crepc.sk/?fn=detailBiblioForm&amp;sid=D6132714D64CD717DD852C425E</v>
      </c>
    </row>
    <row r="1712" spans="3:5" ht="60" x14ac:dyDescent="0.25">
      <c r="C1712" s="15">
        <v>447792</v>
      </c>
      <c r="D1712" s="4" t="s">
        <v>1716</v>
      </c>
      <c r="E1712" s="4" t="str">
        <f>HYPERLINK("https://app.crepc.sk/?fn=detailBiblioForm&amp;sid=595ACADB193D2D7784B80C776D")</f>
        <v>https://app.crepc.sk/?fn=detailBiblioForm&amp;sid=595ACADB193D2D7784B80C776D</v>
      </c>
    </row>
    <row r="1713" spans="3:5" ht="45" x14ac:dyDescent="0.25">
      <c r="C1713" s="15">
        <v>311428</v>
      </c>
      <c r="D1713" s="4" t="s">
        <v>1717</v>
      </c>
      <c r="E1713" s="4" t="str">
        <f>HYPERLINK("https://app.crepc.sk/?fn=detailBiblioForm&amp;sid=0ECF837769D87CF04A15D0BD57")</f>
        <v>https://app.crepc.sk/?fn=detailBiblioForm&amp;sid=0ECF837769D87CF04A15D0BD57</v>
      </c>
    </row>
    <row r="1714" spans="3:5" ht="60" x14ac:dyDescent="0.25">
      <c r="C1714" s="15">
        <v>444319</v>
      </c>
      <c r="D1714" s="4" t="s">
        <v>1718</v>
      </c>
      <c r="E1714" s="4" t="str">
        <f>HYPERLINK("https://app.crepc.sk/?fn=detailBiblioForm&amp;sid=9843E4A87430F0CA4CA7095120")</f>
        <v>https://app.crepc.sk/?fn=detailBiblioForm&amp;sid=9843E4A87430F0CA4CA7095120</v>
      </c>
    </row>
    <row r="1715" spans="3:5" ht="45" x14ac:dyDescent="0.25">
      <c r="C1715" s="15">
        <v>452667</v>
      </c>
      <c r="D1715" s="4" t="s">
        <v>1719</v>
      </c>
      <c r="E1715" s="4" t="str">
        <f>HYPERLINK("https://app.crepc.sk/?fn=detailBiblioForm&amp;sid=BFF17292256AB5EFFDCD4A0D1B")</f>
        <v>https://app.crepc.sk/?fn=detailBiblioForm&amp;sid=BFF17292256AB5EFFDCD4A0D1B</v>
      </c>
    </row>
    <row r="1716" spans="3:5" ht="60" x14ac:dyDescent="0.25">
      <c r="C1716" s="15">
        <v>431283</v>
      </c>
      <c r="D1716" s="4" t="s">
        <v>1720</v>
      </c>
      <c r="E1716" s="4" t="str">
        <f>HYPERLINK("https://app.crepc.sk/?fn=detailBiblioForm&amp;sid=2EFD0E802C0D5BD5549B41F823")</f>
        <v>https://app.crepc.sk/?fn=detailBiblioForm&amp;sid=2EFD0E802C0D5BD5549B41F823</v>
      </c>
    </row>
    <row r="1717" spans="3:5" ht="60" x14ac:dyDescent="0.25">
      <c r="C1717" s="15">
        <v>227308</v>
      </c>
      <c r="D1717" s="4" t="s">
        <v>1721</v>
      </c>
      <c r="E1717" s="4" t="str">
        <f>HYPERLINK("https://app.crepc.sk/?fn=detailBiblioForm&amp;sid=6CA30878C8FDE196A3140AE199")</f>
        <v>https://app.crepc.sk/?fn=detailBiblioForm&amp;sid=6CA30878C8FDE196A3140AE199</v>
      </c>
    </row>
    <row r="1718" spans="3:5" ht="75" x14ac:dyDescent="0.25">
      <c r="C1718" s="15">
        <v>431301</v>
      </c>
      <c r="D1718" s="4" t="s">
        <v>1722</v>
      </c>
      <c r="E1718" s="4" t="str">
        <f>HYPERLINK("https://app.crepc.sk/?fn=detailBiblioForm&amp;sid=3B4E0D23E18AC9251F52CCD577")</f>
        <v>https://app.crepc.sk/?fn=detailBiblioForm&amp;sid=3B4E0D23E18AC9251F52CCD577</v>
      </c>
    </row>
    <row r="1719" spans="3:5" ht="75" x14ac:dyDescent="0.25">
      <c r="C1719" s="15">
        <v>183866</v>
      </c>
      <c r="D1719" s="4" t="s">
        <v>1723</v>
      </c>
      <c r="E1719" s="4" t="str">
        <f>HYPERLINK("https://app.crepc.sk/?fn=detailBiblioForm&amp;sid=E9A819C3F6DCFD1BCCC2B8F136")</f>
        <v>https://app.crepc.sk/?fn=detailBiblioForm&amp;sid=E9A819C3F6DCFD1BCCC2B8F136</v>
      </c>
    </row>
    <row r="1720" spans="3:5" ht="45" x14ac:dyDescent="0.25">
      <c r="C1720" s="15">
        <v>142657</v>
      </c>
      <c r="D1720" s="4" t="s">
        <v>1724</v>
      </c>
      <c r="E1720" s="4" t="str">
        <f>HYPERLINK("https://app.crepc.sk/?fn=detailBiblioForm&amp;sid=1080C1D973035A087123EAFF90")</f>
        <v>https://app.crepc.sk/?fn=detailBiblioForm&amp;sid=1080C1D973035A087123EAFF90</v>
      </c>
    </row>
    <row r="1721" spans="3:5" ht="45" x14ac:dyDescent="0.25">
      <c r="C1721" s="15">
        <v>94839</v>
      </c>
      <c r="D1721" s="4" t="s">
        <v>1725</v>
      </c>
      <c r="E1721" s="4" t="str">
        <f>HYPERLINK("https://app.crepc.sk/?fn=detailBiblioForm&amp;sid=2EF945936802C2EF9C9805C5")</f>
        <v>https://app.crepc.sk/?fn=detailBiblioForm&amp;sid=2EF945936802C2EF9C9805C5</v>
      </c>
    </row>
    <row r="1722" spans="3:5" ht="45" x14ac:dyDescent="0.25">
      <c r="C1722" s="15">
        <v>94841</v>
      </c>
      <c r="D1722" s="4" t="s">
        <v>1726</v>
      </c>
      <c r="E1722" s="4" t="str">
        <f>HYPERLINK("https://app.crepc.sk/?fn=detailBiblioForm&amp;sid=6DA891449A1D1E299D5F48CE")</f>
        <v>https://app.crepc.sk/?fn=detailBiblioForm&amp;sid=6DA891449A1D1E299D5F48CE</v>
      </c>
    </row>
    <row r="1723" spans="3:5" ht="45" x14ac:dyDescent="0.25">
      <c r="C1723" s="15">
        <v>193205</v>
      </c>
      <c r="D1723" s="4" t="s">
        <v>1727</v>
      </c>
      <c r="E1723" s="4" t="str">
        <f>HYPERLINK("https://app.crepc.sk/?fn=detailBiblioForm&amp;sid=C548C0F9FD696643FEB3CC8CCF")</f>
        <v>https://app.crepc.sk/?fn=detailBiblioForm&amp;sid=C548C0F9FD696643FEB3CC8CCF</v>
      </c>
    </row>
    <row r="1724" spans="3:5" ht="45" x14ac:dyDescent="0.25">
      <c r="C1724" s="15">
        <v>237750</v>
      </c>
      <c r="D1724" s="4" t="s">
        <v>1728</v>
      </c>
      <c r="E1724" s="4" t="str">
        <f>HYPERLINK("https://app.crepc.sk/?fn=detailBiblioForm&amp;sid=4C6BDB30C4C7A00C8C6C5ECA8F")</f>
        <v>https://app.crepc.sk/?fn=detailBiblioForm&amp;sid=4C6BDB30C4C7A00C8C6C5ECA8F</v>
      </c>
    </row>
    <row r="1725" spans="3:5" ht="60" x14ac:dyDescent="0.25">
      <c r="C1725" s="15">
        <v>53831</v>
      </c>
      <c r="D1725" s="4" t="s">
        <v>1729</v>
      </c>
      <c r="E1725" s="4" t="str">
        <f>HYPERLINK("https://app.crepc.sk/?fn=detailBiblioForm&amp;sid=0036857B98EF7E34DD8ED50D")</f>
        <v>https://app.crepc.sk/?fn=detailBiblioForm&amp;sid=0036857B98EF7E34DD8ED50D</v>
      </c>
    </row>
    <row r="1726" spans="3:5" ht="60" x14ac:dyDescent="0.25">
      <c r="C1726" s="15">
        <v>449012</v>
      </c>
      <c r="D1726" s="4" t="s">
        <v>1730</v>
      </c>
      <c r="E1726" s="4" t="str">
        <f>HYPERLINK("https://app.crepc.sk/?fn=detailBiblioForm&amp;sid=8796AA341A39601706444C0AA2")</f>
        <v>https://app.crepc.sk/?fn=detailBiblioForm&amp;sid=8796AA341A39601706444C0AA2</v>
      </c>
    </row>
    <row r="1727" spans="3:5" ht="45" x14ac:dyDescent="0.25">
      <c r="C1727" s="15">
        <v>142267</v>
      </c>
      <c r="D1727" s="4" t="s">
        <v>1731</v>
      </c>
      <c r="E1727" s="4" t="str">
        <f>HYPERLINK("https://app.crepc.sk/?fn=detailBiblioForm&amp;sid=1C7524EE209F6A36FDFCFC51B3")</f>
        <v>https://app.crepc.sk/?fn=detailBiblioForm&amp;sid=1C7524EE209F6A36FDFCFC51B3</v>
      </c>
    </row>
    <row r="1728" spans="3:5" ht="75" x14ac:dyDescent="0.25">
      <c r="C1728" s="15">
        <v>161398</v>
      </c>
      <c r="D1728" s="4" t="s">
        <v>1732</v>
      </c>
      <c r="E1728" s="4" t="str">
        <f>HYPERLINK("https://app.crepc.sk/?fn=detailBiblioForm&amp;sid=F8FE310152E9D1F1E11D2E57ED")</f>
        <v>https://app.crepc.sk/?fn=detailBiblioForm&amp;sid=F8FE310152E9D1F1E11D2E57ED</v>
      </c>
    </row>
    <row r="1729" spans="3:5" ht="60" x14ac:dyDescent="0.25">
      <c r="C1729" s="15">
        <v>222117</v>
      </c>
      <c r="D1729" s="4" t="s">
        <v>1733</v>
      </c>
      <c r="E1729" s="4" t="str">
        <f>HYPERLINK("https://app.crepc.sk/?fn=detailBiblioForm&amp;sid=E8E9ABE8FCE661A05A9D06B5A6")</f>
        <v>https://app.crepc.sk/?fn=detailBiblioForm&amp;sid=E8E9ABE8FCE661A05A9D06B5A6</v>
      </c>
    </row>
    <row r="1730" spans="3:5" ht="60" x14ac:dyDescent="0.25">
      <c r="C1730" s="15">
        <v>448669</v>
      </c>
      <c r="D1730" s="4" t="s">
        <v>1734</v>
      </c>
      <c r="E1730" s="4" t="str">
        <f>HYPERLINK("https://app.crepc.sk/?fn=detailBiblioForm&amp;sid=138BCDA9E29FCAB39D89710CCB")</f>
        <v>https://app.crepc.sk/?fn=detailBiblioForm&amp;sid=138BCDA9E29FCAB39D89710CCB</v>
      </c>
    </row>
    <row r="1731" spans="3:5" ht="60" x14ac:dyDescent="0.25">
      <c r="C1731" s="15">
        <v>205685</v>
      </c>
      <c r="D1731" s="4" t="s">
        <v>1735</v>
      </c>
      <c r="E1731" s="4" t="str">
        <f>HYPERLINK("https://app.crepc.sk/?fn=detailBiblioForm&amp;sid=8AEF86397ABC7DED8E2ED94C37")</f>
        <v>https://app.crepc.sk/?fn=detailBiblioForm&amp;sid=8AEF86397ABC7DED8E2ED94C37</v>
      </c>
    </row>
    <row r="1732" spans="3:5" ht="45" x14ac:dyDescent="0.25">
      <c r="C1732" s="15">
        <v>310005</v>
      </c>
      <c r="D1732" s="4" t="s">
        <v>1736</v>
      </c>
      <c r="E1732" s="4" t="str">
        <f>HYPERLINK("https://app.crepc.sk/?fn=detailBiblioForm&amp;sid=F566C6E0CB47072BFCEB22F69C")</f>
        <v>https://app.crepc.sk/?fn=detailBiblioForm&amp;sid=F566C6E0CB47072BFCEB22F69C</v>
      </c>
    </row>
    <row r="1733" spans="3:5" ht="45" x14ac:dyDescent="0.25">
      <c r="C1733" s="15">
        <v>95183</v>
      </c>
      <c r="D1733" s="4" t="s">
        <v>1737</v>
      </c>
      <c r="E1733" s="4" t="str">
        <f>HYPERLINK("https://app.crepc.sk/?fn=detailBiblioForm&amp;sid=E7EEC65E89E6CED52A8F6338")</f>
        <v>https://app.crepc.sk/?fn=detailBiblioForm&amp;sid=E7EEC65E89E6CED52A8F6338</v>
      </c>
    </row>
    <row r="1734" spans="3:5" ht="45" x14ac:dyDescent="0.25">
      <c r="C1734" s="15">
        <v>210987</v>
      </c>
      <c r="D1734" s="4" t="s">
        <v>1738</v>
      </c>
      <c r="E1734" s="4" t="str">
        <f>HYPERLINK("https://app.crepc.sk/?fn=detailBiblioForm&amp;sid=8E8B9FDD7AFEE75C13480D5756")</f>
        <v>https://app.crepc.sk/?fn=detailBiblioForm&amp;sid=8E8B9FDD7AFEE75C13480D5756</v>
      </c>
    </row>
    <row r="1735" spans="3:5" ht="45" x14ac:dyDescent="0.25">
      <c r="C1735" s="15">
        <v>147521</v>
      </c>
      <c r="D1735" s="4" t="s">
        <v>1739</v>
      </c>
      <c r="E1735" s="4" t="str">
        <f>HYPERLINK("https://app.crepc.sk/?fn=detailBiblioForm&amp;sid=427371B0090519B80643BF379E")</f>
        <v>https://app.crepc.sk/?fn=detailBiblioForm&amp;sid=427371B0090519B80643BF379E</v>
      </c>
    </row>
    <row r="1736" spans="3:5" ht="45" x14ac:dyDescent="0.25">
      <c r="C1736" s="15">
        <v>241257</v>
      </c>
      <c r="D1736" s="4" t="s">
        <v>1740</v>
      </c>
      <c r="E1736" s="4" t="str">
        <f>HYPERLINK("https://app.crepc.sk/?fn=detailBiblioForm&amp;sid=219D60F26EF95CE10D532B998E")</f>
        <v>https://app.crepc.sk/?fn=detailBiblioForm&amp;sid=219D60F26EF95CE10D532B998E</v>
      </c>
    </row>
    <row r="1737" spans="3:5" ht="60" x14ac:dyDescent="0.25">
      <c r="C1737" s="15">
        <v>219757</v>
      </c>
      <c r="D1737" s="4" t="s">
        <v>1741</v>
      </c>
      <c r="E1737" s="4" t="str">
        <f>HYPERLINK("https://app.crepc.sk/?fn=detailBiblioForm&amp;sid=8507D8D83F66E08A1B28D1D393")</f>
        <v>https://app.crepc.sk/?fn=detailBiblioForm&amp;sid=8507D8D83F66E08A1B28D1D393</v>
      </c>
    </row>
    <row r="1738" spans="3:5" ht="45" x14ac:dyDescent="0.25">
      <c r="C1738" s="15">
        <v>438592</v>
      </c>
      <c r="D1738" s="4" t="s">
        <v>1742</v>
      </c>
      <c r="E1738" s="4" t="str">
        <f>HYPERLINK("https://app.crepc.sk/?fn=detailBiblioForm&amp;sid=A8368C59A2CFCB618718928036")</f>
        <v>https://app.crepc.sk/?fn=detailBiblioForm&amp;sid=A8368C59A2CFCB618718928036</v>
      </c>
    </row>
    <row r="1739" spans="3:5" ht="60" x14ac:dyDescent="0.25">
      <c r="C1739" s="15">
        <v>432869</v>
      </c>
      <c r="D1739" s="4" t="s">
        <v>1743</v>
      </c>
      <c r="E1739" s="4" t="str">
        <f>HYPERLINK("https://app.crepc.sk/?fn=detailBiblioForm&amp;sid=60947673AC094B86B6635A089E")</f>
        <v>https://app.crepc.sk/?fn=detailBiblioForm&amp;sid=60947673AC094B86B6635A089E</v>
      </c>
    </row>
    <row r="1740" spans="3:5" ht="60" x14ac:dyDescent="0.25">
      <c r="C1740" s="15">
        <v>245389</v>
      </c>
      <c r="D1740" s="4" t="s">
        <v>1744</v>
      </c>
      <c r="E1740" s="4" t="str">
        <f>HYPERLINK("https://app.crepc.sk/?fn=detailBiblioForm&amp;sid=9DE3930058222689BEA82F2705")</f>
        <v>https://app.crepc.sk/?fn=detailBiblioForm&amp;sid=9DE3930058222689BEA82F2705</v>
      </c>
    </row>
    <row r="1741" spans="3:5" ht="90" x14ac:dyDescent="0.25">
      <c r="C1741" s="15">
        <v>104536</v>
      </c>
      <c r="D1741" s="4" t="s">
        <v>1745</v>
      </c>
      <c r="E1741" s="4" t="str">
        <f>HYPERLINK("https://app.crepc.sk/?fn=detailBiblioForm&amp;sid=1034D9D9B92D6FAB5D49B9544F")</f>
        <v>https://app.crepc.sk/?fn=detailBiblioForm&amp;sid=1034D9D9B92D6FAB5D49B9544F</v>
      </c>
    </row>
    <row r="1742" spans="3:5" ht="60" x14ac:dyDescent="0.25">
      <c r="C1742" s="15">
        <v>252596</v>
      </c>
      <c r="D1742" s="4" t="s">
        <v>1746</v>
      </c>
      <c r="E1742" s="4" t="str">
        <f>HYPERLINK("https://app.crepc.sk/?fn=detailBiblioForm&amp;sid=D144555F7358493BD0E826A272")</f>
        <v>https://app.crepc.sk/?fn=detailBiblioForm&amp;sid=D144555F7358493BD0E826A272</v>
      </c>
    </row>
    <row r="1743" spans="3:5" ht="45" x14ac:dyDescent="0.25">
      <c r="C1743" s="15">
        <v>422915</v>
      </c>
      <c r="D1743" s="4" t="s">
        <v>1747</v>
      </c>
      <c r="E1743" s="4" t="str">
        <f>HYPERLINK("https://app.crepc.sk/?fn=detailBiblioForm&amp;sid=06BDEE786403202B863312919B")</f>
        <v>https://app.crepc.sk/?fn=detailBiblioForm&amp;sid=06BDEE786403202B863312919B</v>
      </c>
    </row>
    <row r="1744" spans="3:5" ht="45" x14ac:dyDescent="0.25">
      <c r="C1744" s="15">
        <v>70289</v>
      </c>
      <c r="D1744" s="4" t="s">
        <v>1748</v>
      </c>
      <c r="E1744" s="4" t="str">
        <f>HYPERLINK("https://app.crepc.sk/?fn=detailBiblioForm&amp;sid=47F988B88C2A1FDE17A3CD03")</f>
        <v>https://app.crepc.sk/?fn=detailBiblioForm&amp;sid=47F988B88C2A1FDE17A3CD03</v>
      </c>
    </row>
    <row r="1745" spans="3:5" ht="60" x14ac:dyDescent="0.25">
      <c r="C1745" s="15">
        <v>117474</v>
      </c>
      <c r="D1745" s="4" t="s">
        <v>1749</v>
      </c>
      <c r="E1745" s="4" t="str">
        <f>HYPERLINK("https://app.crepc.sk/?fn=detailBiblioForm&amp;sid=43C9917007CDA3B7D4586DB67E")</f>
        <v>https://app.crepc.sk/?fn=detailBiblioForm&amp;sid=43C9917007CDA3B7D4586DB67E</v>
      </c>
    </row>
    <row r="1746" spans="3:5" ht="45" x14ac:dyDescent="0.25">
      <c r="C1746" s="15">
        <v>95193</v>
      </c>
      <c r="D1746" s="4" t="s">
        <v>1750</v>
      </c>
      <c r="E1746" s="4" t="str">
        <f>HYPERLINK("https://app.crepc.sk/?fn=detailBiblioForm&amp;sid=F9695B4FB62EB04197F24AC7")</f>
        <v>https://app.crepc.sk/?fn=detailBiblioForm&amp;sid=F9695B4FB62EB04197F24AC7</v>
      </c>
    </row>
    <row r="1747" spans="3:5" ht="45" x14ac:dyDescent="0.25">
      <c r="C1747" s="15">
        <v>153771</v>
      </c>
      <c r="D1747" s="4" t="s">
        <v>1751</v>
      </c>
      <c r="E1747" s="4" t="str">
        <f>HYPERLINK("https://app.crepc.sk/?fn=detailBiblioForm&amp;sid=85D30AFD358849054C9CD2583A")</f>
        <v>https://app.crepc.sk/?fn=detailBiblioForm&amp;sid=85D30AFD358849054C9CD2583A</v>
      </c>
    </row>
    <row r="1748" spans="3:5" ht="60" x14ac:dyDescent="0.25">
      <c r="C1748" s="15">
        <v>211456</v>
      </c>
      <c r="D1748" s="4" t="s">
        <v>1752</v>
      </c>
      <c r="E1748" s="4" t="str">
        <f>HYPERLINK("https://app.crepc.sk/?fn=detailBiblioForm&amp;sid=E68DA448349DA48E373EAC5BDB")</f>
        <v>https://app.crepc.sk/?fn=detailBiblioForm&amp;sid=E68DA448349DA48E373EAC5BDB</v>
      </c>
    </row>
    <row r="1749" spans="3:5" ht="60" x14ac:dyDescent="0.25">
      <c r="C1749" s="15">
        <v>51338</v>
      </c>
      <c r="D1749" s="4" t="s">
        <v>1753</v>
      </c>
      <c r="E1749" s="4" t="str">
        <f>HYPERLINK("https://app.crepc.sk/?fn=detailBiblioForm&amp;sid=43BA689D9CE9A3FDB171F8B7")</f>
        <v>https://app.crepc.sk/?fn=detailBiblioForm&amp;sid=43BA689D9CE9A3FDB171F8B7</v>
      </c>
    </row>
    <row r="1750" spans="3:5" ht="45" x14ac:dyDescent="0.25">
      <c r="C1750" s="15">
        <v>182756</v>
      </c>
      <c r="D1750" s="4" t="s">
        <v>1754</v>
      </c>
      <c r="E1750" s="4" t="str">
        <f>HYPERLINK("https://app.crepc.sk/?fn=detailBiblioForm&amp;sid=C1EFC3B1039AA8EF92EC97B9B5")</f>
        <v>https://app.crepc.sk/?fn=detailBiblioForm&amp;sid=C1EFC3B1039AA8EF92EC97B9B5</v>
      </c>
    </row>
    <row r="1751" spans="3:5" ht="45" x14ac:dyDescent="0.25">
      <c r="C1751" s="15">
        <v>95187</v>
      </c>
      <c r="D1751" s="4" t="s">
        <v>1755</v>
      </c>
      <c r="E1751" s="4" t="str">
        <f>HYPERLINK("https://app.crepc.sk/?fn=detailBiblioForm&amp;sid=E7EEC65E89E6CED52E8F6338")</f>
        <v>https://app.crepc.sk/?fn=detailBiblioForm&amp;sid=E7EEC65E89E6CED52E8F6338</v>
      </c>
    </row>
    <row r="1752" spans="3:5" ht="60" x14ac:dyDescent="0.25">
      <c r="C1752" s="15">
        <v>207575</v>
      </c>
      <c r="D1752" s="4" t="s">
        <v>1756</v>
      </c>
      <c r="E1752" s="4" t="str">
        <f>HYPERLINK("https://app.crepc.sk/?fn=detailBiblioForm&amp;sid=D6FCED7F84B4E5B712DB874076")</f>
        <v>https://app.crepc.sk/?fn=detailBiblioForm&amp;sid=D6FCED7F84B4E5B712DB874076</v>
      </c>
    </row>
    <row r="1753" spans="3:5" ht="60" x14ac:dyDescent="0.25">
      <c r="C1753" s="15">
        <v>424954</v>
      </c>
      <c r="D1753" s="4" t="s">
        <v>1757</v>
      </c>
      <c r="E1753" s="4" t="str">
        <f>HYPERLINK("https://app.crepc.sk/?fn=detailBiblioForm&amp;sid=7789A5EFF79401FA6A93E79E56")</f>
        <v>https://app.crepc.sk/?fn=detailBiblioForm&amp;sid=7789A5EFF79401FA6A93E79E56</v>
      </c>
    </row>
    <row r="1754" spans="3:5" ht="75" x14ac:dyDescent="0.25">
      <c r="C1754" s="15">
        <v>222407</v>
      </c>
      <c r="D1754" s="4" t="s">
        <v>1758</v>
      </c>
      <c r="E1754" s="4" t="str">
        <f>HYPERLINK("https://app.crepc.sk/?fn=detailBiblioForm&amp;sid=57287C6E520C6E73833E568321")</f>
        <v>https://app.crepc.sk/?fn=detailBiblioForm&amp;sid=57287C6E520C6E73833E568321</v>
      </c>
    </row>
    <row r="1755" spans="3:5" ht="75" x14ac:dyDescent="0.25">
      <c r="C1755" s="15">
        <v>436042</v>
      </c>
      <c r="D1755" s="4" t="s">
        <v>1759</v>
      </c>
      <c r="E1755" s="4" t="str">
        <f>HYPERLINK("https://app.crepc.sk/?fn=detailBiblioForm&amp;sid=0D8840D8555AF42F40806A8F01")</f>
        <v>https://app.crepc.sk/?fn=detailBiblioForm&amp;sid=0D8840D8555AF42F40806A8F01</v>
      </c>
    </row>
    <row r="1756" spans="3:5" ht="45" x14ac:dyDescent="0.25">
      <c r="C1756" s="15">
        <v>145219</v>
      </c>
      <c r="D1756" s="4" t="s">
        <v>1760</v>
      </c>
      <c r="E1756" s="4" t="str">
        <f>HYPERLINK("https://app.crepc.sk/?fn=detailBiblioForm&amp;sid=92F98CEFD52BF35240C0C1FECC")</f>
        <v>https://app.crepc.sk/?fn=detailBiblioForm&amp;sid=92F98CEFD52BF35240C0C1FECC</v>
      </c>
    </row>
    <row r="1757" spans="3:5" ht="60" x14ac:dyDescent="0.25">
      <c r="C1757" s="15">
        <v>179682</v>
      </c>
      <c r="D1757" s="4" t="s">
        <v>1761</v>
      </c>
      <c r="E1757" s="4" t="str">
        <f>HYPERLINK("https://app.crepc.sk/?fn=detailBiblioForm&amp;sid=E800E35B75A4A8F93F0A2F3FB2")</f>
        <v>https://app.crepc.sk/?fn=detailBiblioForm&amp;sid=E800E35B75A4A8F93F0A2F3FB2</v>
      </c>
    </row>
    <row r="1758" spans="3:5" ht="60" x14ac:dyDescent="0.25">
      <c r="C1758" s="15">
        <v>447798</v>
      </c>
      <c r="D1758" s="4" t="s">
        <v>1762</v>
      </c>
      <c r="E1758" s="4" t="str">
        <f>HYPERLINK("https://app.crepc.sk/?fn=detailBiblioForm&amp;sid=595ACADB193D2D7784B20C776D")</f>
        <v>https://app.crepc.sk/?fn=detailBiblioForm&amp;sid=595ACADB193D2D7784B20C776D</v>
      </c>
    </row>
    <row r="1759" spans="3:5" ht="45" x14ac:dyDescent="0.25">
      <c r="C1759" s="15">
        <v>425902</v>
      </c>
      <c r="D1759" s="4" t="s">
        <v>1763</v>
      </c>
      <c r="E1759" s="4" t="str">
        <f>HYPERLINK("https://app.crepc.sk/?fn=detailBiblioForm&amp;sid=42EF06429873272B31E4990B8C")</f>
        <v>https://app.crepc.sk/?fn=detailBiblioForm&amp;sid=42EF06429873272B31E4990B8C</v>
      </c>
    </row>
    <row r="1760" spans="3:5" ht="45" x14ac:dyDescent="0.25">
      <c r="C1760" s="15">
        <v>208434</v>
      </c>
      <c r="D1760" s="4" t="s">
        <v>1764</v>
      </c>
      <c r="E1760" s="4" t="str">
        <f>HYPERLINK("https://app.crepc.sk/?fn=detailBiblioForm&amp;sid=06468F3D52562AA21BF089857D")</f>
        <v>https://app.crepc.sk/?fn=detailBiblioForm&amp;sid=06468F3D52562AA21BF089857D</v>
      </c>
    </row>
    <row r="1761" spans="3:5" ht="75" x14ac:dyDescent="0.25">
      <c r="C1761" s="15">
        <v>431307</v>
      </c>
      <c r="D1761" s="4" t="s">
        <v>1765</v>
      </c>
      <c r="E1761" s="4" t="str">
        <f>HYPERLINK("https://app.crepc.sk/?fn=detailBiblioForm&amp;sid=3B4E0D23E18AC9251F54CCD577")</f>
        <v>https://app.crepc.sk/?fn=detailBiblioForm&amp;sid=3B4E0D23E18AC9251F54CCD577</v>
      </c>
    </row>
    <row r="1762" spans="3:5" ht="45" x14ac:dyDescent="0.25">
      <c r="C1762" s="15">
        <v>86865</v>
      </c>
      <c r="D1762" s="4" t="s">
        <v>1766</v>
      </c>
      <c r="E1762" s="4" t="str">
        <f>HYPERLINK("https://app.crepc.sk/?fn=detailBiblioForm&amp;sid=EF896F5CAA621E5983881BD5")</f>
        <v>https://app.crepc.sk/?fn=detailBiblioForm&amp;sid=EF896F5CAA621E5983881BD5</v>
      </c>
    </row>
    <row r="1763" spans="3:5" ht="45" x14ac:dyDescent="0.25">
      <c r="C1763" s="15">
        <v>449277</v>
      </c>
      <c r="D1763" s="4" t="s">
        <v>1767</v>
      </c>
      <c r="E1763" s="4" t="str">
        <f>HYPERLINK("https://app.crepc.sk/?fn=detailBiblioForm&amp;sid=5C45D95CD20878643CB90C2A32")</f>
        <v>https://app.crepc.sk/?fn=detailBiblioForm&amp;sid=5C45D95CD20878643CB90C2A32</v>
      </c>
    </row>
    <row r="1764" spans="3:5" ht="45" x14ac:dyDescent="0.25">
      <c r="C1764" s="15">
        <v>144761</v>
      </c>
      <c r="D1764" s="4" t="s">
        <v>1768</v>
      </c>
      <c r="E1764" s="4" t="str">
        <f>HYPERLINK("https://app.crepc.sk/?fn=detailBiblioForm&amp;sid=E5D8B2AA72393605BC1DD711C3")</f>
        <v>https://app.crepc.sk/?fn=detailBiblioForm&amp;sid=E5D8B2AA72393605BC1DD711C3</v>
      </c>
    </row>
    <row r="1765" spans="3:5" ht="60" x14ac:dyDescent="0.25">
      <c r="C1765" s="15">
        <v>452677</v>
      </c>
      <c r="D1765" s="4" t="s">
        <v>1769</v>
      </c>
      <c r="E1765" s="4" t="str">
        <f>HYPERLINK("https://app.crepc.sk/?fn=detailBiblioForm&amp;sid=BFF17292256AB5EFFCCD4A0D1B")</f>
        <v>https://app.crepc.sk/?fn=detailBiblioForm&amp;sid=BFF17292256AB5EFFCCD4A0D1B</v>
      </c>
    </row>
    <row r="1766" spans="3:5" ht="45" x14ac:dyDescent="0.25">
      <c r="C1766" s="15">
        <v>226303</v>
      </c>
      <c r="D1766" s="4" t="s">
        <v>1770</v>
      </c>
      <c r="E1766" s="4" t="str">
        <f>HYPERLINK("https://app.crepc.sk/?fn=detailBiblioForm&amp;sid=C41BF80AB1B114D6B06D142BFB")</f>
        <v>https://app.crepc.sk/?fn=detailBiblioForm&amp;sid=C41BF80AB1B114D6B06D142BFB</v>
      </c>
    </row>
    <row r="1767" spans="3:5" ht="60" x14ac:dyDescent="0.25">
      <c r="C1767" s="15">
        <v>208241</v>
      </c>
      <c r="D1767" s="4" t="s">
        <v>1771</v>
      </c>
      <c r="E1767" s="4" t="str">
        <f>HYPERLINK("https://app.crepc.sk/?fn=detailBiblioForm&amp;sid=9AB3B7EDD72446F7CD44C323B2")</f>
        <v>https://app.crepc.sk/?fn=detailBiblioForm&amp;sid=9AB3B7EDD72446F7CD44C323B2</v>
      </c>
    </row>
    <row r="1768" spans="3:5" ht="60" x14ac:dyDescent="0.25">
      <c r="C1768" s="15">
        <v>211455</v>
      </c>
      <c r="D1768" s="4" t="s">
        <v>1772</v>
      </c>
      <c r="E1768" s="4" t="str">
        <f>HYPERLINK("https://app.crepc.sk/?fn=detailBiblioForm&amp;sid=E68DA448349DA48E373DAC5BDB")</f>
        <v>https://app.crepc.sk/?fn=detailBiblioForm&amp;sid=E68DA448349DA48E373DAC5BDB</v>
      </c>
    </row>
    <row r="1769" spans="3:5" ht="45" x14ac:dyDescent="0.25">
      <c r="C1769" s="15">
        <v>51292</v>
      </c>
      <c r="D1769" s="4" t="s">
        <v>1773</v>
      </c>
      <c r="E1769" s="4" t="str">
        <f>HYPERLINK("https://app.crepc.sk/?fn=detailBiblioForm&amp;sid=957010A5889D7A5A642EA569")</f>
        <v>https://app.crepc.sk/?fn=detailBiblioForm&amp;sid=957010A5889D7A5A642EA569</v>
      </c>
    </row>
    <row r="1770" spans="3:5" ht="60" x14ac:dyDescent="0.25">
      <c r="C1770" s="15">
        <v>445205</v>
      </c>
      <c r="D1770" s="4" t="s">
        <v>1774</v>
      </c>
      <c r="E1770" s="4" t="str">
        <f>HYPERLINK("https://app.crepc.sk/?fn=detailBiblioForm&amp;sid=87E26BDA1F34FFA6555646AB7E")</f>
        <v>https://app.crepc.sk/?fn=detailBiblioForm&amp;sid=87E26BDA1F34FFA6555646AB7E</v>
      </c>
    </row>
    <row r="1771" spans="3:5" ht="60" x14ac:dyDescent="0.25">
      <c r="C1771" s="15">
        <v>431291</v>
      </c>
      <c r="D1771" s="4" t="s">
        <v>1775</v>
      </c>
      <c r="E1771" s="4" t="str">
        <f>HYPERLINK("https://app.crepc.sk/?fn=detailBiblioForm&amp;sid=2EFD0E802C0D5BD5559941F823")</f>
        <v>https://app.crepc.sk/?fn=detailBiblioForm&amp;sid=2EFD0E802C0D5BD5559941F823</v>
      </c>
    </row>
    <row r="1772" spans="3:5" ht="60" x14ac:dyDescent="0.25">
      <c r="C1772" s="15">
        <v>445174</v>
      </c>
      <c r="D1772" s="4" t="s">
        <v>1776</v>
      </c>
      <c r="E1772" s="4" t="str">
        <f>HYPERLINK("https://app.crepc.sk/?fn=detailBiblioForm&amp;sid=0899011EB907D11076B6E7DCE6")</f>
        <v>https://app.crepc.sk/?fn=detailBiblioForm&amp;sid=0899011EB907D11076B6E7DCE6</v>
      </c>
    </row>
    <row r="1773" spans="3:5" ht="45" x14ac:dyDescent="0.25">
      <c r="C1773" s="15">
        <v>448072</v>
      </c>
      <c r="D1773" s="4" t="s">
        <v>1777</v>
      </c>
      <c r="E1773" s="4" t="str">
        <f>HYPERLINK("https://app.crepc.sk/?fn=detailBiblioForm&amp;sid=C456FEA07AAA4EFBD3EA4E7345")</f>
        <v>https://app.crepc.sk/?fn=detailBiblioForm&amp;sid=C456FEA07AAA4EFBD3EA4E7345</v>
      </c>
    </row>
    <row r="1774" spans="3:5" ht="45" x14ac:dyDescent="0.25">
      <c r="C1774" s="15">
        <v>210133</v>
      </c>
      <c r="D1774" s="4" t="s">
        <v>1778</v>
      </c>
      <c r="E1774" s="4" t="str">
        <f>HYPERLINK("https://app.crepc.sk/?fn=detailBiblioForm&amp;sid=5DB4E0B08DFCD5196547B528AC")</f>
        <v>https://app.crepc.sk/?fn=detailBiblioForm&amp;sid=5DB4E0B08DFCD5196547B528AC</v>
      </c>
    </row>
    <row r="1775" spans="3:5" ht="45" x14ac:dyDescent="0.25">
      <c r="C1775" s="15">
        <v>431126</v>
      </c>
      <c r="D1775" s="4" t="s">
        <v>1779</v>
      </c>
      <c r="E1775" s="4" t="str">
        <f>HYPERLINK("https://app.crepc.sk/?fn=detailBiblioForm&amp;sid=117E8DF36B6BB49F0C55DF69F7")</f>
        <v>https://app.crepc.sk/?fn=detailBiblioForm&amp;sid=117E8DF36B6BB49F0C55DF69F7</v>
      </c>
    </row>
    <row r="1776" spans="3:5" ht="45" x14ac:dyDescent="0.25">
      <c r="C1776" s="15">
        <v>191378</v>
      </c>
      <c r="D1776" s="4" t="s">
        <v>1780</v>
      </c>
      <c r="E1776" s="4" t="str">
        <f>HYPERLINK("https://app.crepc.sk/?fn=detailBiblioForm&amp;sid=36AF35A93DA567BB0357C89854")</f>
        <v>https://app.crepc.sk/?fn=detailBiblioForm&amp;sid=36AF35A93DA567BB0357C89854</v>
      </c>
    </row>
    <row r="1777" spans="3:5" ht="60" x14ac:dyDescent="0.25">
      <c r="C1777" s="15">
        <v>443746</v>
      </c>
      <c r="D1777" s="4" t="s">
        <v>1781</v>
      </c>
      <c r="E1777" s="4" t="str">
        <f>HYPERLINK("https://app.crepc.sk/?fn=detailBiblioForm&amp;sid=E77CDBABEB1A7DFB01CDA0624C")</f>
        <v>https://app.crepc.sk/?fn=detailBiblioForm&amp;sid=E77CDBABEB1A7DFB01CDA0624C</v>
      </c>
    </row>
    <row r="1778" spans="3:5" ht="45" x14ac:dyDescent="0.25">
      <c r="C1778" s="15">
        <v>208405</v>
      </c>
      <c r="D1778" s="4" t="s">
        <v>1782</v>
      </c>
      <c r="E1778" s="4" t="str">
        <f>HYPERLINK("https://app.crepc.sk/?fn=detailBiblioForm&amp;sid=06468F3D52562AA218F189857D")</f>
        <v>https://app.crepc.sk/?fn=detailBiblioForm&amp;sid=06468F3D52562AA218F189857D</v>
      </c>
    </row>
    <row r="1779" spans="3:5" ht="60" x14ac:dyDescent="0.25">
      <c r="C1779" s="15">
        <v>306289</v>
      </c>
      <c r="D1779" s="4" t="s">
        <v>1783</v>
      </c>
      <c r="E1779" s="4" t="str">
        <f>HYPERLINK("https://app.crepc.sk/?fn=detailBiblioForm&amp;sid=2BC820A3AFEB8539DCBAA78DDC")</f>
        <v>https://app.crepc.sk/?fn=detailBiblioForm&amp;sid=2BC820A3AFEB8539DCBAA78DDC</v>
      </c>
    </row>
    <row r="1780" spans="3:5" ht="75" x14ac:dyDescent="0.25">
      <c r="C1780" s="15">
        <v>308095</v>
      </c>
      <c r="D1780" s="4" t="s">
        <v>1784</v>
      </c>
      <c r="E1780" s="4" t="str">
        <f>HYPERLINK("https://app.crepc.sk/?fn=detailBiblioForm&amp;sid=B4814A7CCCB1CD2716E63FF425")</f>
        <v>https://app.crepc.sk/?fn=detailBiblioForm&amp;sid=B4814A7CCCB1CD2716E63FF425</v>
      </c>
    </row>
    <row r="1781" spans="3:5" ht="45" x14ac:dyDescent="0.25">
      <c r="C1781" s="15">
        <v>187849</v>
      </c>
      <c r="D1781" s="4" t="s">
        <v>1785</v>
      </c>
      <c r="E1781" s="4" t="str">
        <f>HYPERLINK("https://app.crepc.sk/?fn=detailBiblioForm&amp;sid=CB4D57913478E3D225C0D6734D")</f>
        <v>https://app.crepc.sk/?fn=detailBiblioForm&amp;sid=CB4D57913478E3D225C0D6734D</v>
      </c>
    </row>
    <row r="1782" spans="3:5" ht="45" x14ac:dyDescent="0.25">
      <c r="C1782" s="15">
        <v>440605</v>
      </c>
      <c r="D1782" s="4" t="s">
        <v>1786</v>
      </c>
      <c r="E1782" s="4" t="str">
        <f>HYPERLINK("https://app.crepc.sk/?fn=detailBiblioForm&amp;sid=41D0612371856B8758D94486F7")</f>
        <v>https://app.crepc.sk/?fn=detailBiblioForm&amp;sid=41D0612371856B8758D94486F7</v>
      </c>
    </row>
    <row r="1783" spans="3:5" ht="60" x14ac:dyDescent="0.25">
      <c r="C1783" s="15">
        <v>247990</v>
      </c>
      <c r="D1783" s="4" t="s">
        <v>1787</v>
      </c>
      <c r="E1783" s="4" t="str">
        <f>HYPERLINK("https://app.crepc.sk/?fn=detailBiblioForm&amp;sid=48C26C7B6AED9B08E4E07C8C15")</f>
        <v>https://app.crepc.sk/?fn=detailBiblioForm&amp;sid=48C26C7B6AED9B08E4E07C8C15</v>
      </c>
    </row>
    <row r="1784" spans="3:5" ht="60" x14ac:dyDescent="0.25">
      <c r="C1784" s="15">
        <v>172892</v>
      </c>
      <c r="D1784" s="4" t="s">
        <v>1788</v>
      </c>
      <c r="E1784" s="4" t="str">
        <f>HYPERLINK("https://app.crepc.sk/?fn=detailBiblioForm&amp;sid=2F8FD603D177BA679F30916F4E")</f>
        <v>https://app.crepc.sk/?fn=detailBiblioForm&amp;sid=2F8FD603D177BA679F30916F4E</v>
      </c>
    </row>
    <row r="1785" spans="3:5" ht="60" x14ac:dyDescent="0.25">
      <c r="C1785" s="15">
        <v>181608</v>
      </c>
      <c r="D1785" s="4" t="s">
        <v>1789</v>
      </c>
      <c r="E1785" s="4" t="str">
        <f>HYPERLINK("https://app.crepc.sk/?fn=detailBiblioForm&amp;sid=F0082B7A009D1614B8C875AE99")</f>
        <v>https://app.crepc.sk/?fn=detailBiblioForm&amp;sid=F0082B7A009D1614B8C875AE99</v>
      </c>
    </row>
    <row r="1786" spans="3:5" ht="75" x14ac:dyDescent="0.25">
      <c r="C1786" s="15">
        <v>227345</v>
      </c>
      <c r="D1786" s="4" t="s">
        <v>1790</v>
      </c>
      <c r="E1786" s="4" t="str">
        <f>HYPERLINK("https://app.crepc.sk/?fn=detailBiblioForm&amp;sid=6CA30878C8FDE196A7190AE199")</f>
        <v>https://app.crepc.sk/?fn=detailBiblioForm&amp;sid=6CA30878C8FDE196A7190AE199</v>
      </c>
    </row>
    <row r="1787" spans="3:5" ht="60" x14ac:dyDescent="0.25">
      <c r="C1787" s="15">
        <v>418064</v>
      </c>
      <c r="D1787" s="4" t="s">
        <v>1791</v>
      </c>
      <c r="E1787" s="4" t="str">
        <f>HYPERLINK("https://app.crepc.sk/?fn=detailBiblioForm&amp;sid=206DD7262FA36D78E881BAAE0D")</f>
        <v>https://app.crepc.sk/?fn=detailBiblioForm&amp;sid=206DD7262FA36D78E881BAAE0D</v>
      </c>
    </row>
    <row r="1788" spans="3:5" ht="45" x14ac:dyDescent="0.25">
      <c r="C1788" s="15">
        <v>85546</v>
      </c>
      <c r="D1788" s="4" t="s">
        <v>1792</v>
      </c>
      <c r="E1788" s="4" t="str">
        <f>HYPERLINK("https://app.crepc.sk/?fn=detailBiblioForm&amp;sid=6271B95FDF8DF74C2151ACA1")</f>
        <v>https://app.crepc.sk/?fn=detailBiblioForm&amp;sid=6271B95FDF8DF74C2151ACA1</v>
      </c>
    </row>
    <row r="1789" spans="3:5" ht="90" x14ac:dyDescent="0.25">
      <c r="C1789" s="15">
        <v>452679</v>
      </c>
      <c r="D1789" s="4" t="s">
        <v>1793</v>
      </c>
      <c r="E1789" s="4" t="str">
        <f>HYPERLINK("https://app.crepc.sk/?fn=detailBiblioForm&amp;sid=BFF17292256AB5EFFCC34A0D1B")</f>
        <v>https://app.crepc.sk/?fn=detailBiblioForm&amp;sid=BFF17292256AB5EFFCC34A0D1B</v>
      </c>
    </row>
    <row r="1790" spans="3:5" ht="90" x14ac:dyDescent="0.25">
      <c r="C1790" s="15">
        <v>95169</v>
      </c>
      <c r="D1790" s="4" t="s">
        <v>1794</v>
      </c>
      <c r="E1790" s="4" t="str">
        <f>HYPERLINK("https://app.crepc.sk/?fn=detailBiblioForm&amp;sid=7E7BF663C40A041D4FE4195F")</f>
        <v>https://app.crepc.sk/?fn=detailBiblioForm&amp;sid=7E7BF663C40A041D4FE4195F</v>
      </c>
    </row>
    <row r="1791" spans="3:5" ht="75" x14ac:dyDescent="0.25">
      <c r="C1791" s="15">
        <v>178758</v>
      </c>
      <c r="D1791" s="4" t="s">
        <v>1795</v>
      </c>
      <c r="E1791" s="4" t="str">
        <f>HYPERLINK("https://app.crepc.sk/?fn=detailBiblioForm&amp;sid=32866E47BC3455BDB1F916D8BD")</f>
        <v>https://app.crepc.sk/?fn=detailBiblioForm&amp;sid=32866E47BC3455BDB1F916D8BD</v>
      </c>
    </row>
    <row r="1792" spans="3:5" ht="60" x14ac:dyDescent="0.25">
      <c r="C1792" s="15">
        <v>192747</v>
      </c>
      <c r="D1792" s="4" t="s">
        <v>1796</v>
      </c>
      <c r="E1792" s="4" t="str">
        <f>HYPERLINK("https://app.crepc.sk/?fn=detailBiblioForm&amp;sid=3354009E5CAE23384B12FB5E60")</f>
        <v>https://app.crepc.sk/?fn=detailBiblioForm&amp;sid=3354009E5CAE23384B12FB5E60</v>
      </c>
    </row>
    <row r="1793" spans="3:5" ht="60" x14ac:dyDescent="0.25">
      <c r="C1793" s="15">
        <v>152414</v>
      </c>
      <c r="D1793" s="4" t="s">
        <v>1797</v>
      </c>
      <c r="E1793" s="4" t="str">
        <f>HYPERLINK("https://app.crepc.sk/?fn=detailBiblioForm&amp;sid=82D5162064037F62A79BECE1B8")</f>
        <v>https://app.crepc.sk/?fn=detailBiblioForm&amp;sid=82D5162064037F62A79BECE1B8</v>
      </c>
    </row>
    <row r="1794" spans="3:5" ht="60" x14ac:dyDescent="0.25">
      <c r="C1794" s="15">
        <v>184426</v>
      </c>
      <c r="D1794" s="4" t="s">
        <v>1798</v>
      </c>
      <c r="E1794" s="4" t="str">
        <f>HYPERLINK("https://app.crepc.sk/?fn=detailBiblioForm&amp;sid=5B88818DBAA6B04CDC04E4FCBA")</f>
        <v>https://app.crepc.sk/?fn=detailBiblioForm&amp;sid=5B88818DBAA6B04CDC04E4FCBA</v>
      </c>
    </row>
    <row r="1795" spans="3:5" ht="45" x14ac:dyDescent="0.25">
      <c r="C1795" s="15">
        <v>55892</v>
      </c>
      <c r="D1795" s="4" t="s">
        <v>1799</v>
      </c>
      <c r="E1795" s="4" t="str">
        <f>HYPERLINK("https://app.crepc.sk/?fn=detailBiblioForm&amp;sid=7265F64B91ED4F846C90AB68")</f>
        <v>https://app.crepc.sk/?fn=detailBiblioForm&amp;sid=7265F64B91ED4F846C90AB68</v>
      </c>
    </row>
    <row r="1796" spans="3:5" ht="60" x14ac:dyDescent="0.25">
      <c r="C1796" s="15">
        <v>434846</v>
      </c>
      <c r="D1796" s="4" t="s">
        <v>1800</v>
      </c>
      <c r="E1796" s="4" t="str">
        <f>HYPERLINK("https://app.crepc.sk/?fn=detailBiblioForm&amp;sid=D5F2004AA41892611CCA3B7DED")</f>
        <v>https://app.crepc.sk/?fn=detailBiblioForm&amp;sid=D5F2004AA41892611CCA3B7DED</v>
      </c>
    </row>
    <row r="1797" spans="3:5" ht="45" x14ac:dyDescent="0.25">
      <c r="C1797" s="15">
        <v>439150</v>
      </c>
      <c r="D1797" s="4" t="s">
        <v>1801</v>
      </c>
      <c r="E1797" s="4" t="str">
        <f>HYPERLINK("https://app.crepc.sk/?fn=detailBiblioForm&amp;sid=8977221462BF9EBB4BC72C5E19")</f>
        <v>https://app.crepc.sk/?fn=detailBiblioForm&amp;sid=8977221462BF9EBB4BC72C5E19</v>
      </c>
    </row>
    <row r="1798" spans="3:5" ht="45" x14ac:dyDescent="0.25">
      <c r="C1798" s="15">
        <v>117289</v>
      </c>
      <c r="D1798" s="4" t="s">
        <v>1802</v>
      </c>
      <c r="E1798" s="4" t="str">
        <f>HYPERLINK("https://app.crepc.sk/?fn=detailBiblioForm&amp;sid=4152576857568BE6F11B899DC6")</f>
        <v>https://app.crepc.sk/?fn=detailBiblioForm&amp;sid=4152576857568BE6F11B899DC6</v>
      </c>
    </row>
    <row r="1799" spans="3:5" ht="45" x14ac:dyDescent="0.25">
      <c r="C1799" s="15">
        <v>182607</v>
      </c>
      <c r="D1799" s="4" t="s">
        <v>1803</v>
      </c>
      <c r="E1799" s="4" t="str">
        <f>HYPERLINK("https://app.crepc.sk/?fn=detailBiblioForm&amp;sid=AA9A59A4FA5B9CCA59922111BD")</f>
        <v>https://app.crepc.sk/?fn=detailBiblioForm&amp;sid=AA9A59A4FA5B9CCA59922111BD</v>
      </c>
    </row>
    <row r="1800" spans="3:5" ht="45" x14ac:dyDescent="0.25">
      <c r="C1800" s="15">
        <v>250175</v>
      </c>
      <c r="D1800" s="4" t="s">
        <v>1804</v>
      </c>
      <c r="E1800" s="4" t="str">
        <f>HYPERLINK("https://app.crepc.sk/?fn=detailBiblioForm&amp;sid=C4B905D76DBB935F063CFE609A")</f>
        <v>https://app.crepc.sk/?fn=detailBiblioForm&amp;sid=C4B905D76DBB935F063CFE609A</v>
      </c>
    </row>
    <row r="1801" spans="3:5" ht="45" x14ac:dyDescent="0.25">
      <c r="C1801" s="15">
        <v>453579</v>
      </c>
      <c r="D1801" s="4" t="s">
        <v>1805</v>
      </c>
      <c r="E1801" s="4" t="str">
        <f>HYPERLINK("https://app.crepc.sk/?fn=detailBiblioForm&amp;sid=363E3362E176FDAD8962F4D970")</f>
        <v>https://app.crepc.sk/?fn=detailBiblioForm&amp;sid=363E3362E176FDAD8962F4D970</v>
      </c>
    </row>
    <row r="1802" spans="3:5" ht="60" x14ac:dyDescent="0.25">
      <c r="C1802" s="15">
        <v>251284</v>
      </c>
      <c r="D1802" s="4" t="s">
        <v>1806</v>
      </c>
      <c r="E1802" s="4" t="str">
        <f>HYPERLINK("https://app.crepc.sk/?fn=detailBiblioForm&amp;sid=040468F894C2ABB2D1A6A8755B")</f>
        <v>https://app.crepc.sk/?fn=detailBiblioForm&amp;sid=040468F894C2ABB2D1A6A8755B</v>
      </c>
    </row>
    <row r="1803" spans="3:5" ht="45" x14ac:dyDescent="0.25">
      <c r="C1803" s="15">
        <v>75935</v>
      </c>
      <c r="D1803" s="4" t="s">
        <v>1807</v>
      </c>
      <c r="E1803" s="4" t="str">
        <f>HYPERLINK("https://app.crepc.sk/?fn=detailBiblioForm&amp;sid=B0894828ACBFA51149781738")</f>
        <v>https://app.crepc.sk/?fn=detailBiblioForm&amp;sid=B0894828ACBFA51149781738</v>
      </c>
    </row>
    <row r="1804" spans="3:5" ht="60" x14ac:dyDescent="0.25">
      <c r="C1804" s="15">
        <v>95177</v>
      </c>
      <c r="D1804" s="4" t="s">
        <v>1808</v>
      </c>
      <c r="E1804" s="4" t="str">
        <f>HYPERLINK("https://app.crepc.sk/?fn=detailBiblioForm&amp;sid=BF32D71030A2A079481D99A5")</f>
        <v>https://app.crepc.sk/?fn=detailBiblioForm&amp;sid=BF32D71030A2A079481D99A5</v>
      </c>
    </row>
    <row r="1805" spans="3:5" ht="60" x14ac:dyDescent="0.25">
      <c r="C1805" s="15">
        <v>245341</v>
      </c>
      <c r="D1805" s="4" t="s">
        <v>1809</v>
      </c>
      <c r="E1805" s="4" t="str">
        <f>HYPERLINK("https://app.crepc.sk/?fn=detailBiblioForm&amp;sid=9DE3930058222689B2A02F2705")</f>
        <v>https://app.crepc.sk/?fn=detailBiblioForm&amp;sid=9DE3930058222689B2A02F2705</v>
      </c>
    </row>
    <row r="1806" spans="3:5" ht="60" x14ac:dyDescent="0.25">
      <c r="C1806" s="15">
        <v>455984</v>
      </c>
      <c r="D1806" s="4" t="s">
        <v>1810</v>
      </c>
      <c r="E1806" s="4" t="str">
        <f>HYPERLINK("https://app.crepc.sk/?fn=detailBiblioForm&amp;sid=F8E041F7343F91A798601A8B80")</f>
        <v>https://app.crepc.sk/?fn=detailBiblioForm&amp;sid=F8E041F7343F91A798601A8B80</v>
      </c>
    </row>
    <row r="1807" spans="3:5" ht="60" x14ac:dyDescent="0.25">
      <c r="C1807" s="15">
        <v>63059</v>
      </c>
      <c r="D1807" s="4" t="s">
        <v>1811</v>
      </c>
      <c r="E1807" s="4" t="str">
        <f>HYPERLINK("https://app.crepc.sk/?fn=detailBiblioForm&amp;sid=AD470EB7628482928DA2C1E9")</f>
        <v>https://app.crepc.sk/?fn=detailBiblioForm&amp;sid=AD470EB7628482928DA2C1E9</v>
      </c>
    </row>
    <row r="1808" spans="3:5" ht="60" x14ac:dyDescent="0.25">
      <c r="C1808" s="15">
        <v>254994</v>
      </c>
      <c r="D1808" s="4" t="s">
        <v>1812</v>
      </c>
      <c r="E1808" s="4" t="str">
        <f>HYPERLINK("https://app.crepc.sk/?fn=detailBiblioForm&amp;sid=4F85C9A49D72280F9833AB807F")</f>
        <v>https://app.crepc.sk/?fn=detailBiblioForm&amp;sid=4F85C9A49D72280F9833AB807F</v>
      </c>
    </row>
    <row r="1809" spans="3:5" ht="45" x14ac:dyDescent="0.25">
      <c r="C1809" s="15">
        <v>209136</v>
      </c>
      <c r="D1809" s="4" t="s">
        <v>1813</v>
      </c>
      <c r="E1809" s="4" t="str">
        <f>HYPERLINK("https://app.crepc.sk/?fn=detailBiblioForm&amp;sid=CEB008BA03D41FE3DE4546E343")</f>
        <v>https://app.crepc.sk/?fn=detailBiblioForm&amp;sid=CEB008BA03D41FE3DE4546E343</v>
      </c>
    </row>
    <row r="1810" spans="3:5" ht="60" x14ac:dyDescent="0.25">
      <c r="C1810" s="15">
        <v>95204</v>
      </c>
      <c r="D1810" s="4" t="s">
        <v>1814</v>
      </c>
      <c r="E1810" s="4" t="str">
        <f>HYPERLINK("https://app.crepc.sk/?fn=detailBiblioForm&amp;sid=A9864FA0F3F13FB74FBA3234")</f>
        <v>https://app.crepc.sk/?fn=detailBiblioForm&amp;sid=A9864FA0F3F13FB74FBA3234</v>
      </c>
    </row>
    <row r="1811" spans="3:5" ht="75" x14ac:dyDescent="0.25">
      <c r="C1811" s="15">
        <v>450543</v>
      </c>
      <c r="D1811" s="4" t="s">
        <v>1815</v>
      </c>
      <c r="E1811" s="4" t="str">
        <f>HYPERLINK("https://app.crepc.sk/?fn=detailBiblioForm&amp;sid=73240E3CEB3865833B6A413193")</f>
        <v>https://app.crepc.sk/?fn=detailBiblioForm&amp;sid=73240E3CEB3865833B6A413193</v>
      </c>
    </row>
    <row r="1812" spans="3:5" ht="45" x14ac:dyDescent="0.25">
      <c r="C1812" s="15">
        <v>223683</v>
      </c>
      <c r="D1812" s="4" t="s">
        <v>1816</v>
      </c>
      <c r="E1812" s="4" t="str">
        <f>HYPERLINK("https://app.crepc.sk/?fn=detailBiblioForm&amp;sid=B5E7C3A8B966861A8A125D896E")</f>
        <v>https://app.crepc.sk/?fn=detailBiblioForm&amp;sid=B5E7C3A8B966861A8A125D896E</v>
      </c>
    </row>
    <row r="1813" spans="3:5" ht="45" x14ac:dyDescent="0.25">
      <c r="C1813" s="15">
        <v>156075</v>
      </c>
      <c r="D1813" s="4" t="s">
        <v>1817</v>
      </c>
      <c r="E1813" s="4" t="str">
        <f>HYPERLINK("https://app.crepc.sk/?fn=detailBiblioForm&amp;sid=F284FC460F7B017327ABC6CCA0")</f>
        <v>https://app.crepc.sk/?fn=detailBiblioForm&amp;sid=F284FC460F7B017327ABC6CCA0</v>
      </c>
    </row>
    <row r="1814" spans="3:5" ht="60" x14ac:dyDescent="0.25">
      <c r="C1814" s="15">
        <v>450550</v>
      </c>
      <c r="D1814" s="4" t="s">
        <v>1818</v>
      </c>
      <c r="E1814" s="4" t="str">
        <f>HYPERLINK("https://app.crepc.sk/?fn=detailBiblioForm&amp;sid=73240E3CEB3865833A69413193")</f>
        <v>https://app.crepc.sk/?fn=detailBiblioForm&amp;sid=73240E3CEB3865833A69413193</v>
      </c>
    </row>
    <row r="1815" spans="3:5" ht="45" x14ac:dyDescent="0.25">
      <c r="C1815" s="15">
        <v>305682</v>
      </c>
      <c r="D1815" s="4" t="s">
        <v>1819</v>
      </c>
      <c r="E1815" s="4" t="str">
        <f>HYPERLINK("https://app.crepc.sk/?fn=detailBiblioForm&amp;sid=5D66D213C9CFB0CCAE6621ACC1")</f>
        <v>https://app.crepc.sk/?fn=detailBiblioForm&amp;sid=5D66D213C9CFB0CCAE6621ACC1</v>
      </c>
    </row>
    <row r="1816" spans="3:5" ht="60" x14ac:dyDescent="0.25">
      <c r="C1816" s="15">
        <v>249616</v>
      </c>
      <c r="D1816" s="4" t="s">
        <v>1820</v>
      </c>
      <c r="E1816" s="4" t="str">
        <f>HYPERLINK("https://app.crepc.sk/?fn=detailBiblioForm&amp;sid=A43C6767581FABD00BA46DF55F")</f>
        <v>https://app.crepc.sk/?fn=detailBiblioForm&amp;sid=A43C6767581FABD00BA46DF55F</v>
      </c>
    </row>
    <row r="1817" spans="3:5" ht="60" x14ac:dyDescent="0.25">
      <c r="C1817" s="15">
        <v>210009</v>
      </c>
      <c r="D1817" s="4" t="s">
        <v>1821</v>
      </c>
      <c r="E1817" s="4" t="str">
        <f>HYPERLINK("https://app.crepc.sk/?fn=detailBiblioForm&amp;sid=1C18B4053C6402EC406B5DD9F9")</f>
        <v>https://app.crepc.sk/?fn=detailBiblioForm&amp;sid=1C18B4053C6402EC406B5DD9F9</v>
      </c>
    </row>
    <row r="1818" spans="3:5" ht="45" x14ac:dyDescent="0.25">
      <c r="C1818" s="15">
        <v>212053</v>
      </c>
      <c r="D1818" s="4" t="s">
        <v>1822</v>
      </c>
      <c r="E1818" s="4" t="str">
        <f>HYPERLINK("https://app.crepc.sk/?fn=detailBiblioForm&amp;sid=3663676511429AA4E2B2A922D5")</f>
        <v>https://app.crepc.sk/?fn=detailBiblioForm&amp;sid=3663676511429AA4E2B2A922D5</v>
      </c>
    </row>
    <row r="1819" spans="3:5" ht="75" x14ac:dyDescent="0.25">
      <c r="C1819" s="15">
        <v>222986</v>
      </c>
      <c r="D1819" s="4" t="s">
        <v>1823</v>
      </c>
      <c r="E1819" s="4" t="str">
        <f>HYPERLINK("https://app.crepc.sk/?fn=detailBiblioForm&amp;sid=3EB214094647B864FE50E070FE")</f>
        <v>https://app.crepc.sk/?fn=detailBiblioForm&amp;sid=3EB214094647B864FE50E070FE</v>
      </c>
    </row>
    <row r="1820" spans="3:5" ht="45" x14ac:dyDescent="0.25">
      <c r="C1820" s="15">
        <v>209690</v>
      </c>
      <c r="D1820" s="4" t="s">
        <v>1824</v>
      </c>
      <c r="E1820" s="4" t="str">
        <f>HYPERLINK("https://app.crepc.sk/?fn=detailBiblioForm&amp;sid=2555DC9CD39DCDC08B3CF08264")</f>
        <v>https://app.crepc.sk/?fn=detailBiblioForm&amp;sid=2555DC9CD39DCDC08B3CF08264</v>
      </c>
    </row>
    <row r="1821" spans="3:5" ht="45" x14ac:dyDescent="0.25">
      <c r="C1821" s="15">
        <v>117477</v>
      </c>
      <c r="D1821" s="4" t="s">
        <v>1825</v>
      </c>
      <c r="E1821" s="4" t="str">
        <f>HYPERLINK("https://app.crepc.sk/?fn=detailBiblioForm&amp;sid=43C9917007CDA3B7D45B6DB67E")</f>
        <v>https://app.crepc.sk/?fn=detailBiblioForm&amp;sid=43C9917007CDA3B7D45B6DB67E</v>
      </c>
    </row>
    <row r="1822" spans="3:5" ht="45" x14ac:dyDescent="0.25">
      <c r="C1822" s="15">
        <v>142656</v>
      </c>
      <c r="D1822" s="4" t="s">
        <v>1826</v>
      </c>
      <c r="E1822" s="4" t="str">
        <f>HYPERLINK("https://app.crepc.sk/?fn=detailBiblioForm&amp;sid=1080C1D973035A087122EAFF90")</f>
        <v>https://app.crepc.sk/?fn=detailBiblioForm&amp;sid=1080C1D973035A087122EAFF90</v>
      </c>
    </row>
    <row r="1823" spans="3:5" ht="45" x14ac:dyDescent="0.25">
      <c r="C1823" s="15">
        <v>95147</v>
      </c>
      <c r="D1823" s="4" t="s">
        <v>1827</v>
      </c>
      <c r="E1823" s="4" t="str">
        <f>HYPERLINK("https://app.crepc.sk/?fn=detailBiblioForm&amp;sid=8F658327A5FE70F85F0D718D")</f>
        <v>https://app.crepc.sk/?fn=detailBiblioForm&amp;sid=8F658327A5FE70F85F0D718D</v>
      </c>
    </row>
    <row r="1824" spans="3:5" ht="45" x14ac:dyDescent="0.25">
      <c r="C1824" s="15">
        <v>95165</v>
      </c>
      <c r="D1824" s="4" t="s">
        <v>1828</v>
      </c>
      <c r="E1824" s="4" t="str">
        <f>HYPERLINK("https://app.crepc.sk/?fn=detailBiblioForm&amp;sid=7E7BF663C40A041D43E4195F")</f>
        <v>https://app.crepc.sk/?fn=detailBiblioForm&amp;sid=7E7BF663C40A041D43E4195F</v>
      </c>
    </row>
    <row r="1825" spans="1:5" ht="60" x14ac:dyDescent="0.25">
      <c r="C1825" s="15">
        <v>58858</v>
      </c>
      <c r="D1825" s="4" t="s">
        <v>1829</v>
      </c>
      <c r="E1825" s="4" t="str">
        <f>HYPERLINK("https://app.crepc.sk/?fn=detailBiblioForm&amp;sid=70061FE7AEE3C768A2E221C6")</f>
        <v>https://app.crepc.sk/?fn=detailBiblioForm&amp;sid=70061FE7AEE3C768A2E221C6</v>
      </c>
    </row>
    <row r="1826" spans="1:5" ht="90" x14ac:dyDescent="0.25">
      <c r="C1826" s="15">
        <v>450522</v>
      </c>
      <c r="D1826" s="4" t="s">
        <v>1830</v>
      </c>
      <c r="E1826" s="4" t="str">
        <f>HYPERLINK("https://app.crepc.sk/?fn=detailBiblioForm&amp;sid=73240E3CEB3865833D6B413193")</f>
        <v>https://app.crepc.sk/?fn=detailBiblioForm&amp;sid=73240E3CEB3865833D6B413193</v>
      </c>
    </row>
    <row r="1827" spans="1:5" ht="30" x14ac:dyDescent="0.25">
      <c r="A1827" s="4" t="s">
        <v>1831</v>
      </c>
      <c r="B1827" s="15">
        <v>18</v>
      </c>
    </row>
    <row r="1828" spans="1:5" ht="90" x14ac:dyDescent="0.25">
      <c r="C1828" s="15">
        <v>210068</v>
      </c>
      <c r="D1828" s="4" t="s">
        <v>1832</v>
      </c>
      <c r="E1828" s="4" t="str">
        <f>HYPERLINK("https://app.crepc.sk/?fn=detailBiblioForm&amp;sid=1C18B4053C6402EC466A5DD9F9")</f>
        <v>https://app.crepc.sk/?fn=detailBiblioForm&amp;sid=1C18B4053C6402EC466A5DD9F9</v>
      </c>
    </row>
    <row r="1829" spans="1:5" ht="90" x14ac:dyDescent="0.25">
      <c r="C1829" s="15">
        <v>210084</v>
      </c>
      <c r="D1829" s="4" t="s">
        <v>1833</v>
      </c>
      <c r="E1829" s="4" t="str">
        <f>HYPERLINK("https://app.crepc.sk/?fn=detailBiblioForm&amp;sid=1C18B4053C6402EC48665DD9F9")</f>
        <v>https://app.crepc.sk/?fn=detailBiblioForm&amp;sid=1C18B4053C6402EC48665DD9F9</v>
      </c>
    </row>
    <row r="1830" spans="1:5" ht="90" x14ac:dyDescent="0.25">
      <c r="C1830" s="15">
        <v>210079</v>
      </c>
      <c r="D1830" s="4" t="s">
        <v>1834</v>
      </c>
      <c r="E1830" s="4" t="str">
        <f>HYPERLINK("https://app.crepc.sk/?fn=detailBiblioForm&amp;sid=1C18B4053C6402EC476B5DD9F9")</f>
        <v>https://app.crepc.sk/?fn=detailBiblioForm&amp;sid=1C18B4053C6402EC476B5DD9F9</v>
      </c>
    </row>
    <row r="1831" spans="1:5" ht="90" x14ac:dyDescent="0.25">
      <c r="C1831" s="15">
        <v>251065</v>
      </c>
      <c r="D1831" s="4" t="s">
        <v>1835</v>
      </c>
      <c r="E1831" s="4" t="str">
        <f>HYPERLINK("https://app.crepc.sk/?fn=detailBiblioForm&amp;sid=588CBEA82AF39A89B6146B13C0")</f>
        <v>https://app.crepc.sk/?fn=detailBiblioForm&amp;sid=588CBEA82AF39A89B6146B13C0</v>
      </c>
    </row>
    <row r="1832" spans="1:5" ht="90" x14ac:dyDescent="0.25">
      <c r="C1832" s="15">
        <v>210071</v>
      </c>
      <c r="D1832" s="4" t="s">
        <v>1836</v>
      </c>
      <c r="E1832" s="4" t="str">
        <f>HYPERLINK("https://app.crepc.sk/?fn=detailBiblioForm&amp;sid=1C18B4053C6402EC47635DD9F9")</f>
        <v>https://app.crepc.sk/?fn=detailBiblioForm&amp;sid=1C18B4053C6402EC47635DD9F9</v>
      </c>
    </row>
    <row r="1833" spans="1:5" ht="60" x14ac:dyDescent="0.25">
      <c r="C1833" s="15">
        <v>178974</v>
      </c>
      <c r="D1833" s="4" t="s">
        <v>1837</v>
      </c>
      <c r="E1833" s="4" t="str">
        <f>HYPERLINK("https://app.crepc.sk/?fn=detailBiblioForm&amp;sid=08878EB2E7E37CD09E971BD66F")</f>
        <v>https://app.crepc.sk/?fn=detailBiblioForm&amp;sid=08878EB2E7E37CD09E971BD66F</v>
      </c>
    </row>
    <row r="1834" spans="1:5" ht="90" x14ac:dyDescent="0.25">
      <c r="C1834" s="15">
        <v>210072</v>
      </c>
      <c r="D1834" s="4" t="s">
        <v>1838</v>
      </c>
      <c r="E1834" s="4" t="str">
        <f>HYPERLINK("https://app.crepc.sk/?fn=detailBiblioForm&amp;sid=1C18B4053C6402EC47605DD9F9")</f>
        <v>https://app.crepc.sk/?fn=detailBiblioForm&amp;sid=1C18B4053C6402EC47605DD9F9</v>
      </c>
    </row>
    <row r="1835" spans="1:5" ht="60" x14ac:dyDescent="0.25">
      <c r="C1835" s="15">
        <v>313715</v>
      </c>
      <c r="D1835" s="4" t="s">
        <v>1839</v>
      </c>
      <c r="E1835" s="4" t="str">
        <f>HYPERLINK("https://app.crepc.sk/?fn=detailBiblioForm&amp;sid=54D25A27962CDFF2C4C7F50D21")</f>
        <v>https://app.crepc.sk/?fn=detailBiblioForm&amp;sid=54D25A27962CDFF2C4C7F50D21</v>
      </c>
    </row>
    <row r="1836" spans="1:5" ht="60" x14ac:dyDescent="0.25">
      <c r="C1836" s="15">
        <v>313714</v>
      </c>
      <c r="D1836" s="4" t="s">
        <v>1840</v>
      </c>
      <c r="E1836" s="4" t="str">
        <f>HYPERLINK("https://app.crepc.sk/?fn=detailBiblioForm&amp;sid=54D25A27962CDFF2C4C6F50D21")</f>
        <v>https://app.crepc.sk/?fn=detailBiblioForm&amp;sid=54D25A27962CDFF2C4C6F50D21</v>
      </c>
    </row>
    <row r="1837" spans="1:5" ht="60" x14ac:dyDescent="0.25">
      <c r="C1837" s="15">
        <v>313718</v>
      </c>
      <c r="D1837" s="4" t="s">
        <v>1841</v>
      </c>
      <c r="E1837" s="4" t="str">
        <f>HYPERLINK("https://app.crepc.sk/?fn=detailBiblioForm&amp;sid=54D25A27962CDFF2C4CAF50D21")</f>
        <v>https://app.crepc.sk/?fn=detailBiblioForm&amp;sid=54D25A27962CDFF2C4CAF50D21</v>
      </c>
    </row>
    <row r="1838" spans="1:5" ht="60" x14ac:dyDescent="0.25">
      <c r="C1838" s="15">
        <v>144046</v>
      </c>
      <c r="D1838" s="4" t="s">
        <v>1842</v>
      </c>
      <c r="E1838" s="4" t="str">
        <f>HYPERLINK("https://app.crepc.sk/?fn=detailBiblioForm&amp;sid=3B3C390F92023FADB8FDAAFB13")</f>
        <v>https://app.crepc.sk/?fn=detailBiblioForm&amp;sid=3B3C390F92023FADB8FDAAFB13</v>
      </c>
    </row>
    <row r="1839" spans="1:5" ht="105" x14ac:dyDescent="0.25">
      <c r="C1839" s="15">
        <v>210095</v>
      </c>
      <c r="D1839" s="4" t="s">
        <v>1843</v>
      </c>
      <c r="E1839" s="4" t="str">
        <f>HYPERLINK("https://app.crepc.sk/?fn=detailBiblioForm&amp;sid=1C18B4053C6402EC49675DD9F9")</f>
        <v>https://app.crepc.sk/?fn=detailBiblioForm&amp;sid=1C18B4053C6402EC49675DD9F9</v>
      </c>
    </row>
    <row r="1840" spans="1:5" ht="60" x14ac:dyDescent="0.25">
      <c r="C1840" s="15">
        <v>147962</v>
      </c>
      <c r="D1840" s="4" t="s">
        <v>1844</v>
      </c>
      <c r="E1840" s="4" t="str">
        <f>HYPERLINK("https://app.crepc.sk/?fn=detailBiblioForm&amp;sid=A86BEDB9942C84EDD8905E9DFF")</f>
        <v>https://app.crepc.sk/?fn=detailBiblioForm&amp;sid=A86BEDB9942C84EDD8905E9DFF</v>
      </c>
    </row>
    <row r="1841" spans="1:5" ht="60" x14ac:dyDescent="0.25">
      <c r="C1841" s="15">
        <v>147971</v>
      </c>
      <c r="D1841" s="4" t="s">
        <v>1845</v>
      </c>
      <c r="E1841" s="4" t="str">
        <f>HYPERLINK("https://app.crepc.sk/?fn=detailBiblioForm&amp;sid=A86BEDB9942C84EDD9935E9DFF")</f>
        <v>https://app.crepc.sk/?fn=detailBiblioForm&amp;sid=A86BEDB9942C84EDD9935E9DFF</v>
      </c>
    </row>
    <row r="1842" spans="1:5" ht="60" x14ac:dyDescent="0.25">
      <c r="C1842" s="15">
        <v>313705</v>
      </c>
      <c r="D1842" s="4" t="s">
        <v>1846</v>
      </c>
      <c r="E1842" s="4" t="str">
        <f>HYPERLINK("https://app.crepc.sk/?fn=detailBiblioForm&amp;sid=54D25A27962CDFF2C5C7F50D21")</f>
        <v>https://app.crepc.sk/?fn=detailBiblioForm&amp;sid=54D25A27962CDFF2C5C7F50D21</v>
      </c>
    </row>
    <row r="1843" spans="1:5" ht="60" x14ac:dyDescent="0.25">
      <c r="C1843" s="15">
        <v>147975</v>
      </c>
      <c r="D1843" s="4" t="s">
        <v>1847</v>
      </c>
      <c r="E1843" s="4" t="str">
        <f>HYPERLINK("https://app.crepc.sk/?fn=detailBiblioForm&amp;sid=A86BEDB9942C84EDD9975E9DFF")</f>
        <v>https://app.crepc.sk/?fn=detailBiblioForm&amp;sid=A86BEDB9942C84EDD9975E9DFF</v>
      </c>
    </row>
    <row r="1844" spans="1:5" ht="60" x14ac:dyDescent="0.25">
      <c r="C1844" s="15">
        <v>147978</v>
      </c>
      <c r="D1844" s="4" t="s">
        <v>1848</v>
      </c>
      <c r="E1844" s="4" t="str">
        <f>HYPERLINK("https://app.crepc.sk/?fn=detailBiblioForm&amp;sid=A86BEDB9942C84EDD99A5E9DFF")</f>
        <v>https://app.crepc.sk/?fn=detailBiblioForm&amp;sid=A86BEDB9942C84EDD99A5E9DFF</v>
      </c>
    </row>
    <row r="1845" spans="1:5" ht="60" x14ac:dyDescent="0.25">
      <c r="C1845" s="15">
        <v>144045</v>
      </c>
      <c r="D1845" s="4" t="s">
        <v>1849</v>
      </c>
      <c r="E1845" s="4" t="str">
        <f>HYPERLINK("https://app.crepc.sk/?fn=detailBiblioForm&amp;sid=3B3C390F92023FADB8FEAAFB13")</f>
        <v>https://app.crepc.sk/?fn=detailBiblioForm&amp;sid=3B3C390F92023FADB8FEAAFB13</v>
      </c>
    </row>
    <row r="1846" spans="1:5" ht="30" x14ac:dyDescent="0.25">
      <c r="A1846" s="4" t="s">
        <v>1850</v>
      </c>
      <c r="B1846" s="15">
        <v>421</v>
      </c>
    </row>
    <row r="1847" spans="1:5" ht="90" x14ac:dyDescent="0.25">
      <c r="C1847" s="15">
        <v>214677</v>
      </c>
      <c r="D1847" s="4" t="s">
        <v>1851</v>
      </c>
      <c r="E1847" s="4" t="str">
        <f>HYPERLINK("https://app.crepc.sk/?fn=detailBiblioForm&amp;sid=49B0E8CD88C499975E0EF1C13A")</f>
        <v>https://app.crepc.sk/?fn=detailBiblioForm&amp;sid=49B0E8CD88C499975E0EF1C13A</v>
      </c>
    </row>
    <row r="1848" spans="1:5" ht="105" x14ac:dyDescent="0.25">
      <c r="C1848" s="15">
        <v>51378</v>
      </c>
      <c r="D1848" s="4" t="s">
        <v>1852</v>
      </c>
      <c r="E1848" s="4" t="str">
        <f>HYPERLINK("https://app.crepc.sk/?fn=detailBiblioForm&amp;sid=80AF7C91143845BB6C5A8A95")</f>
        <v>https://app.crepc.sk/?fn=detailBiblioForm&amp;sid=80AF7C91143845BB6C5A8A95</v>
      </c>
    </row>
    <row r="1849" spans="1:5" ht="75" x14ac:dyDescent="0.25">
      <c r="C1849" s="15">
        <v>210804</v>
      </c>
      <c r="D1849" s="4" t="s">
        <v>1853</v>
      </c>
      <c r="E1849" s="4" t="str">
        <f>HYPERLINK("https://app.crepc.sk/?fn=detailBiblioForm&amp;sid=4D550CDB8728D918FFB0BCD38F")</f>
        <v>https://app.crepc.sk/?fn=detailBiblioForm&amp;sid=4D550CDB8728D918FFB0BCD38F</v>
      </c>
    </row>
    <row r="1850" spans="1:5" ht="135" x14ac:dyDescent="0.25">
      <c r="C1850" s="15">
        <v>315215</v>
      </c>
      <c r="D1850" s="4" t="s">
        <v>1854</v>
      </c>
      <c r="E1850" s="4" t="str">
        <f>HYPERLINK("https://app.crepc.sk/?fn=detailBiblioForm&amp;sid=D8E909CCB801991832B1757C25")</f>
        <v>https://app.crepc.sk/?fn=detailBiblioForm&amp;sid=D8E909CCB801991832B1757C25</v>
      </c>
    </row>
    <row r="1851" spans="1:5" ht="135" x14ac:dyDescent="0.25">
      <c r="C1851" s="15">
        <v>211531</v>
      </c>
      <c r="D1851" s="4" t="s">
        <v>1855</v>
      </c>
      <c r="E1851" s="4" t="str">
        <f>HYPERLINK("https://app.crepc.sk/?fn=detailBiblioForm&amp;sid=D6132714D64CD717D6822C425E")</f>
        <v>https://app.crepc.sk/?fn=detailBiblioForm&amp;sid=D6132714D64CD717D6822C425E</v>
      </c>
    </row>
    <row r="1852" spans="1:5" ht="120" x14ac:dyDescent="0.25">
      <c r="C1852" s="15">
        <v>201089</v>
      </c>
      <c r="D1852" s="4" t="s">
        <v>1856</v>
      </c>
      <c r="E1852" s="4" t="str">
        <f>HYPERLINK("https://app.crepc.sk/?fn=detailBiblioForm&amp;sid=243046BA5D04E9C1780A7A43A4")</f>
        <v>https://app.crepc.sk/?fn=detailBiblioForm&amp;sid=243046BA5D04E9C1780A7A43A4</v>
      </c>
    </row>
    <row r="1853" spans="1:5" ht="105" x14ac:dyDescent="0.25">
      <c r="C1853" s="15">
        <v>138153</v>
      </c>
      <c r="D1853" s="4" t="s">
        <v>1857</v>
      </c>
      <c r="E1853" s="4" t="str">
        <f>HYPERLINK("https://app.crepc.sk/?fn=detailBiblioForm&amp;sid=F53353AEE7A237BBD3FAB5C2E3")</f>
        <v>https://app.crepc.sk/?fn=detailBiblioForm&amp;sid=F53353AEE7A237BBD3FAB5C2E3</v>
      </c>
    </row>
    <row r="1854" spans="1:5" ht="135" x14ac:dyDescent="0.25">
      <c r="C1854" s="15">
        <v>153156</v>
      </c>
      <c r="D1854" s="4" t="s">
        <v>1858</v>
      </c>
      <c r="E1854" s="4" t="str">
        <f>HYPERLINK("https://app.crepc.sk/?fn=detailBiblioForm&amp;sid=4B7A8F8230E4921734140F9BD9")</f>
        <v>https://app.crepc.sk/?fn=detailBiblioForm&amp;sid=4B7A8F8230E4921734140F9BD9</v>
      </c>
    </row>
    <row r="1855" spans="1:5" ht="135" x14ac:dyDescent="0.25">
      <c r="C1855" s="15">
        <v>207542</v>
      </c>
      <c r="D1855" s="4" t="s">
        <v>1859</v>
      </c>
      <c r="E1855" s="4" t="str">
        <f>HYPERLINK("https://app.crepc.sk/?fn=detailBiblioForm&amp;sid=D6FCED7F84B4E5B711DC874076")</f>
        <v>https://app.crepc.sk/?fn=detailBiblioForm&amp;sid=D6FCED7F84B4E5B711DC874076</v>
      </c>
    </row>
    <row r="1856" spans="1:5" ht="90" x14ac:dyDescent="0.25">
      <c r="C1856" s="15">
        <v>125233</v>
      </c>
      <c r="D1856" s="4" t="s">
        <v>1860</v>
      </c>
      <c r="E1856" s="4" t="str">
        <f>HYPERLINK("https://app.crepc.sk/?fn=detailBiblioForm&amp;sid=3D0298BADCCD9F5ECD300399EB")</f>
        <v>https://app.crepc.sk/?fn=detailBiblioForm&amp;sid=3D0298BADCCD9F5ECD300399EB</v>
      </c>
    </row>
    <row r="1857" spans="3:5" ht="120" x14ac:dyDescent="0.25">
      <c r="C1857" s="15">
        <v>186535</v>
      </c>
      <c r="D1857" s="4" t="s">
        <v>1861</v>
      </c>
      <c r="E1857" s="4" t="str">
        <f>HYPERLINK("https://app.crepc.sk/?fn=detailBiblioForm&amp;sid=BBB70232DB8D19E5F420D4CAE9")</f>
        <v>https://app.crepc.sk/?fn=detailBiblioForm&amp;sid=BBB70232DB8D19E5F420D4CAE9</v>
      </c>
    </row>
    <row r="1858" spans="3:5" ht="105" x14ac:dyDescent="0.25">
      <c r="C1858" s="15">
        <v>197769</v>
      </c>
      <c r="D1858" s="4" t="s">
        <v>1862</v>
      </c>
      <c r="E1858" s="4" t="str">
        <f>HYPERLINK("https://app.crepc.sk/?fn=detailBiblioForm&amp;sid=621FF53B02ADFC9EF4529AD910")</f>
        <v>https://app.crepc.sk/?fn=detailBiblioForm&amp;sid=621FF53B02ADFC9EF4529AD910</v>
      </c>
    </row>
    <row r="1859" spans="3:5" ht="90" x14ac:dyDescent="0.25">
      <c r="C1859" s="15">
        <v>238383</v>
      </c>
      <c r="D1859" s="4" t="s">
        <v>1863</v>
      </c>
      <c r="E1859" s="4" t="str">
        <f>HYPERLINK("https://app.crepc.sk/?fn=detailBiblioForm&amp;sid=D234281C0FC7ED3B63FC7C3DF8")</f>
        <v>https://app.crepc.sk/?fn=detailBiblioForm&amp;sid=D234281C0FC7ED3B63FC7C3DF8</v>
      </c>
    </row>
    <row r="1860" spans="3:5" ht="105" x14ac:dyDescent="0.25">
      <c r="C1860" s="15">
        <v>244161</v>
      </c>
      <c r="D1860" s="4" t="s">
        <v>1864</v>
      </c>
      <c r="E1860" s="4" t="str">
        <f>HYPERLINK("https://app.crepc.sk/?fn=detailBiblioForm&amp;sid=FFCC819EC98AFF8CFA49407BB1")</f>
        <v>https://app.crepc.sk/?fn=detailBiblioForm&amp;sid=FFCC819EC98AFF8CFA49407BB1</v>
      </c>
    </row>
    <row r="1861" spans="3:5" ht="90" x14ac:dyDescent="0.25">
      <c r="C1861" s="15">
        <v>102973</v>
      </c>
      <c r="D1861" s="4" t="s">
        <v>1865</v>
      </c>
      <c r="E1861" s="4" t="str">
        <f>HYPERLINK("https://app.crepc.sk/?fn=detailBiblioForm&amp;sid=32E41B49AC27F5A153BBBBB2B0")</f>
        <v>https://app.crepc.sk/?fn=detailBiblioForm&amp;sid=32E41B49AC27F5A153BBBBB2B0</v>
      </c>
    </row>
    <row r="1862" spans="3:5" ht="105" x14ac:dyDescent="0.25">
      <c r="C1862" s="15">
        <v>151260</v>
      </c>
      <c r="D1862" s="4" t="s">
        <v>1866</v>
      </c>
      <c r="E1862" s="4" t="str">
        <f>HYPERLINK("https://app.crepc.sk/?fn=detailBiblioForm&amp;sid=A6FC8A2967B75657EA56B85F53")</f>
        <v>https://app.crepc.sk/?fn=detailBiblioForm&amp;sid=A6FC8A2967B75657EA56B85F53</v>
      </c>
    </row>
    <row r="1863" spans="3:5" ht="75" x14ac:dyDescent="0.25">
      <c r="C1863" s="15">
        <v>180166</v>
      </c>
      <c r="D1863" s="4" t="s">
        <v>1867</v>
      </c>
      <c r="E1863" s="4" t="str">
        <f>HYPERLINK("https://app.crepc.sk/?fn=detailBiblioForm&amp;sid=C54778816930DEA55068C10B71")</f>
        <v>https://app.crepc.sk/?fn=detailBiblioForm&amp;sid=C54778816930DEA55068C10B71</v>
      </c>
    </row>
    <row r="1864" spans="3:5" ht="135" x14ac:dyDescent="0.25">
      <c r="C1864" s="15">
        <v>211368</v>
      </c>
      <c r="D1864" s="4" t="s">
        <v>1868</v>
      </c>
      <c r="E1864" s="4" t="str">
        <f>HYPERLINK("https://app.crepc.sk/?fn=detailBiblioForm&amp;sid=607F6B6A1832FEA873C03AD1B4")</f>
        <v>https://app.crepc.sk/?fn=detailBiblioForm&amp;sid=607F6B6A1832FEA873C03AD1B4</v>
      </c>
    </row>
    <row r="1865" spans="3:5" ht="120" x14ac:dyDescent="0.25">
      <c r="C1865" s="15">
        <v>224829</v>
      </c>
      <c r="D1865" s="4" t="s">
        <v>1869</v>
      </c>
      <c r="E1865" s="4" t="str">
        <f>HYPERLINK("https://app.crepc.sk/?fn=detailBiblioForm&amp;sid=4246636B28624FE0F887A85BC5")</f>
        <v>https://app.crepc.sk/?fn=detailBiblioForm&amp;sid=4246636B28624FE0F887A85BC5</v>
      </c>
    </row>
    <row r="1866" spans="3:5" ht="105" x14ac:dyDescent="0.25">
      <c r="C1866" s="15">
        <v>456140</v>
      </c>
      <c r="D1866" s="4" t="s">
        <v>1870</v>
      </c>
      <c r="E1866" s="4" t="str">
        <f>HYPERLINK("https://app.crepc.sk/?fn=detailBiblioForm&amp;sid=C7F5CD82C0797C61ED162DD649")</f>
        <v>https://app.crepc.sk/?fn=detailBiblioForm&amp;sid=C7F5CD82C0797C61ED162DD649</v>
      </c>
    </row>
    <row r="1867" spans="3:5" ht="90" x14ac:dyDescent="0.25">
      <c r="C1867" s="15">
        <v>203453</v>
      </c>
      <c r="D1867" s="4" t="s">
        <v>1871</v>
      </c>
      <c r="E1867" s="4" t="str">
        <f>HYPERLINK("https://app.crepc.sk/?fn=detailBiblioForm&amp;sid=7BEB1638C0BCEFCF24F412B925")</f>
        <v>https://app.crepc.sk/?fn=detailBiblioForm&amp;sid=7BEB1638C0BCEFCF24F412B925</v>
      </c>
    </row>
    <row r="1868" spans="3:5" ht="105" x14ac:dyDescent="0.25">
      <c r="C1868" s="15">
        <v>417571</v>
      </c>
      <c r="D1868" s="4" t="s">
        <v>1872</v>
      </c>
      <c r="E1868" s="4" t="str">
        <f>HYPERLINK("https://app.crepc.sk/?fn=detailBiblioForm&amp;sid=7589DD7EE7DCA921962FD3EBF3")</f>
        <v>https://app.crepc.sk/?fn=detailBiblioForm&amp;sid=7589DD7EE7DCA921962FD3EBF3</v>
      </c>
    </row>
    <row r="1869" spans="3:5" ht="120" x14ac:dyDescent="0.25">
      <c r="C1869" s="15">
        <v>188489</v>
      </c>
      <c r="D1869" s="4" t="s">
        <v>1873</v>
      </c>
      <c r="E1869" s="4" t="str">
        <f>HYPERLINK("https://app.crepc.sk/?fn=detailBiblioForm&amp;sid=C5E7B622C4D9F5D4170C6EDC3D")</f>
        <v>https://app.crepc.sk/?fn=detailBiblioForm&amp;sid=C5E7B622C4D9F5D4170C6EDC3D</v>
      </c>
    </row>
    <row r="1870" spans="3:5" ht="105" x14ac:dyDescent="0.25">
      <c r="C1870" s="15">
        <v>226111</v>
      </c>
      <c r="D1870" s="4" t="s">
        <v>1874</v>
      </c>
      <c r="E1870" s="4" t="str">
        <f>HYPERLINK("https://app.crepc.sk/?fn=detailBiblioForm&amp;sid=A9A50E53C78F5E5218D762DBCC")</f>
        <v>https://app.crepc.sk/?fn=detailBiblioForm&amp;sid=A9A50E53C78F5E5218D762DBCC</v>
      </c>
    </row>
    <row r="1871" spans="3:5" ht="120" x14ac:dyDescent="0.25">
      <c r="C1871" s="15">
        <v>241017</v>
      </c>
      <c r="D1871" s="4" t="s">
        <v>1875</v>
      </c>
      <c r="E1871" s="4" t="str">
        <f>HYPERLINK("https://app.crepc.sk/?fn=detailBiblioForm&amp;sid=2A11DD34E0337BFA16217A172D")</f>
        <v>https://app.crepc.sk/?fn=detailBiblioForm&amp;sid=2A11DD34E0337BFA16217A172D</v>
      </c>
    </row>
    <row r="1872" spans="3:5" ht="90" x14ac:dyDescent="0.25">
      <c r="C1872" s="15">
        <v>312698</v>
      </c>
      <c r="D1872" s="4" t="s">
        <v>1876</v>
      </c>
      <c r="E1872" s="4" t="str">
        <f>HYPERLINK("https://app.crepc.sk/?fn=detailBiblioForm&amp;sid=E7DC3C2FFE1E43E29D136104AF")</f>
        <v>https://app.crepc.sk/?fn=detailBiblioForm&amp;sid=E7DC3C2FFE1E43E29D136104AF</v>
      </c>
    </row>
    <row r="1873" spans="3:5" ht="150" x14ac:dyDescent="0.25">
      <c r="C1873" s="15">
        <v>162699</v>
      </c>
      <c r="D1873" s="4" t="s">
        <v>1877</v>
      </c>
      <c r="E1873" s="4" t="str">
        <f>HYPERLINK("https://app.crepc.sk/?fn=detailBiblioForm&amp;sid=819BE1355532A4D317110DBD04")</f>
        <v>https://app.crepc.sk/?fn=detailBiblioForm&amp;sid=819BE1355532A4D317110DBD04</v>
      </c>
    </row>
    <row r="1874" spans="3:5" ht="120" x14ac:dyDescent="0.25">
      <c r="C1874" s="15">
        <v>211538</v>
      </c>
      <c r="D1874" s="4" t="s">
        <v>1878</v>
      </c>
      <c r="E1874" s="4" t="str">
        <f>HYPERLINK("https://app.crepc.sk/?fn=detailBiblioForm&amp;sid=D6132714D64CD717D68B2C425E")</f>
        <v>https://app.crepc.sk/?fn=detailBiblioForm&amp;sid=D6132714D64CD717D68B2C425E</v>
      </c>
    </row>
    <row r="1875" spans="3:5" ht="105" x14ac:dyDescent="0.25">
      <c r="C1875" s="15">
        <v>226725</v>
      </c>
      <c r="D1875" s="4" t="s">
        <v>1879</v>
      </c>
      <c r="E1875" s="4" t="str">
        <f>HYPERLINK("https://app.crepc.sk/?fn=detailBiblioForm&amp;sid=DE97830A346A9BF5CEBD5C27D0")</f>
        <v>https://app.crepc.sk/?fn=detailBiblioForm&amp;sid=DE97830A346A9BF5CEBD5C27D0</v>
      </c>
    </row>
    <row r="1876" spans="3:5" ht="150" x14ac:dyDescent="0.25">
      <c r="C1876" s="15">
        <v>241253</v>
      </c>
      <c r="D1876" s="4" t="s">
        <v>1880</v>
      </c>
      <c r="E1876" s="4" t="str">
        <f>HYPERLINK("https://app.crepc.sk/?fn=detailBiblioForm&amp;sid=219D60F26EF95CE10D572B998E")</f>
        <v>https://app.crepc.sk/?fn=detailBiblioForm&amp;sid=219D60F26EF95CE10D572B998E</v>
      </c>
    </row>
    <row r="1877" spans="3:5" ht="105" x14ac:dyDescent="0.25">
      <c r="C1877" s="15">
        <v>117321</v>
      </c>
      <c r="D1877" s="4" t="s">
        <v>1881</v>
      </c>
      <c r="E1877" s="4" t="str">
        <f>HYPERLINK("https://app.crepc.sk/?fn=detailBiblioForm&amp;sid=CCDF67E7FC0AADE0BDBA9FDF23")</f>
        <v>https://app.crepc.sk/?fn=detailBiblioForm&amp;sid=CCDF67E7FC0AADE0BDBA9FDF23</v>
      </c>
    </row>
    <row r="1878" spans="3:5" ht="105" x14ac:dyDescent="0.25">
      <c r="C1878" s="15">
        <v>145646</v>
      </c>
      <c r="D1878" s="4" t="s">
        <v>1882</v>
      </c>
      <c r="E1878" s="4" t="str">
        <f>HYPERLINK("https://app.crepc.sk/?fn=detailBiblioForm&amp;sid=78BAD52BF05C0FB58D4B9BA10D")</f>
        <v>https://app.crepc.sk/?fn=detailBiblioForm&amp;sid=78BAD52BF05C0FB58D4B9BA10D</v>
      </c>
    </row>
    <row r="1879" spans="3:5" ht="135" x14ac:dyDescent="0.25">
      <c r="C1879" s="15">
        <v>217288</v>
      </c>
      <c r="D1879" s="4" t="s">
        <v>1883</v>
      </c>
      <c r="E1879" s="4" t="str">
        <f>HYPERLINK("https://app.crepc.sk/?fn=detailBiblioForm&amp;sid=95653863DE8D795C30B087F2A7")</f>
        <v>https://app.crepc.sk/?fn=detailBiblioForm&amp;sid=95653863DE8D795C30B087F2A7</v>
      </c>
    </row>
    <row r="1880" spans="3:5" ht="90" x14ac:dyDescent="0.25">
      <c r="C1880" s="15">
        <v>304631</v>
      </c>
      <c r="D1880" s="4" t="s">
        <v>1884</v>
      </c>
      <c r="E1880" s="4" t="str">
        <f>HYPERLINK("https://app.crepc.sk/?fn=detailBiblioForm&amp;sid=C9884AA49470EF612BB811B2CB")</f>
        <v>https://app.crepc.sk/?fn=detailBiblioForm&amp;sid=C9884AA49470EF612BB811B2CB</v>
      </c>
    </row>
    <row r="1881" spans="3:5" ht="60" x14ac:dyDescent="0.25">
      <c r="C1881" s="15">
        <v>226004</v>
      </c>
      <c r="D1881" s="4" t="s">
        <v>1885</v>
      </c>
      <c r="E1881" s="4" t="str">
        <f>HYPERLINK("https://app.crepc.sk/?fn=detailBiblioForm&amp;sid=7241E0F0A68FF715095EAE2810")</f>
        <v>https://app.crepc.sk/?fn=detailBiblioForm&amp;sid=7241E0F0A68FF715095EAE2810</v>
      </c>
    </row>
    <row r="1882" spans="3:5" ht="105" x14ac:dyDescent="0.25">
      <c r="C1882" s="15">
        <v>164223</v>
      </c>
      <c r="D1882" s="4" t="s">
        <v>1886</v>
      </c>
      <c r="E1882" s="4" t="str">
        <f>HYPERLINK("https://app.crepc.sk/?fn=detailBiblioForm&amp;sid=669792990D135F3F5CB9C71BDF")</f>
        <v>https://app.crepc.sk/?fn=detailBiblioForm&amp;sid=669792990D135F3F5CB9C71BDF</v>
      </c>
    </row>
    <row r="1883" spans="3:5" ht="120" x14ac:dyDescent="0.25">
      <c r="C1883" s="15">
        <v>195186</v>
      </c>
      <c r="D1883" s="4" t="s">
        <v>1887</v>
      </c>
      <c r="E1883" s="4" t="str">
        <f>HYPERLINK("https://app.crepc.sk/?fn=detailBiblioForm&amp;sid=2AEBF607EAD1F9A01F8F225A25")</f>
        <v>https://app.crepc.sk/?fn=detailBiblioForm&amp;sid=2AEBF607EAD1F9A01F8F225A25</v>
      </c>
    </row>
    <row r="1884" spans="3:5" ht="105" x14ac:dyDescent="0.25">
      <c r="C1884" s="15">
        <v>125075</v>
      </c>
      <c r="D1884" s="4" t="s">
        <v>1888</v>
      </c>
      <c r="E1884" s="4" t="str">
        <f>HYPERLINK("https://app.crepc.sk/?fn=detailBiblioForm&amp;sid=ACBBACF06A26C1C924C4BFCB53")</f>
        <v>https://app.crepc.sk/?fn=detailBiblioForm&amp;sid=ACBBACF06A26C1C924C4BFCB53</v>
      </c>
    </row>
    <row r="1885" spans="3:5" ht="105" x14ac:dyDescent="0.25">
      <c r="C1885" s="15">
        <v>202024</v>
      </c>
      <c r="D1885" s="4" t="s">
        <v>1889</v>
      </c>
      <c r="E1885" s="4" t="str">
        <f>HYPERLINK("https://app.crepc.sk/?fn=detailBiblioForm&amp;sid=556388A0BD298FD9C2FFA63977")</f>
        <v>https://app.crepc.sk/?fn=detailBiblioForm&amp;sid=556388A0BD298FD9C2FFA63977</v>
      </c>
    </row>
    <row r="1886" spans="3:5" ht="105" x14ac:dyDescent="0.25">
      <c r="C1886" s="15">
        <v>228244</v>
      </c>
      <c r="D1886" s="4" t="s">
        <v>1890</v>
      </c>
      <c r="E1886" s="4" t="str">
        <f>HYPERLINK("https://app.crepc.sk/?fn=detailBiblioForm&amp;sid=AF76E74BF3CFEA1C409C851A00")</f>
        <v>https://app.crepc.sk/?fn=detailBiblioForm&amp;sid=AF76E74BF3CFEA1C409C851A00</v>
      </c>
    </row>
    <row r="1887" spans="3:5" ht="90" x14ac:dyDescent="0.25">
      <c r="C1887" s="15">
        <v>173906</v>
      </c>
      <c r="D1887" s="4" t="s">
        <v>1891</v>
      </c>
      <c r="E1887" s="4" t="str">
        <f>HYPERLINK("https://app.crepc.sk/?fn=detailBiblioForm&amp;sid=228C7CD165D66AC757D621E89F")</f>
        <v>https://app.crepc.sk/?fn=detailBiblioForm&amp;sid=228C7CD165D66AC757D621E89F</v>
      </c>
    </row>
    <row r="1888" spans="3:5" ht="120" x14ac:dyDescent="0.25">
      <c r="C1888" s="15">
        <v>128073</v>
      </c>
      <c r="D1888" s="4" t="s">
        <v>1892</v>
      </c>
      <c r="E1888" s="4" t="str">
        <f>HYPERLINK("https://app.crepc.sk/?fn=detailBiblioForm&amp;sid=0A2FCD8A47F4386458CDBC7E57")</f>
        <v>https://app.crepc.sk/?fn=detailBiblioForm&amp;sid=0A2FCD8A47F4386458CDBC7E57</v>
      </c>
    </row>
    <row r="1889" spans="3:5" ht="90" x14ac:dyDescent="0.25">
      <c r="C1889" s="15">
        <v>112472</v>
      </c>
      <c r="D1889" s="4" t="s">
        <v>1893</v>
      </c>
      <c r="E1889" s="4" t="str">
        <f>HYPERLINK("https://app.crepc.sk/?fn=detailBiblioForm&amp;sid=6B00E789183A492A914DB14C71")</f>
        <v>https://app.crepc.sk/?fn=detailBiblioForm&amp;sid=6B00E789183A492A914DB14C71</v>
      </c>
    </row>
    <row r="1890" spans="3:5" ht="105" x14ac:dyDescent="0.25">
      <c r="C1890" s="15">
        <v>136068</v>
      </c>
      <c r="D1890" s="4" t="s">
        <v>1894</v>
      </c>
      <c r="E1890" s="4" t="str">
        <f>HYPERLINK("https://app.crepc.sk/?fn=detailBiblioForm&amp;sid=FF3F620FA7CAEDC57C13CB9CA6")</f>
        <v>https://app.crepc.sk/?fn=detailBiblioForm&amp;sid=FF3F620FA7CAEDC57C13CB9CA6</v>
      </c>
    </row>
    <row r="1891" spans="3:5" ht="120" x14ac:dyDescent="0.25">
      <c r="C1891" s="15">
        <v>198681</v>
      </c>
      <c r="D1891" s="4" t="s">
        <v>1895</v>
      </c>
      <c r="E1891" s="4" t="str">
        <f>HYPERLINK("https://app.crepc.sk/?fn=detailBiblioForm&amp;sid=401135A7AF766B14F11FA652F8")</f>
        <v>https://app.crepc.sk/?fn=detailBiblioForm&amp;sid=401135A7AF766B14F11FA652F8</v>
      </c>
    </row>
    <row r="1892" spans="3:5" ht="75" x14ac:dyDescent="0.25">
      <c r="C1892" s="15">
        <v>91470</v>
      </c>
      <c r="D1892" s="4" t="s">
        <v>1896</v>
      </c>
      <c r="E1892" s="4" t="str">
        <f>HYPERLINK("https://app.crepc.sk/?fn=detailBiblioForm&amp;sid=C22278130657C668E918235E")</f>
        <v>https://app.crepc.sk/?fn=detailBiblioForm&amp;sid=C22278130657C668E918235E</v>
      </c>
    </row>
    <row r="1893" spans="3:5" ht="135" x14ac:dyDescent="0.25">
      <c r="C1893" s="15">
        <v>248622</v>
      </c>
      <c r="D1893" s="4" t="s">
        <v>1897</v>
      </c>
      <c r="E1893" s="4" t="str">
        <f>HYPERLINK("https://app.crepc.sk/?fn=detailBiblioForm&amp;sid=AB6B31EA07D5916BF4063EAFC7")</f>
        <v>https://app.crepc.sk/?fn=detailBiblioForm&amp;sid=AB6B31EA07D5916BF4063EAFC7</v>
      </c>
    </row>
    <row r="1894" spans="3:5" ht="105" x14ac:dyDescent="0.25">
      <c r="C1894" s="15">
        <v>188515</v>
      </c>
      <c r="D1894" s="4" t="s">
        <v>1898</v>
      </c>
      <c r="E1894" s="4" t="str">
        <f>HYPERLINK("https://app.crepc.sk/?fn=detailBiblioForm&amp;sid=CEC4BB8C8D9EFEE359D6659C47")</f>
        <v>https://app.crepc.sk/?fn=detailBiblioForm&amp;sid=CEC4BB8C8D9EFEE359D6659C47</v>
      </c>
    </row>
    <row r="1895" spans="3:5" ht="135" x14ac:dyDescent="0.25">
      <c r="C1895" s="15">
        <v>305792</v>
      </c>
      <c r="D1895" s="4" t="s">
        <v>1899</v>
      </c>
      <c r="E1895" s="4" t="str">
        <f>HYPERLINK("https://app.crepc.sk/?fn=detailBiblioForm&amp;sid=8B8DE8D7FEC449966AF938D5C3")</f>
        <v>https://app.crepc.sk/?fn=detailBiblioForm&amp;sid=8B8DE8D7FEC449966AF938D5C3</v>
      </c>
    </row>
    <row r="1896" spans="3:5" ht="120" x14ac:dyDescent="0.25">
      <c r="C1896" s="15">
        <v>61720</v>
      </c>
      <c r="D1896" s="4" t="s">
        <v>1900</v>
      </c>
      <c r="E1896" s="4" t="str">
        <f>HYPERLINK("https://app.crepc.sk/?fn=detailBiblioForm&amp;sid=80D5C1C912BEE9B9A21EA59A")</f>
        <v>https://app.crepc.sk/?fn=detailBiblioForm&amp;sid=80D5C1C912BEE9B9A21EA59A</v>
      </c>
    </row>
    <row r="1897" spans="3:5" ht="120" x14ac:dyDescent="0.25">
      <c r="C1897" s="15">
        <v>97911</v>
      </c>
      <c r="D1897" s="4" t="s">
        <v>1901</v>
      </c>
      <c r="E1897" s="4" t="str">
        <f>HYPERLINK("https://app.crepc.sk/?fn=detailBiblioForm&amp;sid=3B17664D6755082CE796E771")</f>
        <v>https://app.crepc.sk/?fn=detailBiblioForm&amp;sid=3B17664D6755082CE796E771</v>
      </c>
    </row>
    <row r="1898" spans="3:5" ht="90" x14ac:dyDescent="0.25">
      <c r="C1898" s="15">
        <v>244380</v>
      </c>
      <c r="D1898" s="4" t="s">
        <v>1902</v>
      </c>
      <c r="E1898" s="4" t="str">
        <f>HYPERLINK("https://app.crepc.sk/?fn=detailBiblioForm&amp;sid=D2DC4D701735EE750A096534E5")</f>
        <v>https://app.crepc.sk/?fn=detailBiblioForm&amp;sid=D2DC4D701735EE750A096534E5</v>
      </c>
    </row>
    <row r="1899" spans="3:5" ht="90" x14ac:dyDescent="0.25">
      <c r="C1899" s="15">
        <v>138188</v>
      </c>
      <c r="D1899" s="4" t="s">
        <v>1903</v>
      </c>
      <c r="E1899" s="4" t="str">
        <f>HYPERLINK("https://app.crepc.sk/?fn=detailBiblioForm&amp;sid=F53353AEE7A237BBDEF1B5C2E3")</f>
        <v>https://app.crepc.sk/?fn=detailBiblioForm&amp;sid=F53353AEE7A237BBDEF1B5C2E3</v>
      </c>
    </row>
    <row r="1900" spans="3:5" ht="75" x14ac:dyDescent="0.25">
      <c r="C1900" s="15">
        <v>314634</v>
      </c>
      <c r="D1900" s="4" t="s">
        <v>1904</v>
      </c>
      <c r="E1900" s="4" t="str">
        <f>HYPERLINK("https://app.crepc.sk/?fn=detailBiblioForm&amp;sid=0D699139B41EFD4760540CC574")</f>
        <v>https://app.crepc.sk/?fn=detailBiblioForm&amp;sid=0D699139B41EFD4760540CC574</v>
      </c>
    </row>
    <row r="1901" spans="3:5" ht="60" x14ac:dyDescent="0.25">
      <c r="C1901" s="15">
        <v>123885</v>
      </c>
      <c r="D1901" s="4" t="s">
        <v>1905</v>
      </c>
      <c r="E1901" s="4" t="str">
        <f>HYPERLINK("https://app.crepc.sk/?fn=detailBiblioForm&amp;sid=F2263C7782913123BDF6BF87AB")</f>
        <v>https://app.crepc.sk/?fn=detailBiblioForm&amp;sid=F2263C7782913123BDF6BF87AB</v>
      </c>
    </row>
    <row r="1902" spans="3:5" ht="120" x14ac:dyDescent="0.25">
      <c r="C1902" s="15">
        <v>211568</v>
      </c>
      <c r="D1902" s="4" t="s">
        <v>1906</v>
      </c>
      <c r="E1902" s="4" t="str">
        <f>HYPERLINK("https://app.crepc.sk/?fn=detailBiblioForm&amp;sid=D6132714D64CD717D38B2C425E")</f>
        <v>https://app.crepc.sk/?fn=detailBiblioForm&amp;sid=D6132714D64CD717D38B2C425E</v>
      </c>
    </row>
    <row r="1903" spans="3:5" ht="135" x14ac:dyDescent="0.25">
      <c r="C1903" s="15">
        <v>72547</v>
      </c>
      <c r="D1903" s="4" t="s">
        <v>1907</v>
      </c>
      <c r="E1903" s="4" t="str">
        <f>HYPERLINK("https://app.crepc.sk/?fn=detailBiblioForm&amp;sid=2BBB8D8C520469575B9CB8DD")</f>
        <v>https://app.crepc.sk/?fn=detailBiblioForm&amp;sid=2BBB8D8C520469575B9CB8DD</v>
      </c>
    </row>
    <row r="1904" spans="3:5" ht="135" x14ac:dyDescent="0.25">
      <c r="C1904" s="15">
        <v>211304</v>
      </c>
      <c r="D1904" s="4" t="s">
        <v>1908</v>
      </c>
      <c r="E1904" s="4" t="str">
        <f>HYPERLINK("https://app.crepc.sk/?fn=detailBiblioForm&amp;sid=607F6B6A1832FEA875CC3AD1B4")</f>
        <v>https://app.crepc.sk/?fn=detailBiblioForm&amp;sid=607F6B6A1832FEA875CC3AD1B4</v>
      </c>
    </row>
    <row r="1905" spans="3:5" ht="105" x14ac:dyDescent="0.25">
      <c r="C1905" s="15">
        <v>72475</v>
      </c>
      <c r="D1905" s="4" t="s">
        <v>1909</v>
      </c>
      <c r="E1905" s="4" t="str">
        <f>HYPERLINK("https://app.crepc.sk/?fn=detailBiblioForm&amp;sid=9A5ED3FC5CC6E64E92794CB5")</f>
        <v>https://app.crepc.sk/?fn=detailBiblioForm&amp;sid=9A5ED3FC5CC6E64E92794CB5</v>
      </c>
    </row>
    <row r="1906" spans="3:5" ht="120" x14ac:dyDescent="0.25">
      <c r="C1906" s="15">
        <v>312397</v>
      </c>
      <c r="D1906" s="4" t="s">
        <v>1910</v>
      </c>
      <c r="E1906" s="4" t="str">
        <f>HYPERLINK("https://app.crepc.sk/?fn=detailBiblioForm&amp;sid=4B02C4261583C7B82AAD198635")</f>
        <v>https://app.crepc.sk/?fn=detailBiblioForm&amp;sid=4B02C4261583C7B82AAD198635</v>
      </c>
    </row>
    <row r="1907" spans="3:5" ht="120" x14ac:dyDescent="0.25">
      <c r="C1907" s="15">
        <v>239364</v>
      </c>
      <c r="D1907" s="4" t="s">
        <v>1911</v>
      </c>
      <c r="E1907" s="4" t="str">
        <f>HYPERLINK("https://app.crepc.sk/?fn=detailBiblioForm&amp;sid=4D4CF2068BEC72CC6ACF973D43")</f>
        <v>https://app.crepc.sk/?fn=detailBiblioForm&amp;sid=4D4CF2068BEC72CC6ACF973D43</v>
      </c>
    </row>
    <row r="1908" spans="3:5" ht="135" x14ac:dyDescent="0.25">
      <c r="C1908" s="15">
        <v>438115</v>
      </c>
      <c r="D1908" s="4" t="s">
        <v>1912</v>
      </c>
      <c r="E1908" s="4" t="str">
        <f>HYPERLINK("https://app.crepc.sk/?fn=detailBiblioForm&amp;sid=19C10991FDD13194C1974DFDE8")</f>
        <v>https://app.crepc.sk/?fn=detailBiblioForm&amp;sid=19C10991FDD13194C1974DFDE8</v>
      </c>
    </row>
    <row r="1909" spans="3:5" ht="180" x14ac:dyDescent="0.25">
      <c r="C1909" s="15">
        <v>215394</v>
      </c>
      <c r="D1909" s="4" t="s">
        <v>1913</v>
      </c>
      <c r="E1909" s="4" t="str">
        <f>HYPERLINK("https://app.crepc.sk/?fn=detailBiblioForm&amp;sid=32A369D9F5E6A0D578585D46B4")</f>
        <v>https://app.crepc.sk/?fn=detailBiblioForm&amp;sid=32A369D9F5E6A0D578585D46B4</v>
      </c>
    </row>
    <row r="1910" spans="3:5" ht="90" x14ac:dyDescent="0.25">
      <c r="C1910" s="15">
        <v>125765</v>
      </c>
      <c r="D1910" s="4" t="s">
        <v>1914</v>
      </c>
      <c r="E1910" s="4" t="str">
        <f>HYPERLINK("https://app.crepc.sk/?fn=detailBiblioForm&amp;sid=4D3EF2F8D05B848E6F97397035")</f>
        <v>https://app.crepc.sk/?fn=detailBiblioForm&amp;sid=4D3EF2F8D05B848E6F97397035</v>
      </c>
    </row>
    <row r="1911" spans="3:5" ht="90" x14ac:dyDescent="0.25">
      <c r="C1911" s="15">
        <v>413876</v>
      </c>
      <c r="D1911" s="4" t="s">
        <v>1915</v>
      </c>
      <c r="E1911" s="4" t="str">
        <f>HYPERLINK("https://app.crepc.sk/?fn=detailBiblioForm&amp;sid=0666E4DD92649C3D165B7B444D")</f>
        <v>https://app.crepc.sk/?fn=detailBiblioForm&amp;sid=0666E4DD92649C3D165B7B444D</v>
      </c>
    </row>
    <row r="1912" spans="3:5" ht="75" x14ac:dyDescent="0.25">
      <c r="C1912" s="15">
        <v>442318</v>
      </c>
      <c r="D1912" s="4" t="s">
        <v>1916</v>
      </c>
      <c r="E1912" s="4" t="str">
        <f>HYPERLINK("https://app.crepc.sk/?fn=detailBiblioForm&amp;sid=F661DE2421DD595D55C562841D")</f>
        <v>https://app.crepc.sk/?fn=detailBiblioForm&amp;sid=F661DE2421DD595D55C562841D</v>
      </c>
    </row>
    <row r="1913" spans="3:5" ht="135" x14ac:dyDescent="0.25">
      <c r="C1913" s="15">
        <v>218676</v>
      </c>
      <c r="D1913" s="4" t="s">
        <v>1917</v>
      </c>
      <c r="E1913" s="4" t="str">
        <f>HYPERLINK("https://app.crepc.sk/?fn=detailBiblioForm&amp;sid=74446F55A9349C991ED20AA1D3")</f>
        <v>https://app.crepc.sk/?fn=detailBiblioForm&amp;sid=74446F55A9349C991ED20AA1D3</v>
      </c>
    </row>
    <row r="1914" spans="3:5" ht="135" x14ac:dyDescent="0.25">
      <c r="C1914" s="15">
        <v>203573</v>
      </c>
      <c r="D1914" s="4" t="s">
        <v>1918</v>
      </c>
      <c r="E1914" s="4" t="str">
        <f>HYPERLINK("https://app.crepc.sk/?fn=detailBiblioForm&amp;sid=E96CB5EDAC308A3624A04D27A0")</f>
        <v>https://app.crepc.sk/?fn=detailBiblioForm&amp;sid=E96CB5EDAC308A3624A04D27A0</v>
      </c>
    </row>
    <row r="1915" spans="3:5" ht="150" x14ac:dyDescent="0.25">
      <c r="C1915" s="15">
        <v>103973</v>
      </c>
      <c r="D1915" s="4" t="s">
        <v>1919</v>
      </c>
      <c r="E1915" s="4" t="str">
        <f>HYPERLINK("https://app.crepc.sk/?fn=detailBiblioForm&amp;sid=706B7159B114D32C92B6F084BE")</f>
        <v>https://app.crepc.sk/?fn=detailBiblioForm&amp;sid=706B7159B114D32C92B6F084BE</v>
      </c>
    </row>
    <row r="1916" spans="3:5" ht="75" x14ac:dyDescent="0.25">
      <c r="C1916" s="15">
        <v>124512</v>
      </c>
      <c r="D1916" s="4" t="s">
        <v>1920</v>
      </c>
      <c r="E1916" s="4" t="str">
        <f>HYPERLINK("https://app.crepc.sk/?fn=detailBiblioForm&amp;sid=B0DCB825442701D00C6F02F501")</f>
        <v>https://app.crepc.sk/?fn=detailBiblioForm&amp;sid=B0DCB825442701D00C6F02F501</v>
      </c>
    </row>
    <row r="1917" spans="3:5" ht="120" x14ac:dyDescent="0.25">
      <c r="C1917" s="15">
        <v>306287</v>
      </c>
      <c r="D1917" s="4" t="s">
        <v>1921</v>
      </c>
      <c r="E1917" s="4" t="str">
        <f>HYPERLINK("https://app.crepc.sk/?fn=detailBiblioForm&amp;sid=2BC820A3AFEB8539DCB4A78DDC")</f>
        <v>https://app.crepc.sk/?fn=detailBiblioForm&amp;sid=2BC820A3AFEB8539DCB4A78DDC</v>
      </c>
    </row>
    <row r="1918" spans="3:5" ht="105" x14ac:dyDescent="0.25">
      <c r="C1918" s="15">
        <v>117323</v>
      </c>
      <c r="D1918" s="4" t="s">
        <v>1922</v>
      </c>
      <c r="E1918" s="4" t="str">
        <f>HYPERLINK("https://app.crepc.sk/?fn=detailBiblioForm&amp;sid=CCDF67E7FC0AADE0BDB89FDF23")</f>
        <v>https://app.crepc.sk/?fn=detailBiblioForm&amp;sid=CCDF67E7FC0AADE0BDB89FDF23</v>
      </c>
    </row>
    <row r="1919" spans="3:5" ht="90" x14ac:dyDescent="0.25">
      <c r="C1919" s="15">
        <v>242886</v>
      </c>
      <c r="D1919" s="4" t="s">
        <v>1923</v>
      </c>
      <c r="E1919" s="4" t="str">
        <f>HYPERLINK("https://app.crepc.sk/?fn=detailBiblioForm&amp;sid=11BB39C9E8B430AECCFBE2A5C9")</f>
        <v>https://app.crepc.sk/?fn=detailBiblioForm&amp;sid=11BB39C9E8B430AECCFBE2A5C9</v>
      </c>
    </row>
    <row r="1920" spans="3:5" ht="135" x14ac:dyDescent="0.25">
      <c r="C1920" s="15">
        <v>187770</v>
      </c>
      <c r="D1920" s="4" t="s">
        <v>1924</v>
      </c>
      <c r="E1920" s="4" t="str">
        <f>HYPERLINK("https://app.crepc.sk/?fn=detailBiblioForm&amp;sid=DC84C828B12A860AC8EBA1F70D")</f>
        <v>https://app.crepc.sk/?fn=detailBiblioForm&amp;sid=DC84C828B12A860AC8EBA1F70D</v>
      </c>
    </row>
    <row r="1921" spans="3:5" ht="150" x14ac:dyDescent="0.25">
      <c r="C1921" s="15">
        <v>249895</v>
      </c>
      <c r="D1921" s="4" t="s">
        <v>1925</v>
      </c>
      <c r="E1921" s="4" t="str">
        <f>HYPERLINK("https://app.crepc.sk/?fn=detailBiblioForm&amp;sid=1B34BF6143476B671D0C8EFAB0")</f>
        <v>https://app.crepc.sk/?fn=detailBiblioForm&amp;sid=1B34BF6143476B671D0C8EFAB0</v>
      </c>
    </row>
    <row r="1922" spans="3:5" ht="120" x14ac:dyDescent="0.25">
      <c r="C1922" s="15">
        <v>221631</v>
      </c>
      <c r="D1922" s="4" t="s">
        <v>1926</v>
      </c>
      <c r="E1922" s="4" t="str">
        <f>HYPERLINK("https://app.crepc.sk/?fn=detailBiblioForm&amp;sid=A6FE0418F97EDC91D8174224D5")</f>
        <v>https://app.crepc.sk/?fn=detailBiblioForm&amp;sid=A6FE0418F97EDC91D8174224D5</v>
      </c>
    </row>
    <row r="1923" spans="3:5" ht="105" x14ac:dyDescent="0.25">
      <c r="C1923" s="15">
        <v>198287</v>
      </c>
      <c r="D1923" s="4" t="s">
        <v>1927</v>
      </c>
      <c r="E1923" s="4" t="str">
        <f>HYPERLINK("https://app.crepc.sk/?fn=detailBiblioForm&amp;sid=5D87752206D8162BC0B7B09268")</f>
        <v>https://app.crepc.sk/?fn=detailBiblioForm&amp;sid=5D87752206D8162BC0B7B09268</v>
      </c>
    </row>
    <row r="1924" spans="3:5" ht="105" x14ac:dyDescent="0.25">
      <c r="C1924" s="15">
        <v>151278</v>
      </c>
      <c r="D1924" s="4" t="s">
        <v>1928</v>
      </c>
      <c r="E1924" s="4" t="str">
        <f>HYPERLINK("https://app.crepc.sk/?fn=detailBiblioForm&amp;sid=A6FC8A2967B75657EB5EB85F53")</f>
        <v>https://app.crepc.sk/?fn=detailBiblioForm&amp;sid=A6FC8A2967B75657EB5EB85F53</v>
      </c>
    </row>
    <row r="1925" spans="3:5" ht="120" x14ac:dyDescent="0.25">
      <c r="C1925" s="15">
        <v>74410</v>
      </c>
      <c r="D1925" s="4" t="s">
        <v>1929</v>
      </c>
      <c r="E1925" s="4" t="str">
        <f>HYPERLINK("https://app.crepc.sk/?fn=detailBiblioForm&amp;sid=096F27157B64E1E046ED12D1")</f>
        <v>https://app.crepc.sk/?fn=detailBiblioForm&amp;sid=096F27157B64E1E046ED12D1</v>
      </c>
    </row>
    <row r="1926" spans="3:5" ht="75" x14ac:dyDescent="0.25">
      <c r="C1926" s="15">
        <v>208122</v>
      </c>
      <c r="D1926" s="4" t="s">
        <v>1930</v>
      </c>
      <c r="E1926" s="4" t="str">
        <f>HYPERLINK("https://app.crepc.sk/?fn=detailBiblioForm&amp;sid=D6473325855F1BB406218619C8")</f>
        <v>https://app.crepc.sk/?fn=detailBiblioForm&amp;sid=D6473325855F1BB406218619C8</v>
      </c>
    </row>
    <row r="1927" spans="3:5" ht="120" x14ac:dyDescent="0.25">
      <c r="C1927" s="15">
        <v>226717</v>
      </c>
      <c r="D1927" s="4" t="s">
        <v>1931</v>
      </c>
      <c r="E1927" s="4" t="str">
        <f>HYPERLINK("https://app.crepc.sk/?fn=detailBiblioForm&amp;sid=DE97830A346A9BF5CDBF5C27D0")</f>
        <v>https://app.crepc.sk/?fn=detailBiblioForm&amp;sid=DE97830A346A9BF5CDBF5C27D0</v>
      </c>
    </row>
    <row r="1928" spans="3:5" ht="105" x14ac:dyDescent="0.25">
      <c r="C1928" s="15">
        <v>51288</v>
      </c>
      <c r="D1928" s="4" t="s">
        <v>1932</v>
      </c>
      <c r="E1928" s="4" t="str">
        <f>HYPERLINK("https://app.crepc.sk/?fn=detailBiblioForm&amp;sid=10268AE5B07891EC70B2AC09")</f>
        <v>https://app.crepc.sk/?fn=detailBiblioForm&amp;sid=10268AE5B07891EC70B2AC09</v>
      </c>
    </row>
    <row r="1929" spans="3:5" ht="105" x14ac:dyDescent="0.25">
      <c r="C1929" s="15">
        <v>119716</v>
      </c>
      <c r="D1929" s="4" t="s">
        <v>1933</v>
      </c>
      <c r="E1929" s="4" t="str">
        <f>HYPERLINK("https://app.crepc.sk/?fn=detailBiblioForm&amp;sid=B5D677CC38484FF0569B3AF3C2")</f>
        <v>https://app.crepc.sk/?fn=detailBiblioForm&amp;sid=B5D677CC38484FF0569B3AF3C2</v>
      </c>
    </row>
    <row r="1930" spans="3:5" ht="90" x14ac:dyDescent="0.25">
      <c r="C1930" s="15">
        <v>68559</v>
      </c>
      <c r="D1930" s="4" t="s">
        <v>1934</v>
      </c>
      <c r="E1930" s="4" t="str">
        <f>HYPERLINK("https://app.crepc.sk/?fn=detailBiblioForm&amp;sid=5A3A7375C21C7AE1766B447F")</f>
        <v>https://app.crepc.sk/?fn=detailBiblioForm&amp;sid=5A3A7375C21C7AE1766B447F</v>
      </c>
    </row>
    <row r="1931" spans="3:5" ht="135" x14ac:dyDescent="0.25">
      <c r="C1931" s="15">
        <v>307712</v>
      </c>
      <c r="D1931" s="4" t="s">
        <v>1935</v>
      </c>
      <c r="E1931" s="4" t="str">
        <f>HYPERLINK("https://app.crepc.sk/?fn=detailBiblioForm&amp;sid=D300494292311A148B0A9C5B89")</f>
        <v>https://app.crepc.sk/?fn=detailBiblioForm&amp;sid=D300494292311A148B0A9C5B89</v>
      </c>
    </row>
    <row r="1932" spans="3:5" ht="120" x14ac:dyDescent="0.25">
      <c r="C1932" s="15">
        <v>239524</v>
      </c>
      <c r="D1932" s="4" t="s">
        <v>1936</v>
      </c>
      <c r="E1932" s="4" t="str">
        <f>HYPERLINK("https://app.crepc.sk/?fn=detailBiblioForm&amp;sid=B320F1BF23C35CD233CB9D5B47")</f>
        <v>https://app.crepc.sk/?fn=detailBiblioForm&amp;sid=B320F1BF23C35CD233CB9D5B47</v>
      </c>
    </row>
    <row r="1933" spans="3:5" ht="105" x14ac:dyDescent="0.25">
      <c r="C1933" s="15">
        <v>200594</v>
      </c>
      <c r="D1933" s="4" t="s">
        <v>1937</v>
      </c>
      <c r="E1933" s="4" t="str">
        <f>HYPERLINK("https://app.crepc.sk/?fn=detailBiblioForm&amp;sid=91D350D805BE9AB6A38F715CC5")</f>
        <v>https://app.crepc.sk/?fn=detailBiblioForm&amp;sid=91D350D805BE9AB6A38F715CC5</v>
      </c>
    </row>
    <row r="1934" spans="3:5" ht="105" x14ac:dyDescent="0.25">
      <c r="C1934" s="15">
        <v>51604</v>
      </c>
      <c r="D1934" s="4" t="s">
        <v>1938</v>
      </c>
      <c r="E1934" s="4" t="str">
        <f>HYPERLINK("https://app.crepc.sk/?fn=detailBiblioForm&amp;sid=48DA8DFE6606DDBBC16DCD9F")</f>
        <v>https://app.crepc.sk/?fn=detailBiblioForm&amp;sid=48DA8DFE6606DDBBC16DCD9F</v>
      </c>
    </row>
    <row r="1935" spans="3:5" ht="75" x14ac:dyDescent="0.25">
      <c r="C1935" s="15">
        <v>442324</v>
      </c>
      <c r="D1935" s="4" t="s">
        <v>1939</v>
      </c>
      <c r="E1935" s="4" t="str">
        <f>HYPERLINK("https://app.crepc.sk/?fn=detailBiblioForm&amp;sid=F661DE2421DD595D56C962841D")</f>
        <v>https://app.crepc.sk/?fn=detailBiblioForm&amp;sid=F661DE2421DD595D56C962841D</v>
      </c>
    </row>
    <row r="1936" spans="3:5" ht="105" x14ac:dyDescent="0.25">
      <c r="C1936" s="15">
        <v>164094</v>
      </c>
      <c r="D1936" s="4" t="s">
        <v>1940</v>
      </c>
      <c r="E1936" s="4" t="str">
        <f>HYPERLINK("https://app.crepc.sk/?fn=detailBiblioForm&amp;sid=C66CE58CAAF5BE605566333172")</f>
        <v>https://app.crepc.sk/?fn=detailBiblioForm&amp;sid=C66CE58CAAF5BE605566333172</v>
      </c>
    </row>
    <row r="1937" spans="3:5" ht="90" x14ac:dyDescent="0.25">
      <c r="C1937" s="15">
        <v>60233</v>
      </c>
      <c r="D1937" s="4" t="s">
        <v>1941</v>
      </c>
      <c r="E1937" s="4" t="str">
        <f>HYPERLINK("https://app.crepc.sk/?fn=detailBiblioForm&amp;sid=D55948F36C76534DAD02573F")</f>
        <v>https://app.crepc.sk/?fn=detailBiblioForm&amp;sid=D55948F36C76534DAD02573F</v>
      </c>
    </row>
    <row r="1938" spans="3:5" ht="90" x14ac:dyDescent="0.25">
      <c r="C1938" s="15">
        <v>190792</v>
      </c>
      <c r="D1938" s="4" t="s">
        <v>1942</v>
      </c>
      <c r="E1938" s="4" t="str">
        <f>HYPERLINK("https://app.crepc.sk/?fn=detailBiblioForm&amp;sid=85F24FAEE6A4EF8254885ABDD5")</f>
        <v>https://app.crepc.sk/?fn=detailBiblioForm&amp;sid=85F24FAEE6A4EF8254885ABDD5</v>
      </c>
    </row>
    <row r="1939" spans="3:5" ht="105" x14ac:dyDescent="0.25">
      <c r="C1939" s="15">
        <v>51685</v>
      </c>
      <c r="D1939" s="4" t="s">
        <v>1943</v>
      </c>
      <c r="E1939" s="4" t="str">
        <f>HYPERLINK("https://app.crepc.sk/?fn=detailBiblioForm&amp;sid=83A3B58AEE0B5D70C124B4F0")</f>
        <v>https://app.crepc.sk/?fn=detailBiblioForm&amp;sid=83A3B58AEE0B5D70C124B4F0</v>
      </c>
    </row>
    <row r="1940" spans="3:5" ht="105" x14ac:dyDescent="0.25">
      <c r="C1940" s="15">
        <v>124961</v>
      </c>
      <c r="D1940" s="4" t="s">
        <v>1944</v>
      </c>
      <c r="E1940" s="4" t="str">
        <f>HYPERLINK("https://app.crepc.sk/?fn=detailBiblioForm&amp;sid=5D21D4E84343AF6ACF91277571")</f>
        <v>https://app.crepc.sk/?fn=detailBiblioForm&amp;sid=5D21D4E84343AF6ACF91277571</v>
      </c>
    </row>
    <row r="1941" spans="3:5" ht="90" x14ac:dyDescent="0.25">
      <c r="C1941" s="15">
        <v>179859</v>
      </c>
      <c r="D1941" s="4" t="s">
        <v>1945</v>
      </c>
      <c r="E1941" s="4" t="str">
        <f>HYPERLINK("https://app.crepc.sk/?fn=detailBiblioForm&amp;sid=1EA8DF3C7C88A4423AA843445F")</f>
        <v>https://app.crepc.sk/?fn=detailBiblioForm&amp;sid=1EA8DF3C7C88A4423AA843445F</v>
      </c>
    </row>
    <row r="1942" spans="3:5" ht="105" x14ac:dyDescent="0.25">
      <c r="C1942" s="15">
        <v>144408</v>
      </c>
      <c r="D1942" s="4" t="s">
        <v>1946</v>
      </c>
      <c r="E1942" s="4" t="str">
        <f>HYPERLINK("https://app.crepc.sk/?fn=detailBiblioForm&amp;sid=D46893ECD122FB25D6AED068C2")</f>
        <v>https://app.crepc.sk/?fn=detailBiblioForm&amp;sid=D46893ECD122FB25D6AED068C2</v>
      </c>
    </row>
    <row r="1943" spans="3:5" ht="120" x14ac:dyDescent="0.25">
      <c r="C1943" s="15">
        <v>413879</v>
      </c>
      <c r="D1943" s="4" t="s">
        <v>1947</v>
      </c>
      <c r="E1943" s="4" t="str">
        <f>HYPERLINK("https://app.crepc.sk/?fn=detailBiblioForm&amp;sid=0666E4DD92649C3D16547B444D")</f>
        <v>https://app.crepc.sk/?fn=detailBiblioForm&amp;sid=0666E4DD92649C3D16547B444D</v>
      </c>
    </row>
    <row r="1944" spans="3:5" ht="135" x14ac:dyDescent="0.25">
      <c r="C1944" s="15">
        <v>110518</v>
      </c>
      <c r="D1944" s="4" t="s">
        <v>1948</v>
      </c>
      <c r="E1944" s="4" t="str">
        <f>HYPERLINK("https://app.crepc.sk/?fn=detailBiblioForm&amp;sid=81F62E49FBBAAFB06E8EFD4D2B")</f>
        <v>https://app.crepc.sk/?fn=detailBiblioForm&amp;sid=81F62E49FBBAAFB06E8EFD4D2B</v>
      </c>
    </row>
    <row r="1945" spans="3:5" ht="105" x14ac:dyDescent="0.25">
      <c r="C1945" s="15">
        <v>51647</v>
      </c>
      <c r="D1945" s="4" t="s">
        <v>1949</v>
      </c>
      <c r="E1945" s="4" t="str">
        <f>HYPERLINK("https://app.crepc.sk/?fn=detailBiblioForm&amp;sid=161F9540D2A407F8EF3305E2")</f>
        <v>https://app.crepc.sk/?fn=detailBiblioForm&amp;sid=161F9540D2A407F8EF3305E2</v>
      </c>
    </row>
    <row r="1946" spans="3:5" ht="105" x14ac:dyDescent="0.25">
      <c r="C1946" s="15">
        <v>119025</v>
      </c>
      <c r="D1946" s="4" t="s">
        <v>1950</v>
      </c>
      <c r="E1946" s="4" t="str">
        <f>HYPERLINK("https://app.crepc.sk/?fn=detailBiblioForm&amp;sid=48914484AAB39F5B9D0D3BEE0B")</f>
        <v>https://app.crepc.sk/?fn=detailBiblioForm&amp;sid=48914484AAB39F5B9D0D3BEE0B</v>
      </c>
    </row>
    <row r="1947" spans="3:5" ht="105" x14ac:dyDescent="0.25">
      <c r="C1947" s="15">
        <v>215735</v>
      </c>
      <c r="D1947" s="4" t="s">
        <v>1951</v>
      </c>
      <c r="E1947" s="4" t="str">
        <f>HYPERLINK("https://app.crepc.sk/?fn=detailBiblioForm&amp;sid=8D210FFAAFF670BF4B6374A2B3")</f>
        <v>https://app.crepc.sk/?fn=detailBiblioForm&amp;sid=8D210FFAAFF670BF4B6374A2B3</v>
      </c>
    </row>
    <row r="1948" spans="3:5" ht="90" x14ac:dyDescent="0.25">
      <c r="C1948" s="15">
        <v>242882</v>
      </c>
      <c r="D1948" s="4" t="s">
        <v>1952</v>
      </c>
      <c r="E1948" s="4" t="str">
        <f>HYPERLINK("https://app.crepc.sk/?fn=detailBiblioForm&amp;sid=11BB39C9E8B430AECCFFE2A5C9")</f>
        <v>https://app.crepc.sk/?fn=detailBiblioForm&amp;sid=11BB39C9E8B430AECCFFE2A5C9</v>
      </c>
    </row>
    <row r="1949" spans="3:5" ht="105" x14ac:dyDescent="0.25">
      <c r="C1949" s="15">
        <v>255732</v>
      </c>
      <c r="D1949" s="4" t="s">
        <v>1953</v>
      </c>
      <c r="E1949" s="4" t="str">
        <f>HYPERLINK("https://app.crepc.sk/?fn=detailBiblioForm&amp;sid=918F0144324B7C45718371E1CF")</f>
        <v>https://app.crepc.sk/?fn=detailBiblioForm&amp;sid=918F0144324B7C45718371E1CF</v>
      </c>
    </row>
    <row r="1950" spans="3:5" ht="90" x14ac:dyDescent="0.25">
      <c r="C1950" s="15">
        <v>140626</v>
      </c>
      <c r="D1950" s="4" t="s">
        <v>1954</v>
      </c>
      <c r="E1950" s="4" t="str">
        <f>HYPERLINK("https://app.crepc.sk/?fn=detailBiblioForm&amp;sid=63B76DDB09E75D01403D855B57")</f>
        <v>https://app.crepc.sk/?fn=detailBiblioForm&amp;sid=63B76DDB09E75D01403D855B57</v>
      </c>
    </row>
    <row r="1951" spans="3:5" ht="105" x14ac:dyDescent="0.25">
      <c r="C1951" s="15">
        <v>156077</v>
      </c>
      <c r="D1951" s="4" t="s">
        <v>1955</v>
      </c>
      <c r="E1951" s="4" t="str">
        <f>HYPERLINK("https://app.crepc.sk/?fn=detailBiblioForm&amp;sid=F284FC460F7B017327A9C6CCA0")</f>
        <v>https://app.crepc.sk/?fn=detailBiblioForm&amp;sid=F284FC460F7B017327A9C6CCA0</v>
      </c>
    </row>
    <row r="1952" spans="3:5" ht="120" x14ac:dyDescent="0.25">
      <c r="C1952" s="15">
        <v>179282</v>
      </c>
      <c r="D1952" s="4" t="s">
        <v>1956</v>
      </c>
      <c r="E1952" s="4" t="str">
        <f>HYPERLINK("https://app.crepc.sk/?fn=detailBiblioForm&amp;sid=4B1C4D75B6D4960DF5A569EC63")</f>
        <v>https://app.crepc.sk/?fn=detailBiblioForm&amp;sid=4B1C4D75B6D4960DF5A569EC63</v>
      </c>
    </row>
    <row r="1953" spans="3:5" ht="105" x14ac:dyDescent="0.25">
      <c r="C1953" s="15">
        <v>211551</v>
      </c>
      <c r="D1953" s="4" t="s">
        <v>1957</v>
      </c>
      <c r="E1953" s="4" t="str">
        <f>HYPERLINK("https://app.crepc.sk/?fn=detailBiblioForm&amp;sid=D6132714D64CD717D0822C425E")</f>
        <v>https://app.crepc.sk/?fn=detailBiblioForm&amp;sid=D6132714D64CD717D0822C425E</v>
      </c>
    </row>
    <row r="1954" spans="3:5" ht="75" x14ac:dyDescent="0.25">
      <c r="C1954" s="15">
        <v>306286</v>
      </c>
      <c r="D1954" s="4" t="s">
        <v>1958</v>
      </c>
      <c r="E1954" s="4" t="str">
        <f>HYPERLINK("https://app.crepc.sk/?fn=detailBiblioForm&amp;sid=2BC820A3AFEB8539DCB5A78DDC")</f>
        <v>https://app.crepc.sk/?fn=detailBiblioForm&amp;sid=2BC820A3AFEB8539DCB5A78DDC</v>
      </c>
    </row>
    <row r="1955" spans="3:5" ht="105" x14ac:dyDescent="0.25">
      <c r="C1955" s="15">
        <v>188302</v>
      </c>
      <c r="D1955" s="4" t="s">
        <v>1959</v>
      </c>
      <c r="E1955" s="4" t="str">
        <f>HYPERLINK("https://app.crepc.sk/?fn=detailBiblioForm&amp;sid=0B2113943BE8BD1B39ED9DC86B")</f>
        <v>https://app.crepc.sk/?fn=detailBiblioForm&amp;sid=0B2113943BE8BD1B39ED9DC86B</v>
      </c>
    </row>
    <row r="1956" spans="3:5" ht="105" x14ac:dyDescent="0.25">
      <c r="C1956" s="15">
        <v>252012</v>
      </c>
      <c r="D1956" s="4" t="s">
        <v>1960</v>
      </c>
      <c r="E1956" s="4" t="str">
        <f>HYPERLINK("https://app.crepc.sk/?fn=detailBiblioForm&amp;sid=71A15F8E919EB76CA1028A003E")</f>
        <v>https://app.crepc.sk/?fn=detailBiblioForm&amp;sid=71A15F8E919EB76CA1028A003E</v>
      </c>
    </row>
    <row r="1957" spans="3:5" ht="105" x14ac:dyDescent="0.25">
      <c r="C1957" s="15">
        <v>117963</v>
      </c>
      <c r="D1957" s="4" t="s">
        <v>1961</v>
      </c>
      <c r="E1957" s="4" t="str">
        <f>HYPERLINK("https://app.crepc.sk/?fn=detailBiblioForm&amp;sid=3D317B62F21FC1F80668A5D51B")</f>
        <v>https://app.crepc.sk/?fn=detailBiblioForm&amp;sid=3D317B62F21FC1F80668A5D51B</v>
      </c>
    </row>
    <row r="1958" spans="3:5" ht="75" x14ac:dyDescent="0.25">
      <c r="C1958" s="15">
        <v>138201</v>
      </c>
      <c r="D1958" s="4" t="s">
        <v>1962</v>
      </c>
      <c r="E1958" s="4" t="str">
        <f>HYPERLINK("https://app.crepc.sk/?fn=detailBiblioForm&amp;sid=145E94B5E4A069A604FE3DD195")</f>
        <v>https://app.crepc.sk/?fn=detailBiblioForm&amp;sid=145E94B5E4A069A604FE3DD195</v>
      </c>
    </row>
    <row r="1959" spans="3:5" ht="105" x14ac:dyDescent="0.25">
      <c r="C1959" s="15">
        <v>58353</v>
      </c>
      <c r="D1959" s="4" t="s">
        <v>1963</v>
      </c>
      <c r="E1959" s="4" t="str">
        <f>HYPERLINK("https://app.crepc.sk/?fn=detailBiblioForm&amp;sid=B079C155783570B5E77FB552")</f>
        <v>https://app.crepc.sk/?fn=detailBiblioForm&amp;sid=B079C155783570B5E77FB552</v>
      </c>
    </row>
    <row r="1960" spans="3:5" ht="105" x14ac:dyDescent="0.25">
      <c r="C1960" s="15">
        <v>51070</v>
      </c>
      <c r="D1960" s="4" t="s">
        <v>1964</v>
      </c>
      <c r="E1960" s="4" t="str">
        <f>HYPERLINK("https://app.crepc.sk/?fn=detailBiblioForm&amp;sid=34A53E83A1392535473FF089")</f>
        <v>https://app.crepc.sk/?fn=detailBiblioForm&amp;sid=34A53E83A1392535473FF089</v>
      </c>
    </row>
    <row r="1961" spans="3:5" ht="90" x14ac:dyDescent="0.25">
      <c r="C1961" s="15">
        <v>239494</v>
      </c>
      <c r="D1961" s="4" t="s">
        <v>1965</v>
      </c>
      <c r="E1961" s="4" t="str">
        <f>HYPERLINK("https://app.crepc.sk/?fn=detailBiblioForm&amp;sid=4A5C07365C251AC1AE93826BDE")</f>
        <v>https://app.crepc.sk/?fn=detailBiblioForm&amp;sid=4A5C07365C251AC1AE93826BDE</v>
      </c>
    </row>
    <row r="1962" spans="3:5" ht="120" x14ac:dyDescent="0.25">
      <c r="C1962" s="15">
        <v>209989</v>
      </c>
      <c r="D1962" s="4" t="s">
        <v>1966</v>
      </c>
      <c r="E1962" s="4" t="str">
        <f>HYPERLINK("https://app.crepc.sk/?fn=detailBiblioForm&amp;sid=D8D02EEB6AC17E0F2DFC1AD22F")</f>
        <v>https://app.crepc.sk/?fn=detailBiblioForm&amp;sid=D8D02EEB6AC17E0F2DFC1AD22F</v>
      </c>
    </row>
    <row r="1963" spans="3:5" ht="120" x14ac:dyDescent="0.25">
      <c r="C1963" s="15">
        <v>247379</v>
      </c>
      <c r="D1963" s="4" t="s">
        <v>1967</v>
      </c>
      <c r="E1963" s="4" t="str">
        <f>HYPERLINK("https://app.crepc.sk/?fn=detailBiblioForm&amp;sid=D914BD9F0400FF3A711C287E4B")</f>
        <v>https://app.crepc.sk/?fn=detailBiblioForm&amp;sid=D914BD9F0400FF3A711C287E4B</v>
      </c>
    </row>
    <row r="1964" spans="3:5" ht="135" x14ac:dyDescent="0.25">
      <c r="C1964" s="15">
        <v>316157</v>
      </c>
      <c r="D1964" s="4" t="s">
        <v>1968</v>
      </c>
      <c r="E1964" s="4" t="str">
        <f>HYPERLINK("https://app.crepc.sk/?fn=detailBiblioForm&amp;sid=C23E7C285E3A8C28F26DE56553")</f>
        <v>https://app.crepc.sk/?fn=detailBiblioForm&amp;sid=C23E7C285E3A8C28F26DE56553</v>
      </c>
    </row>
    <row r="1965" spans="3:5" ht="120" x14ac:dyDescent="0.25">
      <c r="C1965" s="15">
        <v>210452</v>
      </c>
      <c r="D1965" s="4" t="s">
        <v>1969</v>
      </c>
      <c r="E1965" s="4" t="str">
        <f>HYPERLINK("https://app.crepc.sk/?fn=detailBiblioForm&amp;sid=E55DCE22101B45A9691C24B861")</f>
        <v>https://app.crepc.sk/?fn=detailBiblioForm&amp;sid=E55DCE22101B45A9691C24B861</v>
      </c>
    </row>
    <row r="1966" spans="3:5" ht="120" x14ac:dyDescent="0.25">
      <c r="C1966" s="15">
        <v>128682</v>
      </c>
      <c r="D1966" s="4" t="s">
        <v>1970</v>
      </c>
      <c r="E1966" s="4" t="str">
        <f>HYPERLINK("https://app.crepc.sk/?fn=detailBiblioForm&amp;sid=B4445163FE48F42C595087536D")</f>
        <v>https://app.crepc.sk/?fn=detailBiblioForm&amp;sid=B4445163FE48F42C595087536D</v>
      </c>
    </row>
    <row r="1967" spans="3:5" ht="120" x14ac:dyDescent="0.25">
      <c r="C1967" s="15">
        <v>197963</v>
      </c>
      <c r="D1967" s="4" t="s">
        <v>1971</v>
      </c>
      <c r="E1967" s="4" t="str">
        <f>HYPERLINK("https://app.crepc.sk/?fn=detailBiblioForm&amp;sid=004C457043B491283427246AEF")</f>
        <v>https://app.crepc.sk/?fn=detailBiblioForm&amp;sid=004C457043B491283427246AEF</v>
      </c>
    </row>
    <row r="1968" spans="3:5" ht="120" x14ac:dyDescent="0.25">
      <c r="C1968" s="15">
        <v>116218</v>
      </c>
      <c r="D1968" s="4" t="s">
        <v>1972</v>
      </c>
      <c r="E1968" s="4" t="str">
        <f>HYPERLINK("https://app.crepc.sk/?fn=detailBiblioForm&amp;sid=E13542FA17D51230289C563330")</f>
        <v>https://app.crepc.sk/?fn=detailBiblioForm&amp;sid=E13542FA17D51230289C563330</v>
      </c>
    </row>
    <row r="1969" spans="3:5" ht="75" x14ac:dyDescent="0.25">
      <c r="C1969" s="15">
        <v>310091</v>
      </c>
      <c r="D1969" s="4" t="s">
        <v>1973</v>
      </c>
      <c r="E1969" s="4" t="str">
        <f>HYPERLINK("https://app.crepc.sk/?fn=detailBiblioForm&amp;sid=F566C6E0CB47072BF5EF22F69C")</f>
        <v>https://app.crepc.sk/?fn=detailBiblioForm&amp;sid=F566C6E0CB47072BF5EF22F69C</v>
      </c>
    </row>
    <row r="1970" spans="3:5" ht="120" x14ac:dyDescent="0.25">
      <c r="C1970" s="15">
        <v>198247</v>
      </c>
      <c r="D1970" s="4" t="s">
        <v>1974</v>
      </c>
      <c r="E1970" s="4" t="str">
        <f>HYPERLINK("https://app.crepc.sk/?fn=detailBiblioForm&amp;sid=5D87752206D8162BCCB7B09268")</f>
        <v>https://app.crepc.sk/?fn=detailBiblioForm&amp;sid=5D87752206D8162BCCB7B09268</v>
      </c>
    </row>
    <row r="1971" spans="3:5" ht="90" x14ac:dyDescent="0.25">
      <c r="C1971" s="15">
        <v>127352</v>
      </c>
      <c r="D1971" s="4" t="s">
        <v>1975</v>
      </c>
      <c r="E1971" s="4" t="str">
        <f>HYPERLINK("https://app.crepc.sk/?fn=detailBiblioForm&amp;sid=5D4D29B46C695A5DF49A722909")</f>
        <v>https://app.crepc.sk/?fn=detailBiblioForm&amp;sid=5D4D29B46C695A5DF49A722909</v>
      </c>
    </row>
    <row r="1972" spans="3:5" ht="75" x14ac:dyDescent="0.25">
      <c r="C1972" s="15">
        <v>64757</v>
      </c>
      <c r="D1972" s="4" t="s">
        <v>1976</v>
      </c>
      <c r="E1972" s="4" t="str">
        <f>HYPERLINK("https://app.crepc.sk/?fn=detailBiblioForm&amp;sid=20B54377D836BCA8D52C846F")</f>
        <v>https://app.crepc.sk/?fn=detailBiblioForm&amp;sid=20B54377D836BCA8D52C846F</v>
      </c>
    </row>
    <row r="1973" spans="3:5" ht="120" x14ac:dyDescent="0.25">
      <c r="C1973" s="15">
        <v>125065</v>
      </c>
      <c r="D1973" s="4" t="s">
        <v>1977</v>
      </c>
      <c r="E1973" s="4" t="str">
        <f>HYPERLINK("https://app.crepc.sk/?fn=detailBiblioForm&amp;sid=ACBBACF06A26C1C925C4BFCB53")</f>
        <v>https://app.crepc.sk/?fn=detailBiblioForm&amp;sid=ACBBACF06A26C1C925C4BFCB53</v>
      </c>
    </row>
    <row r="1974" spans="3:5" ht="90" x14ac:dyDescent="0.25">
      <c r="C1974" s="15">
        <v>50960</v>
      </c>
      <c r="D1974" s="4" t="s">
        <v>1978</v>
      </c>
      <c r="E1974" s="4" t="str">
        <f>HYPERLINK("https://app.crepc.sk/?fn=detailBiblioForm&amp;sid=8459A812E3F731A38DEAFBAF")</f>
        <v>https://app.crepc.sk/?fn=detailBiblioForm&amp;sid=8459A812E3F731A38DEAFBAF</v>
      </c>
    </row>
    <row r="1975" spans="3:5" ht="120" x14ac:dyDescent="0.25">
      <c r="C1975" s="15">
        <v>442315</v>
      </c>
      <c r="D1975" s="4" t="s">
        <v>1979</v>
      </c>
      <c r="E1975" s="4" t="str">
        <f>HYPERLINK("https://app.crepc.sk/?fn=detailBiblioForm&amp;sid=F661DE2421DD595D55C862841D")</f>
        <v>https://app.crepc.sk/?fn=detailBiblioForm&amp;sid=F661DE2421DD595D55C862841D</v>
      </c>
    </row>
    <row r="1976" spans="3:5" ht="90" x14ac:dyDescent="0.25">
      <c r="C1976" s="15">
        <v>51272</v>
      </c>
      <c r="D1976" s="4" t="s">
        <v>1980</v>
      </c>
      <c r="E1976" s="4" t="str">
        <f>HYPERLINK("https://app.crepc.sk/?fn=detailBiblioForm&amp;sid=AB90D1484F35CB78659503B3")</f>
        <v>https://app.crepc.sk/?fn=detailBiblioForm&amp;sid=AB90D1484F35CB78659503B3</v>
      </c>
    </row>
    <row r="1977" spans="3:5" ht="90" x14ac:dyDescent="0.25">
      <c r="C1977" s="15">
        <v>227813</v>
      </c>
      <c r="D1977" s="4" t="s">
        <v>1981</v>
      </c>
      <c r="E1977" s="4" t="str">
        <f>HYPERLINK("https://app.crepc.sk/?fn=detailBiblioForm&amp;sid=D57B83470BBFCEC226853FD33C")</f>
        <v>https://app.crepc.sk/?fn=detailBiblioForm&amp;sid=D57B83470BBFCEC226853FD33C</v>
      </c>
    </row>
    <row r="1978" spans="3:5" ht="135" x14ac:dyDescent="0.25">
      <c r="C1978" s="15">
        <v>239788</v>
      </c>
      <c r="D1978" s="4" t="s">
        <v>1982</v>
      </c>
      <c r="E1978" s="4" t="str">
        <f>HYPERLINK("https://app.crepc.sk/?fn=detailBiblioForm&amp;sid=A4F1A10991D589A5FFBA74EC38")</f>
        <v>https://app.crepc.sk/?fn=detailBiblioForm&amp;sid=A4F1A10991D589A5FFBA74EC38</v>
      </c>
    </row>
    <row r="1979" spans="3:5" ht="105" x14ac:dyDescent="0.25">
      <c r="C1979" s="15">
        <v>73024</v>
      </c>
      <c r="D1979" s="4" t="s">
        <v>1983</v>
      </c>
      <c r="E1979" s="4" t="str">
        <f>HYPERLINK("https://app.crepc.sk/?fn=detailBiblioForm&amp;sid=37B937AA459DB4458F471DBB")</f>
        <v>https://app.crepc.sk/?fn=detailBiblioForm&amp;sid=37B937AA459DB4458F471DBB</v>
      </c>
    </row>
    <row r="1980" spans="3:5" ht="90" x14ac:dyDescent="0.25">
      <c r="C1980" s="15">
        <v>119857</v>
      </c>
      <c r="D1980" s="4" t="s">
        <v>1984</v>
      </c>
      <c r="E1980" s="4" t="str">
        <f>HYPERLINK("https://app.crepc.sk/?fn=detailBiblioForm&amp;sid=ED186B153EF2F632FE49723008")</f>
        <v>https://app.crepc.sk/?fn=detailBiblioForm&amp;sid=ED186B153EF2F632FE49723008</v>
      </c>
    </row>
    <row r="1981" spans="3:5" ht="105" x14ac:dyDescent="0.25">
      <c r="C1981" s="15">
        <v>219462</v>
      </c>
      <c r="D1981" s="4" t="s">
        <v>1985</v>
      </c>
      <c r="E1981" s="4" t="str">
        <f>HYPERLINK("https://app.crepc.sk/?fn=detailBiblioForm&amp;sid=8474A37DD4CFE78510578DE929")</f>
        <v>https://app.crepc.sk/?fn=detailBiblioForm&amp;sid=8474A37DD4CFE78510578DE929</v>
      </c>
    </row>
    <row r="1982" spans="3:5" ht="120" x14ac:dyDescent="0.25">
      <c r="C1982" s="15">
        <v>251727</v>
      </c>
      <c r="D1982" s="4" t="s">
        <v>1986</v>
      </c>
      <c r="E1982" s="4" t="str">
        <f>HYPERLINK("https://app.crepc.sk/?fn=detailBiblioForm&amp;sid=8B77F98A6A3600294D41F5426B")</f>
        <v>https://app.crepc.sk/?fn=detailBiblioForm&amp;sid=8B77F98A6A3600294D41F5426B</v>
      </c>
    </row>
    <row r="1983" spans="3:5" ht="90" x14ac:dyDescent="0.25">
      <c r="C1983" s="15">
        <v>162762</v>
      </c>
      <c r="D1983" s="4" t="s">
        <v>1987</v>
      </c>
      <c r="E1983" s="4" t="str">
        <f>HYPERLINK("https://app.crepc.sk/?fn=detailBiblioForm&amp;sid=56521031C266C9A2A83C6C1603")</f>
        <v>https://app.crepc.sk/?fn=detailBiblioForm&amp;sid=56521031C266C9A2A83C6C1603</v>
      </c>
    </row>
    <row r="1984" spans="3:5" ht="120" x14ac:dyDescent="0.25">
      <c r="C1984" s="15">
        <v>436046</v>
      </c>
      <c r="D1984" s="4" t="s">
        <v>1988</v>
      </c>
      <c r="E1984" s="4" t="str">
        <f>HYPERLINK("https://app.crepc.sk/?fn=detailBiblioForm&amp;sid=0D8840D8555AF42F40846A8F01")</f>
        <v>https://app.crepc.sk/?fn=detailBiblioForm&amp;sid=0D8840D8555AF42F40846A8F01</v>
      </c>
    </row>
    <row r="1985" spans="3:5" ht="75" x14ac:dyDescent="0.25">
      <c r="C1985" s="15">
        <v>246672</v>
      </c>
      <c r="D1985" s="4" t="s">
        <v>1989</v>
      </c>
      <c r="E1985" s="4" t="str">
        <f>HYPERLINK("https://app.crepc.sk/?fn=detailBiblioForm&amp;sid=2025D45B615FB2B769AB18429C")</f>
        <v>https://app.crepc.sk/?fn=detailBiblioForm&amp;sid=2025D45B615FB2B769AB18429C</v>
      </c>
    </row>
    <row r="1986" spans="3:5" ht="120" x14ac:dyDescent="0.25">
      <c r="C1986" s="15">
        <v>201601</v>
      </c>
      <c r="D1986" s="4" t="s">
        <v>1990</v>
      </c>
      <c r="E1986" s="4" t="str">
        <f>HYPERLINK("https://app.crepc.sk/?fn=detailBiblioForm&amp;sid=707CEFEB8D2EA66AE59D387CAD")</f>
        <v>https://app.crepc.sk/?fn=detailBiblioForm&amp;sid=707CEFEB8D2EA66AE59D387CAD</v>
      </c>
    </row>
    <row r="1987" spans="3:5" ht="105" x14ac:dyDescent="0.25">
      <c r="C1987" s="15">
        <v>209996</v>
      </c>
      <c r="D1987" s="4" t="s">
        <v>1991</v>
      </c>
      <c r="E1987" s="4" t="str">
        <f>HYPERLINK("https://app.crepc.sk/?fn=detailBiblioForm&amp;sid=D8D02EEB6AC17E0F2CF31AD22F")</f>
        <v>https://app.crepc.sk/?fn=detailBiblioForm&amp;sid=D8D02EEB6AC17E0F2CF31AD22F</v>
      </c>
    </row>
    <row r="1988" spans="3:5" ht="75" x14ac:dyDescent="0.25">
      <c r="C1988" s="15">
        <v>128678</v>
      </c>
      <c r="D1988" s="4" t="s">
        <v>1992</v>
      </c>
      <c r="E1988" s="4" t="str">
        <f>HYPERLINK("https://app.crepc.sk/?fn=detailBiblioForm&amp;sid=B4445163FE48F42C565A87536D")</f>
        <v>https://app.crepc.sk/?fn=detailBiblioForm&amp;sid=B4445163FE48F42C565A87536D</v>
      </c>
    </row>
    <row r="1989" spans="3:5" ht="90" x14ac:dyDescent="0.25">
      <c r="C1989" s="15">
        <v>147818</v>
      </c>
      <c r="D1989" s="4" t="s">
        <v>1993</v>
      </c>
      <c r="E1989" s="4" t="str">
        <f>HYPERLINK("https://app.crepc.sk/?fn=detailBiblioForm&amp;sid=FFEED6484134604A3B79C4AE9D")</f>
        <v>https://app.crepc.sk/?fn=detailBiblioForm&amp;sid=FFEED6484134604A3B79C4AE9D</v>
      </c>
    </row>
    <row r="1990" spans="3:5" ht="90" x14ac:dyDescent="0.25">
      <c r="C1990" s="15">
        <v>176120</v>
      </c>
      <c r="D1990" s="4" t="s">
        <v>1994</v>
      </c>
      <c r="E1990" s="4" t="str">
        <f>HYPERLINK("https://app.crepc.sk/?fn=detailBiblioForm&amp;sid=71469A7EB87E5FAD8A3374F344")</f>
        <v>https://app.crepc.sk/?fn=detailBiblioForm&amp;sid=71469A7EB87E5FAD8A3374F344</v>
      </c>
    </row>
    <row r="1991" spans="3:5" ht="90" x14ac:dyDescent="0.25">
      <c r="C1991" s="15">
        <v>308932</v>
      </c>
      <c r="D1991" s="4" t="s">
        <v>1995</v>
      </c>
      <c r="E1991" s="4" t="str">
        <f>HYPERLINK("https://app.crepc.sk/?fn=detailBiblioForm&amp;sid=D5ABE00A5E503AAC78658C57C1")</f>
        <v>https://app.crepc.sk/?fn=detailBiblioForm&amp;sid=D5ABE00A5E503AAC78658C57C1</v>
      </c>
    </row>
    <row r="1992" spans="3:5" ht="105" x14ac:dyDescent="0.25">
      <c r="C1992" s="15">
        <v>112491</v>
      </c>
      <c r="D1992" s="4" t="s">
        <v>1996</v>
      </c>
      <c r="E1992" s="4" t="str">
        <f>HYPERLINK("https://app.crepc.sk/?fn=detailBiblioForm&amp;sid=6B00E789183A492A9F4EB14C71")</f>
        <v>https://app.crepc.sk/?fn=detailBiblioForm&amp;sid=6B00E789183A492A9F4EB14C71</v>
      </c>
    </row>
    <row r="1993" spans="3:5" ht="135" x14ac:dyDescent="0.25">
      <c r="C1993" s="15">
        <v>179299</v>
      </c>
      <c r="D1993" s="4" t="s">
        <v>1997</v>
      </c>
      <c r="E1993" s="4" t="str">
        <f>HYPERLINK("https://app.crepc.sk/?fn=detailBiblioForm&amp;sid=4B1C4D75B6D4960DF4AE69EC63")</f>
        <v>https://app.crepc.sk/?fn=detailBiblioForm&amp;sid=4B1C4D75B6D4960DF4AE69EC63</v>
      </c>
    </row>
    <row r="1994" spans="3:5" ht="75" x14ac:dyDescent="0.25">
      <c r="C1994" s="15">
        <v>131236</v>
      </c>
      <c r="D1994" s="4" t="s">
        <v>1998</v>
      </c>
      <c r="E1994" s="4" t="str">
        <f>HYPERLINK("https://app.crepc.sk/?fn=detailBiblioForm&amp;sid=286591CBAF51C2F035FD894B8A")</f>
        <v>https://app.crepc.sk/?fn=detailBiblioForm&amp;sid=286591CBAF51C2F035FD894B8A</v>
      </c>
    </row>
    <row r="1995" spans="3:5" ht="75" x14ac:dyDescent="0.25">
      <c r="C1995" s="15">
        <v>112482</v>
      </c>
      <c r="D1995" s="4" t="s">
        <v>1999</v>
      </c>
      <c r="E1995" s="4" t="str">
        <f>HYPERLINK("https://app.crepc.sk/?fn=detailBiblioForm&amp;sid=6B00E789183A492A9E4DB14C71")</f>
        <v>https://app.crepc.sk/?fn=detailBiblioForm&amp;sid=6B00E789183A492A9E4DB14C71</v>
      </c>
    </row>
    <row r="1996" spans="3:5" ht="75" x14ac:dyDescent="0.25">
      <c r="C1996" s="15">
        <v>100235</v>
      </c>
      <c r="D1996" s="4" t="s">
        <v>2000</v>
      </c>
      <c r="E1996" s="4" t="str">
        <f>HYPERLINK("https://app.crepc.sk/?fn=detailBiblioForm&amp;sid=D4E1A2C7A0DFD9B775AA4DD3A7")</f>
        <v>https://app.crepc.sk/?fn=detailBiblioForm&amp;sid=D4E1A2C7A0DFD9B775AA4DD3A7</v>
      </c>
    </row>
    <row r="1997" spans="3:5" ht="150" x14ac:dyDescent="0.25">
      <c r="C1997" s="15">
        <v>188456</v>
      </c>
      <c r="D1997" s="4" t="s">
        <v>2001</v>
      </c>
      <c r="E1997" s="4" t="str">
        <f>HYPERLINK("https://app.crepc.sk/?fn=detailBiblioForm&amp;sid=C5E7B622C4D9F5D41A036EDC3D")</f>
        <v>https://app.crepc.sk/?fn=detailBiblioForm&amp;sid=C5E7B622C4D9F5D41A036EDC3D</v>
      </c>
    </row>
    <row r="1998" spans="3:5" ht="75" x14ac:dyDescent="0.25">
      <c r="C1998" s="15">
        <v>117343</v>
      </c>
      <c r="D1998" s="4" t="s">
        <v>2002</v>
      </c>
      <c r="E1998" s="4" t="str">
        <f>HYPERLINK("https://app.crepc.sk/?fn=detailBiblioForm&amp;sid=CCDF67E7FC0AADE0BBB89FDF23")</f>
        <v>https://app.crepc.sk/?fn=detailBiblioForm&amp;sid=CCDF67E7FC0AADE0BBB89FDF23</v>
      </c>
    </row>
    <row r="1999" spans="3:5" ht="90" x14ac:dyDescent="0.25">
      <c r="C1999" s="15">
        <v>240885</v>
      </c>
      <c r="D1999" s="4" t="s">
        <v>2003</v>
      </c>
      <c r="E1999" s="4" t="str">
        <f>HYPERLINK("https://app.crepc.sk/?fn=detailBiblioForm&amp;sid=5B016660862A0AA54C0022D6A0")</f>
        <v>https://app.crepc.sk/?fn=detailBiblioForm&amp;sid=5B016660862A0AA54C0022D6A0</v>
      </c>
    </row>
    <row r="2000" spans="3:5" ht="120" x14ac:dyDescent="0.25">
      <c r="C2000" s="15">
        <v>162547</v>
      </c>
      <c r="D2000" s="4" t="s">
        <v>2004</v>
      </c>
      <c r="E2000" s="4" t="str">
        <f>HYPERLINK("https://app.crepc.sk/?fn=detailBiblioForm&amp;sid=2D0B46080A5AC858A616D90CF3")</f>
        <v>https://app.crepc.sk/?fn=detailBiblioForm&amp;sid=2D0B46080A5AC858A616D90CF3</v>
      </c>
    </row>
    <row r="2001" spans="3:5" ht="75" x14ac:dyDescent="0.25">
      <c r="C2001" s="15">
        <v>195730</v>
      </c>
      <c r="D2001" s="4" t="s">
        <v>2005</v>
      </c>
      <c r="E2001" s="4" t="str">
        <f>HYPERLINK("https://app.crepc.sk/?fn=detailBiblioForm&amp;sid=295815C2A9E117C13EBAA4E4D3")</f>
        <v>https://app.crepc.sk/?fn=detailBiblioForm&amp;sid=295815C2A9E117C13EBAA4E4D3</v>
      </c>
    </row>
    <row r="2002" spans="3:5" ht="75" x14ac:dyDescent="0.25">
      <c r="C2002" s="15">
        <v>193536</v>
      </c>
      <c r="D2002" s="4" t="s">
        <v>2006</v>
      </c>
      <c r="E2002" s="4" t="str">
        <f>HYPERLINK("https://app.crepc.sk/?fn=detailBiblioForm&amp;sid=80433203F04DA090B5A4FE3FCE")</f>
        <v>https://app.crepc.sk/?fn=detailBiblioForm&amp;sid=80433203F04DA090B5A4FE3FCE</v>
      </c>
    </row>
    <row r="2003" spans="3:5" ht="75" x14ac:dyDescent="0.25">
      <c r="C2003" s="15">
        <v>195733</v>
      </c>
      <c r="D2003" s="4" t="s">
        <v>2007</v>
      </c>
      <c r="E2003" s="4" t="str">
        <f>HYPERLINK("https://app.crepc.sk/?fn=detailBiblioForm&amp;sid=295815C2A9E117C13EB9A4E4D3")</f>
        <v>https://app.crepc.sk/?fn=detailBiblioForm&amp;sid=295815C2A9E117C13EB9A4E4D3</v>
      </c>
    </row>
    <row r="2004" spans="3:5" ht="105" x14ac:dyDescent="0.25">
      <c r="C2004" s="15">
        <v>118803</v>
      </c>
      <c r="D2004" s="4" t="s">
        <v>2008</v>
      </c>
      <c r="E2004" s="4" t="str">
        <f>HYPERLINK("https://app.crepc.sk/?fn=detailBiblioForm&amp;sid=180EDEFD59FD4297482952B590")</f>
        <v>https://app.crepc.sk/?fn=detailBiblioForm&amp;sid=180EDEFD59FD4297482952B590</v>
      </c>
    </row>
    <row r="2005" spans="3:5" ht="105" x14ac:dyDescent="0.25">
      <c r="C2005" s="15">
        <v>256326</v>
      </c>
      <c r="D2005" s="4" t="s">
        <v>2009</v>
      </c>
      <c r="E2005" s="4" t="str">
        <f>HYPERLINK("https://app.crepc.sk/?fn=detailBiblioForm&amp;sid=53338FE5898FBD3D2E996AFB9B")</f>
        <v>https://app.crepc.sk/?fn=detailBiblioForm&amp;sid=53338FE5898FBD3D2E996AFB9B</v>
      </c>
    </row>
    <row r="2006" spans="3:5" ht="75" x14ac:dyDescent="0.25">
      <c r="C2006" s="15">
        <v>436075</v>
      </c>
      <c r="D2006" s="4" t="s">
        <v>2010</v>
      </c>
      <c r="E2006" s="4" t="str">
        <f>HYPERLINK("https://app.crepc.sk/?fn=detailBiblioForm&amp;sid=0D8840D8555AF42F43876A8F01")</f>
        <v>https://app.crepc.sk/?fn=detailBiblioForm&amp;sid=0D8840D8555AF42F43876A8F01</v>
      </c>
    </row>
    <row r="2007" spans="3:5" ht="120" x14ac:dyDescent="0.25">
      <c r="C2007" s="15">
        <v>312489</v>
      </c>
      <c r="D2007" s="4" t="s">
        <v>2011</v>
      </c>
      <c r="E2007" s="4" t="str">
        <f>HYPERLINK("https://app.crepc.sk/?fn=detailBiblioForm&amp;sid=29E831AA7AE2D19107E92E0FED")</f>
        <v>https://app.crepc.sk/?fn=detailBiblioForm&amp;sid=29E831AA7AE2D19107E92E0FED</v>
      </c>
    </row>
    <row r="2008" spans="3:5" ht="90" x14ac:dyDescent="0.25">
      <c r="C2008" s="15">
        <v>228305</v>
      </c>
      <c r="D2008" s="4" t="s">
        <v>2012</v>
      </c>
      <c r="E2008" s="4" t="str">
        <f>HYPERLINK("https://app.crepc.sk/?fn=detailBiblioForm&amp;sid=9F0A74875938D9DB9579861961")</f>
        <v>https://app.crepc.sk/?fn=detailBiblioForm&amp;sid=9F0A74875938D9DB9579861961</v>
      </c>
    </row>
    <row r="2009" spans="3:5" ht="120" x14ac:dyDescent="0.25">
      <c r="C2009" s="15">
        <v>256431</v>
      </c>
      <c r="D2009" s="4" t="s">
        <v>2013</v>
      </c>
      <c r="E2009" s="4" t="str">
        <f>HYPERLINK("https://app.crepc.sk/?fn=detailBiblioForm&amp;sid=44BB10C4879C264292F6FF2721")</f>
        <v>https://app.crepc.sk/?fn=detailBiblioForm&amp;sid=44BB10C4879C264292F6FF2721</v>
      </c>
    </row>
    <row r="2010" spans="3:5" ht="135" x14ac:dyDescent="0.25">
      <c r="C2010" s="15">
        <v>198662</v>
      </c>
      <c r="D2010" s="4" t="s">
        <v>2014</v>
      </c>
      <c r="E2010" s="4" t="str">
        <f>HYPERLINK("https://app.crepc.sk/?fn=detailBiblioForm&amp;sid=401135A7AF766B14FF1CA652F8")</f>
        <v>https://app.crepc.sk/?fn=detailBiblioForm&amp;sid=401135A7AF766B14FF1CA652F8</v>
      </c>
    </row>
    <row r="2011" spans="3:5" ht="75" x14ac:dyDescent="0.25">
      <c r="C2011" s="15">
        <v>144206</v>
      </c>
      <c r="D2011" s="4" t="s">
        <v>2015</v>
      </c>
      <c r="E2011" s="4" t="str">
        <f>HYPERLINK("https://app.crepc.sk/?fn=detailBiblioForm&amp;sid=A8191906ED291B632FA8FBE0BA")</f>
        <v>https://app.crepc.sk/?fn=detailBiblioForm&amp;sid=A8191906ED291B632FA8FBE0BA</v>
      </c>
    </row>
    <row r="2012" spans="3:5" ht="120" x14ac:dyDescent="0.25">
      <c r="C2012" s="15">
        <v>228239</v>
      </c>
      <c r="D2012" s="4" t="s">
        <v>2016</v>
      </c>
      <c r="E2012" s="4" t="str">
        <f>HYPERLINK("https://app.crepc.sk/?fn=detailBiblioForm&amp;sid=AF76E74BF3CFEA1C4791851A00")</f>
        <v>https://app.crepc.sk/?fn=detailBiblioForm&amp;sid=AF76E74BF3CFEA1C4791851A00</v>
      </c>
    </row>
    <row r="2013" spans="3:5" ht="105" x14ac:dyDescent="0.25">
      <c r="C2013" s="15">
        <v>419191</v>
      </c>
      <c r="D2013" s="4" t="s">
        <v>2017</v>
      </c>
      <c r="E2013" s="4" t="str">
        <f>HYPERLINK("https://app.crepc.sk/?fn=detailBiblioForm&amp;sid=52A70A1BEBCB2B356C7D5171DB")</f>
        <v>https://app.crepc.sk/?fn=detailBiblioForm&amp;sid=52A70A1BEBCB2B356C7D5171DB</v>
      </c>
    </row>
    <row r="2014" spans="3:5" ht="105" x14ac:dyDescent="0.25">
      <c r="C2014" s="15">
        <v>151274</v>
      </c>
      <c r="D2014" s="4" t="s">
        <v>2018</v>
      </c>
      <c r="E2014" s="4" t="str">
        <f>HYPERLINK("https://app.crepc.sk/?fn=detailBiblioForm&amp;sid=A6FC8A2967B75657EB52B85F53")</f>
        <v>https://app.crepc.sk/?fn=detailBiblioForm&amp;sid=A6FC8A2967B75657EB52B85F53</v>
      </c>
    </row>
    <row r="2015" spans="3:5" ht="75" x14ac:dyDescent="0.25">
      <c r="C2015" s="15">
        <v>195728</v>
      </c>
      <c r="D2015" s="4" t="s">
        <v>2019</v>
      </c>
      <c r="E2015" s="4" t="str">
        <f>HYPERLINK("https://app.crepc.sk/?fn=detailBiblioForm&amp;sid=295815C2A9E117C13FB2A4E4D3")</f>
        <v>https://app.crepc.sk/?fn=detailBiblioForm&amp;sid=295815C2A9E117C13FB2A4E4D3</v>
      </c>
    </row>
    <row r="2016" spans="3:5" ht="105" x14ac:dyDescent="0.25">
      <c r="C2016" s="15">
        <v>102017</v>
      </c>
      <c r="D2016" s="4" t="s">
        <v>2020</v>
      </c>
      <c r="E2016" s="4" t="str">
        <f>HYPERLINK("https://app.crepc.sk/?fn=detailBiblioForm&amp;sid=BDA81A6FAD770F76A9FD34EE65")</f>
        <v>https://app.crepc.sk/?fn=detailBiblioForm&amp;sid=BDA81A6FAD770F76A9FD34EE65</v>
      </c>
    </row>
    <row r="2017" spans="3:5" ht="105" x14ac:dyDescent="0.25">
      <c r="C2017" s="15">
        <v>423467</v>
      </c>
      <c r="D2017" s="4" t="s">
        <v>2021</v>
      </c>
      <c r="E2017" s="4" t="str">
        <f>HYPERLINK("https://app.crepc.sk/?fn=detailBiblioForm&amp;sid=FA3B7316EF32B7DB82E13C238D")</f>
        <v>https://app.crepc.sk/?fn=detailBiblioForm&amp;sid=FA3B7316EF32B7DB82E13C238D</v>
      </c>
    </row>
    <row r="2018" spans="3:5" ht="135" x14ac:dyDescent="0.25">
      <c r="C2018" s="15">
        <v>219234</v>
      </c>
      <c r="D2018" s="4" t="s">
        <v>2022</v>
      </c>
      <c r="E2018" s="4" t="str">
        <f>HYPERLINK("https://app.crepc.sk/?fn=detailBiblioForm&amp;sid=64D180458FCA690E3DF5681750")</f>
        <v>https://app.crepc.sk/?fn=detailBiblioForm&amp;sid=64D180458FCA690E3DF5681750</v>
      </c>
    </row>
    <row r="2019" spans="3:5" ht="105" x14ac:dyDescent="0.25">
      <c r="C2019" s="15">
        <v>211437</v>
      </c>
      <c r="D2019" s="4" t="s">
        <v>2023</v>
      </c>
      <c r="E2019" s="4" t="str">
        <f>HYPERLINK("https://app.crepc.sk/?fn=detailBiblioForm&amp;sid=E68DA448349DA48E313FAC5BDB")</f>
        <v>https://app.crepc.sk/?fn=detailBiblioForm&amp;sid=E68DA448349DA48E313FAC5BDB</v>
      </c>
    </row>
    <row r="2020" spans="3:5" ht="90" x14ac:dyDescent="0.25">
      <c r="C2020" s="15">
        <v>145661</v>
      </c>
      <c r="D2020" s="4" t="s">
        <v>2024</v>
      </c>
      <c r="E2020" s="4" t="str">
        <f>HYPERLINK("https://app.crepc.sk/?fn=detailBiblioForm&amp;sid=78BAD52BF05C0FB58F4C9BA10D")</f>
        <v>https://app.crepc.sk/?fn=detailBiblioForm&amp;sid=78BAD52BF05C0FB58F4C9BA10D</v>
      </c>
    </row>
    <row r="2021" spans="3:5" ht="105" x14ac:dyDescent="0.25">
      <c r="C2021" s="15">
        <v>211352</v>
      </c>
      <c r="D2021" s="4" t="s">
        <v>2025</v>
      </c>
      <c r="E2021" s="4" t="str">
        <f>HYPERLINK("https://app.crepc.sk/?fn=detailBiblioForm&amp;sid=607F6B6A1832FEA870CA3AD1B4")</f>
        <v>https://app.crepc.sk/?fn=detailBiblioForm&amp;sid=607F6B6A1832FEA870CA3AD1B4</v>
      </c>
    </row>
    <row r="2022" spans="3:5" ht="135" x14ac:dyDescent="0.25">
      <c r="C2022" s="15">
        <v>242274</v>
      </c>
      <c r="D2022" s="4" t="s">
        <v>2026</v>
      </c>
      <c r="E2022" s="4" t="str">
        <f>HYPERLINK("https://app.crepc.sk/?fn=detailBiblioForm&amp;sid=231E70CAEA5D636BE051F2C2AB")</f>
        <v>https://app.crepc.sk/?fn=detailBiblioForm&amp;sid=231E70CAEA5D636BE051F2C2AB</v>
      </c>
    </row>
    <row r="2023" spans="3:5" ht="60" x14ac:dyDescent="0.25">
      <c r="C2023" s="15">
        <v>95505</v>
      </c>
      <c r="D2023" s="4" t="s">
        <v>2027</v>
      </c>
      <c r="E2023" s="4" t="str">
        <f>HYPERLINK("https://app.crepc.sk/?fn=detailBiblioForm&amp;sid=76A7C3685D569810C94AB0E0")</f>
        <v>https://app.crepc.sk/?fn=detailBiblioForm&amp;sid=76A7C3685D569810C94AB0E0</v>
      </c>
    </row>
    <row r="2024" spans="3:5" ht="105" x14ac:dyDescent="0.25">
      <c r="C2024" s="15">
        <v>83505</v>
      </c>
      <c r="D2024" s="4" t="s">
        <v>2028</v>
      </c>
      <c r="E2024" s="4" t="str">
        <f>HYPERLINK("https://app.crepc.sk/?fn=detailBiblioForm&amp;sid=63BD3886688AF5D3C3AA5109")</f>
        <v>https://app.crepc.sk/?fn=detailBiblioForm&amp;sid=63BD3886688AF5D3C3AA5109</v>
      </c>
    </row>
    <row r="2025" spans="3:5" ht="75" x14ac:dyDescent="0.25">
      <c r="C2025" s="15">
        <v>58359</v>
      </c>
      <c r="D2025" s="4" t="s">
        <v>2029</v>
      </c>
      <c r="E2025" s="4" t="str">
        <f>HYPERLINK("https://app.crepc.sk/?fn=detailBiblioForm&amp;sid=B079C155783570B5ED7FB552")</f>
        <v>https://app.crepc.sk/?fn=detailBiblioForm&amp;sid=B079C155783570B5ED7FB552</v>
      </c>
    </row>
    <row r="2026" spans="3:5" ht="75" x14ac:dyDescent="0.25">
      <c r="C2026" s="15">
        <v>168940</v>
      </c>
      <c r="D2026" s="4" t="s">
        <v>2030</v>
      </c>
      <c r="E2026" s="4" t="str">
        <f>HYPERLINK("https://app.crepc.sk/?fn=detailBiblioForm&amp;sid=14E8631BC0ED910BF0F3CE25B0")</f>
        <v>https://app.crepc.sk/?fn=detailBiblioForm&amp;sid=14E8631BC0ED910BF0F3CE25B0</v>
      </c>
    </row>
    <row r="2027" spans="3:5" ht="120" x14ac:dyDescent="0.25">
      <c r="C2027" s="15">
        <v>419901</v>
      </c>
      <c r="D2027" s="4" t="s">
        <v>2031</v>
      </c>
      <c r="E2027" s="4" t="str">
        <f>HYPERLINK("https://app.crepc.sk/?fn=detailBiblioForm&amp;sid=391A3DB00FDE30A95D49A73293")</f>
        <v>https://app.crepc.sk/?fn=detailBiblioForm&amp;sid=391A3DB00FDE30A95D49A73293</v>
      </c>
    </row>
    <row r="2028" spans="3:5" ht="105" x14ac:dyDescent="0.25">
      <c r="C2028" s="15">
        <v>103790</v>
      </c>
      <c r="D2028" s="4" t="s">
        <v>2032</v>
      </c>
      <c r="E2028" s="4" t="str">
        <f>HYPERLINK("https://app.crepc.sk/?fn=detailBiblioForm&amp;sid=514B9297E67413789C8AD4EB2E")</f>
        <v>https://app.crepc.sk/?fn=detailBiblioForm&amp;sid=514B9297E67413789C8AD4EB2E</v>
      </c>
    </row>
    <row r="2029" spans="3:5" ht="75" x14ac:dyDescent="0.25">
      <c r="C2029" s="15">
        <v>248290</v>
      </c>
      <c r="D2029" s="4" t="s">
        <v>2033</v>
      </c>
      <c r="E2029" s="4" t="str">
        <f>HYPERLINK("https://app.crepc.sk/?fn=detailBiblioForm&amp;sid=632624C9FD7A43181943567D72")</f>
        <v>https://app.crepc.sk/?fn=detailBiblioForm&amp;sid=632624C9FD7A43181943567D72</v>
      </c>
    </row>
    <row r="2030" spans="3:5" ht="165" x14ac:dyDescent="0.25">
      <c r="C2030" s="15">
        <v>247031</v>
      </c>
      <c r="D2030" s="4" t="s">
        <v>2034</v>
      </c>
      <c r="E2030" s="4" t="str">
        <f>HYPERLINK("https://app.crepc.sk/?fn=detailBiblioForm&amp;sid=EBEA61057054222A0D977935A3")</f>
        <v>https://app.crepc.sk/?fn=detailBiblioForm&amp;sid=EBEA61057054222A0D977935A3</v>
      </c>
    </row>
    <row r="2031" spans="3:5" ht="120" x14ac:dyDescent="0.25">
      <c r="C2031" s="15">
        <v>223709</v>
      </c>
      <c r="D2031" s="4" t="s">
        <v>2035</v>
      </c>
      <c r="E2031" s="4" t="str">
        <f>HYPERLINK("https://app.crepc.sk/?fn=detailBiblioForm&amp;sid=8D98A3A16644BBD0E0E0F73DA8")</f>
        <v>https://app.crepc.sk/?fn=detailBiblioForm&amp;sid=8D98A3A16644BBD0E0E0F73DA8</v>
      </c>
    </row>
    <row r="2032" spans="3:5" ht="120" x14ac:dyDescent="0.25">
      <c r="C2032" s="15">
        <v>239787</v>
      </c>
      <c r="D2032" s="4" t="s">
        <v>2036</v>
      </c>
      <c r="E2032" s="4" t="str">
        <f>HYPERLINK("https://app.crepc.sk/?fn=detailBiblioForm&amp;sid=A4F1A10991D589A5FFB574EC38")</f>
        <v>https://app.crepc.sk/?fn=detailBiblioForm&amp;sid=A4F1A10991D589A5FFB574EC38</v>
      </c>
    </row>
    <row r="2033" spans="3:5" ht="105" x14ac:dyDescent="0.25">
      <c r="C2033" s="15">
        <v>312009</v>
      </c>
      <c r="D2033" s="4" t="s">
        <v>2037</v>
      </c>
      <c r="E2033" s="4" t="str">
        <f>HYPERLINK("https://app.crepc.sk/?fn=detailBiblioForm&amp;sid=5678ED0D7BA27A0E0B1F57AB5B")</f>
        <v>https://app.crepc.sk/?fn=detailBiblioForm&amp;sid=5678ED0D7BA27A0E0B1F57AB5B</v>
      </c>
    </row>
    <row r="2034" spans="3:5" ht="90" x14ac:dyDescent="0.25">
      <c r="C2034" s="15">
        <v>162846</v>
      </c>
      <c r="D2034" s="4" t="s">
        <v>2038</v>
      </c>
      <c r="E2034" s="4" t="str">
        <f>HYPERLINK("https://app.crepc.sk/?fn=detailBiblioForm&amp;sid=1383B27F49E7628F5ED7DE5229")</f>
        <v>https://app.crepc.sk/?fn=detailBiblioForm&amp;sid=1383B27F49E7628F5ED7DE5229</v>
      </c>
    </row>
    <row r="2035" spans="3:5" ht="105" x14ac:dyDescent="0.25">
      <c r="C2035" s="15">
        <v>230015</v>
      </c>
      <c r="D2035" s="4" t="s">
        <v>2039</v>
      </c>
      <c r="E2035" s="4" t="str">
        <f>HYPERLINK("https://app.crepc.sk/?fn=detailBiblioForm&amp;sid=1447EAD9E9ED6D3C217F565EB0")</f>
        <v>https://app.crepc.sk/?fn=detailBiblioForm&amp;sid=1447EAD9E9ED6D3C217F565EB0</v>
      </c>
    </row>
    <row r="2036" spans="3:5" ht="75" x14ac:dyDescent="0.25">
      <c r="C2036" s="15">
        <v>72609</v>
      </c>
      <c r="D2036" s="4" t="s">
        <v>2040</v>
      </c>
      <c r="E2036" s="4" t="str">
        <f>HYPERLINK("https://app.crepc.sk/?fn=detailBiblioForm&amp;sid=B87D0C378196B27439073B93")</f>
        <v>https://app.crepc.sk/?fn=detailBiblioForm&amp;sid=B87D0C378196B27439073B93</v>
      </c>
    </row>
    <row r="2037" spans="3:5" ht="150" x14ac:dyDescent="0.25">
      <c r="C2037" s="15">
        <v>439041</v>
      </c>
      <c r="D2037" s="4" t="s">
        <v>2041</v>
      </c>
      <c r="E2037" s="4" t="str">
        <f>HYPERLINK("https://app.crepc.sk/?fn=detailBiblioForm&amp;sid=B808C99384E756AA5BFC1883A2")</f>
        <v>https://app.crepc.sk/?fn=detailBiblioForm&amp;sid=B808C99384E756AA5BFC1883A2</v>
      </c>
    </row>
    <row r="2038" spans="3:5" ht="90" x14ac:dyDescent="0.25">
      <c r="C2038" s="15">
        <v>424245</v>
      </c>
      <c r="D2038" s="4" t="s">
        <v>2042</v>
      </c>
      <c r="E2038" s="4" t="str">
        <f>HYPERLINK("https://app.crepc.sk/?fn=detailBiblioForm&amp;sid=5BEDEC0CF3720F3A7CB6B21B1E")</f>
        <v>https://app.crepc.sk/?fn=detailBiblioForm&amp;sid=5BEDEC0CF3720F3A7CB6B21B1E</v>
      </c>
    </row>
    <row r="2039" spans="3:5" ht="105" x14ac:dyDescent="0.25">
      <c r="C2039" s="15">
        <v>242902</v>
      </c>
      <c r="D2039" s="4" t="s">
        <v>2043</v>
      </c>
      <c r="E2039" s="4" t="str">
        <f>HYPERLINK("https://app.crepc.sk/?fn=detailBiblioForm&amp;sid=7CB9218B6C80AB6351271CFBD7")</f>
        <v>https://app.crepc.sk/?fn=detailBiblioForm&amp;sid=7CB9218B6C80AB6351271CFBD7</v>
      </c>
    </row>
    <row r="2040" spans="3:5" ht="120" x14ac:dyDescent="0.25">
      <c r="C2040" s="15">
        <v>211316</v>
      </c>
      <c r="D2040" s="4" t="s">
        <v>2044</v>
      </c>
      <c r="E2040" s="4" t="str">
        <f>HYPERLINK("https://app.crepc.sk/?fn=detailBiblioForm&amp;sid=607F6B6A1832FEA874CE3AD1B4")</f>
        <v>https://app.crepc.sk/?fn=detailBiblioForm&amp;sid=607F6B6A1832FEA874CE3AD1B4</v>
      </c>
    </row>
    <row r="2041" spans="3:5" ht="120" x14ac:dyDescent="0.25">
      <c r="C2041" s="15">
        <v>251207</v>
      </c>
      <c r="D2041" s="4" t="s">
        <v>2045</v>
      </c>
      <c r="E2041" s="4" t="str">
        <f>HYPERLINK("https://app.crepc.sk/?fn=detailBiblioForm&amp;sid=040468F894C2ABB2D9A5A8755B")</f>
        <v>https://app.crepc.sk/?fn=detailBiblioForm&amp;sid=040468F894C2ABB2D9A5A8755B</v>
      </c>
    </row>
    <row r="2042" spans="3:5" ht="90" x14ac:dyDescent="0.25">
      <c r="C2042" s="15">
        <v>96532</v>
      </c>
      <c r="D2042" s="4" t="s">
        <v>2046</v>
      </c>
      <c r="E2042" s="4" t="str">
        <f>HYPERLINK("https://app.crepc.sk/?fn=detailBiblioForm&amp;sid=8AA1DF69EAC42129238388FF")</f>
        <v>https://app.crepc.sk/?fn=detailBiblioForm&amp;sid=8AA1DF69EAC42129238388FF</v>
      </c>
    </row>
    <row r="2043" spans="3:5" ht="90" x14ac:dyDescent="0.25">
      <c r="C2043" s="15">
        <v>51111</v>
      </c>
      <c r="D2043" s="4" t="s">
        <v>2047</v>
      </c>
      <c r="E2043" s="4" t="str">
        <f>HYPERLINK("https://app.crepc.sk/?fn=detailBiblioForm&amp;sid=54B77FB3BB5B66FE6EB74019")</f>
        <v>https://app.crepc.sk/?fn=detailBiblioForm&amp;sid=54B77FB3BB5B66FE6EB74019</v>
      </c>
    </row>
    <row r="2044" spans="3:5" ht="105" x14ac:dyDescent="0.25">
      <c r="C2044" s="15">
        <v>117353</v>
      </c>
      <c r="D2044" s="4" t="s">
        <v>2048</v>
      </c>
      <c r="E2044" s="4" t="str">
        <f>HYPERLINK("https://app.crepc.sk/?fn=detailBiblioForm&amp;sid=CCDF67E7FC0AADE0BAB89FDF23")</f>
        <v>https://app.crepc.sk/?fn=detailBiblioForm&amp;sid=CCDF67E7FC0AADE0BAB89FDF23</v>
      </c>
    </row>
    <row r="2045" spans="3:5" ht="105" x14ac:dyDescent="0.25">
      <c r="C2045" s="15">
        <v>50963</v>
      </c>
      <c r="D2045" s="4" t="s">
        <v>2049</v>
      </c>
      <c r="E2045" s="4" t="str">
        <f>HYPERLINK("https://app.crepc.sk/?fn=detailBiblioForm&amp;sid=8459A812E3F731A38EEAFBAF")</f>
        <v>https://app.crepc.sk/?fn=detailBiblioForm&amp;sid=8459A812E3F731A38EEAFBAF</v>
      </c>
    </row>
    <row r="2046" spans="3:5" ht="105" x14ac:dyDescent="0.25">
      <c r="C2046" s="15">
        <v>232645</v>
      </c>
      <c r="D2046" s="4" t="s">
        <v>2050</v>
      </c>
      <c r="E2046" s="4" t="str">
        <f>HYPERLINK("https://app.crepc.sk/?fn=detailBiblioForm&amp;sid=05F8BC62C3FCBD8AE187B8E962")</f>
        <v>https://app.crepc.sk/?fn=detailBiblioForm&amp;sid=05F8BC62C3FCBD8AE187B8E962</v>
      </c>
    </row>
    <row r="2047" spans="3:5" ht="105" x14ac:dyDescent="0.25">
      <c r="C2047" s="15">
        <v>97655</v>
      </c>
      <c r="D2047" s="4" t="s">
        <v>2051</v>
      </c>
      <c r="E2047" s="4" t="str">
        <f>HYPERLINK("https://app.crepc.sk/?fn=detailBiblioForm&amp;sid=5938F20629A9959C419586BF")</f>
        <v>https://app.crepc.sk/?fn=detailBiblioForm&amp;sid=5938F20629A9959C419586BF</v>
      </c>
    </row>
    <row r="2048" spans="3:5" ht="105" x14ac:dyDescent="0.25">
      <c r="C2048" s="15">
        <v>121997</v>
      </c>
      <c r="D2048" s="4" t="s">
        <v>2052</v>
      </c>
      <c r="E2048" s="4" t="str">
        <f>HYPERLINK("https://app.crepc.sk/?fn=detailBiblioForm&amp;sid=BF793C73F52F4090CF91B67F35")</f>
        <v>https://app.crepc.sk/?fn=detailBiblioForm&amp;sid=BF793C73F52F4090CF91B67F35</v>
      </c>
    </row>
    <row r="2049" spans="3:5" ht="105" x14ac:dyDescent="0.25">
      <c r="C2049" s="15">
        <v>224969</v>
      </c>
      <c r="D2049" s="4" t="s">
        <v>2053</v>
      </c>
      <c r="E2049" s="4" t="str">
        <f>HYPERLINK("https://app.crepc.sk/?fn=detailBiblioForm&amp;sid=A17FDCE096B34C5169535AEA85")</f>
        <v>https://app.crepc.sk/?fn=detailBiblioForm&amp;sid=A17FDCE096B34C5169535AEA85</v>
      </c>
    </row>
    <row r="2050" spans="3:5" ht="90" x14ac:dyDescent="0.25">
      <c r="C2050" s="15">
        <v>246962</v>
      </c>
      <c r="D2050" s="4" t="s">
        <v>2054</v>
      </c>
      <c r="E2050" s="4" t="str">
        <f>HYPERLINK("https://app.crepc.sk/?fn=detailBiblioForm&amp;sid=513EA57B92CAC7225936972BAF")</f>
        <v>https://app.crepc.sk/?fn=detailBiblioForm&amp;sid=513EA57B92CAC7225936972BAF</v>
      </c>
    </row>
    <row r="2051" spans="3:5" ht="105" x14ac:dyDescent="0.25">
      <c r="C2051" s="15">
        <v>51385</v>
      </c>
      <c r="D2051" s="4" t="s">
        <v>2055</v>
      </c>
      <c r="E2051" s="4" t="str">
        <f>HYPERLINK("https://app.crepc.sk/?fn=detailBiblioForm&amp;sid=BC45AE4EBD40543642A9420E")</f>
        <v>https://app.crepc.sk/?fn=detailBiblioForm&amp;sid=BC45AE4EBD40543642A9420E</v>
      </c>
    </row>
    <row r="2052" spans="3:5" ht="60" x14ac:dyDescent="0.25">
      <c r="C2052" s="15">
        <v>71389</v>
      </c>
      <c r="D2052" s="4" t="s">
        <v>2056</v>
      </c>
      <c r="E2052" s="4" t="str">
        <f>HYPERLINK("https://app.crepc.sk/?fn=detailBiblioForm&amp;sid=1F2797FC97107DE62CBE24DB")</f>
        <v>https://app.crepc.sk/?fn=detailBiblioForm&amp;sid=1F2797FC97107DE62CBE24DB</v>
      </c>
    </row>
    <row r="2053" spans="3:5" ht="120" x14ac:dyDescent="0.25">
      <c r="C2053" s="15">
        <v>51329</v>
      </c>
      <c r="D2053" s="4" t="s">
        <v>2057</v>
      </c>
      <c r="E2053" s="4" t="str">
        <f>HYPERLINK("https://app.crepc.sk/?fn=detailBiblioForm&amp;sid=16189F8215C2FB46FEDAFFA0")</f>
        <v>https://app.crepc.sk/?fn=detailBiblioForm&amp;sid=16189F8215C2FB46FEDAFFA0</v>
      </c>
    </row>
    <row r="2054" spans="3:5" ht="90" x14ac:dyDescent="0.25">
      <c r="C2054" s="15">
        <v>199971</v>
      </c>
      <c r="D2054" s="4" t="s">
        <v>2058</v>
      </c>
      <c r="E2054" s="4" t="str">
        <f>HYPERLINK("https://app.crepc.sk/?fn=detailBiblioForm&amp;sid=79CE4EFB7063335D668CA6F482")</f>
        <v>https://app.crepc.sk/?fn=detailBiblioForm&amp;sid=79CE4EFB7063335D668CA6F482</v>
      </c>
    </row>
    <row r="2055" spans="3:5" ht="90" x14ac:dyDescent="0.25">
      <c r="C2055" s="15">
        <v>304634</v>
      </c>
      <c r="D2055" s="4" t="s">
        <v>2059</v>
      </c>
      <c r="E2055" s="4" t="str">
        <f>HYPERLINK("https://app.crepc.sk/?fn=detailBiblioForm&amp;sid=C9884AA49470EF612BBD11B2CB")</f>
        <v>https://app.crepc.sk/?fn=detailBiblioForm&amp;sid=C9884AA49470EF612BBD11B2CB</v>
      </c>
    </row>
    <row r="2056" spans="3:5" ht="105" x14ac:dyDescent="0.25">
      <c r="C2056" s="15">
        <v>135585</v>
      </c>
      <c r="D2056" s="4" t="s">
        <v>2060</v>
      </c>
      <c r="E2056" s="4" t="str">
        <f>HYPERLINK("https://app.crepc.sk/?fn=detailBiblioForm&amp;sid=BC2DF5561E82DF9764E60494F8")</f>
        <v>https://app.crepc.sk/?fn=detailBiblioForm&amp;sid=BC2DF5561E82DF9764E60494F8</v>
      </c>
    </row>
    <row r="2057" spans="3:5" ht="90" x14ac:dyDescent="0.25">
      <c r="C2057" s="15">
        <v>50968</v>
      </c>
      <c r="D2057" s="4" t="s">
        <v>2061</v>
      </c>
      <c r="E2057" s="4" t="str">
        <f>HYPERLINK("https://app.crepc.sk/?fn=detailBiblioForm&amp;sid=8459A812E3F731A385EAFBAF")</f>
        <v>https://app.crepc.sk/?fn=detailBiblioForm&amp;sid=8459A812E3F731A385EAFBAF</v>
      </c>
    </row>
    <row r="2058" spans="3:5" ht="120" x14ac:dyDescent="0.25">
      <c r="C2058" s="15">
        <v>164759</v>
      </c>
      <c r="D2058" s="4" t="s">
        <v>2062</v>
      </c>
      <c r="E2058" s="4" t="str">
        <f>HYPERLINK("https://app.crepc.sk/?fn=detailBiblioForm&amp;sid=FD93F7145DB968626FDF5BF9A8")</f>
        <v>https://app.crepc.sk/?fn=detailBiblioForm&amp;sid=FD93F7145DB968626FDF5BF9A8</v>
      </c>
    </row>
    <row r="2059" spans="3:5" ht="120" x14ac:dyDescent="0.25">
      <c r="C2059" s="15">
        <v>250347</v>
      </c>
      <c r="D2059" s="4" t="s">
        <v>2063</v>
      </c>
      <c r="E2059" s="4" t="str">
        <f>HYPERLINK("https://app.crepc.sk/?fn=detailBiblioForm&amp;sid=86F3815C0D92DEDAB2277E3C7A")</f>
        <v>https://app.crepc.sk/?fn=detailBiblioForm&amp;sid=86F3815C0D92DEDAB2277E3C7A</v>
      </c>
    </row>
    <row r="2060" spans="3:5" ht="90" x14ac:dyDescent="0.25">
      <c r="C2060" s="15">
        <v>234720</v>
      </c>
      <c r="D2060" s="4" t="s">
        <v>2064</v>
      </c>
      <c r="E2060" s="4" t="str">
        <f>HYPERLINK("https://app.crepc.sk/?fn=detailBiblioForm&amp;sid=0BA2551EB110F57D61A9DF73B9")</f>
        <v>https://app.crepc.sk/?fn=detailBiblioForm&amp;sid=0BA2551EB110F57D61A9DF73B9</v>
      </c>
    </row>
    <row r="2061" spans="3:5" ht="105" x14ac:dyDescent="0.25">
      <c r="C2061" s="15">
        <v>131390</v>
      </c>
      <c r="D2061" s="4" t="s">
        <v>2065</v>
      </c>
      <c r="E2061" s="4" t="str">
        <f>HYPERLINK("https://app.crepc.sk/?fn=detailBiblioForm&amp;sid=259CE5C64386EF578E7DB3ECE9")</f>
        <v>https://app.crepc.sk/?fn=detailBiblioForm&amp;sid=259CE5C64386EF578E7DB3ECE9</v>
      </c>
    </row>
    <row r="2062" spans="3:5" ht="105" x14ac:dyDescent="0.25">
      <c r="C2062" s="15">
        <v>162737</v>
      </c>
      <c r="D2062" s="4" t="s">
        <v>2066</v>
      </c>
      <c r="E2062" s="4" t="str">
        <f>HYPERLINK("https://app.crepc.sk/?fn=detailBiblioForm&amp;sid=56521031C266C9A2AD396C1603")</f>
        <v>https://app.crepc.sk/?fn=detailBiblioForm&amp;sid=56521031C266C9A2AD396C1603</v>
      </c>
    </row>
    <row r="2063" spans="3:5" ht="105" x14ac:dyDescent="0.25">
      <c r="C2063" s="15">
        <v>150333</v>
      </c>
      <c r="D2063" s="4" t="s">
        <v>2067</v>
      </c>
      <c r="E2063" s="4" t="str">
        <f>HYPERLINK("https://app.crepc.sk/?fn=detailBiblioForm&amp;sid=6D7E2994FB8F4DECAB09800012")</f>
        <v>https://app.crepc.sk/?fn=detailBiblioForm&amp;sid=6D7E2994FB8F4DECAB09800012</v>
      </c>
    </row>
    <row r="2064" spans="3:5" ht="90" x14ac:dyDescent="0.25">
      <c r="C2064" s="15">
        <v>118237</v>
      </c>
      <c r="D2064" s="4" t="s">
        <v>2068</v>
      </c>
      <c r="E2064" s="4" t="str">
        <f>HYPERLINK("https://app.crepc.sk/?fn=detailBiblioForm&amp;sid=069BD78221CDCAB10EA6F3E570")</f>
        <v>https://app.crepc.sk/?fn=detailBiblioForm&amp;sid=069BD78221CDCAB10EA6F3E570</v>
      </c>
    </row>
    <row r="2065" spans="3:5" ht="90" x14ac:dyDescent="0.25">
      <c r="C2065" s="15">
        <v>317644</v>
      </c>
      <c r="D2065" s="4" t="s">
        <v>2069</v>
      </c>
      <c r="E2065" s="4" t="str">
        <f>HYPERLINK("https://app.crepc.sk/?fn=detailBiblioForm&amp;sid=2CF6496E20D68E8E1E7AD89B41")</f>
        <v>https://app.crepc.sk/?fn=detailBiblioForm&amp;sid=2CF6496E20D68E8E1E7AD89B41</v>
      </c>
    </row>
    <row r="2066" spans="3:5" ht="90" x14ac:dyDescent="0.25">
      <c r="C2066" s="15">
        <v>76781</v>
      </c>
      <c r="D2066" s="4" t="s">
        <v>2070</v>
      </c>
      <c r="E2066" s="4" t="str">
        <f>HYPERLINK("https://app.crepc.sk/?fn=detailBiblioForm&amp;sid=2BCFFA0D149D6660C42A0D10")</f>
        <v>https://app.crepc.sk/?fn=detailBiblioForm&amp;sid=2BCFFA0D149D6660C42A0D10</v>
      </c>
    </row>
    <row r="2067" spans="3:5" ht="105" x14ac:dyDescent="0.25">
      <c r="C2067" s="15">
        <v>205864</v>
      </c>
      <c r="D2067" s="4" t="s">
        <v>2071</v>
      </c>
      <c r="E2067" s="4" t="str">
        <f>HYPERLINK("https://app.crepc.sk/?fn=detailBiblioForm&amp;sid=10C5C367CF7707BA151146D40B")</f>
        <v>https://app.crepc.sk/?fn=detailBiblioForm&amp;sid=10C5C367CF7707BA151146D40B</v>
      </c>
    </row>
    <row r="2068" spans="3:5" ht="75" x14ac:dyDescent="0.25">
      <c r="C2068" s="15">
        <v>233290</v>
      </c>
      <c r="D2068" s="4" t="s">
        <v>2072</v>
      </c>
      <c r="E2068" s="4" t="str">
        <f>HYPERLINK("https://app.crepc.sk/?fn=detailBiblioForm&amp;sid=398F1FA12C497DB832F1D4009F")</f>
        <v>https://app.crepc.sk/?fn=detailBiblioForm&amp;sid=398F1FA12C497DB832F1D4009F</v>
      </c>
    </row>
    <row r="2069" spans="3:5" ht="120" x14ac:dyDescent="0.25">
      <c r="C2069" s="15">
        <v>72470</v>
      </c>
      <c r="D2069" s="4" t="s">
        <v>2073</v>
      </c>
      <c r="E2069" s="4" t="str">
        <f>HYPERLINK("https://app.crepc.sk/?fn=detailBiblioForm&amp;sid=9A5ED3FC5CC6E64E97794CB5")</f>
        <v>https://app.crepc.sk/?fn=detailBiblioForm&amp;sid=9A5ED3FC5CC6E64E97794CB5</v>
      </c>
    </row>
    <row r="2070" spans="3:5" ht="75" x14ac:dyDescent="0.25">
      <c r="C2070" s="15">
        <v>51845</v>
      </c>
      <c r="D2070" s="4" t="s">
        <v>2074</v>
      </c>
      <c r="E2070" s="4" t="str">
        <f>HYPERLINK("https://app.crepc.sk/?fn=detailBiblioForm&amp;sid=0DC7D10545A576558BF4871C")</f>
        <v>https://app.crepc.sk/?fn=detailBiblioForm&amp;sid=0DC7D10545A576558BF4871C</v>
      </c>
    </row>
    <row r="2071" spans="3:5" ht="75" x14ac:dyDescent="0.25">
      <c r="C2071" s="15">
        <v>97651</v>
      </c>
      <c r="D2071" s="4" t="s">
        <v>2075</v>
      </c>
      <c r="E2071" s="4" t="str">
        <f>HYPERLINK("https://app.crepc.sk/?fn=detailBiblioForm&amp;sid=5938F20629A9959C459586BF")</f>
        <v>https://app.crepc.sk/?fn=detailBiblioForm&amp;sid=5938F20629A9959C459586BF</v>
      </c>
    </row>
    <row r="2072" spans="3:5" ht="75" x14ac:dyDescent="0.25">
      <c r="C2072" s="15">
        <v>68391</v>
      </c>
      <c r="D2072" s="4" t="s">
        <v>2076</v>
      </c>
      <c r="E2072" s="4" t="str">
        <f>HYPERLINK("https://app.crepc.sk/?fn=detailBiblioForm&amp;sid=82A2F3C9426604B9F308EB60")</f>
        <v>https://app.crepc.sk/?fn=detailBiblioForm&amp;sid=82A2F3C9426604B9F308EB60</v>
      </c>
    </row>
    <row r="2073" spans="3:5" ht="90" x14ac:dyDescent="0.25">
      <c r="C2073" s="15">
        <v>311396</v>
      </c>
      <c r="D2073" s="4" t="s">
        <v>2077</v>
      </c>
      <c r="E2073" s="4" t="str">
        <f>HYPERLINK("https://app.crepc.sk/?fn=detailBiblioForm&amp;sid=3CC161ACD26ABD0DA53F34C0BF")</f>
        <v>https://app.crepc.sk/?fn=detailBiblioForm&amp;sid=3CC161ACD26ABD0DA53F34C0BF</v>
      </c>
    </row>
    <row r="2074" spans="3:5" ht="135" x14ac:dyDescent="0.25">
      <c r="C2074" s="15">
        <v>245093</v>
      </c>
      <c r="D2074" s="4" t="s">
        <v>2078</v>
      </c>
      <c r="E2074" s="4" t="str">
        <f>HYPERLINK("https://app.crepc.sk/?fn=detailBiblioForm&amp;sid=67165C9A40F2F88519904A198D")</f>
        <v>https://app.crepc.sk/?fn=detailBiblioForm&amp;sid=67165C9A40F2F88519904A198D</v>
      </c>
    </row>
    <row r="2075" spans="3:5" ht="120" x14ac:dyDescent="0.25">
      <c r="C2075" s="15">
        <v>151379</v>
      </c>
      <c r="D2075" s="4" t="s">
        <v>2079</v>
      </c>
      <c r="E2075" s="4" t="str">
        <f>HYPERLINK("https://app.crepc.sk/?fn=detailBiblioForm&amp;sid=11002ED4121AC482AEB10BF396")</f>
        <v>https://app.crepc.sk/?fn=detailBiblioForm&amp;sid=11002ED4121AC482AEB10BF396</v>
      </c>
    </row>
    <row r="2076" spans="3:5" ht="105" x14ac:dyDescent="0.25">
      <c r="C2076" s="15">
        <v>245098</v>
      </c>
      <c r="D2076" s="4" t="s">
        <v>2080</v>
      </c>
      <c r="E2076" s="4" t="str">
        <f>HYPERLINK("https://app.crepc.sk/?fn=detailBiblioForm&amp;sid=67165C9A40F2F885199B4A198D")</f>
        <v>https://app.crepc.sk/?fn=detailBiblioForm&amp;sid=67165C9A40F2F885199B4A198D</v>
      </c>
    </row>
    <row r="2077" spans="3:5" ht="105" x14ac:dyDescent="0.25">
      <c r="C2077" s="15">
        <v>138638</v>
      </c>
      <c r="D2077" s="4" t="s">
        <v>2081</v>
      </c>
      <c r="E2077" s="4" t="str">
        <f>HYPERLINK("https://app.crepc.sk/?fn=detailBiblioForm&amp;sid=6E790697089442F7224730A242")</f>
        <v>https://app.crepc.sk/?fn=detailBiblioForm&amp;sid=6E790697089442F7224730A242</v>
      </c>
    </row>
    <row r="2078" spans="3:5" ht="120" x14ac:dyDescent="0.25">
      <c r="C2078" s="15">
        <v>184136</v>
      </c>
      <c r="D2078" s="4" t="s">
        <v>2082</v>
      </c>
      <c r="E2078" s="4" t="str">
        <f>HYPERLINK("https://app.crepc.sk/?fn=detailBiblioForm&amp;sid=68B910E799EADD7B017057DADE")</f>
        <v>https://app.crepc.sk/?fn=detailBiblioForm&amp;sid=68B910E799EADD7B017057DADE</v>
      </c>
    </row>
    <row r="2079" spans="3:5" ht="105" x14ac:dyDescent="0.25">
      <c r="C2079" s="15">
        <v>50955</v>
      </c>
      <c r="D2079" s="4" t="s">
        <v>2083</v>
      </c>
      <c r="E2079" s="4" t="str">
        <f>HYPERLINK("https://app.crepc.sk/?fn=detailBiblioForm&amp;sid=5126377C42CCB2759FB0B398")</f>
        <v>https://app.crepc.sk/?fn=detailBiblioForm&amp;sid=5126377C42CCB2759FB0B398</v>
      </c>
    </row>
    <row r="2080" spans="3:5" ht="105" x14ac:dyDescent="0.25">
      <c r="C2080" s="15">
        <v>95528</v>
      </c>
      <c r="D2080" s="4" t="s">
        <v>2084</v>
      </c>
      <c r="E2080" s="4" t="str">
        <f>HYPERLINK("https://app.crepc.sk/?fn=detailBiblioForm&amp;sid=6805775735622CF56D146B81")</f>
        <v>https://app.crepc.sk/?fn=detailBiblioForm&amp;sid=6805775735622CF56D146B81</v>
      </c>
    </row>
    <row r="2081" spans="3:5" ht="105" x14ac:dyDescent="0.25">
      <c r="C2081" s="15">
        <v>236593</v>
      </c>
      <c r="D2081" s="4" t="s">
        <v>2085</v>
      </c>
      <c r="E2081" s="4" t="str">
        <f>HYPERLINK("https://app.crepc.sk/?fn=detailBiblioForm&amp;sid=19352EF2D61EDBFEAD384C768C")</f>
        <v>https://app.crepc.sk/?fn=detailBiblioForm&amp;sid=19352EF2D61EDBFEAD384C768C</v>
      </c>
    </row>
    <row r="2082" spans="3:5" ht="105" x14ac:dyDescent="0.25">
      <c r="C2082" s="15">
        <v>162571</v>
      </c>
      <c r="D2082" s="4" t="s">
        <v>2086</v>
      </c>
      <c r="E2082" s="4" t="str">
        <f>HYPERLINK("https://app.crepc.sk/?fn=detailBiblioForm&amp;sid=2D0B46080A5AC858A510D90CF3")</f>
        <v>https://app.crepc.sk/?fn=detailBiblioForm&amp;sid=2D0B46080A5AC858A510D90CF3</v>
      </c>
    </row>
    <row r="2083" spans="3:5" ht="120" x14ac:dyDescent="0.25">
      <c r="C2083" s="15">
        <v>197765</v>
      </c>
      <c r="D2083" s="4" t="s">
        <v>2087</v>
      </c>
      <c r="E2083" s="4" t="str">
        <f>HYPERLINK("https://app.crepc.sk/?fn=detailBiblioForm&amp;sid=621FF53B02ADFC9EF45E9AD910")</f>
        <v>https://app.crepc.sk/?fn=detailBiblioForm&amp;sid=621FF53B02ADFC9EF45E9AD910</v>
      </c>
    </row>
    <row r="2084" spans="3:5" ht="105" x14ac:dyDescent="0.25">
      <c r="C2084" s="15">
        <v>162561</v>
      </c>
      <c r="D2084" s="4" t="s">
        <v>2088</v>
      </c>
      <c r="E2084" s="4" t="str">
        <f>HYPERLINK("https://app.crepc.sk/?fn=detailBiblioForm&amp;sid=2D0B46080A5AC858A410D90CF3")</f>
        <v>https://app.crepc.sk/?fn=detailBiblioForm&amp;sid=2D0B46080A5AC858A410D90CF3</v>
      </c>
    </row>
    <row r="2085" spans="3:5" ht="90" x14ac:dyDescent="0.25">
      <c r="C2085" s="15">
        <v>199292</v>
      </c>
      <c r="D2085" s="4" t="s">
        <v>2089</v>
      </c>
      <c r="E2085" s="4" t="str">
        <f>HYPERLINK("https://app.crepc.sk/?fn=detailBiblioForm&amp;sid=E50BF82524D57FEC311AB3F12B")</f>
        <v>https://app.crepc.sk/?fn=detailBiblioForm&amp;sid=E50BF82524D57FEC311AB3F12B</v>
      </c>
    </row>
    <row r="2086" spans="3:5" ht="90" x14ac:dyDescent="0.25">
      <c r="C2086" s="15">
        <v>216473</v>
      </c>
      <c r="D2086" s="4" t="s">
        <v>2090</v>
      </c>
      <c r="E2086" s="4" t="str">
        <f>HYPERLINK("https://app.crepc.sk/?fn=detailBiblioForm&amp;sid=AA75CFA2C268976CA2A3A496EA")</f>
        <v>https://app.crepc.sk/?fn=detailBiblioForm&amp;sid=AA75CFA2C268976CA2A3A496EA</v>
      </c>
    </row>
    <row r="2087" spans="3:5" ht="105" x14ac:dyDescent="0.25">
      <c r="C2087" s="15">
        <v>110577</v>
      </c>
      <c r="D2087" s="4" t="s">
        <v>2091</v>
      </c>
      <c r="E2087" s="4" t="str">
        <f>HYPERLINK("https://app.crepc.sk/?fn=detailBiblioForm&amp;sid=81F62E49FBBAAFB06881FD4D2B")</f>
        <v>https://app.crepc.sk/?fn=detailBiblioForm&amp;sid=81F62E49FBBAAFB06881FD4D2B</v>
      </c>
    </row>
    <row r="2088" spans="3:5" ht="105" x14ac:dyDescent="0.25">
      <c r="C2088" s="15">
        <v>138605</v>
      </c>
      <c r="D2088" s="4" t="s">
        <v>2092</v>
      </c>
      <c r="E2088" s="4" t="str">
        <f>HYPERLINK("https://app.crepc.sk/?fn=detailBiblioForm&amp;sid=6E790697089442F7214A30A242")</f>
        <v>https://app.crepc.sk/?fn=detailBiblioForm&amp;sid=6E790697089442F7214A30A242</v>
      </c>
    </row>
    <row r="2089" spans="3:5" ht="195" x14ac:dyDescent="0.25">
      <c r="C2089" s="15">
        <v>156934</v>
      </c>
      <c r="D2089" s="4" t="s">
        <v>2093</v>
      </c>
      <c r="E2089" s="4" t="str">
        <f>HYPERLINK("https://app.crepc.sk/?fn=detailBiblioForm&amp;sid=ABCEC5876A40CFC0DF92B62256")</f>
        <v>https://app.crepc.sk/?fn=detailBiblioForm&amp;sid=ABCEC5876A40CFC0DF92B62256</v>
      </c>
    </row>
    <row r="2090" spans="3:5" ht="120" x14ac:dyDescent="0.25">
      <c r="C2090" s="15">
        <v>423472</v>
      </c>
      <c r="D2090" s="4" t="s">
        <v>2094</v>
      </c>
      <c r="E2090" s="4" t="str">
        <f>HYPERLINK("https://app.crepc.sk/?fn=detailBiblioForm&amp;sid=FA3B7316EF32B7DB83E43C238D")</f>
        <v>https://app.crepc.sk/?fn=detailBiblioForm&amp;sid=FA3B7316EF32B7DB83E43C238D</v>
      </c>
    </row>
    <row r="2091" spans="3:5" ht="90" x14ac:dyDescent="0.25">
      <c r="C2091" s="15">
        <v>59899</v>
      </c>
      <c r="D2091" s="4" t="s">
        <v>2095</v>
      </c>
      <c r="E2091" s="4" t="str">
        <f>HYPERLINK("https://app.crepc.sk/?fn=detailBiblioForm&amp;sid=0CA019DFA84C034D6DBDA972")</f>
        <v>https://app.crepc.sk/?fn=detailBiblioForm&amp;sid=0CA019DFA84C034D6DBDA972</v>
      </c>
    </row>
    <row r="2092" spans="3:5" ht="105" x14ac:dyDescent="0.25">
      <c r="C2092" s="15">
        <v>256826</v>
      </c>
      <c r="D2092" s="4" t="s">
        <v>2096</v>
      </c>
      <c r="E2092" s="4" t="str">
        <f>HYPERLINK("https://app.crepc.sk/?fn=detailBiblioForm&amp;sid=BD7337747C6A52DEE388008575")</f>
        <v>https://app.crepc.sk/?fn=detailBiblioForm&amp;sid=BD7337747C6A52DEE388008575</v>
      </c>
    </row>
    <row r="2093" spans="3:5" ht="135" x14ac:dyDescent="0.25">
      <c r="C2093" s="15">
        <v>316879</v>
      </c>
      <c r="D2093" s="4" t="s">
        <v>2097</v>
      </c>
      <c r="E2093" s="4" t="str">
        <f>HYPERLINK("https://app.crepc.sk/?fn=detailBiblioForm&amp;sid=9B7EDFED3FF96897409C54B66B")</f>
        <v>https://app.crepc.sk/?fn=detailBiblioForm&amp;sid=9B7EDFED3FF96897409C54B66B</v>
      </c>
    </row>
    <row r="2094" spans="3:5" ht="135" x14ac:dyDescent="0.25">
      <c r="C2094" s="15">
        <v>187089</v>
      </c>
      <c r="D2094" s="4" t="s">
        <v>2098</v>
      </c>
      <c r="E2094" s="4" t="str">
        <f>HYPERLINK("https://app.crepc.sk/?fn=detailBiblioForm&amp;sid=F3AF90715DF24108AF337BFE19")</f>
        <v>https://app.crepc.sk/?fn=detailBiblioForm&amp;sid=F3AF90715DF24108AF337BFE19</v>
      </c>
    </row>
    <row r="2095" spans="3:5" ht="105" x14ac:dyDescent="0.25">
      <c r="C2095" s="15">
        <v>249197</v>
      </c>
      <c r="D2095" s="4" t="s">
        <v>2099</v>
      </c>
      <c r="E2095" s="4" t="str">
        <f>HYPERLINK("https://app.crepc.sk/?fn=detailBiblioForm&amp;sid=4E3FC3EF0E33ED011BF3ECDC90")</f>
        <v>https://app.crepc.sk/?fn=detailBiblioForm&amp;sid=4E3FC3EF0E33ED011BF3ECDC90</v>
      </c>
    </row>
    <row r="2096" spans="3:5" ht="60" x14ac:dyDescent="0.25">
      <c r="C2096" s="15">
        <v>121766</v>
      </c>
      <c r="D2096" s="4" t="s">
        <v>2100</v>
      </c>
      <c r="E2096" s="4" t="str">
        <f>HYPERLINK("https://app.crepc.sk/?fn=detailBiblioForm&amp;sid=9BA729332E6B4AD3A18E6A8CAB")</f>
        <v>https://app.crepc.sk/?fn=detailBiblioForm&amp;sid=9BA729332E6B4AD3A18E6A8CAB</v>
      </c>
    </row>
    <row r="2097" spans="3:5" ht="120" x14ac:dyDescent="0.25">
      <c r="C2097" s="15">
        <v>188262</v>
      </c>
      <c r="D2097" s="4" t="s">
        <v>2101</v>
      </c>
      <c r="E2097" s="4" t="str">
        <f>HYPERLINK("https://app.crepc.sk/?fn=detailBiblioForm&amp;sid=490AB1A220388CE10505A75B20")</f>
        <v>https://app.crepc.sk/?fn=detailBiblioForm&amp;sid=490AB1A220388CE10505A75B20</v>
      </c>
    </row>
    <row r="2098" spans="3:5" ht="75" x14ac:dyDescent="0.25">
      <c r="C2098" s="15">
        <v>205515</v>
      </c>
      <c r="D2098" s="4" t="s">
        <v>2102</v>
      </c>
      <c r="E2098" s="4" t="str">
        <f>HYPERLINK("https://app.crepc.sk/?fn=detailBiblioForm&amp;sid=1B1E3C1E1F334B1A4304FA7123")</f>
        <v>https://app.crepc.sk/?fn=detailBiblioForm&amp;sid=1B1E3C1E1F334B1A4304FA7123</v>
      </c>
    </row>
    <row r="2099" spans="3:5" ht="90" x14ac:dyDescent="0.25">
      <c r="C2099" s="15">
        <v>201011</v>
      </c>
      <c r="D2099" s="4" t="s">
        <v>2103</v>
      </c>
      <c r="E2099" s="4" t="str">
        <f>HYPERLINK("https://app.crepc.sk/?fn=detailBiblioForm&amp;sid=243046BA5D04E9C171027A43A4")</f>
        <v>https://app.crepc.sk/?fn=detailBiblioForm&amp;sid=243046BA5D04E9C171027A43A4</v>
      </c>
    </row>
    <row r="2100" spans="3:5" ht="120" x14ac:dyDescent="0.25">
      <c r="C2100" s="15">
        <v>188022</v>
      </c>
      <c r="D2100" s="4" t="s">
        <v>2104</v>
      </c>
      <c r="E2100" s="4" t="str">
        <f>HYPERLINK("https://app.crepc.sk/?fn=detailBiblioForm&amp;sid=A79B29EB5917D50166E37633EB")</f>
        <v>https://app.crepc.sk/?fn=detailBiblioForm&amp;sid=A79B29EB5917D50166E37633EB</v>
      </c>
    </row>
    <row r="2101" spans="3:5" ht="165" x14ac:dyDescent="0.25">
      <c r="C2101" s="15">
        <v>164391</v>
      </c>
      <c r="D2101" s="4" t="s">
        <v>2105</v>
      </c>
      <c r="E2101" s="4" t="str">
        <f>HYPERLINK("https://app.crepc.sk/?fn=detailBiblioForm&amp;sid=F57F75C52F24BBACC1EE20D78E")</f>
        <v>https://app.crepc.sk/?fn=detailBiblioForm&amp;sid=F57F75C52F24BBACC1EE20D78E</v>
      </c>
    </row>
    <row r="2102" spans="3:5" ht="135" x14ac:dyDescent="0.25">
      <c r="C2102" s="15">
        <v>136889</v>
      </c>
      <c r="D2102" s="4" t="s">
        <v>2106</v>
      </c>
      <c r="E2102" s="4" t="str">
        <f>HYPERLINK("https://app.crepc.sk/?fn=detailBiblioForm&amp;sid=A5DD033C69C3F08FC5426AFB50")</f>
        <v>https://app.crepc.sk/?fn=detailBiblioForm&amp;sid=A5DD033C69C3F08FC5426AFB50</v>
      </c>
    </row>
    <row r="2103" spans="3:5" ht="75" x14ac:dyDescent="0.25">
      <c r="C2103" s="15">
        <v>143020</v>
      </c>
      <c r="D2103" s="4" t="s">
        <v>2107</v>
      </c>
      <c r="E2103" s="4" t="str">
        <f>HYPERLINK("https://app.crepc.sk/?fn=detailBiblioForm&amp;sid=0EA7DBD32D42EAF6EFEC224B52")</f>
        <v>https://app.crepc.sk/?fn=detailBiblioForm&amp;sid=0EA7DBD32D42EAF6EFEC224B52</v>
      </c>
    </row>
    <row r="2104" spans="3:5" ht="135" x14ac:dyDescent="0.25">
      <c r="C2104" s="15">
        <v>241259</v>
      </c>
      <c r="D2104" s="4" t="s">
        <v>2108</v>
      </c>
      <c r="E2104" s="4" t="str">
        <f>HYPERLINK("https://app.crepc.sk/?fn=detailBiblioForm&amp;sid=219D60F26EF95CE10D5D2B998E")</f>
        <v>https://app.crepc.sk/?fn=detailBiblioForm&amp;sid=219D60F26EF95CE10D5D2B998E</v>
      </c>
    </row>
    <row r="2105" spans="3:5" ht="105" x14ac:dyDescent="0.25">
      <c r="C2105" s="15">
        <v>211362</v>
      </c>
      <c r="D2105" s="4" t="s">
        <v>2109</v>
      </c>
      <c r="E2105" s="4" t="str">
        <f>HYPERLINK("https://app.crepc.sk/?fn=detailBiblioForm&amp;sid=607F6B6A1832FEA873CA3AD1B4")</f>
        <v>https://app.crepc.sk/?fn=detailBiblioForm&amp;sid=607F6B6A1832FEA873CA3AD1B4</v>
      </c>
    </row>
    <row r="2106" spans="3:5" ht="90" x14ac:dyDescent="0.25">
      <c r="C2106" s="15">
        <v>200786</v>
      </c>
      <c r="D2106" s="4" t="s">
        <v>2110</v>
      </c>
      <c r="E2106" s="4" t="str">
        <f>HYPERLINK("https://app.crepc.sk/?fn=detailBiblioForm&amp;sid=A3F7D0193F177296CC56AA00F0")</f>
        <v>https://app.crepc.sk/?fn=detailBiblioForm&amp;sid=A3F7D0193F177296CC56AA00F0</v>
      </c>
    </row>
    <row r="2107" spans="3:5" ht="75" x14ac:dyDescent="0.25">
      <c r="C2107" s="15">
        <v>308952</v>
      </c>
      <c r="D2107" s="4" t="s">
        <v>2111</v>
      </c>
      <c r="E2107" s="4" t="str">
        <f>HYPERLINK("https://app.crepc.sk/?fn=detailBiblioForm&amp;sid=D5ABE00A5E503AAC7E658C57C1")</f>
        <v>https://app.crepc.sk/?fn=detailBiblioForm&amp;sid=D5ABE00A5E503AAC7E658C57C1</v>
      </c>
    </row>
    <row r="2108" spans="3:5" ht="120" x14ac:dyDescent="0.25">
      <c r="C2108" s="15">
        <v>417273</v>
      </c>
      <c r="D2108" s="4" t="s">
        <v>2112</v>
      </c>
      <c r="E2108" s="4" t="str">
        <f>HYPERLINK("https://app.crepc.sk/?fn=detailBiblioForm&amp;sid=1B44D7E3811040CA74E8C1EC85")</f>
        <v>https://app.crepc.sk/?fn=detailBiblioForm&amp;sid=1B44D7E3811040CA74E8C1EC85</v>
      </c>
    </row>
    <row r="2109" spans="3:5" ht="90" x14ac:dyDescent="0.25">
      <c r="C2109" s="15">
        <v>211555</v>
      </c>
      <c r="D2109" s="4" t="s">
        <v>2113</v>
      </c>
      <c r="E2109" s="4" t="str">
        <f>HYPERLINK("https://app.crepc.sk/?fn=detailBiblioForm&amp;sid=D6132714D64CD717D0862C425E")</f>
        <v>https://app.crepc.sk/?fn=detailBiblioForm&amp;sid=D6132714D64CD717D0862C425E</v>
      </c>
    </row>
    <row r="2110" spans="3:5" ht="135" x14ac:dyDescent="0.25">
      <c r="C2110" s="15">
        <v>133451</v>
      </c>
      <c r="D2110" s="4" t="s">
        <v>2114</v>
      </c>
      <c r="E2110" s="4" t="str">
        <f>HYPERLINK("https://app.crepc.sk/?fn=detailBiblioForm&amp;sid=062C1ED5E40068C512D47EA354")</f>
        <v>https://app.crepc.sk/?fn=detailBiblioForm&amp;sid=062C1ED5E40068C512D47EA354</v>
      </c>
    </row>
    <row r="2111" spans="3:5" ht="75" x14ac:dyDescent="0.25">
      <c r="C2111" s="15">
        <v>247816</v>
      </c>
      <c r="D2111" s="4" t="s">
        <v>2115</v>
      </c>
      <c r="E2111" s="4" t="str">
        <f>HYPERLINK("https://app.crepc.sk/?fn=detailBiblioForm&amp;sid=C600BE0451BEFBF520FDD8FDA2")</f>
        <v>https://app.crepc.sk/?fn=detailBiblioForm&amp;sid=C600BE0451BEFBF520FDD8FDA2</v>
      </c>
    </row>
    <row r="2112" spans="3:5" ht="120" x14ac:dyDescent="0.25">
      <c r="C2112" s="15">
        <v>188525</v>
      </c>
      <c r="D2112" s="4" t="s">
        <v>2116</v>
      </c>
      <c r="E2112" s="4" t="str">
        <f>HYPERLINK("https://app.crepc.sk/?fn=detailBiblioForm&amp;sid=CEC4BB8C8D9EFEE35AD6659C47")</f>
        <v>https://app.crepc.sk/?fn=detailBiblioForm&amp;sid=CEC4BB8C8D9EFEE35AD6659C47</v>
      </c>
    </row>
    <row r="2113" spans="3:5" ht="120" x14ac:dyDescent="0.25">
      <c r="C2113" s="15">
        <v>219582</v>
      </c>
      <c r="D2113" s="4" t="s">
        <v>2117</v>
      </c>
      <c r="E2113" s="4" t="str">
        <f>HYPERLINK("https://app.crepc.sk/?fn=detailBiblioForm&amp;sid=82B1BA4FFFB57B2C94DB468A88")</f>
        <v>https://app.crepc.sk/?fn=detailBiblioForm&amp;sid=82B1BA4FFFB57B2C94DB468A88</v>
      </c>
    </row>
    <row r="2114" spans="3:5" ht="90" x14ac:dyDescent="0.25">
      <c r="C2114" s="15">
        <v>215158</v>
      </c>
      <c r="D2114" s="4" t="s">
        <v>2118</v>
      </c>
      <c r="E2114" s="4" t="str">
        <f>HYPERLINK("https://app.crepc.sk/?fn=detailBiblioForm&amp;sid=4D5574EB40FC4DF07DD2C88A83")</f>
        <v>https://app.crepc.sk/?fn=detailBiblioForm&amp;sid=4D5574EB40FC4DF07DD2C88A83</v>
      </c>
    </row>
    <row r="2115" spans="3:5" ht="120" x14ac:dyDescent="0.25">
      <c r="C2115" s="15">
        <v>201336</v>
      </c>
      <c r="D2115" s="4" t="s">
        <v>2119</v>
      </c>
      <c r="E2115" s="4" t="str">
        <f>HYPERLINK("https://app.crepc.sk/?fn=detailBiblioForm&amp;sid=656F169D0F9FF3EB0EE6C459E1")</f>
        <v>https://app.crepc.sk/?fn=detailBiblioForm&amp;sid=656F169D0F9FF3EB0EE6C459E1</v>
      </c>
    </row>
    <row r="2116" spans="3:5" ht="90" x14ac:dyDescent="0.25">
      <c r="C2116" s="15">
        <v>114195</v>
      </c>
      <c r="D2116" s="4" t="s">
        <v>2120</v>
      </c>
      <c r="E2116" s="4" t="str">
        <f>HYPERLINK("https://app.crepc.sk/?fn=detailBiblioForm&amp;sid=502CD2BEFE4C860B081D18E448")</f>
        <v>https://app.crepc.sk/?fn=detailBiblioForm&amp;sid=502CD2BEFE4C860B081D18E448</v>
      </c>
    </row>
    <row r="2117" spans="3:5" ht="90" x14ac:dyDescent="0.25">
      <c r="C2117" s="15">
        <v>72610</v>
      </c>
      <c r="D2117" s="4" t="s">
        <v>2121</v>
      </c>
      <c r="E2117" s="4" t="str">
        <f>HYPERLINK("https://app.crepc.sk/?fn=detailBiblioForm&amp;sid=139F5E262E5A6EA7D7C7E1EB")</f>
        <v>https://app.crepc.sk/?fn=detailBiblioForm&amp;sid=139F5E262E5A6EA7D7C7E1EB</v>
      </c>
    </row>
    <row r="2118" spans="3:5" ht="75" x14ac:dyDescent="0.25">
      <c r="C2118" s="15">
        <v>83491</v>
      </c>
      <c r="D2118" s="4" t="s">
        <v>2122</v>
      </c>
      <c r="E2118" s="4" t="str">
        <f>HYPERLINK("https://app.crepc.sk/?fn=detailBiblioForm&amp;sid=F351624C1DE9DD9F52D58572")</f>
        <v>https://app.crepc.sk/?fn=detailBiblioForm&amp;sid=F351624C1DE9DD9F52D58572</v>
      </c>
    </row>
    <row r="2119" spans="3:5" ht="105" x14ac:dyDescent="0.25">
      <c r="C2119" s="15">
        <v>430213</v>
      </c>
      <c r="D2119" s="4" t="s">
        <v>2123</v>
      </c>
      <c r="E2119" s="4" t="str">
        <f>HYPERLINK("https://app.crepc.sk/?fn=detailBiblioForm&amp;sid=8BEC0704DEFF770458D6B6FDB1")</f>
        <v>https://app.crepc.sk/?fn=detailBiblioForm&amp;sid=8BEC0704DEFF770458D6B6FDB1</v>
      </c>
    </row>
    <row r="2120" spans="3:5" ht="105" x14ac:dyDescent="0.25">
      <c r="C2120" s="15">
        <v>51391</v>
      </c>
      <c r="D2120" s="4" t="s">
        <v>2124</v>
      </c>
      <c r="E2120" s="4" t="str">
        <f>HYPERLINK("https://app.crepc.sk/?fn=detailBiblioForm&amp;sid=1EAD79F2D14E82E30EAE535A")</f>
        <v>https://app.crepc.sk/?fn=detailBiblioForm&amp;sid=1EAD79F2D14E82E30EAE535A</v>
      </c>
    </row>
    <row r="2121" spans="3:5" ht="90" x14ac:dyDescent="0.25">
      <c r="C2121" s="15">
        <v>152515</v>
      </c>
      <c r="D2121" s="4" t="s">
        <v>2125</v>
      </c>
      <c r="E2121" s="4" t="str">
        <f>HYPERLINK("https://app.crepc.sk/?fn=detailBiblioForm&amp;sid=18225BB4525340AB7A5F0AE583")</f>
        <v>https://app.crepc.sk/?fn=detailBiblioForm&amp;sid=18225BB4525340AB7A5F0AE583</v>
      </c>
    </row>
    <row r="2122" spans="3:5" ht="165" x14ac:dyDescent="0.25">
      <c r="C2122" s="15">
        <v>247839</v>
      </c>
      <c r="D2122" s="4" t="s">
        <v>2126</v>
      </c>
      <c r="E2122" s="4" t="str">
        <f>HYPERLINK("https://app.crepc.sk/?fn=detailBiblioForm&amp;sid=C600BE0451BEFBF522F2D8FDA2")</f>
        <v>https://app.crepc.sk/?fn=detailBiblioForm&amp;sid=C600BE0451BEFBF522F2D8FDA2</v>
      </c>
    </row>
    <row r="2123" spans="3:5" ht="90" x14ac:dyDescent="0.25">
      <c r="C2123" s="15">
        <v>145658</v>
      </c>
      <c r="D2123" s="4" t="s">
        <v>2127</v>
      </c>
      <c r="E2123" s="4" t="str">
        <f>HYPERLINK("https://app.crepc.sk/?fn=detailBiblioForm&amp;sid=78BAD52BF05C0FB58C459BA10D")</f>
        <v>https://app.crepc.sk/?fn=detailBiblioForm&amp;sid=78BAD52BF05C0FB58C459BA10D</v>
      </c>
    </row>
    <row r="2124" spans="3:5" ht="90" x14ac:dyDescent="0.25">
      <c r="C2124" s="15">
        <v>255858</v>
      </c>
      <c r="D2124" s="4" t="s">
        <v>2128</v>
      </c>
      <c r="E2124" s="4" t="str">
        <f>HYPERLINK("https://app.crepc.sk/?fn=detailBiblioForm&amp;sid=B0B81F2AF3D38590F70460A9A6")</f>
        <v>https://app.crepc.sk/?fn=detailBiblioForm&amp;sid=B0B81F2AF3D38590F70460A9A6</v>
      </c>
    </row>
    <row r="2125" spans="3:5" ht="75" x14ac:dyDescent="0.25">
      <c r="C2125" s="15">
        <v>419394</v>
      </c>
      <c r="D2125" s="4" t="s">
        <v>2129</v>
      </c>
      <c r="E2125" s="4" t="str">
        <f>HYPERLINK("https://app.crepc.sk/?fn=detailBiblioForm&amp;sid=D0B86A6C889D400A94B466C23A")</f>
        <v>https://app.crepc.sk/?fn=detailBiblioForm&amp;sid=D0B86A6C889D400A94B466C23A</v>
      </c>
    </row>
    <row r="2126" spans="3:5" ht="105" x14ac:dyDescent="0.25">
      <c r="C2126" s="15">
        <v>118975</v>
      </c>
      <c r="D2126" s="4" t="s">
        <v>2130</v>
      </c>
      <c r="E2126" s="4" t="str">
        <f>HYPERLINK("https://app.crepc.sk/?fn=detailBiblioForm&amp;sid=40DAA8F9ABC010BB4034D26456")</f>
        <v>https://app.crepc.sk/?fn=detailBiblioForm&amp;sid=40DAA8F9ABC010BB4034D26456</v>
      </c>
    </row>
    <row r="2127" spans="3:5" ht="90" x14ac:dyDescent="0.25">
      <c r="C2127" s="15">
        <v>442680</v>
      </c>
      <c r="D2127" s="4" t="s">
        <v>2131</v>
      </c>
      <c r="E2127" s="4" t="str">
        <f>HYPERLINK("https://app.crepc.sk/?fn=detailBiblioForm&amp;sid=E0A737AA77CC1B73384C438573")</f>
        <v>https://app.crepc.sk/?fn=detailBiblioForm&amp;sid=E0A737AA77CC1B73384C438573</v>
      </c>
    </row>
    <row r="2128" spans="3:5" ht="90" x14ac:dyDescent="0.25">
      <c r="C2128" s="15">
        <v>434446</v>
      </c>
      <c r="D2128" s="4" t="s">
        <v>2132</v>
      </c>
      <c r="E2128" s="4" t="str">
        <f>HYPERLINK("https://app.crepc.sk/?fn=detailBiblioForm&amp;sid=F0BEE93CA1F04CFF76FC4245EB")</f>
        <v>https://app.crepc.sk/?fn=detailBiblioForm&amp;sid=F0BEE93CA1F04CFF76FC4245EB</v>
      </c>
    </row>
    <row r="2129" spans="3:5" ht="75" x14ac:dyDescent="0.25">
      <c r="C2129" s="15">
        <v>183538</v>
      </c>
      <c r="D2129" s="4" t="s">
        <v>2133</v>
      </c>
      <c r="E2129" s="4" t="str">
        <f>HYPERLINK("https://app.crepc.sk/?fn=detailBiblioForm&amp;sid=B6792D53D67A57D8E1A6A8192A")</f>
        <v>https://app.crepc.sk/?fn=detailBiblioForm&amp;sid=B6792D53D67A57D8E1A6A8192A</v>
      </c>
    </row>
    <row r="2130" spans="3:5" ht="90" x14ac:dyDescent="0.25">
      <c r="C2130" s="15">
        <v>196646</v>
      </c>
      <c r="D2130" s="4" t="s">
        <v>2134</v>
      </c>
      <c r="E2130" s="4" t="str">
        <f>HYPERLINK("https://app.crepc.sk/?fn=detailBiblioForm&amp;sid=8A8E655A3835503C43D8DE9D4A")</f>
        <v>https://app.crepc.sk/?fn=detailBiblioForm&amp;sid=8A8E655A3835503C43D8DE9D4A</v>
      </c>
    </row>
    <row r="2131" spans="3:5" ht="105" x14ac:dyDescent="0.25">
      <c r="C2131" s="15">
        <v>138719</v>
      </c>
      <c r="D2131" s="4" t="s">
        <v>2135</v>
      </c>
      <c r="E2131" s="4" t="str">
        <f>HYPERLINK("https://app.crepc.sk/?fn=detailBiblioForm&amp;sid=B05445C3B1156175C1CEE1ECCB")</f>
        <v>https://app.crepc.sk/?fn=detailBiblioForm&amp;sid=B05445C3B1156175C1CEE1ECCB</v>
      </c>
    </row>
    <row r="2132" spans="3:5" ht="105" x14ac:dyDescent="0.25">
      <c r="C2132" s="15">
        <v>50956</v>
      </c>
      <c r="D2132" s="4" t="s">
        <v>2136</v>
      </c>
      <c r="E2132" s="4" t="str">
        <f>HYPERLINK("https://app.crepc.sk/?fn=detailBiblioForm&amp;sid=5126377C42CCB2759CB0B398")</f>
        <v>https://app.crepc.sk/?fn=detailBiblioForm&amp;sid=5126377C42CCB2759CB0B398</v>
      </c>
    </row>
    <row r="2133" spans="3:5" ht="90" x14ac:dyDescent="0.25">
      <c r="C2133" s="15">
        <v>110647</v>
      </c>
      <c r="D2133" s="4" t="s">
        <v>2137</v>
      </c>
      <c r="E2133" s="4" t="str">
        <f>HYPERLINK("https://app.crepc.sk/?fn=detailBiblioForm&amp;sid=2ADD962B14F411C3F64F0BA4EF")</f>
        <v>https://app.crepc.sk/?fn=detailBiblioForm&amp;sid=2ADD962B14F411C3F64F0BA4EF</v>
      </c>
    </row>
    <row r="2134" spans="3:5" ht="105" x14ac:dyDescent="0.25">
      <c r="C2134" s="15">
        <v>131953</v>
      </c>
      <c r="D2134" s="4" t="s">
        <v>2138</v>
      </c>
      <c r="E2134" s="4" t="str">
        <f>HYPERLINK("https://app.crepc.sk/?fn=detailBiblioForm&amp;sid=0202559EFCC7E8BF14A7BC9722")</f>
        <v>https://app.crepc.sk/?fn=detailBiblioForm&amp;sid=0202559EFCC7E8BF14A7BC9722</v>
      </c>
    </row>
    <row r="2135" spans="3:5" ht="90" x14ac:dyDescent="0.25">
      <c r="C2135" s="15">
        <v>142507</v>
      </c>
      <c r="D2135" s="4" t="s">
        <v>2139</v>
      </c>
      <c r="E2135" s="4" t="str">
        <f>HYPERLINK("https://app.crepc.sk/?fn=detailBiblioForm&amp;sid=367CD704F5D5570C70E199C82C")</f>
        <v>https://app.crepc.sk/?fn=detailBiblioForm&amp;sid=367CD704F5D5570C70E199C82C</v>
      </c>
    </row>
    <row r="2136" spans="3:5" ht="120" x14ac:dyDescent="0.25">
      <c r="C2136" s="15">
        <v>215854</v>
      </c>
      <c r="D2136" s="4" t="s">
        <v>2140</v>
      </c>
      <c r="E2136" s="4" t="str">
        <f>HYPERLINK("https://app.crepc.sk/?fn=detailBiblioForm&amp;sid=BF21ECCDBDCC328E868BF9EB0F")</f>
        <v>https://app.crepc.sk/?fn=detailBiblioForm&amp;sid=BF21ECCDBDCC328E868BF9EB0F</v>
      </c>
    </row>
    <row r="2137" spans="3:5" ht="105" x14ac:dyDescent="0.25">
      <c r="C2137" s="15">
        <v>426949</v>
      </c>
      <c r="D2137" s="4" t="s">
        <v>2141</v>
      </c>
      <c r="E2137" s="4" t="str">
        <f>HYPERLINK("https://app.crepc.sk/?fn=detailBiblioForm&amp;sid=7F7D618A5383796EE4DC34E727")</f>
        <v>https://app.crepc.sk/?fn=detailBiblioForm&amp;sid=7F7D618A5383796EE4DC34E727</v>
      </c>
    </row>
    <row r="2138" spans="3:5" ht="120" x14ac:dyDescent="0.25">
      <c r="C2138" s="15">
        <v>228243</v>
      </c>
      <c r="D2138" s="4" t="s">
        <v>2142</v>
      </c>
      <c r="E2138" s="4" t="str">
        <f>HYPERLINK("https://app.crepc.sk/?fn=detailBiblioForm&amp;sid=AF76E74BF3CFEA1C409B851A00")</f>
        <v>https://app.crepc.sk/?fn=detailBiblioForm&amp;sid=AF76E74BF3CFEA1C409B851A00</v>
      </c>
    </row>
    <row r="2139" spans="3:5" ht="150" x14ac:dyDescent="0.25">
      <c r="C2139" s="15">
        <v>110551</v>
      </c>
      <c r="D2139" s="4" t="s">
        <v>2143</v>
      </c>
      <c r="E2139" s="4" t="str">
        <f>HYPERLINK("https://app.crepc.sk/?fn=detailBiblioForm&amp;sid=81F62E49FBBAAFB06A87FD4D2B")</f>
        <v>https://app.crepc.sk/?fn=detailBiblioForm&amp;sid=81F62E49FBBAAFB06A87FD4D2B</v>
      </c>
    </row>
    <row r="2140" spans="3:5" ht="105" x14ac:dyDescent="0.25">
      <c r="C2140" s="15">
        <v>210738</v>
      </c>
      <c r="D2140" s="4" t="s">
        <v>2144</v>
      </c>
      <c r="E2140" s="4" t="str">
        <f>HYPERLINK("https://app.crepc.sk/?fn=detailBiblioForm&amp;sid=36B56AEA95B56E9F69EB6E5F31")</f>
        <v>https://app.crepc.sk/?fn=detailBiblioForm&amp;sid=36B56AEA95B56E9F69EB6E5F31</v>
      </c>
    </row>
    <row r="2141" spans="3:5" ht="120" x14ac:dyDescent="0.25">
      <c r="C2141" s="15">
        <v>225354</v>
      </c>
      <c r="D2141" s="4" t="s">
        <v>2145</v>
      </c>
      <c r="E2141" s="4" t="str">
        <f>HYPERLINK("https://app.crepc.sk/?fn=detailBiblioForm&amp;sid=B821F9E3E81A9BB89F1ACA5D86")</f>
        <v>https://app.crepc.sk/?fn=detailBiblioForm&amp;sid=B821F9E3E81A9BB89F1ACA5D86</v>
      </c>
    </row>
    <row r="2142" spans="3:5" ht="120" x14ac:dyDescent="0.25">
      <c r="C2142" s="15">
        <v>134278</v>
      </c>
      <c r="D2142" s="4" t="s">
        <v>2146</v>
      </c>
      <c r="E2142" s="4" t="str">
        <f>HYPERLINK("https://app.crepc.sk/?fn=detailBiblioForm&amp;sid=C8C09844F86E8670A6A10EE84B")</f>
        <v>https://app.crepc.sk/?fn=detailBiblioForm&amp;sid=C8C09844F86E8670A6A10EE84B</v>
      </c>
    </row>
    <row r="2143" spans="3:5" ht="90" x14ac:dyDescent="0.25">
      <c r="C2143" s="15">
        <v>227316</v>
      </c>
      <c r="D2143" s="4" t="s">
        <v>2147</v>
      </c>
      <c r="E2143" s="4" t="str">
        <f>HYPERLINK("https://app.crepc.sk/?fn=detailBiblioForm&amp;sid=6CA30878C8FDE196A21A0AE199")</f>
        <v>https://app.crepc.sk/?fn=detailBiblioForm&amp;sid=6CA30878C8FDE196A21A0AE199</v>
      </c>
    </row>
    <row r="2144" spans="3:5" ht="105" x14ac:dyDescent="0.25">
      <c r="C2144" s="15">
        <v>180629</v>
      </c>
      <c r="D2144" s="4" t="s">
        <v>2148</v>
      </c>
      <c r="E2144" s="4" t="str">
        <f>HYPERLINK("https://app.crepc.sk/?fn=detailBiblioForm&amp;sid=6B977D197BBEDDBAD171D8DAE5")</f>
        <v>https://app.crepc.sk/?fn=detailBiblioForm&amp;sid=6B977D197BBEDDBAD171D8DAE5</v>
      </c>
    </row>
    <row r="2145" spans="3:5" ht="60" x14ac:dyDescent="0.25">
      <c r="C2145" s="15">
        <v>70926</v>
      </c>
      <c r="D2145" s="4" t="s">
        <v>2149</v>
      </c>
      <c r="E2145" s="4" t="str">
        <f>HYPERLINK("https://app.crepc.sk/?fn=detailBiblioForm&amp;sid=372F44BEE0E3F801DCC41F01")</f>
        <v>https://app.crepc.sk/?fn=detailBiblioForm&amp;sid=372F44BEE0E3F801DCC41F01</v>
      </c>
    </row>
    <row r="2146" spans="3:5" ht="135" x14ac:dyDescent="0.25">
      <c r="C2146" s="15">
        <v>121654</v>
      </c>
      <c r="D2146" s="4" t="s">
        <v>2150</v>
      </c>
      <c r="E2146" s="4" t="str">
        <f>HYPERLINK("https://app.crepc.sk/?fn=detailBiblioForm&amp;sid=9E0AC4D45381629570077E0B88")</f>
        <v>https://app.crepc.sk/?fn=detailBiblioForm&amp;sid=9E0AC4D45381629570077E0B88</v>
      </c>
    </row>
    <row r="2147" spans="3:5" ht="75" x14ac:dyDescent="0.25">
      <c r="C2147" s="15">
        <v>61588</v>
      </c>
      <c r="D2147" s="4" t="s">
        <v>2151</v>
      </c>
      <c r="E2147" s="4" t="str">
        <f>HYPERLINK("https://app.crepc.sk/?fn=detailBiblioForm&amp;sid=D666210AD50E8EC94E229E66")</f>
        <v>https://app.crepc.sk/?fn=detailBiblioForm&amp;sid=D666210AD50E8EC94E229E66</v>
      </c>
    </row>
    <row r="2148" spans="3:5" ht="90" x14ac:dyDescent="0.25">
      <c r="C2148" s="15">
        <v>104874</v>
      </c>
      <c r="D2148" s="4" t="s">
        <v>2152</v>
      </c>
      <c r="E2148" s="4" t="str">
        <f>HYPERLINK("https://app.crepc.sk/?fn=detailBiblioForm&amp;sid=3EF72ED7F261AA74BE52AD9599")</f>
        <v>https://app.crepc.sk/?fn=detailBiblioForm&amp;sid=3EF72ED7F261AA74BE52AD9599</v>
      </c>
    </row>
    <row r="2149" spans="3:5" ht="120" x14ac:dyDescent="0.25">
      <c r="C2149" s="15">
        <v>131218</v>
      </c>
      <c r="D2149" s="4" t="s">
        <v>2153</v>
      </c>
      <c r="E2149" s="4" t="str">
        <f>HYPERLINK("https://app.crepc.sk/?fn=detailBiblioForm&amp;sid=286591CBAF51C2F037F3894B8A")</f>
        <v>https://app.crepc.sk/?fn=detailBiblioForm&amp;sid=286591CBAF51C2F037F3894B8A</v>
      </c>
    </row>
    <row r="2150" spans="3:5" ht="90" x14ac:dyDescent="0.25">
      <c r="C2150" s="15">
        <v>64863</v>
      </c>
      <c r="D2150" s="4" t="s">
        <v>2154</v>
      </c>
      <c r="E2150" s="4" t="str">
        <f>HYPERLINK("https://app.crepc.sk/?fn=detailBiblioForm&amp;sid=80A7145A47974828661A19FF")</f>
        <v>https://app.crepc.sk/?fn=detailBiblioForm&amp;sid=80A7145A47974828661A19FF</v>
      </c>
    </row>
    <row r="2151" spans="3:5" ht="120" x14ac:dyDescent="0.25">
      <c r="C2151" s="15">
        <v>117328</v>
      </c>
      <c r="D2151" s="4" t="s">
        <v>2155</v>
      </c>
      <c r="E2151" s="4" t="str">
        <f>HYPERLINK("https://app.crepc.sk/?fn=detailBiblioForm&amp;sid=CCDF67E7FC0AADE0BDB39FDF23")</f>
        <v>https://app.crepc.sk/?fn=detailBiblioForm&amp;sid=CCDF67E7FC0AADE0BDB39FDF23</v>
      </c>
    </row>
    <row r="2152" spans="3:5" ht="90" x14ac:dyDescent="0.25">
      <c r="C2152" s="15">
        <v>307749</v>
      </c>
      <c r="D2152" s="4" t="s">
        <v>2156</v>
      </c>
      <c r="E2152" s="4" t="str">
        <f>HYPERLINK("https://app.crepc.sk/?fn=detailBiblioForm&amp;sid=D300494292311A148E019C5B89")</f>
        <v>https://app.crepc.sk/?fn=detailBiblioForm&amp;sid=D300494292311A148E019C5B89</v>
      </c>
    </row>
    <row r="2153" spans="3:5" ht="90" x14ac:dyDescent="0.25">
      <c r="C2153" s="15">
        <v>420294</v>
      </c>
      <c r="D2153" s="4" t="s">
        <v>2157</v>
      </c>
      <c r="E2153" s="4" t="str">
        <f>HYPERLINK("https://app.crepc.sk/?fn=detailBiblioForm&amp;sid=50D168C6DED1E9D8D2CE6C1ABF")</f>
        <v>https://app.crepc.sk/?fn=detailBiblioForm&amp;sid=50D168C6DED1E9D8D2CE6C1ABF</v>
      </c>
    </row>
    <row r="2154" spans="3:5" ht="105" x14ac:dyDescent="0.25">
      <c r="C2154" s="15">
        <v>112410</v>
      </c>
      <c r="D2154" s="4" t="s">
        <v>2158</v>
      </c>
      <c r="E2154" s="4" t="str">
        <f>HYPERLINK("https://app.crepc.sk/?fn=detailBiblioForm&amp;sid=6B00E789183A492A974FB14C71")</f>
        <v>https://app.crepc.sk/?fn=detailBiblioForm&amp;sid=6B00E789183A492A974FB14C71</v>
      </c>
    </row>
    <row r="2155" spans="3:5" ht="120" x14ac:dyDescent="0.25">
      <c r="C2155" s="15">
        <v>214308</v>
      </c>
      <c r="D2155" s="4" t="s">
        <v>2159</v>
      </c>
      <c r="E2155" s="4" t="str">
        <f>HYPERLINK("https://app.crepc.sk/?fn=detailBiblioForm&amp;sid=31660CBDAF6779FEA808F9D480")</f>
        <v>https://app.crepc.sk/?fn=detailBiblioForm&amp;sid=31660CBDAF6779FEA808F9D480</v>
      </c>
    </row>
    <row r="2156" spans="3:5" ht="105" x14ac:dyDescent="0.25">
      <c r="C2156" s="15">
        <v>198256</v>
      </c>
      <c r="D2156" s="4" t="s">
        <v>2160</v>
      </c>
      <c r="E2156" s="4" t="str">
        <f>HYPERLINK("https://app.crepc.sk/?fn=detailBiblioForm&amp;sid=5D87752206D8162BCDB6B09268")</f>
        <v>https://app.crepc.sk/?fn=detailBiblioForm&amp;sid=5D87752206D8162BCDB6B09268</v>
      </c>
    </row>
    <row r="2157" spans="3:5" ht="105" x14ac:dyDescent="0.25">
      <c r="C2157" s="15">
        <v>243556</v>
      </c>
      <c r="D2157" s="4" t="s">
        <v>2161</v>
      </c>
      <c r="E2157" s="4" t="str">
        <f>HYPERLINK("https://app.crepc.sk/?fn=detailBiblioForm&amp;sid=137A7FA19A49BE0FB09636B665")</f>
        <v>https://app.crepc.sk/?fn=detailBiblioForm&amp;sid=137A7FA19A49BE0FB09636B665</v>
      </c>
    </row>
    <row r="2158" spans="3:5" ht="120" x14ac:dyDescent="0.25">
      <c r="C2158" s="15">
        <v>413898</v>
      </c>
      <c r="D2158" s="4" t="s">
        <v>2162</v>
      </c>
      <c r="E2158" s="4" t="str">
        <f>HYPERLINK("https://app.crepc.sk/?fn=detailBiblioForm&amp;sid=0666E4DD92649C3D18557B444D")</f>
        <v>https://app.crepc.sk/?fn=detailBiblioForm&amp;sid=0666E4DD92649C3D18557B444D</v>
      </c>
    </row>
    <row r="2159" spans="3:5" ht="90" x14ac:dyDescent="0.25">
      <c r="C2159" s="15">
        <v>249195</v>
      </c>
      <c r="D2159" s="4" t="s">
        <v>2163</v>
      </c>
      <c r="E2159" s="4" t="str">
        <f>HYPERLINK("https://app.crepc.sk/?fn=detailBiblioForm&amp;sid=4E3FC3EF0E33ED011BF1ECDC90")</f>
        <v>https://app.crepc.sk/?fn=detailBiblioForm&amp;sid=4E3FC3EF0E33ED011BF1ECDC90</v>
      </c>
    </row>
    <row r="2160" spans="3:5" ht="135" x14ac:dyDescent="0.25">
      <c r="C2160" s="15">
        <v>416892</v>
      </c>
      <c r="D2160" s="4" t="s">
        <v>2164</v>
      </c>
      <c r="E2160" s="4" t="str">
        <f>HYPERLINK("https://app.crepc.sk/?fn=detailBiblioForm&amp;sid=81C370C9A5C9A65223CB2E8C71")</f>
        <v>https://app.crepc.sk/?fn=detailBiblioForm&amp;sid=81C370C9A5C9A65223CB2E8C71</v>
      </c>
    </row>
    <row r="2161" spans="3:5" ht="105" x14ac:dyDescent="0.25">
      <c r="C2161" s="15">
        <v>244153</v>
      </c>
      <c r="D2161" s="4" t="s">
        <v>2165</v>
      </c>
      <c r="E2161" s="4" t="str">
        <f>HYPERLINK("https://app.crepc.sk/?fn=detailBiblioForm&amp;sid=FFCC819EC98AFF8CF94B407BB1")</f>
        <v>https://app.crepc.sk/?fn=detailBiblioForm&amp;sid=FFCC819EC98AFF8CF94B407BB1</v>
      </c>
    </row>
    <row r="2162" spans="3:5" ht="90" x14ac:dyDescent="0.25">
      <c r="C2162" s="15">
        <v>433853</v>
      </c>
      <c r="D2162" s="4" t="s">
        <v>2166</v>
      </c>
      <c r="E2162" s="4" t="str">
        <f>HYPERLINK("https://app.crepc.sk/?fn=detailBiblioForm&amp;sid=5B624FC076485487D498362BC5")</f>
        <v>https://app.crepc.sk/?fn=detailBiblioForm&amp;sid=5B624FC076485487D498362BC5</v>
      </c>
    </row>
    <row r="2163" spans="3:5" ht="120" x14ac:dyDescent="0.25">
      <c r="C2163" s="15">
        <v>422304</v>
      </c>
      <c r="D2163" s="4" t="s">
        <v>2167</v>
      </c>
      <c r="E2163" s="4" t="str">
        <f>HYPERLINK("https://app.crepc.sk/?fn=detailBiblioForm&amp;sid=AF946B1BA58D5A544B76B317E0")</f>
        <v>https://app.crepc.sk/?fn=detailBiblioForm&amp;sid=AF946B1BA58D5A544B76B317E0</v>
      </c>
    </row>
    <row r="2164" spans="3:5" ht="135" x14ac:dyDescent="0.25">
      <c r="C2164" s="15">
        <v>211377</v>
      </c>
      <c r="D2164" s="4" t="s">
        <v>2168</v>
      </c>
      <c r="E2164" s="4" t="str">
        <f>HYPERLINK("https://app.crepc.sk/?fn=detailBiblioForm&amp;sid=607F6B6A1832FEA872CF3AD1B4")</f>
        <v>https://app.crepc.sk/?fn=detailBiblioForm&amp;sid=607F6B6A1832FEA872CF3AD1B4</v>
      </c>
    </row>
    <row r="2165" spans="3:5" ht="105" x14ac:dyDescent="0.25">
      <c r="C2165" s="15">
        <v>435548</v>
      </c>
      <c r="D2165" s="4" t="s">
        <v>2169</v>
      </c>
      <c r="E2165" s="4" t="str">
        <f>HYPERLINK("https://app.crepc.sk/?fn=detailBiblioForm&amp;sid=CBCC4E2F87C3739926CFCFBB27")</f>
        <v>https://app.crepc.sk/?fn=detailBiblioForm&amp;sid=CBCC4E2F87C3739926CFCFBB27</v>
      </c>
    </row>
    <row r="2166" spans="3:5" ht="120" x14ac:dyDescent="0.25">
      <c r="C2166" s="15">
        <v>156079</v>
      </c>
      <c r="D2166" s="4" t="s">
        <v>2170</v>
      </c>
      <c r="E2166" s="4" t="str">
        <f>HYPERLINK("https://app.crepc.sk/?fn=detailBiblioForm&amp;sid=F284FC460F7B017327A7C6CCA0")</f>
        <v>https://app.crepc.sk/?fn=detailBiblioForm&amp;sid=F284FC460F7B017327A7C6CCA0</v>
      </c>
    </row>
    <row r="2167" spans="3:5" ht="90" x14ac:dyDescent="0.25">
      <c r="C2167" s="15">
        <v>58762</v>
      </c>
      <c r="D2167" s="4" t="s">
        <v>2171</v>
      </c>
      <c r="E2167" s="4" t="str">
        <f>HYPERLINK("https://app.crepc.sk/?fn=detailBiblioForm&amp;sid=97C99CE43189A8849EBB0CEB")</f>
        <v>https://app.crepc.sk/?fn=detailBiblioForm&amp;sid=97C99CE43189A8849EBB0CEB</v>
      </c>
    </row>
    <row r="2168" spans="3:5" ht="105" x14ac:dyDescent="0.25">
      <c r="C2168" s="15">
        <v>164185</v>
      </c>
      <c r="D2168" s="4" t="s">
        <v>2172</v>
      </c>
      <c r="E2168" s="4" t="str">
        <f>HYPERLINK("https://app.crepc.sk/?fn=detailBiblioForm&amp;sid=FCF30027D35CCE3E04F353BB52")</f>
        <v>https://app.crepc.sk/?fn=detailBiblioForm&amp;sid=FCF30027D35CCE3E04F353BB52</v>
      </c>
    </row>
    <row r="2169" spans="3:5" ht="105" x14ac:dyDescent="0.25">
      <c r="C2169" s="15">
        <v>193529</v>
      </c>
      <c r="D2169" s="4" t="s">
        <v>2173</v>
      </c>
      <c r="E2169" s="4" t="str">
        <f>HYPERLINK("https://app.crepc.sk/?fn=detailBiblioForm&amp;sid=80433203F04DA090B4ABFE3FCE")</f>
        <v>https://app.crepc.sk/?fn=detailBiblioForm&amp;sid=80433203F04DA090B4ABFE3FCE</v>
      </c>
    </row>
    <row r="2170" spans="3:5" ht="75" x14ac:dyDescent="0.25">
      <c r="C2170" s="15">
        <v>183337</v>
      </c>
      <c r="D2170" s="4" t="s">
        <v>2174</v>
      </c>
      <c r="E2170" s="4" t="str">
        <f>HYPERLINK("https://app.crepc.sk/?fn=detailBiblioForm&amp;sid=6D6DC5E985962C81DE84CBBA22")</f>
        <v>https://app.crepc.sk/?fn=detailBiblioForm&amp;sid=6D6DC5E985962C81DE84CBBA22</v>
      </c>
    </row>
    <row r="2171" spans="3:5" ht="105" x14ac:dyDescent="0.25">
      <c r="C2171" s="15">
        <v>312733</v>
      </c>
      <c r="D2171" s="4" t="s">
        <v>2175</v>
      </c>
      <c r="E2171" s="4" t="str">
        <f>HYPERLINK("https://app.crepc.sk/?fn=detailBiblioForm&amp;sid=80E4BE4F2EDF3A918BDBFDE53D")</f>
        <v>https://app.crepc.sk/?fn=detailBiblioForm&amp;sid=80E4BE4F2EDF3A918BDBFDE53D</v>
      </c>
    </row>
    <row r="2172" spans="3:5" ht="105" x14ac:dyDescent="0.25">
      <c r="C2172" s="15">
        <v>51384</v>
      </c>
      <c r="D2172" s="4" t="s">
        <v>2176</v>
      </c>
      <c r="E2172" s="4" t="str">
        <f>HYPERLINK("https://app.crepc.sk/?fn=detailBiblioForm&amp;sid=BC45AE4EBD40543643A9420E")</f>
        <v>https://app.crepc.sk/?fn=detailBiblioForm&amp;sid=BC45AE4EBD40543643A9420E</v>
      </c>
    </row>
    <row r="2173" spans="3:5" ht="120" x14ac:dyDescent="0.25">
      <c r="C2173" s="15">
        <v>441537</v>
      </c>
      <c r="D2173" s="4" t="s">
        <v>2177</v>
      </c>
      <c r="E2173" s="4" t="str">
        <f>HYPERLINK("https://app.crepc.sk/?fn=detailBiblioForm&amp;sid=6E35C7AD45774CCA6F0A63E7F0")</f>
        <v>https://app.crepc.sk/?fn=detailBiblioForm&amp;sid=6E35C7AD45774CCA6F0A63E7F0</v>
      </c>
    </row>
    <row r="2174" spans="3:5" ht="120" x14ac:dyDescent="0.25">
      <c r="C2174" s="15">
        <v>424960</v>
      </c>
      <c r="D2174" s="4" t="s">
        <v>2178</v>
      </c>
      <c r="E2174" s="4" t="str">
        <f>HYPERLINK("https://app.crepc.sk/?fn=detailBiblioForm&amp;sid=7789A5EFF79401FA6997E79E56")</f>
        <v>https://app.crepc.sk/?fn=detailBiblioForm&amp;sid=7789A5EFF79401FA6997E79E56</v>
      </c>
    </row>
    <row r="2175" spans="3:5" ht="120" x14ac:dyDescent="0.25">
      <c r="C2175" s="15">
        <v>242276</v>
      </c>
      <c r="D2175" s="4" t="s">
        <v>2179</v>
      </c>
      <c r="E2175" s="4" t="str">
        <f>HYPERLINK("https://app.crepc.sk/?fn=detailBiblioForm&amp;sid=231E70CAEA5D636BE053F2C2AB")</f>
        <v>https://app.crepc.sk/?fn=detailBiblioForm&amp;sid=231E70CAEA5D636BE053F2C2AB</v>
      </c>
    </row>
    <row r="2176" spans="3:5" ht="105" x14ac:dyDescent="0.25">
      <c r="C2176" s="15">
        <v>65278</v>
      </c>
      <c r="D2176" s="4" t="s">
        <v>2180</v>
      </c>
      <c r="E2176" s="4" t="str">
        <f>HYPERLINK("https://app.crepc.sk/?fn=detailBiblioForm&amp;sid=9546CE0D36BB1251EBF008F9")</f>
        <v>https://app.crepc.sk/?fn=detailBiblioForm&amp;sid=9546CE0D36BB1251EBF008F9</v>
      </c>
    </row>
    <row r="2177" spans="3:5" ht="105" x14ac:dyDescent="0.25">
      <c r="C2177" s="15">
        <v>151385</v>
      </c>
      <c r="D2177" s="4" t="s">
        <v>2181</v>
      </c>
      <c r="E2177" s="4" t="str">
        <f>HYPERLINK("https://app.crepc.sk/?fn=detailBiblioForm&amp;sid=11002ED4121AC482A1BD0BF396")</f>
        <v>https://app.crepc.sk/?fn=detailBiblioForm&amp;sid=11002ED4121AC482A1BD0BF396</v>
      </c>
    </row>
    <row r="2178" spans="3:5" ht="105" x14ac:dyDescent="0.25">
      <c r="C2178" s="15">
        <v>62068</v>
      </c>
      <c r="D2178" s="4" t="s">
        <v>2182</v>
      </c>
      <c r="E2178" s="4" t="str">
        <f>HYPERLINK("https://app.crepc.sk/?fn=detailBiblioForm&amp;sid=C237DA57EFDC4F41FBD75A59")</f>
        <v>https://app.crepc.sk/?fn=detailBiblioForm&amp;sid=C237DA57EFDC4F41FBD75A59</v>
      </c>
    </row>
    <row r="2179" spans="3:5" ht="90" x14ac:dyDescent="0.25">
      <c r="C2179" s="15">
        <v>59870</v>
      </c>
      <c r="D2179" s="4" t="s">
        <v>2183</v>
      </c>
      <c r="E2179" s="4" t="str">
        <f>HYPERLINK("https://app.crepc.sk/?fn=detailBiblioForm&amp;sid=E7C4939F9C68B05E13BAB416")</f>
        <v>https://app.crepc.sk/?fn=detailBiblioForm&amp;sid=E7C4939F9C68B05E13BAB416</v>
      </c>
    </row>
    <row r="2180" spans="3:5" ht="105" x14ac:dyDescent="0.25">
      <c r="C2180" s="15">
        <v>171733</v>
      </c>
      <c r="D2180" s="4" t="s">
        <v>2184</v>
      </c>
      <c r="E2180" s="4" t="str">
        <f>HYPERLINK("https://app.crepc.sk/?fn=detailBiblioForm&amp;sid=686F5EE91E1A998AA6F7DC7ED2")</f>
        <v>https://app.crepc.sk/?fn=detailBiblioForm&amp;sid=686F5EE91E1A998AA6F7DC7ED2</v>
      </c>
    </row>
    <row r="2181" spans="3:5" ht="120" x14ac:dyDescent="0.25">
      <c r="C2181" s="15">
        <v>417256</v>
      </c>
      <c r="D2181" s="4" t="s">
        <v>2185</v>
      </c>
      <c r="E2181" s="4" t="str">
        <f>HYPERLINK("https://app.crepc.sk/?fn=detailBiblioForm&amp;sid=1B44D7E3811040CA76EDC1EC85")</f>
        <v>https://app.crepc.sk/?fn=detailBiblioForm&amp;sid=1B44D7E3811040CA76EDC1EC85</v>
      </c>
    </row>
    <row r="2182" spans="3:5" ht="90" x14ac:dyDescent="0.25">
      <c r="C2182" s="15">
        <v>413901</v>
      </c>
      <c r="D2182" s="4" t="s">
        <v>2186</v>
      </c>
      <c r="E2182" s="4" t="str">
        <f>HYPERLINK("https://app.crepc.sk/?fn=detailBiblioForm&amp;sid=8678E3B7749F9D09FA8D7896A7")</f>
        <v>https://app.crepc.sk/?fn=detailBiblioForm&amp;sid=8678E3B7749F9D09FA8D7896A7</v>
      </c>
    </row>
    <row r="2183" spans="3:5" ht="105" x14ac:dyDescent="0.25">
      <c r="C2183" s="15">
        <v>52374</v>
      </c>
      <c r="D2183" s="4" t="s">
        <v>2187</v>
      </c>
      <c r="E2183" s="4" t="str">
        <f>HYPERLINK("https://app.crepc.sk/?fn=detailBiblioForm&amp;sid=B95293EE1449F91CD59A79E1")</f>
        <v>https://app.crepc.sk/?fn=detailBiblioForm&amp;sid=B95293EE1449F91CD59A79E1</v>
      </c>
    </row>
    <row r="2184" spans="3:5" ht="90" x14ac:dyDescent="0.25">
      <c r="C2184" s="15">
        <v>215688</v>
      </c>
      <c r="D2184" s="4" t="s">
        <v>2188</v>
      </c>
      <c r="E2184" s="4" t="str">
        <f>HYPERLINK("https://app.crepc.sk/?fn=detailBiblioForm&amp;sid=71C258F70EEA1E8C30F60ED63E")</f>
        <v>https://app.crepc.sk/?fn=detailBiblioForm&amp;sid=71C258F70EEA1E8C30F60ED63E</v>
      </c>
    </row>
    <row r="2185" spans="3:5" ht="90" x14ac:dyDescent="0.25">
      <c r="C2185" s="15">
        <v>306059</v>
      </c>
      <c r="D2185" s="4" t="s">
        <v>2189</v>
      </c>
      <c r="E2185" s="4" t="str">
        <f>HYPERLINK("https://app.crepc.sk/?fn=detailBiblioForm&amp;sid=443B365C6541D2304BD47C2769")</f>
        <v>https://app.crepc.sk/?fn=detailBiblioForm&amp;sid=443B365C6541D2304BD47C2769</v>
      </c>
    </row>
    <row r="2186" spans="3:5" ht="75" x14ac:dyDescent="0.25">
      <c r="C2186" s="15">
        <v>308931</v>
      </c>
      <c r="D2186" s="4" t="s">
        <v>2190</v>
      </c>
      <c r="E2186" s="4" t="str">
        <f>HYPERLINK("https://app.crepc.sk/?fn=detailBiblioForm&amp;sid=D5ABE00A5E503AAC78668C57C1")</f>
        <v>https://app.crepc.sk/?fn=detailBiblioForm&amp;sid=D5ABE00A5E503AAC78668C57C1</v>
      </c>
    </row>
    <row r="2187" spans="3:5" ht="120" x14ac:dyDescent="0.25">
      <c r="C2187" s="15">
        <v>100883</v>
      </c>
      <c r="D2187" s="4" t="s">
        <v>2191</v>
      </c>
      <c r="E2187" s="4" t="str">
        <f>HYPERLINK("https://app.crepc.sk/?fn=detailBiblioForm&amp;sid=C2DCC5E65C22781D3262D860DE")</f>
        <v>https://app.crepc.sk/?fn=detailBiblioForm&amp;sid=C2DCC5E65C22781D3262D860DE</v>
      </c>
    </row>
    <row r="2188" spans="3:5" ht="90" x14ac:dyDescent="0.25">
      <c r="C2188" s="15">
        <v>431928</v>
      </c>
      <c r="D2188" s="4" t="s">
        <v>2192</v>
      </c>
      <c r="E2188" s="4" t="str">
        <f>HYPERLINK("https://app.crepc.sk/?fn=detailBiblioForm&amp;sid=93CE305C59B115305CC728A514")</f>
        <v>https://app.crepc.sk/?fn=detailBiblioForm&amp;sid=93CE305C59B115305CC728A514</v>
      </c>
    </row>
    <row r="2189" spans="3:5" ht="105" x14ac:dyDescent="0.25">
      <c r="C2189" s="15">
        <v>51721</v>
      </c>
      <c r="D2189" s="4" t="s">
        <v>2193</v>
      </c>
      <c r="E2189" s="4" t="str">
        <f>HYPERLINK("https://app.crepc.sk/?fn=detailBiblioForm&amp;sid=62444EC8270434F9F3A846B5")</f>
        <v>https://app.crepc.sk/?fn=detailBiblioForm&amp;sid=62444EC8270434F9F3A846B5</v>
      </c>
    </row>
    <row r="2190" spans="3:5" ht="150" x14ac:dyDescent="0.25">
      <c r="C2190" s="15">
        <v>57938</v>
      </c>
      <c r="D2190" s="4" t="s">
        <v>2194</v>
      </c>
      <c r="E2190" s="4" t="str">
        <f>HYPERLINK("https://app.crepc.sk/?fn=detailBiblioForm&amp;sid=BD8FBEFC118D26A591402C00")</f>
        <v>https://app.crepc.sk/?fn=detailBiblioForm&amp;sid=BD8FBEFC118D26A591402C00</v>
      </c>
    </row>
    <row r="2191" spans="3:5" ht="60" x14ac:dyDescent="0.25">
      <c r="C2191" s="15">
        <v>313774</v>
      </c>
      <c r="D2191" s="4" t="s">
        <v>2195</v>
      </c>
      <c r="E2191" s="4" t="str">
        <f>HYPERLINK("https://app.crepc.sk/?fn=detailBiblioForm&amp;sid=54D25A27962CDFF2C2C6F50D21")</f>
        <v>https://app.crepc.sk/?fn=detailBiblioForm&amp;sid=54D25A27962CDFF2C2C6F50D21</v>
      </c>
    </row>
    <row r="2192" spans="3:5" ht="105" x14ac:dyDescent="0.25">
      <c r="C2192" s="15">
        <v>51332</v>
      </c>
      <c r="D2192" s="4" t="s">
        <v>2196</v>
      </c>
      <c r="E2192" s="4" t="str">
        <f>HYPERLINK("https://app.crepc.sk/?fn=detailBiblioForm&amp;sid=43BA689D9CE9A3FDBB71F8B7")</f>
        <v>https://app.crepc.sk/?fn=detailBiblioForm&amp;sid=43BA689D9CE9A3FDBB71F8B7</v>
      </c>
    </row>
    <row r="2193" spans="3:5" ht="75" x14ac:dyDescent="0.25">
      <c r="C2193" s="15">
        <v>316726</v>
      </c>
      <c r="D2193" s="4" t="s">
        <v>2197</v>
      </c>
      <c r="E2193" s="4" t="str">
        <f>HYPERLINK("https://app.crepc.sk/?fn=detailBiblioForm&amp;sid=31B74E2C3D2F4979E89CC5B881")</f>
        <v>https://app.crepc.sk/?fn=detailBiblioForm&amp;sid=31B74E2C3D2F4979E89CC5B881</v>
      </c>
    </row>
    <row r="2194" spans="3:5" ht="135" x14ac:dyDescent="0.25">
      <c r="C2194" s="15">
        <v>188310</v>
      </c>
      <c r="D2194" s="4" t="s">
        <v>2198</v>
      </c>
      <c r="E2194" s="4" t="str">
        <f>HYPERLINK("https://app.crepc.sk/?fn=detailBiblioForm&amp;sid=0B2113943BE8BD1B38EF9DC86B")</f>
        <v>https://app.crepc.sk/?fn=detailBiblioForm&amp;sid=0B2113943BE8BD1B38EF9DC86B</v>
      </c>
    </row>
    <row r="2195" spans="3:5" ht="90" x14ac:dyDescent="0.25">
      <c r="C2195" s="15">
        <v>56479</v>
      </c>
      <c r="D2195" s="4" t="s">
        <v>2199</v>
      </c>
      <c r="E2195" s="4" t="str">
        <f>HYPERLINK("https://app.crepc.sk/?fn=detailBiblioForm&amp;sid=D2AADD6C123113D1E1D312A0")</f>
        <v>https://app.crepc.sk/?fn=detailBiblioForm&amp;sid=D2AADD6C123113D1E1D312A0</v>
      </c>
    </row>
    <row r="2196" spans="3:5" ht="135" x14ac:dyDescent="0.25">
      <c r="C2196" s="15">
        <v>64068</v>
      </c>
      <c r="D2196" s="4" t="s">
        <v>2200</v>
      </c>
      <c r="E2196" s="4" t="str">
        <f>HYPERLINK("https://app.crepc.sk/?fn=detailBiblioForm&amp;sid=44F8810BE2E9638474A67A0E")</f>
        <v>https://app.crepc.sk/?fn=detailBiblioForm&amp;sid=44F8810BE2E9638474A67A0E</v>
      </c>
    </row>
    <row r="2197" spans="3:5" ht="135" x14ac:dyDescent="0.25">
      <c r="C2197" s="15">
        <v>211103</v>
      </c>
      <c r="D2197" s="4" t="s">
        <v>2201</v>
      </c>
      <c r="E2197" s="4" t="str">
        <f>HYPERLINK("https://app.crepc.sk/?fn=detailBiblioForm&amp;sid=790410D0BB97568B7ED84DEBFA")</f>
        <v>https://app.crepc.sk/?fn=detailBiblioForm&amp;sid=790410D0BB97568B7ED84DEBFA</v>
      </c>
    </row>
    <row r="2198" spans="3:5" ht="120" x14ac:dyDescent="0.25">
      <c r="C2198" s="15">
        <v>230012</v>
      </c>
      <c r="D2198" s="4" t="s">
        <v>2202</v>
      </c>
      <c r="E2198" s="4" t="str">
        <f>HYPERLINK("https://app.crepc.sk/?fn=detailBiblioForm&amp;sid=1447EAD9E9ED6D3C2178565EB0")</f>
        <v>https://app.crepc.sk/?fn=detailBiblioForm&amp;sid=1447EAD9E9ED6D3C2178565EB0</v>
      </c>
    </row>
    <row r="2199" spans="3:5" ht="120" x14ac:dyDescent="0.25">
      <c r="C2199" s="15">
        <v>240674</v>
      </c>
      <c r="D2199" s="4" t="s">
        <v>2203</v>
      </c>
      <c r="E2199" s="4" t="str">
        <f>HYPERLINK("https://app.crepc.sk/?fn=detailBiblioForm&amp;sid=376FCAEA43ECD92AE369E3DC06")</f>
        <v>https://app.crepc.sk/?fn=detailBiblioForm&amp;sid=376FCAEA43ECD92AE369E3DC06</v>
      </c>
    </row>
    <row r="2200" spans="3:5" ht="105" x14ac:dyDescent="0.25">
      <c r="C2200" s="15">
        <v>75521</v>
      </c>
      <c r="D2200" s="4" t="s">
        <v>2204</v>
      </c>
      <c r="E2200" s="4" t="str">
        <f>HYPERLINK("https://app.crepc.sk/?fn=detailBiblioForm&amp;sid=216C607C835A310D7859E23A")</f>
        <v>https://app.crepc.sk/?fn=detailBiblioForm&amp;sid=216C607C835A310D7859E23A</v>
      </c>
    </row>
    <row r="2201" spans="3:5" ht="105" x14ac:dyDescent="0.25">
      <c r="C2201" s="15">
        <v>236280</v>
      </c>
      <c r="D2201" s="4" t="s">
        <v>2205</v>
      </c>
      <c r="E2201" s="4" t="str">
        <f>HYPERLINK("https://app.crepc.sk/?fn=detailBiblioForm&amp;sid=C110776E543635D213B6A03168")</f>
        <v>https://app.crepc.sk/?fn=detailBiblioForm&amp;sid=C110776E543635D213B6A03168</v>
      </c>
    </row>
    <row r="2202" spans="3:5" ht="105" x14ac:dyDescent="0.25">
      <c r="C2202" s="15">
        <v>228928</v>
      </c>
      <c r="D2202" s="4" t="s">
        <v>2206</v>
      </c>
      <c r="E2202" s="4" t="str">
        <f>HYPERLINK("https://app.crepc.sk/?fn=detailBiblioForm&amp;sid=A7DFDA93880351E58077ED50F0")</f>
        <v>https://app.crepc.sk/?fn=detailBiblioForm&amp;sid=A7DFDA93880351E58077ED50F0</v>
      </c>
    </row>
    <row r="2203" spans="3:5" ht="105" x14ac:dyDescent="0.25">
      <c r="C2203" s="15">
        <v>188273</v>
      </c>
      <c r="D2203" s="4" t="s">
        <v>2207</v>
      </c>
      <c r="E2203" s="4" t="str">
        <f>HYPERLINK("https://app.crepc.sk/?fn=detailBiblioForm&amp;sid=490AB1A220388CE10404A75B20")</f>
        <v>https://app.crepc.sk/?fn=detailBiblioForm&amp;sid=490AB1A220388CE10404A75B20</v>
      </c>
    </row>
    <row r="2204" spans="3:5" ht="90" x14ac:dyDescent="0.25">
      <c r="C2204" s="15">
        <v>254658</v>
      </c>
      <c r="D2204" s="4" t="s">
        <v>2208</v>
      </c>
      <c r="E2204" s="4" t="str">
        <f>HYPERLINK("https://app.crepc.sk/?fn=detailBiblioForm&amp;sid=1A73B85A1F660954D47E4674E7")</f>
        <v>https://app.crepc.sk/?fn=detailBiblioForm&amp;sid=1A73B85A1F660954D47E4674E7</v>
      </c>
    </row>
    <row r="2205" spans="3:5" ht="90" x14ac:dyDescent="0.25">
      <c r="C2205" s="15">
        <v>312163</v>
      </c>
      <c r="D2205" s="4" t="s">
        <v>2209</v>
      </c>
      <c r="E2205" s="4" t="str">
        <f>HYPERLINK("https://app.crepc.sk/?fn=detailBiblioForm&amp;sid=F437EB8E22CB50A25ECFD95AC6")</f>
        <v>https://app.crepc.sk/?fn=detailBiblioForm&amp;sid=F437EB8E22CB50A25ECFD95AC6</v>
      </c>
    </row>
    <row r="2206" spans="3:5" ht="105" x14ac:dyDescent="0.25">
      <c r="C2206" s="15">
        <v>150371</v>
      </c>
      <c r="D2206" s="4" t="s">
        <v>2210</v>
      </c>
      <c r="E2206" s="4" t="str">
        <f>HYPERLINK("https://app.crepc.sk/?fn=detailBiblioForm&amp;sid=6D7E2994FB8F4DECAF0B800012")</f>
        <v>https://app.crepc.sk/?fn=detailBiblioForm&amp;sid=6D7E2994FB8F4DECAF0B800012</v>
      </c>
    </row>
    <row r="2207" spans="3:5" ht="105" x14ac:dyDescent="0.25">
      <c r="C2207" s="15">
        <v>214091</v>
      </c>
      <c r="D2207" s="4" t="s">
        <v>2211</v>
      </c>
      <c r="E2207" s="4" t="str">
        <f>HYPERLINK("https://app.crepc.sk/?fn=detailBiblioForm&amp;sid=0CA6853F587D492ABE9C141C0B")</f>
        <v>https://app.crepc.sk/?fn=detailBiblioForm&amp;sid=0CA6853F587D492ABE9C141C0B</v>
      </c>
    </row>
    <row r="2208" spans="3:5" ht="60" x14ac:dyDescent="0.25">
      <c r="C2208" s="15">
        <v>314273</v>
      </c>
      <c r="D2208" s="4" t="s">
        <v>2212</v>
      </c>
      <c r="E2208" s="4" t="str">
        <f>HYPERLINK("https://app.crepc.sk/?fn=detailBiblioForm&amp;sid=419E9F8D80140914ABF7ADB681")</f>
        <v>https://app.crepc.sk/?fn=detailBiblioForm&amp;sid=419E9F8D80140914ABF7ADB681</v>
      </c>
    </row>
    <row r="2209" spans="3:5" ht="105" x14ac:dyDescent="0.25">
      <c r="C2209" s="15">
        <v>254510</v>
      </c>
      <c r="D2209" s="4" t="s">
        <v>2213</v>
      </c>
      <c r="E2209" s="4" t="str">
        <f>HYPERLINK("https://app.crepc.sk/?fn=detailBiblioForm&amp;sid=6A93279CD14837B1D08A865CD7")</f>
        <v>https://app.crepc.sk/?fn=detailBiblioForm&amp;sid=6A93279CD14837B1D08A865CD7</v>
      </c>
    </row>
    <row r="2210" spans="3:5" ht="120" x14ac:dyDescent="0.25">
      <c r="C2210" s="15">
        <v>186928</v>
      </c>
      <c r="D2210" s="4" t="s">
        <v>2214</v>
      </c>
      <c r="E2210" s="4" t="str">
        <f>HYPERLINK("https://app.crepc.sk/?fn=detailBiblioForm&amp;sid=9EB7DDC054CB7EBFE17AB5FCE5")</f>
        <v>https://app.crepc.sk/?fn=detailBiblioForm&amp;sid=9EB7DDC054CB7EBFE17AB5FCE5</v>
      </c>
    </row>
    <row r="2211" spans="3:5" ht="105" x14ac:dyDescent="0.25">
      <c r="C2211" s="15">
        <v>140616</v>
      </c>
      <c r="D2211" s="4" t="s">
        <v>2215</v>
      </c>
      <c r="E2211" s="4" t="str">
        <f>HYPERLINK("https://app.crepc.sk/?fn=detailBiblioForm&amp;sid=63B76DDB09E75D01433D855B57")</f>
        <v>https://app.crepc.sk/?fn=detailBiblioForm&amp;sid=63B76DDB09E75D01433D855B57</v>
      </c>
    </row>
    <row r="2212" spans="3:5" ht="105" x14ac:dyDescent="0.25">
      <c r="C2212" s="15">
        <v>118947</v>
      </c>
      <c r="D2212" s="4" t="s">
        <v>2216</v>
      </c>
      <c r="E2212" s="4" t="str">
        <f>HYPERLINK("https://app.crepc.sk/?fn=detailBiblioForm&amp;sid=40DAA8F9ABC010BB4336D26456")</f>
        <v>https://app.crepc.sk/?fn=detailBiblioForm&amp;sid=40DAA8F9ABC010BB4336D26456</v>
      </c>
    </row>
    <row r="2213" spans="3:5" ht="120" x14ac:dyDescent="0.25">
      <c r="C2213" s="15">
        <v>316016</v>
      </c>
      <c r="D2213" s="4" t="s">
        <v>2217</v>
      </c>
      <c r="E2213" s="4" t="str">
        <f>HYPERLINK("https://app.crepc.sk/?fn=detailBiblioForm&amp;sid=4D9B05127AD9AB96429FE53772")</f>
        <v>https://app.crepc.sk/?fn=detailBiblioForm&amp;sid=4D9B05127AD9AB96429FE53772</v>
      </c>
    </row>
    <row r="2214" spans="3:5" ht="120" x14ac:dyDescent="0.25">
      <c r="C2214" s="15">
        <v>234067</v>
      </c>
      <c r="D2214" s="4" t="s">
        <v>2218</v>
      </c>
      <c r="E2214" s="4" t="str">
        <f>HYPERLINK("https://app.crepc.sk/?fn=detailBiblioForm&amp;sid=5D1E02039DFFCDD1E727212CFA")</f>
        <v>https://app.crepc.sk/?fn=detailBiblioForm&amp;sid=5D1E02039DFFCDD1E727212CFA</v>
      </c>
    </row>
    <row r="2215" spans="3:5" ht="135" x14ac:dyDescent="0.25">
      <c r="C2215" s="15">
        <v>232384</v>
      </c>
      <c r="D2215" s="4" t="s">
        <v>2219</v>
      </c>
      <c r="E2215" s="4" t="str">
        <f>HYPERLINK("https://app.crepc.sk/?fn=detailBiblioForm&amp;sid=B7329D4C467B4AA55C22654F8D")</f>
        <v>https://app.crepc.sk/?fn=detailBiblioForm&amp;sid=B7329D4C467B4AA55C22654F8D</v>
      </c>
    </row>
    <row r="2216" spans="3:5" ht="120" x14ac:dyDescent="0.25">
      <c r="C2216" s="15">
        <v>224958</v>
      </c>
      <c r="D2216" s="4" t="s">
        <v>2220</v>
      </c>
      <c r="E2216" s="4" t="str">
        <f>HYPERLINK("https://app.crepc.sk/?fn=detailBiblioForm&amp;sid=A17FDCE096B34C516A525AEA85")</f>
        <v>https://app.crepc.sk/?fn=detailBiblioForm&amp;sid=A17FDCE096B34C516A525AEA85</v>
      </c>
    </row>
    <row r="2217" spans="3:5" ht="90" x14ac:dyDescent="0.25">
      <c r="C2217" s="15">
        <v>128332</v>
      </c>
      <c r="D2217" s="4" t="s">
        <v>2221</v>
      </c>
      <c r="E2217" s="4" t="str">
        <f>HYPERLINK("https://app.crepc.sk/?fn=detailBiblioForm&amp;sid=74191DCBA790A6B784CE426AF5")</f>
        <v>https://app.crepc.sk/?fn=detailBiblioForm&amp;sid=74191DCBA790A6B784CE426AF5</v>
      </c>
    </row>
    <row r="2218" spans="3:5" ht="90" x14ac:dyDescent="0.25">
      <c r="C2218" s="15">
        <v>227187</v>
      </c>
      <c r="D2218" s="4" t="s">
        <v>2222</v>
      </c>
      <c r="E2218" s="4" t="str">
        <f>HYPERLINK("https://app.crepc.sk/?fn=detailBiblioForm&amp;sid=4C033740B21F08492EE865BB81")</f>
        <v>https://app.crepc.sk/?fn=detailBiblioForm&amp;sid=4C033740B21F08492EE865BB81</v>
      </c>
    </row>
    <row r="2219" spans="3:5" ht="105" x14ac:dyDescent="0.25">
      <c r="C2219" s="15">
        <v>195199</v>
      </c>
      <c r="D2219" s="4" t="s">
        <v>2223</v>
      </c>
      <c r="E2219" s="4" t="str">
        <f>HYPERLINK("https://app.crepc.sk/?fn=detailBiblioForm&amp;sid=2AEBF607EAD1F9A01E80225A25")</f>
        <v>https://app.crepc.sk/?fn=detailBiblioForm&amp;sid=2AEBF607EAD1F9A01E80225A25</v>
      </c>
    </row>
    <row r="2220" spans="3:5" ht="135" x14ac:dyDescent="0.25">
      <c r="C2220" s="15">
        <v>223005</v>
      </c>
      <c r="D2220" s="4" t="s">
        <v>2224</v>
      </c>
      <c r="E2220" s="4" t="str">
        <f>HYPERLINK("https://app.crepc.sk/?fn=detailBiblioForm&amp;sid=798E363B8459E66AC1A8A73AAF")</f>
        <v>https://app.crepc.sk/?fn=detailBiblioForm&amp;sid=798E363B8459E66AC1A8A73AAF</v>
      </c>
    </row>
    <row r="2221" spans="3:5" ht="105" x14ac:dyDescent="0.25">
      <c r="C2221" s="15">
        <v>203673</v>
      </c>
      <c r="D2221" s="4" t="s">
        <v>2225</v>
      </c>
      <c r="E2221" s="4" t="str">
        <f>HYPERLINK("https://app.crepc.sk/?fn=detailBiblioForm&amp;sid=8206D3352E43B351963594CACA")</f>
        <v>https://app.crepc.sk/?fn=detailBiblioForm&amp;sid=8206D3352E43B351963594CACA</v>
      </c>
    </row>
    <row r="2222" spans="3:5" ht="135" x14ac:dyDescent="0.25">
      <c r="C2222" s="15">
        <v>211372</v>
      </c>
      <c r="D2222" s="4" t="s">
        <v>2226</v>
      </c>
      <c r="E2222" s="4" t="str">
        <f>HYPERLINK("https://app.crepc.sk/?fn=detailBiblioForm&amp;sid=607F6B6A1832FEA872CA3AD1B4")</f>
        <v>https://app.crepc.sk/?fn=detailBiblioForm&amp;sid=607F6B6A1832FEA872CA3AD1B4</v>
      </c>
    </row>
    <row r="2223" spans="3:5" ht="105" x14ac:dyDescent="0.25">
      <c r="C2223" s="15">
        <v>425612</v>
      </c>
      <c r="D2223" s="4" t="s">
        <v>2227</v>
      </c>
      <c r="E2223" s="4" t="str">
        <f>HYPERLINK("https://app.crepc.sk/?fn=detailBiblioForm&amp;sid=DCD87B093B43B4A7BD0B497B10")</f>
        <v>https://app.crepc.sk/?fn=detailBiblioForm&amp;sid=DCD87B093B43B4A7BD0B497B10</v>
      </c>
    </row>
    <row r="2224" spans="3:5" ht="120" x14ac:dyDescent="0.25">
      <c r="C2224" s="15">
        <v>145568</v>
      </c>
      <c r="D2224" s="4" t="s">
        <v>2228</v>
      </c>
      <c r="E2224" s="4" t="str">
        <f>HYPERLINK("https://app.crepc.sk/?fn=detailBiblioForm&amp;sid=98450E162FA634A8CFB0195F00")</f>
        <v>https://app.crepc.sk/?fn=detailBiblioForm&amp;sid=98450E162FA634A8CFB0195F00</v>
      </c>
    </row>
    <row r="2225" spans="3:5" ht="150" x14ac:dyDescent="0.25">
      <c r="C2225" s="15">
        <v>427688</v>
      </c>
      <c r="D2225" s="4" t="s">
        <v>2229</v>
      </c>
      <c r="E2225" s="4" t="str">
        <f>HYPERLINK("https://app.crepc.sk/?fn=detailBiblioForm&amp;sid=0FAF893153EE6C29F7517E32D2")</f>
        <v>https://app.crepc.sk/?fn=detailBiblioForm&amp;sid=0FAF893153EE6C29F7517E32D2</v>
      </c>
    </row>
    <row r="2226" spans="3:5" ht="120" x14ac:dyDescent="0.25">
      <c r="C2226" s="15">
        <v>435158</v>
      </c>
      <c r="D2226" s="4" t="s">
        <v>2230</v>
      </c>
      <c r="E2226" s="4" t="str">
        <f>HYPERLINK("https://app.crepc.sk/?fn=detailBiblioForm&amp;sid=AD8868FB556EBD592A32BB48EF")</f>
        <v>https://app.crepc.sk/?fn=detailBiblioForm&amp;sid=AD8868FB556EBD592A32BB48EF</v>
      </c>
    </row>
    <row r="2227" spans="3:5" ht="120" x14ac:dyDescent="0.25">
      <c r="C2227" s="15">
        <v>211442</v>
      </c>
      <c r="D2227" s="4" t="s">
        <v>2231</v>
      </c>
      <c r="E2227" s="4" t="str">
        <f>HYPERLINK("https://app.crepc.sk/?fn=detailBiblioForm&amp;sid=E68DA448349DA48E363AAC5BDB")</f>
        <v>https://app.crepc.sk/?fn=detailBiblioForm&amp;sid=E68DA448349DA48E363AAC5BDB</v>
      </c>
    </row>
    <row r="2228" spans="3:5" ht="135" x14ac:dyDescent="0.25">
      <c r="C2228" s="15">
        <v>249998</v>
      </c>
      <c r="D2228" s="4" t="s">
        <v>2232</v>
      </c>
      <c r="E2228" s="4" t="str">
        <f>HYPERLINK("https://app.crepc.sk/?fn=detailBiblioForm&amp;sid=F383C4DAF9053C76CFBAE1CEAB")</f>
        <v>https://app.crepc.sk/?fn=detailBiblioForm&amp;sid=F383C4DAF9053C76CFBAE1CEAB</v>
      </c>
    </row>
    <row r="2229" spans="3:5" ht="75" x14ac:dyDescent="0.25">
      <c r="C2229" s="15">
        <v>137102</v>
      </c>
      <c r="D2229" s="4" t="s">
        <v>2233</v>
      </c>
      <c r="E2229" s="4" t="str">
        <f>HYPERLINK("https://app.crepc.sk/?fn=detailBiblioForm&amp;sid=4EE2DDBD758971D108C4AE9F21")</f>
        <v>https://app.crepc.sk/?fn=detailBiblioForm&amp;sid=4EE2DDBD758971D108C4AE9F21</v>
      </c>
    </row>
    <row r="2230" spans="3:5" ht="90" x14ac:dyDescent="0.25">
      <c r="C2230" s="15">
        <v>429556</v>
      </c>
      <c r="D2230" s="4" t="s">
        <v>2234</v>
      </c>
      <c r="E2230" s="4" t="str">
        <f>HYPERLINK("https://app.crepc.sk/?fn=detailBiblioForm&amp;sid=7133CB1904D2A856BB90FC5BD9")</f>
        <v>https://app.crepc.sk/?fn=detailBiblioForm&amp;sid=7133CB1904D2A856BB90FC5BD9</v>
      </c>
    </row>
    <row r="2231" spans="3:5" ht="75" x14ac:dyDescent="0.25">
      <c r="C2231" s="15">
        <v>92308</v>
      </c>
      <c r="D2231" s="4" t="s">
        <v>2235</v>
      </c>
      <c r="E2231" s="4" t="str">
        <f>HYPERLINK("https://app.crepc.sk/?fn=detailBiblioForm&amp;sid=BCCCA06E45A33571E5EF3001")</f>
        <v>https://app.crepc.sk/?fn=detailBiblioForm&amp;sid=BCCCA06E45A33571E5EF3001</v>
      </c>
    </row>
    <row r="2232" spans="3:5" ht="105" x14ac:dyDescent="0.25">
      <c r="C2232" s="15">
        <v>62062</v>
      </c>
      <c r="D2232" s="4" t="s">
        <v>2236</v>
      </c>
      <c r="E2232" s="4" t="str">
        <f>HYPERLINK("https://app.crepc.sk/?fn=detailBiblioForm&amp;sid=C237DA57EFDC4F41F1D75A59")</f>
        <v>https://app.crepc.sk/?fn=detailBiblioForm&amp;sid=C237DA57EFDC4F41F1D75A59</v>
      </c>
    </row>
    <row r="2233" spans="3:5" ht="90" x14ac:dyDescent="0.25">
      <c r="C2233" s="15">
        <v>179290</v>
      </c>
      <c r="D2233" s="4" t="s">
        <v>2237</v>
      </c>
      <c r="E2233" s="4" t="str">
        <f>HYPERLINK("https://app.crepc.sk/?fn=detailBiblioForm&amp;sid=4B1C4D75B6D4960DF4A769EC63")</f>
        <v>https://app.crepc.sk/?fn=detailBiblioForm&amp;sid=4B1C4D75B6D4960DF4A769EC63</v>
      </c>
    </row>
    <row r="2234" spans="3:5" ht="120" x14ac:dyDescent="0.25">
      <c r="C2234" s="15">
        <v>246947</v>
      </c>
      <c r="D2234" s="4" t="s">
        <v>2238</v>
      </c>
      <c r="E2234" s="4" t="str">
        <f>HYPERLINK("https://app.crepc.sk/?fn=detailBiblioForm&amp;sid=513EA57B92CAC7225B33972BAF")</f>
        <v>https://app.crepc.sk/?fn=detailBiblioForm&amp;sid=513EA57B92CAC7225B33972BAF</v>
      </c>
    </row>
    <row r="2235" spans="3:5" ht="105" x14ac:dyDescent="0.25">
      <c r="C2235" s="15">
        <v>442286</v>
      </c>
      <c r="D2235" s="4" t="s">
        <v>2239</v>
      </c>
      <c r="E2235" s="4" t="str">
        <f>HYPERLINK("https://app.crepc.sk/?fn=detailBiblioForm&amp;sid=449A78BFE483A8EAF5F149C553")</f>
        <v>https://app.crepc.sk/?fn=detailBiblioForm&amp;sid=449A78BFE483A8EAF5F149C553</v>
      </c>
    </row>
    <row r="2236" spans="3:5" ht="105" x14ac:dyDescent="0.25">
      <c r="C2236" s="15">
        <v>433510</v>
      </c>
      <c r="D2236" s="4" t="s">
        <v>2240</v>
      </c>
      <c r="E2236" s="4" t="str">
        <f>HYPERLINK("https://app.crepc.sk/?fn=detailBiblioForm&amp;sid=5E59D5E80B28192E7D9824E873")</f>
        <v>https://app.crepc.sk/?fn=detailBiblioForm&amp;sid=5E59D5E80B28192E7D9824E873</v>
      </c>
    </row>
    <row r="2237" spans="3:5" ht="90" x14ac:dyDescent="0.25">
      <c r="C2237" s="15">
        <v>211571</v>
      </c>
      <c r="D2237" s="4" t="s">
        <v>2241</v>
      </c>
      <c r="E2237" s="4" t="str">
        <f>HYPERLINK("https://app.crepc.sk/?fn=detailBiblioForm&amp;sid=D6132714D64CD717D2822C425E")</f>
        <v>https://app.crepc.sk/?fn=detailBiblioForm&amp;sid=D6132714D64CD717D2822C425E</v>
      </c>
    </row>
    <row r="2238" spans="3:5" ht="120" x14ac:dyDescent="0.25">
      <c r="C2238" s="15">
        <v>256109</v>
      </c>
      <c r="D2238" s="4" t="s">
        <v>2242</v>
      </c>
      <c r="E2238" s="4" t="str">
        <f>HYPERLINK("https://app.crepc.sk/?fn=detailBiblioForm&amp;sid=91225F12CC49F31DBF4BE1B196")</f>
        <v>https://app.crepc.sk/?fn=detailBiblioForm&amp;sid=91225F12CC49F31DBF4BE1B196</v>
      </c>
    </row>
    <row r="2239" spans="3:5" ht="90" x14ac:dyDescent="0.25">
      <c r="C2239" s="15">
        <v>60226</v>
      </c>
      <c r="D2239" s="4" t="s">
        <v>2243</v>
      </c>
      <c r="E2239" s="4" t="str">
        <f>HYPERLINK("https://app.crepc.sk/?fn=detailBiblioForm&amp;sid=554D977AB6E840F567D7E68F")</f>
        <v>https://app.crepc.sk/?fn=detailBiblioForm&amp;sid=554D977AB6E840F567D7E68F</v>
      </c>
    </row>
    <row r="2240" spans="3:5" ht="105" x14ac:dyDescent="0.25">
      <c r="C2240" s="15">
        <v>138622</v>
      </c>
      <c r="D2240" s="4" t="s">
        <v>2244</v>
      </c>
      <c r="E2240" s="4" t="str">
        <f>HYPERLINK("https://app.crepc.sk/?fn=detailBiblioForm&amp;sid=6E790697089442F7234D30A242")</f>
        <v>https://app.crepc.sk/?fn=detailBiblioForm&amp;sid=6E790697089442F7234D30A242</v>
      </c>
    </row>
    <row r="2241" spans="3:5" ht="90" x14ac:dyDescent="0.25">
      <c r="C2241" s="15">
        <v>306259</v>
      </c>
      <c r="D2241" s="4" t="s">
        <v>2245</v>
      </c>
      <c r="E2241" s="4" t="str">
        <f>HYPERLINK("https://app.crepc.sk/?fn=detailBiblioForm&amp;sid=2BC820A3AFEB8539D1BAA78DDC")</f>
        <v>https://app.crepc.sk/?fn=detailBiblioForm&amp;sid=2BC820A3AFEB8539D1BAA78DDC</v>
      </c>
    </row>
    <row r="2242" spans="3:5" ht="75" x14ac:dyDescent="0.25">
      <c r="C2242" s="15">
        <v>414602</v>
      </c>
      <c r="D2242" s="4" t="s">
        <v>2246</v>
      </c>
      <c r="E2242" s="4" t="str">
        <f>HYPERLINK("https://app.crepc.sk/?fn=detailBiblioForm&amp;sid=D055E8D04F57D3DD00A2C71B9C")</f>
        <v>https://app.crepc.sk/?fn=detailBiblioForm&amp;sid=D055E8D04F57D3DD00A2C71B9C</v>
      </c>
    </row>
    <row r="2243" spans="3:5" ht="60" x14ac:dyDescent="0.25">
      <c r="C2243" s="15">
        <v>104029</v>
      </c>
      <c r="D2243" s="4" t="s">
        <v>2247</v>
      </c>
      <c r="E2243" s="4" t="str">
        <f>HYPERLINK("https://app.crepc.sk/?fn=detailBiblioForm&amp;sid=B3E4DED1CE64EF1DB29452C196")</f>
        <v>https://app.crepc.sk/?fn=detailBiblioForm&amp;sid=B3E4DED1CE64EF1DB29452C196</v>
      </c>
    </row>
    <row r="2244" spans="3:5" ht="60" x14ac:dyDescent="0.25">
      <c r="C2244" s="15">
        <v>71101</v>
      </c>
      <c r="D2244" s="4" t="s">
        <v>2248</v>
      </c>
      <c r="E2244" s="4" t="str">
        <f>HYPERLINK("https://app.crepc.sk/?fn=detailBiblioForm&amp;sid=ED6CAC8F7A46A5881F8136F5")</f>
        <v>https://app.crepc.sk/?fn=detailBiblioForm&amp;sid=ED6CAC8F7A46A5881F8136F5</v>
      </c>
    </row>
    <row r="2245" spans="3:5" ht="75" x14ac:dyDescent="0.25">
      <c r="C2245" s="15">
        <v>308933</v>
      </c>
      <c r="D2245" s="4" t="s">
        <v>2249</v>
      </c>
      <c r="E2245" s="4" t="str">
        <f>HYPERLINK("https://app.crepc.sk/?fn=detailBiblioForm&amp;sid=D5ABE00A5E503AAC78648C57C1")</f>
        <v>https://app.crepc.sk/?fn=detailBiblioForm&amp;sid=D5ABE00A5E503AAC78648C57C1</v>
      </c>
    </row>
    <row r="2246" spans="3:5" ht="75" x14ac:dyDescent="0.25">
      <c r="C2246" s="15">
        <v>308934</v>
      </c>
      <c r="D2246" s="4" t="s">
        <v>2250</v>
      </c>
      <c r="E2246" s="4" t="str">
        <f>HYPERLINK("https://app.crepc.sk/?fn=detailBiblioForm&amp;sid=D5ABE00A5E503AAC78638C57C1")</f>
        <v>https://app.crepc.sk/?fn=detailBiblioForm&amp;sid=D5ABE00A5E503AAC78638C57C1</v>
      </c>
    </row>
    <row r="2247" spans="3:5" ht="75" x14ac:dyDescent="0.25">
      <c r="C2247" s="15">
        <v>121485</v>
      </c>
      <c r="D2247" s="4" t="s">
        <v>2251</v>
      </c>
      <c r="E2247" s="4" t="str">
        <f>HYPERLINK("https://app.crepc.sk/?fn=detailBiblioForm&amp;sid=C6FD5543337B5DC0B521A6E9DB")</f>
        <v>https://app.crepc.sk/?fn=detailBiblioForm&amp;sid=C6FD5543337B5DC0B521A6E9DB</v>
      </c>
    </row>
    <row r="2248" spans="3:5" ht="90" x14ac:dyDescent="0.25">
      <c r="C2248" s="15">
        <v>53474</v>
      </c>
      <c r="D2248" s="4" t="s">
        <v>2252</v>
      </c>
      <c r="E2248" s="4" t="str">
        <f>HYPERLINK("https://app.crepc.sk/?fn=detailBiblioForm&amp;sid=6FE40508879C0130CBEDE2A5")</f>
        <v>https://app.crepc.sk/?fn=detailBiblioForm&amp;sid=6FE40508879C0130CBEDE2A5</v>
      </c>
    </row>
    <row r="2249" spans="3:5" ht="75" x14ac:dyDescent="0.25">
      <c r="C2249" s="15">
        <v>132515</v>
      </c>
      <c r="D2249" s="4" t="s">
        <v>2253</v>
      </c>
      <c r="E2249" s="4" t="str">
        <f>HYPERLINK("https://app.crepc.sk/?fn=detailBiblioForm&amp;sid=43610966F6A9DADEA3340DD63E")</f>
        <v>https://app.crepc.sk/?fn=detailBiblioForm&amp;sid=43610966F6A9DADEA3340DD63E</v>
      </c>
    </row>
    <row r="2250" spans="3:5" ht="90" x14ac:dyDescent="0.25">
      <c r="C2250" s="15">
        <v>97134</v>
      </c>
      <c r="D2250" s="4" t="s">
        <v>2254</v>
      </c>
      <c r="E2250" s="4" t="str">
        <f>HYPERLINK("https://app.crepc.sk/?fn=detailBiblioForm&amp;sid=9D4C5580BF9AA62EAF12ECDC")</f>
        <v>https://app.crepc.sk/?fn=detailBiblioForm&amp;sid=9D4C5580BF9AA62EAF12ECDC</v>
      </c>
    </row>
    <row r="2251" spans="3:5" ht="120" x14ac:dyDescent="0.25">
      <c r="C2251" s="15">
        <v>202575</v>
      </c>
      <c r="D2251" s="4" t="s">
        <v>2255</v>
      </c>
      <c r="E2251" s="4" t="str">
        <f>HYPERLINK("https://app.crepc.sk/?fn=detailBiblioForm&amp;sid=3036734F2764D6FCC230D36630")</f>
        <v>https://app.crepc.sk/?fn=detailBiblioForm&amp;sid=3036734F2764D6FCC230D36630</v>
      </c>
    </row>
    <row r="2252" spans="3:5" ht="60" x14ac:dyDescent="0.25">
      <c r="C2252" s="15">
        <v>51675</v>
      </c>
      <c r="D2252" s="4" t="s">
        <v>2256</v>
      </c>
      <c r="E2252" s="4" t="str">
        <f>HYPERLINK("https://app.crepc.sk/?fn=detailBiblioForm&amp;sid=138E67EABC152083D5DC4B6E")</f>
        <v>https://app.crepc.sk/?fn=detailBiblioForm&amp;sid=138E67EABC152083D5DC4B6E</v>
      </c>
    </row>
    <row r="2253" spans="3:5" ht="90" x14ac:dyDescent="0.25">
      <c r="C2253" s="15">
        <v>239366</v>
      </c>
      <c r="D2253" s="4" t="s">
        <v>2257</v>
      </c>
      <c r="E2253" s="4" t="str">
        <f>HYPERLINK("https://app.crepc.sk/?fn=detailBiblioForm&amp;sid=4D4CF2068BEC72CC6ACD973D43")</f>
        <v>https://app.crepc.sk/?fn=detailBiblioForm&amp;sid=4D4CF2068BEC72CC6ACD973D43</v>
      </c>
    </row>
    <row r="2254" spans="3:5" ht="150" x14ac:dyDescent="0.25">
      <c r="C2254" s="15">
        <v>197341</v>
      </c>
      <c r="D2254" s="4" t="s">
        <v>2258</v>
      </c>
      <c r="E2254" s="4" t="str">
        <f>HYPERLINK("https://app.crepc.sk/?fn=detailBiblioForm&amp;sid=DC4ED816FF1BFB258709897557")</f>
        <v>https://app.crepc.sk/?fn=detailBiblioForm&amp;sid=DC4ED816FF1BFB258709897557</v>
      </c>
    </row>
    <row r="2255" spans="3:5" ht="90" x14ac:dyDescent="0.25">
      <c r="C2255" s="15">
        <v>415353</v>
      </c>
      <c r="D2255" s="4" t="s">
        <v>2259</v>
      </c>
      <c r="E2255" s="4" t="str">
        <f>HYPERLINK("https://app.crepc.sk/?fn=detailBiblioForm&amp;sid=9AF7CC010D05DDDC6B3180073E")</f>
        <v>https://app.crepc.sk/?fn=detailBiblioForm&amp;sid=9AF7CC010D05DDDC6B3180073E</v>
      </c>
    </row>
    <row r="2256" spans="3:5" ht="75" x14ac:dyDescent="0.25">
      <c r="C2256" s="15">
        <v>421210</v>
      </c>
      <c r="D2256" s="4" t="s">
        <v>2260</v>
      </c>
      <c r="E2256" s="4" t="str">
        <f>HYPERLINK("https://app.crepc.sk/?fn=detailBiblioForm&amp;sid=A5F7E993007418193E237F3086")</f>
        <v>https://app.crepc.sk/?fn=detailBiblioForm&amp;sid=A5F7E993007418193E237F3086</v>
      </c>
    </row>
    <row r="2257" spans="1:5" ht="90" x14ac:dyDescent="0.25">
      <c r="C2257" s="15">
        <v>210458</v>
      </c>
      <c r="D2257" s="4" t="s">
        <v>2261</v>
      </c>
      <c r="E2257" s="4" t="str">
        <f>HYPERLINK("https://app.crepc.sk/?fn=detailBiblioForm&amp;sid=E55DCE22101B45A9691624B861")</f>
        <v>https://app.crepc.sk/?fn=detailBiblioForm&amp;sid=E55DCE22101B45A9691624B861</v>
      </c>
    </row>
    <row r="2258" spans="1:5" ht="60" x14ac:dyDescent="0.25">
      <c r="C2258" s="15">
        <v>120201</v>
      </c>
      <c r="D2258" s="4" t="s">
        <v>2262</v>
      </c>
      <c r="E2258" s="4" t="str">
        <f>HYPERLINK("https://app.crepc.sk/?fn=detailBiblioForm&amp;sid=C31F93A747B848A98CAEFCAE21")</f>
        <v>https://app.crepc.sk/?fn=detailBiblioForm&amp;sid=C31F93A747B848A98CAEFCAE21</v>
      </c>
    </row>
    <row r="2259" spans="1:5" ht="75" x14ac:dyDescent="0.25">
      <c r="C2259" s="15">
        <v>131964</v>
      </c>
      <c r="D2259" s="4" t="s">
        <v>2263</v>
      </c>
      <c r="E2259" s="4" t="str">
        <f>HYPERLINK("https://app.crepc.sk/?fn=detailBiblioForm&amp;sid=0202559EFCC7E8BF17A0BC9722")</f>
        <v>https://app.crepc.sk/?fn=detailBiblioForm&amp;sid=0202559EFCC7E8BF17A0BC9722</v>
      </c>
    </row>
    <row r="2260" spans="1:5" ht="120" x14ac:dyDescent="0.25">
      <c r="C2260" s="15">
        <v>316742</v>
      </c>
      <c r="D2260" s="4" t="s">
        <v>2264</v>
      </c>
      <c r="E2260" s="4" t="str">
        <f>HYPERLINK("https://app.crepc.sk/?fn=detailBiblioForm&amp;sid=31B74E2C3D2F4979EE98C5B881")</f>
        <v>https://app.crepc.sk/?fn=detailBiblioForm&amp;sid=31B74E2C3D2F4979EE98C5B881</v>
      </c>
    </row>
    <row r="2261" spans="1:5" ht="105" x14ac:dyDescent="0.25">
      <c r="C2261" s="15">
        <v>316727</v>
      </c>
      <c r="D2261" s="4" t="s">
        <v>2265</v>
      </c>
      <c r="E2261" s="4" t="str">
        <f>HYPERLINK("https://app.crepc.sk/?fn=detailBiblioForm&amp;sid=31B74E2C3D2F4979E89DC5B881")</f>
        <v>https://app.crepc.sk/?fn=detailBiblioForm&amp;sid=31B74E2C3D2F4979E89DC5B881</v>
      </c>
    </row>
    <row r="2262" spans="1:5" ht="105" x14ac:dyDescent="0.25">
      <c r="C2262" s="15">
        <v>95521</v>
      </c>
      <c r="D2262" s="4" t="s">
        <v>2266</v>
      </c>
      <c r="E2262" s="4" t="str">
        <f>HYPERLINK("https://app.crepc.sk/?fn=detailBiblioForm&amp;sid=6805775735622CF564146B81")</f>
        <v>https://app.crepc.sk/?fn=detailBiblioForm&amp;sid=6805775735622CF564146B81</v>
      </c>
    </row>
    <row r="2263" spans="1:5" ht="90" x14ac:dyDescent="0.25">
      <c r="C2263" s="15">
        <v>232342</v>
      </c>
      <c r="D2263" s="4" t="s">
        <v>2267</v>
      </c>
      <c r="E2263" s="4" t="str">
        <f>HYPERLINK("https://app.crepc.sk/?fn=detailBiblioForm&amp;sid=B7329D4C467B4AA55024654F8D")</f>
        <v>https://app.crepc.sk/?fn=detailBiblioForm&amp;sid=B7329D4C467B4AA55024654F8D</v>
      </c>
    </row>
    <row r="2264" spans="1:5" ht="90" x14ac:dyDescent="0.25">
      <c r="C2264" s="15">
        <v>421207</v>
      </c>
      <c r="D2264" s="4" t="s">
        <v>2268</v>
      </c>
      <c r="E2264" s="4" t="str">
        <f>HYPERLINK("https://app.crepc.sk/?fn=detailBiblioForm&amp;sid=A5F7E993007418193F247F3086")</f>
        <v>https://app.crepc.sk/?fn=detailBiblioForm&amp;sid=A5F7E993007418193F247F3086</v>
      </c>
    </row>
    <row r="2265" spans="1:5" ht="60" x14ac:dyDescent="0.25">
      <c r="C2265" s="15">
        <v>182840</v>
      </c>
      <c r="D2265" s="4" t="s">
        <v>2269</v>
      </c>
      <c r="E2265" s="4" t="str">
        <f>HYPERLINK("https://app.crepc.sk/?fn=detailBiblioForm&amp;sid=A6A9937D4AB687F47FCCE5BFFE")</f>
        <v>https://app.crepc.sk/?fn=detailBiblioForm&amp;sid=A6A9937D4AB687F47FCCE5BFFE</v>
      </c>
    </row>
    <row r="2266" spans="1:5" ht="120" x14ac:dyDescent="0.25">
      <c r="C2266" s="15">
        <v>216729</v>
      </c>
      <c r="D2266" s="4" t="s">
        <v>2270</v>
      </c>
      <c r="E2266" s="4" t="str">
        <f>HYPERLINK("https://app.crepc.sk/?fn=detailBiblioForm&amp;sid=73B630D0391B7B04C8CA33631C")</f>
        <v>https://app.crepc.sk/?fn=detailBiblioForm&amp;sid=73B630D0391B7B04C8CA33631C</v>
      </c>
    </row>
    <row r="2267" spans="1:5" ht="90" x14ac:dyDescent="0.25">
      <c r="C2267" s="15">
        <v>187983</v>
      </c>
      <c r="D2267" s="4" t="s">
        <v>2271</v>
      </c>
      <c r="E2267" s="4" t="str">
        <f>HYPERLINK("https://app.crepc.sk/?fn=detailBiblioForm&amp;sid=29837531D12ABA4A46A6D7A980")</f>
        <v>https://app.crepc.sk/?fn=detailBiblioForm&amp;sid=29837531D12ABA4A46A6D7A980</v>
      </c>
    </row>
    <row r="2268" spans="1:5" x14ac:dyDescent="0.25">
      <c r="A2268" s="4" t="s">
        <v>2272</v>
      </c>
      <c r="B2268" s="15">
        <v>41</v>
      </c>
    </row>
    <row r="2269" spans="1:5" ht="75" x14ac:dyDescent="0.25">
      <c r="C2269" s="15">
        <v>150585</v>
      </c>
      <c r="D2269" s="4" t="s">
        <v>2273</v>
      </c>
      <c r="E2269" s="4" t="str">
        <f>HYPERLINK("https://app.crepc.sk/?fn=detailBiblioForm&amp;sid=9921973E4D44D17B153A72FC32")</f>
        <v>https://app.crepc.sk/?fn=detailBiblioForm&amp;sid=9921973E4D44D17B153A72FC32</v>
      </c>
    </row>
    <row r="2270" spans="1:5" ht="75" x14ac:dyDescent="0.25">
      <c r="C2270" s="15">
        <v>187981</v>
      </c>
      <c r="D2270" s="4" t="s">
        <v>2274</v>
      </c>
      <c r="E2270" s="4" t="str">
        <f>HYPERLINK("https://app.crepc.sk/?fn=detailBiblioForm&amp;sid=29837531D12ABA4A46A4D7A980")</f>
        <v>https://app.crepc.sk/?fn=detailBiblioForm&amp;sid=29837531D12ABA4A46A4D7A980</v>
      </c>
    </row>
    <row r="2271" spans="1:5" ht="90" x14ac:dyDescent="0.25">
      <c r="C2271" s="15">
        <v>112496</v>
      </c>
      <c r="D2271" s="4" t="s">
        <v>2275</v>
      </c>
      <c r="E2271" s="4" t="str">
        <f>HYPERLINK("https://app.crepc.sk/?fn=detailBiblioForm&amp;sid=6B00E789183A492A9F49B14C71")</f>
        <v>https://app.crepc.sk/?fn=detailBiblioForm&amp;sid=6B00E789183A492A9F49B14C71</v>
      </c>
    </row>
    <row r="2272" spans="1:5" ht="75" x14ac:dyDescent="0.25">
      <c r="C2272" s="15">
        <v>152832</v>
      </c>
      <c r="D2272" s="4" t="s">
        <v>2276</v>
      </c>
      <c r="E2272" s="4" t="str">
        <f>HYPERLINK("https://app.crepc.sk/?fn=detailBiblioForm&amp;sid=4CB0668AE2C8F277B9A6C0BA9E")</f>
        <v>https://app.crepc.sk/?fn=detailBiblioForm&amp;sid=4CB0668AE2C8F277B9A6C0BA9E</v>
      </c>
    </row>
    <row r="2273" spans="3:5" ht="120" x14ac:dyDescent="0.25">
      <c r="C2273" s="15">
        <v>57351</v>
      </c>
      <c r="D2273" s="4" t="s">
        <v>2277</v>
      </c>
      <c r="E2273" s="4" t="str">
        <f>HYPERLINK("https://app.crepc.sk/?fn=detailBiblioForm&amp;sid=297E116670A23C147A813154")</f>
        <v>https://app.crepc.sk/?fn=detailBiblioForm&amp;sid=297E116670A23C147A813154</v>
      </c>
    </row>
    <row r="2274" spans="3:5" ht="105" x14ac:dyDescent="0.25">
      <c r="C2274" s="15">
        <v>419377</v>
      </c>
      <c r="D2274" s="4" t="s">
        <v>2278</v>
      </c>
      <c r="E2274" s="4" t="str">
        <f>HYPERLINK("https://app.crepc.sk/?fn=detailBiblioForm&amp;sid=D0B86A6C889D400A9AB766C23A")</f>
        <v>https://app.crepc.sk/?fn=detailBiblioForm&amp;sid=D0B86A6C889D400A9AB766C23A</v>
      </c>
    </row>
    <row r="2275" spans="3:5" ht="75" x14ac:dyDescent="0.25">
      <c r="C2275" s="15">
        <v>255762</v>
      </c>
      <c r="D2275" s="4" t="s">
        <v>2279</v>
      </c>
      <c r="E2275" s="4" t="str">
        <f>HYPERLINK("https://app.crepc.sk/?fn=detailBiblioForm&amp;sid=918F0144324B7C45748371E1CF")</f>
        <v>https://app.crepc.sk/?fn=detailBiblioForm&amp;sid=918F0144324B7C45748371E1CF</v>
      </c>
    </row>
    <row r="2276" spans="3:5" ht="60" x14ac:dyDescent="0.25">
      <c r="C2276" s="15">
        <v>51678</v>
      </c>
      <c r="D2276" s="4" t="s">
        <v>2280</v>
      </c>
      <c r="E2276" s="4" t="str">
        <f>HYPERLINK("https://app.crepc.sk/?fn=detailBiblioForm&amp;sid=138E67EABC152083D8DC4B6E")</f>
        <v>https://app.crepc.sk/?fn=detailBiblioForm&amp;sid=138E67EABC152083D8DC4B6E</v>
      </c>
    </row>
    <row r="2277" spans="3:5" ht="135" x14ac:dyDescent="0.25">
      <c r="C2277" s="15">
        <v>193534</v>
      </c>
      <c r="D2277" s="4" t="s">
        <v>2281</v>
      </c>
      <c r="E2277" s="4" t="str">
        <f>HYPERLINK("https://app.crepc.sk/?fn=detailBiblioForm&amp;sid=80433203F04DA090B5A6FE3FCE")</f>
        <v>https://app.crepc.sk/?fn=detailBiblioForm&amp;sid=80433203F04DA090B5A6FE3FCE</v>
      </c>
    </row>
    <row r="2278" spans="3:5" ht="105" x14ac:dyDescent="0.25">
      <c r="C2278" s="15">
        <v>141221</v>
      </c>
      <c r="D2278" s="4" t="s">
        <v>2282</v>
      </c>
      <c r="E2278" s="4" t="str">
        <f>HYPERLINK("https://app.crepc.sk/?fn=detailBiblioForm&amp;sid=A1BE4CBC10A6410E28D61A9BFE")</f>
        <v>https://app.crepc.sk/?fn=detailBiblioForm&amp;sid=A1BE4CBC10A6410E28D61A9BFE</v>
      </c>
    </row>
    <row r="2279" spans="3:5" ht="75" x14ac:dyDescent="0.25">
      <c r="C2279" s="15">
        <v>135778</v>
      </c>
      <c r="D2279" s="4" t="s">
        <v>2283</v>
      </c>
      <c r="E2279" s="4" t="str">
        <f>HYPERLINK("https://app.crepc.sk/?fn=detailBiblioForm&amp;sid=D526CB574B7F6ABB345E9B57E6")</f>
        <v>https://app.crepc.sk/?fn=detailBiblioForm&amp;sid=D526CB574B7F6ABB345E9B57E6</v>
      </c>
    </row>
    <row r="2280" spans="3:5" ht="75" x14ac:dyDescent="0.25">
      <c r="C2280" s="15">
        <v>214671</v>
      </c>
      <c r="D2280" s="4" t="s">
        <v>2284</v>
      </c>
      <c r="E2280" s="4" t="str">
        <f>HYPERLINK("https://app.crepc.sk/?fn=detailBiblioForm&amp;sid=49B0E8CD88C499975E08F1C13A")</f>
        <v>https://app.crepc.sk/?fn=detailBiblioForm&amp;sid=49B0E8CD88C499975E08F1C13A</v>
      </c>
    </row>
    <row r="2281" spans="3:5" ht="105" x14ac:dyDescent="0.25">
      <c r="C2281" s="15">
        <v>436036</v>
      </c>
      <c r="D2281" s="4" t="s">
        <v>2285</v>
      </c>
      <c r="E2281" s="4" t="str">
        <f>HYPERLINK("https://app.crepc.sk/?fn=detailBiblioForm&amp;sid=0D8840D8555AF42F47846A8F01")</f>
        <v>https://app.crepc.sk/?fn=detailBiblioForm&amp;sid=0D8840D8555AF42F47846A8F01</v>
      </c>
    </row>
    <row r="2282" spans="3:5" ht="60" x14ac:dyDescent="0.25">
      <c r="C2282" s="15">
        <v>150580</v>
      </c>
      <c r="D2282" s="4" t="s">
        <v>2286</v>
      </c>
      <c r="E2282" s="4" t="str">
        <f>HYPERLINK("https://app.crepc.sk/?fn=detailBiblioForm&amp;sid=9921973E4D44D17B153F72FC32")</f>
        <v>https://app.crepc.sk/?fn=detailBiblioForm&amp;sid=9921973E4D44D17B153F72FC32</v>
      </c>
    </row>
    <row r="2283" spans="3:5" ht="90" x14ac:dyDescent="0.25">
      <c r="C2283" s="15">
        <v>251285</v>
      </c>
      <c r="D2283" s="4" t="s">
        <v>2287</v>
      </c>
      <c r="E2283" s="4" t="str">
        <f>HYPERLINK("https://app.crepc.sk/?fn=detailBiblioForm&amp;sid=040468F894C2ABB2D1A7A8755B")</f>
        <v>https://app.crepc.sk/?fn=detailBiblioForm&amp;sid=040468F894C2ABB2D1A7A8755B</v>
      </c>
    </row>
    <row r="2284" spans="3:5" ht="60" x14ac:dyDescent="0.25">
      <c r="C2284" s="15">
        <v>86745</v>
      </c>
      <c r="D2284" s="4" t="s">
        <v>2288</v>
      </c>
      <c r="E2284" s="4" t="str">
        <f>HYPERLINK("https://app.crepc.sk/?fn=detailBiblioForm&amp;sid=0948864F876A457C6DF0BDFA")</f>
        <v>https://app.crepc.sk/?fn=detailBiblioForm&amp;sid=0948864F876A457C6DF0BDFA</v>
      </c>
    </row>
    <row r="2285" spans="3:5" ht="60" x14ac:dyDescent="0.25">
      <c r="C2285" s="15">
        <v>86753</v>
      </c>
      <c r="D2285" s="4" t="s">
        <v>2289</v>
      </c>
      <c r="E2285" s="4" t="str">
        <f>HYPERLINK("https://app.crepc.sk/?fn=detailBiblioForm&amp;sid=93850E3942FD96061C13952A")</f>
        <v>https://app.crepc.sk/?fn=detailBiblioForm&amp;sid=93850E3942FD96061C13952A</v>
      </c>
    </row>
    <row r="2286" spans="3:5" ht="120" x14ac:dyDescent="0.25">
      <c r="C2286" s="15">
        <v>243515</v>
      </c>
      <c r="D2286" s="4" t="s">
        <v>2290</v>
      </c>
      <c r="E2286" s="4" t="str">
        <f>HYPERLINK("https://app.crepc.sk/?fn=detailBiblioForm&amp;sid=137A7FA19A49BE0FB49536B665")</f>
        <v>https://app.crepc.sk/?fn=detailBiblioForm&amp;sid=137A7FA19A49BE0FB49536B665</v>
      </c>
    </row>
    <row r="2287" spans="3:5" ht="75" x14ac:dyDescent="0.25">
      <c r="C2287" s="15">
        <v>73629</v>
      </c>
      <c r="D2287" s="4" t="s">
        <v>2291</v>
      </c>
      <c r="E2287" s="4" t="str">
        <f>HYPERLINK("https://app.crepc.sk/?fn=detailBiblioForm&amp;sid=A1E38653CE257840E6682884")</f>
        <v>https://app.crepc.sk/?fn=detailBiblioForm&amp;sid=A1E38653CE257840E6682884</v>
      </c>
    </row>
    <row r="2288" spans="3:5" ht="75" x14ac:dyDescent="0.25">
      <c r="C2288" s="15">
        <v>126497</v>
      </c>
      <c r="D2288" s="4" t="s">
        <v>2292</v>
      </c>
      <c r="E2288" s="4" t="str">
        <f>HYPERLINK("https://app.crepc.sk/?fn=detailBiblioForm&amp;sid=D06FCBD82F9002B64F41B097C2")</f>
        <v>https://app.crepc.sk/?fn=detailBiblioForm&amp;sid=D06FCBD82F9002B64F41B097C2</v>
      </c>
    </row>
    <row r="2289" spans="3:5" ht="75" x14ac:dyDescent="0.25">
      <c r="C2289" s="15">
        <v>210748</v>
      </c>
      <c r="D2289" s="4" t="s">
        <v>2293</v>
      </c>
      <c r="E2289" s="4" t="str">
        <f>HYPERLINK("https://app.crepc.sk/?fn=detailBiblioForm&amp;sid=36B56AEA95B56E9F6EEB6E5F31")</f>
        <v>https://app.crepc.sk/?fn=detailBiblioForm&amp;sid=36B56AEA95B56E9F6EEB6E5F31</v>
      </c>
    </row>
    <row r="2290" spans="3:5" ht="60" x14ac:dyDescent="0.25">
      <c r="C2290" s="15">
        <v>121871</v>
      </c>
      <c r="D2290" s="4" t="s">
        <v>2294</v>
      </c>
      <c r="E2290" s="4" t="str">
        <f>HYPERLINK("https://app.crepc.sk/?fn=detailBiblioForm&amp;sid=FB227A2458B7F9F417662D5E19")</f>
        <v>https://app.crepc.sk/?fn=detailBiblioForm&amp;sid=FB227A2458B7F9F417662D5E19</v>
      </c>
    </row>
    <row r="2291" spans="3:5" ht="75" x14ac:dyDescent="0.25">
      <c r="C2291" s="15">
        <v>232646</v>
      </c>
      <c r="D2291" s="4" t="s">
        <v>2295</v>
      </c>
      <c r="E2291" s="4" t="str">
        <f>HYPERLINK("https://app.crepc.sk/?fn=detailBiblioForm&amp;sid=05F8BC62C3FCBD8AE184B8E962")</f>
        <v>https://app.crepc.sk/?fn=detailBiblioForm&amp;sid=05F8BC62C3FCBD8AE184B8E962</v>
      </c>
    </row>
    <row r="2292" spans="3:5" ht="120" x14ac:dyDescent="0.25">
      <c r="C2292" s="15">
        <v>316849</v>
      </c>
      <c r="D2292" s="4" t="s">
        <v>2296</v>
      </c>
      <c r="E2292" s="4" t="str">
        <f>HYPERLINK("https://app.crepc.sk/?fn=detailBiblioForm&amp;sid=9B7EDFED3FF96897439C54B66B")</f>
        <v>https://app.crepc.sk/?fn=detailBiblioForm&amp;sid=9B7EDFED3FF96897439C54B66B</v>
      </c>
    </row>
    <row r="2293" spans="3:5" ht="105" x14ac:dyDescent="0.25">
      <c r="C2293" s="15">
        <v>211034</v>
      </c>
      <c r="D2293" s="4" t="s">
        <v>2297</v>
      </c>
      <c r="E2293" s="4" t="str">
        <f>HYPERLINK("https://app.crepc.sk/?fn=detailBiblioForm&amp;sid=81D2D8BF2DF148AE43A0969A56")</f>
        <v>https://app.crepc.sk/?fn=detailBiblioForm&amp;sid=81D2D8BF2DF148AE43A0969A56</v>
      </c>
    </row>
    <row r="2294" spans="3:5" ht="75" x14ac:dyDescent="0.25">
      <c r="C2294" s="15">
        <v>211933</v>
      </c>
      <c r="D2294" s="4" t="s">
        <v>2298</v>
      </c>
      <c r="E2294" s="4" t="str">
        <f>HYPERLINK("https://app.crepc.sk/?fn=detailBiblioForm&amp;sid=04E2D599306659661739FFA65D")</f>
        <v>https://app.crepc.sk/?fn=detailBiblioForm&amp;sid=04E2D599306659661739FFA65D</v>
      </c>
    </row>
    <row r="2295" spans="3:5" ht="90" x14ac:dyDescent="0.25">
      <c r="C2295" s="15">
        <v>184562</v>
      </c>
      <c r="D2295" s="4" t="s">
        <v>2299</v>
      </c>
      <c r="E2295" s="4" t="str">
        <f>HYPERLINK("https://app.crepc.sk/?fn=detailBiblioForm&amp;sid=6F9F3F51667F0CBC3A43D5F81C")</f>
        <v>https://app.crepc.sk/?fn=detailBiblioForm&amp;sid=6F9F3F51667F0CBC3A43D5F81C</v>
      </c>
    </row>
    <row r="2296" spans="3:5" ht="105" x14ac:dyDescent="0.25">
      <c r="C2296" s="15">
        <v>54022</v>
      </c>
      <c r="D2296" s="4" t="s">
        <v>2300</v>
      </c>
      <c r="E2296" s="4" t="str">
        <f>HYPERLINK("https://app.crepc.sk/?fn=detailBiblioForm&amp;sid=5C39BF1FDB48EAD04F49B15D")</f>
        <v>https://app.crepc.sk/?fn=detailBiblioForm&amp;sid=5C39BF1FDB48EAD04F49B15D</v>
      </c>
    </row>
    <row r="2297" spans="3:5" ht="60" x14ac:dyDescent="0.25">
      <c r="C2297" s="15">
        <v>135551</v>
      </c>
      <c r="D2297" s="4" t="s">
        <v>2301</v>
      </c>
      <c r="E2297" s="4" t="str">
        <f>HYPERLINK("https://app.crepc.sk/?fn=detailBiblioForm&amp;sid=BC2DF5561E82DF9769E20494F8")</f>
        <v>https://app.crepc.sk/?fn=detailBiblioForm&amp;sid=BC2DF5561E82DF9769E20494F8</v>
      </c>
    </row>
    <row r="2298" spans="3:5" ht="120" x14ac:dyDescent="0.25">
      <c r="C2298" s="15">
        <v>137469</v>
      </c>
      <c r="D2298" s="4" t="s">
        <v>2302</v>
      </c>
      <c r="E2298" s="4" t="str">
        <f>HYPERLINK("https://app.crepc.sk/?fn=detailBiblioForm&amp;sid=981A08F934759E43E22937079B")</f>
        <v>https://app.crepc.sk/?fn=detailBiblioForm&amp;sid=981A08F934759E43E22937079B</v>
      </c>
    </row>
    <row r="2299" spans="3:5" ht="75" x14ac:dyDescent="0.25">
      <c r="C2299" s="15">
        <v>97124</v>
      </c>
      <c r="D2299" s="4" t="s">
        <v>2303</v>
      </c>
      <c r="E2299" s="4" t="str">
        <f>HYPERLINK("https://app.crepc.sk/?fn=detailBiblioForm&amp;sid=67A57022BB084C07DF439B34")</f>
        <v>https://app.crepc.sk/?fn=detailBiblioForm&amp;sid=67A57022BB084C07DF439B34</v>
      </c>
    </row>
    <row r="2300" spans="3:5" ht="90" x14ac:dyDescent="0.25">
      <c r="C2300" s="15">
        <v>94859</v>
      </c>
      <c r="D2300" s="4" t="s">
        <v>2304</v>
      </c>
      <c r="E2300" s="4" t="str">
        <f>HYPERLINK("https://app.crepc.sk/?fn=detailBiblioForm&amp;sid=70C3E0AC3933732D25646B4D")</f>
        <v>https://app.crepc.sk/?fn=detailBiblioForm&amp;sid=70C3E0AC3933732D25646B4D</v>
      </c>
    </row>
    <row r="2301" spans="3:5" ht="75" x14ac:dyDescent="0.25">
      <c r="C2301" s="15">
        <v>65895</v>
      </c>
      <c r="D2301" s="4" t="s">
        <v>2305</v>
      </c>
      <c r="E2301" s="4" t="str">
        <f>HYPERLINK("https://app.crepc.sk/?fn=detailBiblioForm&amp;sid=1628B96B79C9EF2CFC9A6641")</f>
        <v>https://app.crepc.sk/?fn=detailBiblioForm&amp;sid=1628B96B79C9EF2CFC9A6641</v>
      </c>
    </row>
    <row r="2302" spans="3:5" ht="75" x14ac:dyDescent="0.25">
      <c r="C2302" s="15">
        <v>110619</v>
      </c>
      <c r="D2302" s="4" t="s">
        <v>2306</v>
      </c>
      <c r="E2302" s="4" t="str">
        <f>HYPERLINK("https://app.crepc.sk/?fn=detailBiblioForm&amp;sid=2ADD962B14F411C3F3410BA4EF")</f>
        <v>https://app.crepc.sk/?fn=detailBiblioForm&amp;sid=2ADD962B14F411C3F3410BA4EF</v>
      </c>
    </row>
    <row r="2303" spans="3:5" ht="60" x14ac:dyDescent="0.25">
      <c r="C2303" s="15">
        <v>214664</v>
      </c>
      <c r="D2303" s="4" t="s">
        <v>2307</v>
      </c>
      <c r="E2303" s="4" t="str">
        <f>HYPERLINK("https://app.crepc.sk/?fn=detailBiblioForm&amp;sid=49B0E8CD88C499975F0DF1C13A")</f>
        <v>https://app.crepc.sk/?fn=detailBiblioForm&amp;sid=49B0E8CD88C499975F0DF1C13A</v>
      </c>
    </row>
    <row r="2304" spans="3:5" ht="60" x14ac:dyDescent="0.25">
      <c r="C2304" s="15">
        <v>86756</v>
      </c>
      <c r="D2304" s="4" t="s">
        <v>2308</v>
      </c>
      <c r="E2304" s="4" t="str">
        <f>HYPERLINK("https://app.crepc.sk/?fn=detailBiblioForm&amp;sid=93850E3942FD96061913952A")</f>
        <v>https://app.crepc.sk/?fn=detailBiblioForm&amp;sid=93850E3942FD96061913952A</v>
      </c>
    </row>
    <row r="2305" spans="1:5" ht="75" x14ac:dyDescent="0.25">
      <c r="C2305" s="15">
        <v>229432</v>
      </c>
      <c r="D2305" s="4" t="s">
        <v>2309</v>
      </c>
      <c r="E2305" s="4" t="str">
        <f>HYPERLINK("https://app.crepc.sk/?fn=detailBiblioForm&amp;sid=73EA3198123D9A75D5C3B49E07")</f>
        <v>https://app.crepc.sk/?fn=detailBiblioForm&amp;sid=73EA3198123D9A75D5C3B49E07</v>
      </c>
    </row>
    <row r="2306" spans="1:5" ht="75" x14ac:dyDescent="0.25">
      <c r="C2306" s="15">
        <v>140102</v>
      </c>
      <c r="D2306" s="4" t="s">
        <v>2310</v>
      </c>
      <c r="E2306" s="4" t="str">
        <f>HYPERLINK("https://app.crepc.sk/?fn=detailBiblioForm&amp;sid=17899838D38E4BD1561DEAAA4C")</f>
        <v>https://app.crepc.sk/?fn=detailBiblioForm&amp;sid=17899838D38E4BD1561DEAAA4C</v>
      </c>
    </row>
    <row r="2307" spans="1:5" ht="75" x14ac:dyDescent="0.25">
      <c r="C2307" s="15">
        <v>226005</v>
      </c>
      <c r="D2307" s="4" t="s">
        <v>2311</v>
      </c>
      <c r="E2307" s="4" t="str">
        <f>HYPERLINK("https://app.crepc.sk/?fn=detailBiblioForm&amp;sid=7241E0F0A68FF715095FAE2810")</f>
        <v>https://app.crepc.sk/?fn=detailBiblioForm&amp;sid=7241E0F0A68FF715095FAE2810</v>
      </c>
    </row>
    <row r="2308" spans="1:5" ht="60" x14ac:dyDescent="0.25">
      <c r="C2308" s="15">
        <v>121740</v>
      </c>
      <c r="D2308" s="4" t="s">
        <v>2312</v>
      </c>
      <c r="E2308" s="4" t="str">
        <f>HYPERLINK("https://app.crepc.sk/?fn=detailBiblioForm&amp;sid=9BA729332E6B4AD3A3886A8CAB")</f>
        <v>https://app.crepc.sk/?fn=detailBiblioForm&amp;sid=9BA729332E6B4AD3A3886A8CAB</v>
      </c>
    </row>
    <row r="2309" spans="1:5" ht="75" x14ac:dyDescent="0.25">
      <c r="C2309" s="15">
        <v>159256</v>
      </c>
      <c r="D2309" s="4" t="s">
        <v>2313</v>
      </c>
      <c r="E2309" s="4" t="str">
        <f>HYPERLINK("https://app.crepc.sk/?fn=detailBiblioForm&amp;sid=48AC5C11A9E781E6FE5E621FF9")</f>
        <v>https://app.crepc.sk/?fn=detailBiblioForm&amp;sid=48AC5C11A9E781E6FE5E621FF9</v>
      </c>
    </row>
    <row r="2310" spans="1:5" x14ac:dyDescent="0.25">
      <c r="A2310" s="4" t="s">
        <v>2314</v>
      </c>
      <c r="B2310" s="15">
        <v>361</v>
      </c>
    </row>
    <row r="2311" spans="1:5" ht="60" x14ac:dyDescent="0.25">
      <c r="C2311" s="15">
        <v>195751</v>
      </c>
      <c r="D2311" s="4" t="s">
        <v>2315</v>
      </c>
      <c r="E2311" s="4" t="str">
        <f>HYPERLINK("https://app.crepc.sk/?fn=detailBiblioForm&amp;sid=295815C2A9E117C138BBA4E4D3")</f>
        <v>https://app.crepc.sk/?fn=detailBiblioForm&amp;sid=295815C2A9E117C138BBA4E4D3</v>
      </c>
    </row>
    <row r="2312" spans="1:5" ht="45" x14ac:dyDescent="0.25">
      <c r="C2312" s="15">
        <v>195725</v>
      </c>
      <c r="D2312" s="4" t="s">
        <v>2316</v>
      </c>
      <c r="E2312" s="4" t="str">
        <f>HYPERLINK("https://app.crepc.sk/?fn=detailBiblioForm&amp;sid=295815C2A9E117C13FBFA4E4D3")</f>
        <v>https://app.crepc.sk/?fn=detailBiblioForm&amp;sid=295815C2A9E117C13FBFA4E4D3</v>
      </c>
    </row>
    <row r="2313" spans="1:5" ht="60" x14ac:dyDescent="0.25">
      <c r="C2313" s="15">
        <v>95636</v>
      </c>
      <c r="D2313" s="4" t="s">
        <v>2317</v>
      </c>
      <c r="E2313" s="4" t="str">
        <f>HYPERLINK("https://app.crepc.sk/?fn=detailBiblioForm&amp;sid=4682E2C19E5E035344E054AA")</f>
        <v>https://app.crepc.sk/?fn=detailBiblioForm&amp;sid=4682E2C19E5E035344E054AA</v>
      </c>
    </row>
    <row r="2314" spans="1:5" ht="75" x14ac:dyDescent="0.25">
      <c r="C2314" s="15">
        <v>424142</v>
      </c>
      <c r="D2314" s="4" t="s">
        <v>2318</v>
      </c>
      <c r="E2314" s="4" t="str">
        <f>HYPERLINK("https://app.crepc.sk/?fn=detailBiblioForm&amp;sid=A50D709ED1842C28381008242A")</f>
        <v>https://app.crepc.sk/?fn=detailBiblioForm&amp;sid=A50D709ED1842C28381008242A</v>
      </c>
    </row>
    <row r="2315" spans="1:5" ht="60" x14ac:dyDescent="0.25">
      <c r="C2315" s="15">
        <v>216740</v>
      </c>
      <c r="D2315" s="4" t="s">
        <v>2319</v>
      </c>
      <c r="E2315" s="4" t="str">
        <f>HYPERLINK("https://app.crepc.sk/?fn=detailBiblioForm&amp;sid=73B630D0391B7B04CEC333631C")</f>
        <v>https://app.crepc.sk/?fn=detailBiblioForm&amp;sid=73B630D0391B7B04CEC333631C</v>
      </c>
    </row>
    <row r="2316" spans="1:5" ht="45" x14ac:dyDescent="0.25">
      <c r="C2316" s="15">
        <v>95632</v>
      </c>
      <c r="D2316" s="4" t="s">
        <v>2320</v>
      </c>
      <c r="E2316" s="4" t="str">
        <f>HYPERLINK("https://app.crepc.sk/?fn=detailBiblioForm&amp;sid=4682E2C19E5E035340E054AA")</f>
        <v>https://app.crepc.sk/?fn=detailBiblioForm&amp;sid=4682E2C19E5E035340E054AA</v>
      </c>
    </row>
    <row r="2317" spans="1:5" ht="60" x14ac:dyDescent="0.25">
      <c r="C2317" s="15">
        <v>448008</v>
      </c>
      <c r="D2317" s="4" t="s">
        <v>2321</v>
      </c>
      <c r="E2317" s="4" t="str">
        <f>HYPERLINK("https://app.crepc.sk/?fn=detailBiblioForm&amp;sid=C456FEA07AAA4EFBD4E04E7345")</f>
        <v>https://app.crepc.sk/?fn=detailBiblioForm&amp;sid=C456FEA07AAA4EFBD4E04E7345</v>
      </c>
    </row>
    <row r="2318" spans="1:5" ht="60" x14ac:dyDescent="0.25">
      <c r="C2318" s="15">
        <v>51171</v>
      </c>
      <c r="D2318" s="4" t="s">
        <v>2322</v>
      </c>
      <c r="E2318" s="4" t="str">
        <f>HYPERLINK("https://app.crepc.sk/?fn=detailBiblioForm&amp;sid=C332B262FCFDB6420444917C")</f>
        <v>https://app.crepc.sk/?fn=detailBiblioForm&amp;sid=C332B262FCFDB6420444917C</v>
      </c>
    </row>
    <row r="2319" spans="1:5" ht="45" x14ac:dyDescent="0.25">
      <c r="C2319" s="15">
        <v>213561</v>
      </c>
      <c r="D2319" s="4" t="s">
        <v>2323</v>
      </c>
      <c r="E2319" s="4" t="str">
        <f>HYPERLINK("https://app.crepc.sk/?fn=detailBiblioForm&amp;sid=930DCEED2AD734F782CA97E8D1")</f>
        <v>https://app.crepc.sk/?fn=detailBiblioForm&amp;sid=930DCEED2AD734F782CA97E8D1</v>
      </c>
    </row>
    <row r="2320" spans="1:5" ht="75" x14ac:dyDescent="0.25">
      <c r="C2320" s="15">
        <v>437165</v>
      </c>
      <c r="D2320" s="4" t="s">
        <v>2324</v>
      </c>
      <c r="E2320" s="4" t="str">
        <f>HYPERLINK("https://app.crepc.sk/?fn=detailBiblioForm&amp;sid=F93C52C3CF0185EC3AC987A224")</f>
        <v>https://app.crepc.sk/?fn=detailBiblioForm&amp;sid=F93C52C3CF0185EC3AC987A224</v>
      </c>
    </row>
    <row r="2321" spans="3:5" ht="30" x14ac:dyDescent="0.25">
      <c r="C2321" s="15">
        <v>54199</v>
      </c>
      <c r="D2321" s="4" t="s">
        <v>2325</v>
      </c>
      <c r="E2321" s="4" t="str">
        <f>HYPERLINK("https://app.crepc.sk/?fn=detailBiblioForm&amp;sid=5AA767657183058EA3856640")</f>
        <v>https://app.crepc.sk/?fn=detailBiblioForm&amp;sid=5AA767657183058EA3856640</v>
      </c>
    </row>
    <row r="2322" spans="3:5" ht="45" x14ac:dyDescent="0.25">
      <c r="C2322" s="15">
        <v>91833</v>
      </c>
      <c r="D2322" s="4" t="s">
        <v>2326</v>
      </c>
      <c r="E2322" s="4" t="str">
        <f>HYPERLINK("https://app.crepc.sk/?fn=detailBiblioForm&amp;sid=6990BD55B8DC2AEDE90278CF")</f>
        <v>https://app.crepc.sk/?fn=detailBiblioForm&amp;sid=6990BD55B8DC2AEDE90278CF</v>
      </c>
    </row>
    <row r="2323" spans="3:5" ht="60" x14ac:dyDescent="0.25">
      <c r="C2323" s="15">
        <v>70625</v>
      </c>
      <c r="D2323" s="4" t="s">
        <v>2327</v>
      </c>
      <c r="E2323" s="4" t="str">
        <f>HYPERLINK("https://app.crepc.sk/?fn=detailBiblioForm&amp;sid=C3C40E19D04B7C2B5E24287A")</f>
        <v>https://app.crepc.sk/?fn=detailBiblioForm&amp;sid=C3C40E19D04B7C2B5E24287A</v>
      </c>
    </row>
    <row r="2324" spans="3:5" ht="60" x14ac:dyDescent="0.25">
      <c r="C2324" s="15">
        <v>161418</v>
      </c>
      <c r="D2324" s="4" t="s">
        <v>2328</v>
      </c>
      <c r="E2324" s="4" t="str">
        <f>HYPERLINK("https://app.crepc.sk/?fn=detailBiblioForm&amp;sid=72994EA9AD52E4DE4A9E21105F")</f>
        <v>https://app.crepc.sk/?fn=detailBiblioForm&amp;sid=72994EA9AD52E4DE4A9E21105F</v>
      </c>
    </row>
    <row r="2325" spans="3:5" ht="45" x14ac:dyDescent="0.25">
      <c r="C2325" s="15">
        <v>437162</v>
      </c>
      <c r="D2325" s="4" t="s">
        <v>2329</v>
      </c>
      <c r="E2325" s="4" t="str">
        <f>HYPERLINK("https://app.crepc.sk/?fn=detailBiblioForm&amp;sid=F93C52C3CF0185EC3ACE87A224")</f>
        <v>https://app.crepc.sk/?fn=detailBiblioForm&amp;sid=F93C52C3CF0185EC3ACE87A224</v>
      </c>
    </row>
    <row r="2326" spans="3:5" ht="45" x14ac:dyDescent="0.25">
      <c r="C2326" s="15">
        <v>443028</v>
      </c>
      <c r="D2326" s="4" t="s">
        <v>2330</v>
      </c>
      <c r="E2326" s="4" t="str">
        <f>HYPERLINK("https://app.crepc.sk/?fn=detailBiblioForm&amp;sid=D2BE33474DF4BCB7508A5BFBDF")</f>
        <v>https://app.crepc.sk/?fn=detailBiblioForm&amp;sid=D2BE33474DF4BCB7508A5BFBDF</v>
      </c>
    </row>
    <row r="2327" spans="3:5" ht="60" x14ac:dyDescent="0.25">
      <c r="C2327" s="15">
        <v>113680</v>
      </c>
      <c r="D2327" s="4" t="s">
        <v>2331</v>
      </c>
      <c r="E2327" s="4" t="str">
        <f>HYPERLINK("https://app.crepc.sk/?fn=detailBiblioForm&amp;sid=81878E51ADB8370D6169CCE984")</f>
        <v>https://app.crepc.sk/?fn=detailBiblioForm&amp;sid=81878E51ADB8370D6169CCE984</v>
      </c>
    </row>
    <row r="2328" spans="3:5" ht="60" x14ac:dyDescent="0.25">
      <c r="C2328" s="15">
        <v>442445</v>
      </c>
      <c r="D2328" s="4" t="s">
        <v>2332</v>
      </c>
      <c r="E2328" s="4" t="str">
        <f>HYPERLINK("https://app.crepc.sk/?fn=detailBiblioForm&amp;sid=71E4C87088576A56E42A049C2E")</f>
        <v>https://app.crepc.sk/?fn=detailBiblioForm&amp;sid=71E4C87088576A56E42A049C2E</v>
      </c>
    </row>
    <row r="2329" spans="3:5" ht="45" x14ac:dyDescent="0.25">
      <c r="C2329" s="15">
        <v>229755</v>
      </c>
      <c r="D2329" s="4" t="s">
        <v>2333</v>
      </c>
      <c r="E2329" s="4" t="str">
        <f>HYPERLINK("https://app.crepc.sk/?fn=detailBiblioForm&amp;sid=5C30F0180B33919B17CD93BDEE")</f>
        <v>https://app.crepc.sk/?fn=detailBiblioForm&amp;sid=5C30F0180B33919B17CD93BDEE</v>
      </c>
    </row>
    <row r="2330" spans="3:5" ht="45" x14ac:dyDescent="0.25">
      <c r="C2330" s="15">
        <v>134941</v>
      </c>
      <c r="D2330" s="4" t="s">
        <v>2334</v>
      </c>
      <c r="E2330" s="4" t="str">
        <f>HYPERLINK("https://app.crepc.sk/?fn=detailBiblioForm&amp;sid=82386B00AE44A4A3D9B570D12D")</f>
        <v>https://app.crepc.sk/?fn=detailBiblioForm&amp;sid=82386B00AE44A4A3D9B570D12D</v>
      </c>
    </row>
    <row r="2331" spans="3:5" ht="60" x14ac:dyDescent="0.25">
      <c r="C2331" s="15">
        <v>197349</v>
      </c>
      <c r="D2331" s="4" t="s">
        <v>2335</v>
      </c>
      <c r="E2331" s="4" t="str">
        <f>HYPERLINK("https://app.crepc.sk/?fn=detailBiblioForm&amp;sid=DC4ED816FF1BFB258701897557")</f>
        <v>https://app.crepc.sk/?fn=detailBiblioForm&amp;sid=DC4ED816FF1BFB258701897557</v>
      </c>
    </row>
    <row r="2332" spans="3:5" ht="60" x14ac:dyDescent="0.25">
      <c r="C2332" s="15">
        <v>77617</v>
      </c>
      <c r="D2332" s="4" t="s">
        <v>2336</v>
      </c>
      <c r="E2332" s="4" t="str">
        <f>HYPERLINK("https://app.crepc.sk/?fn=detailBiblioForm&amp;sid=B42EE1F3742EB5A5FCC9FC57")</f>
        <v>https://app.crepc.sk/?fn=detailBiblioForm&amp;sid=B42EE1F3742EB5A5FCC9FC57</v>
      </c>
    </row>
    <row r="2333" spans="3:5" ht="60" x14ac:dyDescent="0.25">
      <c r="C2333" s="15">
        <v>187802</v>
      </c>
      <c r="D2333" s="4" t="s">
        <v>2337</v>
      </c>
      <c r="E2333" s="4" t="str">
        <f>HYPERLINK("https://app.crepc.sk/?fn=detailBiblioForm&amp;sid=CB4D57913478E3D221CBD6734D")</f>
        <v>https://app.crepc.sk/?fn=detailBiblioForm&amp;sid=CB4D57913478E3D221CBD6734D</v>
      </c>
    </row>
    <row r="2334" spans="3:5" ht="45" x14ac:dyDescent="0.25">
      <c r="C2334" s="15">
        <v>161395</v>
      </c>
      <c r="D2334" s="4" t="s">
        <v>2338</v>
      </c>
      <c r="E2334" s="4" t="str">
        <f>HYPERLINK("https://app.crepc.sk/?fn=detailBiblioForm&amp;sid=F8FE310152E9D1F1E1102E57ED")</f>
        <v>https://app.crepc.sk/?fn=detailBiblioForm&amp;sid=F8FE310152E9D1F1E1102E57ED</v>
      </c>
    </row>
    <row r="2335" spans="3:5" ht="60" x14ac:dyDescent="0.25">
      <c r="C2335" s="15">
        <v>95728</v>
      </c>
      <c r="D2335" s="4" t="s">
        <v>2339</v>
      </c>
      <c r="E2335" s="4" t="str">
        <f>HYPERLINK("https://app.crepc.sk/?fn=detailBiblioForm&amp;sid=2E5FB2463919E216090B7FF1")</f>
        <v>https://app.crepc.sk/?fn=detailBiblioForm&amp;sid=2E5FB2463919E216090B7FF1</v>
      </c>
    </row>
    <row r="2336" spans="3:5" ht="75" x14ac:dyDescent="0.25">
      <c r="C2336" s="15">
        <v>70323</v>
      </c>
      <c r="D2336" s="4" t="s">
        <v>2340</v>
      </c>
      <c r="E2336" s="4" t="str">
        <f>HYPERLINK("https://app.crepc.sk/?fn=detailBiblioForm&amp;sid=5F0903FDACEEDC693B0864A0")</f>
        <v>https://app.crepc.sk/?fn=detailBiblioForm&amp;sid=5F0903FDACEEDC693B0864A0</v>
      </c>
    </row>
    <row r="2337" spans="3:5" ht="60" x14ac:dyDescent="0.25">
      <c r="C2337" s="15">
        <v>130605</v>
      </c>
      <c r="D2337" s="4" t="s">
        <v>2341</v>
      </c>
      <c r="E2337" s="4" t="str">
        <f>HYPERLINK("https://app.crepc.sk/?fn=detailBiblioForm&amp;sid=3092DA57427D6AA49183A0EC69")</f>
        <v>https://app.crepc.sk/?fn=detailBiblioForm&amp;sid=3092DA57427D6AA49183A0EC69</v>
      </c>
    </row>
    <row r="2338" spans="3:5" ht="45" x14ac:dyDescent="0.25">
      <c r="C2338" s="15">
        <v>414597</v>
      </c>
      <c r="D2338" s="4" t="s">
        <v>2342</v>
      </c>
      <c r="E2338" s="4" t="str">
        <f>HYPERLINK("https://app.crepc.sk/?fn=detailBiblioForm&amp;sid=3B2F7222A5E050CEA7AF41D096")</f>
        <v>https://app.crepc.sk/?fn=detailBiblioForm&amp;sid=3B2F7222A5E050CEA7AF41D096</v>
      </c>
    </row>
    <row r="2339" spans="3:5" ht="45" x14ac:dyDescent="0.25">
      <c r="C2339" s="15">
        <v>427493</v>
      </c>
      <c r="D2339" s="4" t="s">
        <v>2343</v>
      </c>
      <c r="E2339" s="4" t="str">
        <f>HYPERLINK("https://app.crepc.sk/?fn=detailBiblioForm&amp;sid=71A2E52503099CD29707493D59")</f>
        <v>https://app.crepc.sk/?fn=detailBiblioForm&amp;sid=71A2E52503099CD29707493D59</v>
      </c>
    </row>
    <row r="2340" spans="3:5" ht="60" x14ac:dyDescent="0.25">
      <c r="C2340" s="15">
        <v>95803</v>
      </c>
      <c r="D2340" s="4" t="s">
        <v>2344</v>
      </c>
      <c r="E2340" s="4" t="str">
        <f>HYPERLINK("https://app.crepc.sk/?fn=detailBiblioForm&amp;sid=93C353EEE8CFB3C878DF1E94")</f>
        <v>https://app.crepc.sk/?fn=detailBiblioForm&amp;sid=93C353EEE8CFB3C878DF1E94</v>
      </c>
    </row>
    <row r="2341" spans="3:5" ht="60" x14ac:dyDescent="0.25">
      <c r="C2341" s="15">
        <v>91605</v>
      </c>
      <c r="D2341" s="4" t="s">
        <v>2345</v>
      </c>
      <c r="E2341" s="4" t="str">
        <f>HYPERLINK("https://app.crepc.sk/?fn=detailBiblioForm&amp;sid=06B864F00CED71CF186E2708")</f>
        <v>https://app.crepc.sk/?fn=detailBiblioForm&amp;sid=06B864F00CED71CF186E2708</v>
      </c>
    </row>
    <row r="2342" spans="3:5" ht="45" x14ac:dyDescent="0.25">
      <c r="C2342" s="15">
        <v>198120</v>
      </c>
      <c r="D2342" s="4" t="s">
        <v>2346</v>
      </c>
      <c r="E2342" s="4" t="str">
        <f>HYPERLINK("https://app.crepc.sk/?fn=detailBiblioForm&amp;sid=49391CDEA9F4ECCFA3D057CD73")</f>
        <v>https://app.crepc.sk/?fn=detailBiblioForm&amp;sid=49391CDEA9F4ECCFA3D057CD73</v>
      </c>
    </row>
    <row r="2343" spans="3:5" ht="45" x14ac:dyDescent="0.25">
      <c r="C2343" s="15">
        <v>126910</v>
      </c>
      <c r="D2343" s="4" t="s">
        <v>2347</v>
      </c>
      <c r="E2343" s="4" t="str">
        <f>HYPERLINK("https://app.crepc.sk/?fn=detailBiblioForm&amp;sid=0D77803B6B9621F08660B73F55")</f>
        <v>https://app.crepc.sk/?fn=detailBiblioForm&amp;sid=0D77803B6B9621F08660B73F55</v>
      </c>
    </row>
    <row r="2344" spans="3:5" ht="45" x14ac:dyDescent="0.25">
      <c r="C2344" s="15">
        <v>414608</v>
      </c>
      <c r="D2344" s="4" t="s">
        <v>2348</v>
      </c>
      <c r="E2344" s="4" t="str">
        <f>HYPERLINK("https://app.crepc.sk/?fn=detailBiblioForm&amp;sid=D055E8D04F57D3DD00A8C71B9C")</f>
        <v>https://app.crepc.sk/?fn=detailBiblioForm&amp;sid=D055E8D04F57D3DD00A8C71B9C</v>
      </c>
    </row>
    <row r="2345" spans="3:5" ht="45" x14ac:dyDescent="0.25">
      <c r="C2345" s="15">
        <v>63597</v>
      </c>
      <c r="D2345" s="4" t="s">
        <v>2349</v>
      </c>
      <c r="E2345" s="4" t="str">
        <f>HYPERLINK("https://app.crepc.sk/?fn=detailBiblioForm&amp;sid=F589B3D9329268FB8701BD76")</f>
        <v>https://app.crepc.sk/?fn=detailBiblioForm&amp;sid=F589B3D9329268FB8701BD76</v>
      </c>
    </row>
    <row r="2346" spans="3:5" ht="45" x14ac:dyDescent="0.25">
      <c r="C2346" s="15">
        <v>82255</v>
      </c>
      <c r="D2346" s="4" t="s">
        <v>2350</v>
      </c>
      <c r="E2346" s="4" t="str">
        <f>HYPERLINK("https://app.crepc.sk/?fn=detailBiblioForm&amp;sid=3BDF811F5153EE0B94592654")</f>
        <v>https://app.crepc.sk/?fn=detailBiblioForm&amp;sid=3BDF811F5153EE0B94592654</v>
      </c>
    </row>
    <row r="2347" spans="3:5" ht="60" x14ac:dyDescent="0.25">
      <c r="C2347" s="15">
        <v>256323</v>
      </c>
      <c r="D2347" s="4" t="s">
        <v>2351</v>
      </c>
      <c r="E2347" s="4" t="str">
        <f>HYPERLINK("https://app.crepc.sk/?fn=detailBiblioForm&amp;sid=53338FE5898FBD3D2E9C6AFB9B")</f>
        <v>https://app.crepc.sk/?fn=detailBiblioForm&amp;sid=53338FE5898FBD3D2E9C6AFB9B</v>
      </c>
    </row>
    <row r="2348" spans="3:5" ht="45" x14ac:dyDescent="0.25">
      <c r="C2348" s="15">
        <v>100592</v>
      </c>
      <c r="D2348" s="4" t="s">
        <v>2352</v>
      </c>
      <c r="E2348" s="4" t="str">
        <f>HYPERLINK("https://app.crepc.sk/?fn=detailBiblioForm&amp;sid=7CB117824CF3FE33D1CCE5F59C")</f>
        <v>https://app.crepc.sk/?fn=detailBiblioForm&amp;sid=7CB117824CF3FE33D1CCE5F59C</v>
      </c>
    </row>
    <row r="2349" spans="3:5" ht="75" x14ac:dyDescent="0.25">
      <c r="C2349" s="15">
        <v>222079</v>
      </c>
      <c r="D2349" s="4" t="s">
        <v>2353</v>
      </c>
      <c r="E2349" s="4" t="str">
        <f>HYPERLINK("https://app.crepc.sk/?fn=detailBiblioForm&amp;sid=AE035A1340B0E94A9387AF86E8")</f>
        <v>https://app.crepc.sk/?fn=detailBiblioForm&amp;sid=AE035A1340B0E94A9387AF86E8</v>
      </c>
    </row>
    <row r="2350" spans="3:5" ht="60" x14ac:dyDescent="0.25">
      <c r="C2350" s="15">
        <v>414843</v>
      </c>
      <c r="D2350" s="4" t="s">
        <v>2354</v>
      </c>
      <c r="E2350" s="4" t="str">
        <f>HYPERLINK("https://app.crepc.sk/?fn=detailBiblioForm&amp;sid=AC8D3350B73BAD6B5D619603B1")</f>
        <v>https://app.crepc.sk/?fn=detailBiblioForm&amp;sid=AC8D3350B73BAD6B5D619603B1</v>
      </c>
    </row>
    <row r="2351" spans="3:5" ht="45" x14ac:dyDescent="0.25">
      <c r="C2351" s="15">
        <v>223936</v>
      </c>
      <c r="D2351" s="4" t="s">
        <v>2355</v>
      </c>
      <c r="E2351" s="4" t="str">
        <f>HYPERLINK("https://app.crepc.sk/?fn=detailBiblioForm&amp;sid=580091835B90645256822973D0")</f>
        <v>https://app.crepc.sk/?fn=detailBiblioForm&amp;sid=580091835B90645256822973D0</v>
      </c>
    </row>
    <row r="2352" spans="3:5" ht="60" x14ac:dyDescent="0.25">
      <c r="C2352" s="15">
        <v>250602</v>
      </c>
      <c r="D2352" s="4" t="s">
        <v>2356</v>
      </c>
      <c r="E2352" s="4" t="str">
        <f>HYPERLINK("https://app.crepc.sk/?fn=detailBiblioForm&amp;sid=16FC383C0A38FF51F027DD4515")</f>
        <v>https://app.crepc.sk/?fn=detailBiblioForm&amp;sid=16FC383C0A38FF51F027DD4515</v>
      </c>
    </row>
    <row r="2353" spans="3:5" ht="60" x14ac:dyDescent="0.25">
      <c r="C2353" s="15">
        <v>146874</v>
      </c>
      <c r="D2353" s="4" t="s">
        <v>2357</v>
      </c>
      <c r="E2353" s="4" t="str">
        <f>HYPERLINK("https://app.crepc.sk/?fn=detailBiblioForm&amp;sid=94F27843EBD77D7A063523EC72")</f>
        <v>https://app.crepc.sk/?fn=detailBiblioForm&amp;sid=94F27843EBD77D7A063523EC72</v>
      </c>
    </row>
    <row r="2354" spans="3:5" ht="45" x14ac:dyDescent="0.25">
      <c r="C2354" s="15">
        <v>77612</v>
      </c>
      <c r="D2354" s="4" t="s">
        <v>2358</v>
      </c>
      <c r="E2354" s="4" t="str">
        <f>HYPERLINK("https://app.crepc.sk/?fn=detailBiblioForm&amp;sid=B42EE1F3742EB5A5F9C9FC57")</f>
        <v>https://app.crepc.sk/?fn=detailBiblioForm&amp;sid=B42EE1F3742EB5A5F9C9FC57</v>
      </c>
    </row>
    <row r="2355" spans="3:5" ht="45" x14ac:dyDescent="0.25">
      <c r="C2355" s="15">
        <v>187063</v>
      </c>
      <c r="D2355" s="4" t="s">
        <v>2359</v>
      </c>
      <c r="E2355" s="4" t="str">
        <f>HYPERLINK("https://app.crepc.sk/?fn=detailBiblioForm&amp;sid=F3AF90715DF24108A1397BFE19")</f>
        <v>https://app.crepc.sk/?fn=detailBiblioForm&amp;sid=F3AF90715DF24108A1397BFE19</v>
      </c>
    </row>
    <row r="2356" spans="3:5" ht="45" x14ac:dyDescent="0.25">
      <c r="C2356" s="15">
        <v>183079</v>
      </c>
      <c r="D2356" s="4" t="s">
        <v>2360</v>
      </c>
      <c r="E2356" s="4" t="str">
        <f>HYPERLINK("https://app.crepc.sk/?fn=detailBiblioForm&amp;sid=ACFB8EE4E98483452947DB10BB")</f>
        <v>https://app.crepc.sk/?fn=detailBiblioForm&amp;sid=ACFB8EE4E98483452947DB10BB</v>
      </c>
    </row>
    <row r="2357" spans="3:5" ht="45" x14ac:dyDescent="0.25">
      <c r="C2357" s="15">
        <v>161391</v>
      </c>
      <c r="D2357" s="4" t="s">
        <v>2361</v>
      </c>
      <c r="E2357" s="4" t="str">
        <f>HYPERLINK("https://app.crepc.sk/?fn=detailBiblioForm&amp;sid=F8FE310152E9D1F1E1142E57ED")</f>
        <v>https://app.crepc.sk/?fn=detailBiblioForm&amp;sid=F8FE310152E9D1F1E1142E57ED</v>
      </c>
    </row>
    <row r="2358" spans="3:5" ht="60" x14ac:dyDescent="0.25">
      <c r="C2358" s="15">
        <v>91732</v>
      </c>
      <c r="D2358" s="4" t="s">
        <v>2362</v>
      </c>
      <c r="E2358" s="4" t="str">
        <f>HYPERLINK("https://app.crepc.sk/?fn=detailBiblioForm&amp;sid=C8FB3A383D475CD04D50B90D")</f>
        <v>https://app.crepc.sk/?fn=detailBiblioForm&amp;sid=C8FB3A383D475CD04D50B90D</v>
      </c>
    </row>
    <row r="2359" spans="3:5" ht="60" x14ac:dyDescent="0.25">
      <c r="C2359" s="15">
        <v>197413</v>
      </c>
      <c r="D2359" s="4" t="s">
        <v>2363</v>
      </c>
      <c r="E2359" s="4" t="str">
        <f>HYPERLINK("https://app.crepc.sk/?fn=detailBiblioForm&amp;sid=7D593A42AB22E1ECF8FC9C38E8")</f>
        <v>https://app.crepc.sk/?fn=detailBiblioForm&amp;sid=7D593A42AB22E1ECF8FC9C38E8</v>
      </c>
    </row>
    <row r="2360" spans="3:5" ht="60" x14ac:dyDescent="0.25">
      <c r="C2360" s="15">
        <v>74543</v>
      </c>
      <c r="D2360" s="4" t="s">
        <v>2364</v>
      </c>
      <c r="E2360" s="4" t="str">
        <f>HYPERLINK("https://app.crepc.sk/?fn=detailBiblioForm&amp;sid=7DC6F83733C2E63A7FD65D08")</f>
        <v>https://app.crepc.sk/?fn=detailBiblioForm&amp;sid=7DC6F83733C2E63A7FD65D08</v>
      </c>
    </row>
    <row r="2361" spans="3:5" ht="75" x14ac:dyDescent="0.25">
      <c r="C2361" s="15">
        <v>415276</v>
      </c>
      <c r="D2361" s="4" t="s">
        <v>2365</v>
      </c>
      <c r="E2361" s="4" t="str">
        <f>HYPERLINK("https://app.crepc.sk/?fn=detailBiblioForm&amp;sid=4F97C066411C5C0173847AA5ED")</f>
        <v>https://app.crepc.sk/?fn=detailBiblioForm&amp;sid=4F97C066411C5C0173847AA5ED</v>
      </c>
    </row>
    <row r="2362" spans="3:5" ht="60" x14ac:dyDescent="0.25">
      <c r="C2362" s="15">
        <v>244065</v>
      </c>
      <c r="D2362" s="4" t="s">
        <v>2366</v>
      </c>
      <c r="E2362" s="4" t="str">
        <f>HYPERLINK("https://app.crepc.sk/?fn=detailBiblioForm&amp;sid=8D1821D52B2E8A6994CF1A2B45")</f>
        <v>https://app.crepc.sk/?fn=detailBiblioForm&amp;sid=8D1821D52B2E8A6994CF1A2B45</v>
      </c>
    </row>
    <row r="2363" spans="3:5" ht="60" x14ac:dyDescent="0.25">
      <c r="C2363" s="15">
        <v>53462</v>
      </c>
      <c r="D2363" s="4" t="s">
        <v>2367</v>
      </c>
      <c r="E2363" s="4" t="str">
        <f>HYPERLINK("https://app.crepc.sk/?fn=detailBiblioForm&amp;sid=87EED78A69032A809F804662")</f>
        <v>https://app.crepc.sk/?fn=detailBiblioForm&amp;sid=87EED78A69032A809F804662</v>
      </c>
    </row>
    <row r="2364" spans="3:5" ht="90" x14ac:dyDescent="0.25">
      <c r="C2364" s="15">
        <v>309112</v>
      </c>
      <c r="D2364" s="4" t="s">
        <v>2368</v>
      </c>
      <c r="E2364" s="4" t="str">
        <f>HYPERLINK("https://app.crepc.sk/?fn=detailBiblioForm&amp;sid=2CC6638F3D0653034EA9D997BE")</f>
        <v>https://app.crepc.sk/?fn=detailBiblioForm&amp;sid=2CC6638F3D0653034EA9D997BE</v>
      </c>
    </row>
    <row r="2365" spans="3:5" ht="45" x14ac:dyDescent="0.25">
      <c r="C2365" s="15">
        <v>438560</v>
      </c>
      <c r="D2365" s="4" t="s">
        <v>2369</v>
      </c>
      <c r="E2365" s="4" t="str">
        <f>HYPERLINK("https://app.crepc.sk/?fn=detailBiblioForm&amp;sid=A8368C59A2CFCB61881A928036")</f>
        <v>https://app.crepc.sk/?fn=detailBiblioForm&amp;sid=A8368C59A2CFCB61881A928036</v>
      </c>
    </row>
    <row r="2366" spans="3:5" ht="45" x14ac:dyDescent="0.25">
      <c r="C2366" s="15">
        <v>51979</v>
      </c>
      <c r="D2366" s="4" t="s">
        <v>2370</v>
      </c>
      <c r="E2366" s="4" t="str">
        <f>HYPERLINK("https://app.crepc.sk/?fn=detailBiblioForm&amp;sid=3CF9681F115FD6E29109C569")</f>
        <v>https://app.crepc.sk/?fn=detailBiblioForm&amp;sid=3CF9681F115FD6E29109C569</v>
      </c>
    </row>
    <row r="2367" spans="3:5" ht="60" x14ac:dyDescent="0.25">
      <c r="C2367" s="15">
        <v>155375</v>
      </c>
      <c r="D2367" s="4" t="s">
        <v>2371</v>
      </c>
      <c r="E2367" s="4" t="str">
        <f>HYPERLINK("https://app.crepc.sk/?fn=detailBiblioForm&amp;sid=78AFF12394AFE35F8D131C8992")</f>
        <v>https://app.crepc.sk/?fn=detailBiblioForm&amp;sid=78AFF12394AFE35F8D131C8992</v>
      </c>
    </row>
    <row r="2368" spans="3:5" ht="60" x14ac:dyDescent="0.25">
      <c r="C2368" s="15">
        <v>419116</v>
      </c>
      <c r="D2368" s="4" t="s">
        <v>2372</v>
      </c>
      <c r="E2368" s="4" t="str">
        <f>HYPERLINK("https://app.crepc.sk/?fn=detailBiblioForm&amp;sid=52A70A1BEBCB2B35647A5171DB")</f>
        <v>https://app.crepc.sk/?fn=detailBiblioForm&amp;sid=52A70A1BEBCB2B35647A5171DB</v>
      </c>
    </row>
    <row r="2369" spans="3:5" ht="45" x14ac:dyDescent="0.25">
      <c r="C2369" s="15">
        <v>54202</v>
      </c>
      <c r="D2369" s="4" t="s">
        <v>2373</v>
      </c>
      <c r="E2369" s="4" t="str">
        <f>HYPERLINK("https://app.crepc.sk/?fn=detailBiblioForm&amp;sid=C0FBDF6C5867973C37E3477E")</f>
        <v>https://app.crepc.sk/?fn=detailBiblioForm&amp;sid=C0FBDF6C5867973C37E3477E</v>
      </c>
    </row>
    <row r="2370" spans="3:5" ht="45" x14ac:dyDescent="0.25">
      <c r="C2370" s="15">
        <v>115948</v>
      </c>
      <c r="D2370" s="4" t="s">
        <v>2374</v>
      </c>
      <c r="E2370" s="4" t="str">
        <f>HYPERLINK("https://app.crepc.sk/?fn=detailBiblioForm&amp;sid=1296E3D255AA637E9D564CC6C6")</f>
        <v>https://app.crepc.sk/?fn=detailBiblioForm&amp;sid=1296E3D255AA637E9D564CC6C6</v>
      </c>
    </row>
    <row r="2371" spans="3:5" ht="60" x14ac:dyDescent="0.25">
      <c r="C2371" s="15">
        <v>437769</v>
      </c>
      <c r="D2371" s="4" t="s">
        <v>2375</v>
      </c>
      <c r="E2371" s="4" t="str">
        <f>HYPERLINK("https://app.crepc.sk/?fn=detailBiblioForm&amp;sid=16B3066BF778562A691A4F7EEC")</f>
        <v>https://app.crepc.sk/?fn=detailBiblioForm&amp;sid=16B3066BF778562A691A4F7EEC</v>
      </c>
    </row>
    <row r="2372" spans="3:5" ht="45" x14ac:dyDescent="0.25">
      <c r="C2372" s="15">
        <v>209584</v>
      </c>
      <c r="D2372" s="4" t="s">
        <v>2376</v>
      </c>
      <c r="E2372" s="4" t="str">
        <f>HYPERLINK("https://app.crepc.sk/?fn=detailBiblioForm&amp;sid=5D15CCFBDD7C9C132AB88220DC")</f>
        <v>https://app.crepc.sk/?fn=detailBiblioForm&amp;sid=5D15CCFBDD7C9C132AB88220DC</v>
      </c>
    </row>
    <row r="2373" spans="3:5" ht="45" x14ac:dyDescent="0.25">
      <c r="C2373" s="15">
        <v>91725</v>
      </c>
      <c r="D2373" s="4" t="s">
        <v>2377</v>
      </c>
      <c r="E2373" s="4" t="str">
        <f>HYPERLINK("https://app.crepc.sk/?fn=detailBiblioForm&amp;sid=C0A4100D02C5901B2F64922D")</f>
        <v>https://app.crepc.sk/?fn=detailBiblioForm&amp;sid=C0A4100D02C5901B2F64922D</v>
      </c>
    </row>
    <row r="2374" spans="3:5" ht="45" x14ac:dyDescent="0.25">
      <c r="C2374" s="15">
        <v>103823</v>
      </c>
      <c r="D2374" s="4" t="s">
        <v>2378</v>
      </c>
      <c r="E2374" s="4" t="str">
        <f>HYPERLINK("https://app.crepc.sk/?fn=detailBiblioForm&amp;sid=976EC5A525C85ECF5EC33BFA52")</f>
        <v>https://app.crepc.sk/?fn=detailBiblioForm&amp;sid=976EC5A525C85ECF5EC33BFA52</v>
      </c>
    </row>
    <row r="2375" spans="3:5" ht="45" x14ac:dyDescent="0.25">
      <c r="C2375" s="15">
        <v>195368</v>
      </c>
      <c r="D2375" s="4" t="s">
        <v>2379</v>
      </c>
      <c r="E2375" s="4" t="str">
        <f>HYPERLINK("https://app.crepc.sk/?fn=detailBiblioForm&amp;sid=F41BCA5EABD2C6A0FD19B2C3B4")</f>
        <v>https://app.crepc.sk/?fn=detailBiblioForm&amp;sid=F41BCA5EABD2C6A0FD19B2C3B4</v>
      </c>
    </row>
    <row r="2376" spans="3:5" ht="60" x14ac:dyDescent="0.25">
      <c r="C2376" s="15">
        <v>122769</v>
      </c>
      <c r="D2376" s="4" t="s">
        <v>2380</v>
      </c>
      <c r="E2376" s="4" t="str">
        <f>HYPERLINK("https://app.crepc.sk/?fn=detailBiblioForm&amp;sid=A5B40B0321D8B57908D109F729")</f>
        <v>https://app.crepc.sk/?fn=detailBiblioForm&amp;sid=A5B40B0321D8B57908D109F729</v>
      </c>
    </row>
    <row r="2377" spans="3:5" ht="60" x14ac:dyDescent="0.25">
      <c r="C2377" s="15">
        <v>193203</v>
      </c>
      <c r="D2377" s="4" t="s">
        <v>2381</v>
      </c>
      <c r="E2377" s="4" t="str">
        <f>HYPERLINK("https://app.crepc.sk/?fn=detailBiblioForm&amp;sid=C548C0F9FD696643FEB5CC8CCF")</f>
        <v>https://app.crepc.sk/?fn=detailBiblioForm&amp;sid=C548C0F9FD696643FEB5CC8CCF</v>
      </c>
    </row>
    <row r="2378" spans="3:5" ht="75" x14ac:dyDescent="0.25">
      <c r="C2378" s="15">
        <v>105028</v>
      </c>
      <c r="D2378" s="4" t="s">
        <v>2382</v>
      </c>
      <c r="E2378" s="4" t="str">
        <f>HYPERLINK("https://app.crepc.sk/?fn=detailBiblioForm&amp;sid=C2EB937682BD74C1B78E796E32")</f>
        <v>https://app.crepc.sk/?fn=detailBiblioForm&amp;sid=C2EB937682BD74C1B78E796E32</v>
      </c>
    </row>
    <row r="2379" spans="3:5" ht="60" x14ac:dyDescent="0.25">
      <c r="C2379" s="15">
        <v>97449</v>
      </c>
      <c r="D2379" s="4" t="s">
        <v>2383</v>
      </c>
      <c r="E2379" s="4" t="str">
        <f>HYPERLINK("https://app.crepc.sk/?fn=detailBiblioForm&amp;sid=7E21DD2402F4DA4F3B95772F")</f>
        <v>https://app.crepc.sk/?fn=detailBiblioForm&amp;sid=7E21DD2402F4DA4F3B95772F</v>
      </c>
    </row>
    <row r="2380" spans="3:5" ht="60" x14ac:dyDescent="0.25">
      <c r="C2380" s="15">
        <v>255343</v>
      </c>
      <c r="D2380" s="4" t="s">
        <v>2384</v>
      </c>
      <c r="E2380" s="4" t="str">
        <f>HYPERLINK("https://app.crepc.sk/?fn=detailBiblioForm&amp;sid=240D82286EC66312FA444ACBFC")</f>
        <v>https://app.crepc.sk/?fn=detailBiblioForm&amp;sid=240D82286EC66312FA444ACBFC</v>
      </c>
    </row>
    <row r="2381" spans="3:5" ht="60" x14ac:dyDescent="0.25">
      <c r="C2381" s="15">
        <v>95608</v>
      </c>
      <c r="D2381" s="4" t="s">
        <v>2385</v>
      </c>
      <c r="E2381" s="4" t="str">
        <f>HYPERLINK("https://app.crepc.sk/?fn=detailBiblioForm&amp;sid=0FB707C97F8FF7550BA1E7CB")</f>
        <v>https://app.crepc.sk/?fn=detailBiblioForm&amp;sid=0FB707C97F8FF7550BA1E7CB</v>
      </c>
    </row>
    <row r="2382" spans="3:5" ht="60" x14ac:dyDescent="0.25">
      <c r="C2382" s="15">
        <v>161380</v>
      </c>
      <c r="D2382" s="4" t="s">
        <v>2386</v>
      </c>
      <c r="E2382" s="4" t="str">
        <f>HYPERLINK("https://app.crepc.sk/?fn=detailBiblioForm&amp;sid=F8FE310152E9D1F1E0152E57ED")</f>
        <v>https://app.crepc.sk/?fn=detailBiblioForm&amp;sid=F8FE310152E9D1F1E0152E57ED</v>
      </c>
    </row>
    <row r="2383" spans="3:5" ht="60" x14ac:dyDescent="0.25">
      <c r="C2383" s="15">
        <v>214560</v>
      </c>
      <c r="D2383" s="4" t="s">
        <v>2387</v>
      </c>
      <c r="E2383" s="4" t="str">
        <f>HYPERLINK("https://app.crepc.sk/?fn=detailBiblioForm&amp;sid=3CC7C8A2F9DA363A02D80D5FC5")</f>
        <v>https://app.crepc.sk/?fn=detailBiblioForm&amp;sid=3CC7C8A2F9DA363A02D80D5FC5</v>
      </c>
    </row>
    <row r="2384" spans="3:5" ht="60" x14ac:dyDescent="0.25">
      <c r="C2384" s="15">
        <v>51224</v>
      </c>
      <c r="D2384" s="4" t="s">
        <v>2388</v>
      </c>
      <c r="E2384" s="4" t="str">
        <f>HYPERLINK("https://app.crepc.sk/?fn=detailBiblioForm&amp;sid=8E6CCBF4393295FA72B7A107")</f>
        <v>https://app.crepc.sk/?fn=detailBiblioForm&amp;sid=8E6CCBF4393295FA72B7A107</v>
      </c>
    </row>
    <row r="2385" spans="3:5" ht="60" x14ac:dyDescent="0.25">
      <c r="C2385" s="15">
        <v>56519</v>
      </c>
      <c r="D2385" s="4" t="s">
        <v>2389</v>
      </c>
      <c r="E2385" s="4" t="str">
        <f>HYPERLINK("https://app.crepc.sk/?fn=detailBiblioForm&amp;sid=F4AA6FA09434E668648553C8")</f>
        <v>https://app.crepc.sk/?fn=detailBiblioForm&amp;sid=F4AA6FA09434E668648553C8</v>
      </c>
    </row>
    <row r="2386" spans="3:5" ht="60" x14ac:dyDescent="0.25">
      <c r="C2386" s="15">
        <v>442478</v>
      </c>
      <c r="D2386" s="4" t="s">
        <v>2390</v>
      </c>
      <c r="E2386" s="4" t="str">
        <f>HYPERLINK("https://app.crepc.sk/?fn=detailBiblioForm&amp;sid=71E4C87088576A56E727049C2E")</f>
        <v>https://app.crepc.sk/?fn=detailBiblioForm&amp;sid=71E4C87088576A56E727049C2E</v>
      </c>
    </row>
    <row r="2387" spans="3:5" ht="45" x14ac:dyDescent="0.25">
      <c r="C2387" s="15">
        <v>51314</v>
      </c>
      <c r="D2387" s="4" t="s">
        <v>2391</v>
      </c>
      <c r="E2387" s="4" t="str">
        <f>HYPERLINK("https://app.crepc.sk/?fn=detailBiblioForm&amp;sid=1803626788CCBC4B123DC063")</f>
        <v>https://app.crepc.sk/?fn=detailBiblioForm&amp;sid=1803626788CCBC4B123DC063</v>
      </c>
    </row>
    <row r="2388" spans="3:5" ht="60" x14ac:dyDescent="0.25">
      <c r="C2388" s="15">
        <v>315020</v>
      </c>
      <c r="D2388" s="4" t="s">
        <v>2392</v>
      </c>
      <c r="E2388" s="4" t="str">
        <f>HYPERLINK("https://app.crepc.sk/?fn=detailBiblioForm&amp;sid=98A3DA2AD395A9A96494A492DD")</f>
        <v>https://app.crepc.sk/?fn=detailBiblioForm&amp;sid=98A3DA2AD395A9A96494A492DD</v>
      </c>
    </row>
    <row r="2389" spans="3:5" ht="60" x14ac:dyDescent="0.25">
      <c r="C2389" s="15">
        <v>126109</v>
      </c>
      <c r="D2389" s="4" t="s">
        <v>2393</v>
      </c>
      <c r="E2389" s="4" t="str">
        <f>HYPERLINK("https://app.crepc.sk/?fn=detailBiblioForm&amp;sid=1C98E395077C31135251831412")</f>
        <v>https://app.crepc.sk/?fn=detailBiblioForm&amp;sid=1C98E395077C31135251831412</v>
      </c>
    </row>
    <row r="2390" spans="3:5" ht="60" x14ac:dyDescent="0.25">
      <c r="C2390" s="15">
        <v>56516</v>
      </c>
      <c r="D2390" s="4" t="s">
        <v>2394</v>
      </c>
      <c r="E2390" s="4" t="str">
        <f>HYPERLINK("https://app.crepc.sk/?fn=detailBiblioForm&amp;sid=F4AA6FA09434E6686B8553C8")</f>
        <v>https://app.crepc.sk/?fn=detailBiblioForm&amp;sid=F4AA6FA09434E6686B8553C8</v>
      </c>
    </row>
    <row r="2391" spans="3:5" ht="45" x14ac:dyDescent="0.25">
      <c r="C2391" s="15">
        <v>91538</v>
      </c>
      <c r="D2391" s="4" t="s">
        <v>2395</v>
      </c>
      <c r="E2391" s="4" t="str">
        <f>HYPERLINK("https://app.crepc.sk/?fn=detailBiblioForm&amp;sid=D26EDA66432D13153D3AE652")</f>
        <v>https://app.crepc.sk/?fn=detailBiblioForm&amp;sid=D26EDA66432D13153D3AE652</v>
      </c>
    </row>
    <row r="2392" spans="3:5" ht="45" x14ac:dyDescent="0.25">
      <c r="C2392" s="15">
        <v>145080</v>
      </c>
      <c r="D2392" s="4" t="s">
        <v>2396</v>
      </c>
      <c r="E2392" s="4" t="str">
        <f>HYPERLINK("https://app.crepc.sk/?fn=detailBiblioForm&amp;sid=A067BA41CFE566E7BD827B2D76")</f>
        <v>https://app.crepc.sk/?fn=detailBiblioForm&amp;sid=A067BA41CFE566E7BD827B2D76</v>
      </c>
    </row>
    <row r="2393" spans="3:5" ht="60" x14ac:dyDescent="0.25">
      <c r="C2393" s="15">
        <v>91749</v>
      </c>
      <c r="D2393" s="4" t="s">
        <v>2397</v>
      </c>
      <c r="E2393" s="4" t="str">
        <f>HYPERLINK("https://app.crepc.sk/?fn=detailBiblioForm&amp;sid=7EAECA81A1652D96FB1BC485")</f>
        <v>https://app.crepc.sk/?fn=detailBiblioForm&amp;sid=7EAECA81A1652D96FB1BC485</v>
      </c>
    </row>
    <row r="2394" spans="3:5" ht="45" x14ac:dyDescent="0.25">
      <c r="C2394" s="15">
        <v>133172</v>
      </c>
      <c r="D2394" s="4" t="s">
        <v>2398</v>
      </c>
      <c r="E2394" s="4" t="str">
        <f>HYPERLINK("https://app.crepc.sk/?fn=detailBiblioForm&amp;sid=A87535322FFBFE64CDD0F88649")</f>
        <v>https://app.crepc.sk/?fn=detailBiblioForm&amp;sid=A87535322FFBFE64CDD0F88649</v>
      </c>
    </row>
    <row r="2395" spans="3:5" ht="60" x14ac:dyDescent="0.25">
      <c r="C2395" s="15">
        <v>100597</v>
      </c>
      <c r="D2395" s="4" t="s">
        <v>2399</v>
      </c>
      <c r="E2395" s="4" t="str">
        <f>HYPERLINK("https://app.crepc.sk/?fn=detailBiblioForm&amp;sid=7CB117824CF3FE33D1C9E5F59C")</f>
        <v>https://app.crepc.sk/?fn=detailBiblioForm&amp;sid=7CB117824CF3FE33D1C9E5F59C</v>
      </c>
    </row>
    <row r="2396" spans="3:5" ht="45" x14ac:dyDescent="0.25">
      <c r="C2396" s="15">
        <v>415292</v>
      </c>
      <c r="D2396" s="4" t="s">
        <v>2400</v>
      </c>
      <c r="E2396" s="4" t="str">
        <f>HYPERLINK("https://app.crepc.sk/?fn=detailBiblioForm&amp;sid=4F97C066411C5C017D807AA5ED")</f>
        <v>https://app.crepc.sk/?fn=detailBiblioForm&amp;sid=4F97C066411C5C017D807AA5ED</v>
      </c>
    </row>
    <row r="2397" spans="3:5" ht="60" x14ac:dyDescent="0.25">
      <c r="C2397" s="15">
        <v>310070</v>
      </c>
      <c r="D2397" s="4" t="s">
        <v>2401</v>
      </c>
      <c r="E2397" s="4" t="str">
        <f>HYPERLINK("https://app.crepc.sk/?fn=detailBiblioForm&amp;sid=F566C6E0CB47072BFBEE22F69C")</f>
        <v>https://app.crepc.sk/?fn=detailBiblioForm&amp;sid=F566C6E0CB47072BFBEE22F69C</v>
      </c>
    </row>
    <row r="2398" spans="3:5" ht="45" x14ac:dyDescent="0.25">
      <c r="C2398" s="15">
        <v>155378</v>
      </c>
      <c r="D2398" s="4" t="s">
        <v>2402</v>
      </c>
      <c r="E2398" s="4" t="str">
        <f>HYPERLINK("https://app.crepc.sk/?fn=detailBiblioForm&amp;sid=78AFF12394AFE35F8D1E1C8992")</f>
        <v>https://app.crepc.sk/?fn=detailBiblioForm&amp;sid=78AFF12394AFE35F8D1E1C8992</v>
      </c>
    </row>
    <row r="2399" spans="3:5" ht="60" x14ac:dyDescent="0.25">
      <c r="C2399" s="15">
        <v>223695</v>
      </c>
      <c r="D2399" s="4" t="s">
        <v>2403</v>
      </c>
      <c r="E2399" s="4" t="str">
        <f>HYPERLINK("https://app.crepc.sk/?fn=detailBiblioForm&amp;sid=B5E7C3A8B966861A8B145D896E")</f>
        <v>https://app.crepc.sk/?fn=detailBiblioForm&amp;sid=B5E7C3A8B966861A8B145D896E</v>
      </c>
    </row>
    <row r="2400" spans="3:5" ht="45" x14ac:dyDescent="0.25">
      <c r="C2400" s="15">
        <v>441868</v>
      </c>
      <c r="D2400" s="4" t="s">
        <v>2404</v>
      </c>
      <c r="E2400" s="4" t="str">
        <f>HYPERLINK("https://app.crepc.sk/?fn=detailBiblioForm&amp;sid=AE470135EEA362314FD2B5CD43")</f>
        <v>https://app.crepc.sk/?fn=detailBiblioForm&amp;sid=AE470135EEA362314FD2B5CD43</v>
      </c>
    </row>
    <row r="2401" spans="3:5" ht="75" x14ac:dyDescent="0.25">
      <c r="C2401" s="15">
        <v>186934</v>
      </c>
      <c r="D2401" s="4" t="s">
        <v>2405</v>
      </c>
      <c r="E2401" s="4" t="str">
        <f>HYPERLINK("https://app.crepc.sk/?fn=detailBiblioForm&amp;sid=9EB7DDC054CB7EBFE076B5FCE5")</f>
        <v>https://app.crepc.sk/?fn=detailBiblioForm&amp;sid=9EB7DDC054CB7EBFE076B5FCE5</v>
      </c>
    </row>
    <row r="2402" spans="3:5" ht="60" x14ac:dyDescent="0.25">
      <c r="C2402" s="15">
        <v>307244</v>
      </c>
      <c r="D2402" s="4" t="s">
        <v>2406</v>
      </c>
      <c r="E2402" s="4" t="str">
        <f>HYPERLINK("https://app.crepc.sk/?fn=detailBiblioForm&amp;sid=D6D1207F88D43CD724590D809F")</f>
        <v>https://app.crepc.sk/?fn=detailBiblioForm&amp;sid=D6D1207F88D43CD724590D809F</v>
      </c>
    </row>
    <row r="2403" spans="3:5" ht="45" x14ac:dyDescent="0.25">
      <c r="C2403" s="15">
        <v>307216</v>
      </c>
      <c r="D2403" s="4" t="s">
        <v>2407</v>
      </c>
      <c r="E2403" s="4" t="str">
        <f>HYPERLINK("https://app.crepc.sk/?fn=detailBiblioForm&amp;sid=D6D1207F88D43CD7215B0D809F")</f>
        <v>https://app.crepc.sk/?fn=detailBiblioForm&amp;sid=D6D1207F88D43CD7215B0D809F</v>
      </c>
    </row>
    <row r="2404" spans="3:5" ht="75" x14ac:dyDescent="0.25">
      <c r="C2404" s="15">
        <v>95658</v>
      </c>
      <c r="D2404" s="4" t="s">
        <v>2408</v>
      </c>
      <c r="E2404" s="4" t="str">
        <f>HYPERLINK("https://app.crepc.sk/?fn=detailBiblioForm&amp;sid=82CA683D5E29ED0934748879")</f>
        <v>https://app.crepc.sk/?fn=detailBiblioForm&amp;sid=82CA683D5E29ED0934748879</v>
      </c>
    </row>
    <row r="2405" spans="3:5" ht="45" x14ac:dyDescent="0.25">
      <c r="C2405" s="15">
        <v>216622</v>
      </c>
      <c r="D2405" s="4" t="s">
        <v>2409</v>
      </c>
      <c r="E2405" s="4" t="str">
        <f>HYPERLINK("https://app.crepc.sk/?fn=detailBiblioForm&amp;sid=235622EA7F65888486A26881DC")</f>
        <v>https://app.crepc.sk/?fn=detailBiblioForm&amp;sid=235622EA7F65888486A26881DC</v>
      </c>
    </row>
    <row r="2406" spans="3:5" ht="60" x14ac:dyDescent="0.25">
      <c r="C2406" s="15">
        <v>155348</v>
      </c>
      <c r="D2406" s="4" t="s">
        <v>2410</v>
      </c>
      <c r="E2406" s="4" t="str">
        <f>HYPERLINK("https://app.crepc.sk/?fn=detailBiblioForm&amp;sid=78AFF12394AFE35F8E1E1C8992")</f>
        <v>https://app.crepc.sk/?fn=detailBiblioForm&amp;sid=78AFF12394AFE35F8E1E1C8992</v>
      </c>
    </row>
    <row r="2407" spans="3:5" ht="45" x14ac:dyDescent="0.25">
      <c r="C2407" s="15">
        <v>80154</v>
      </c>
      <c r="D2407" s="4" t="s">
        <v>2411</v>
      </c>
      <c r="E2407" s="4" t="str">
        <f>HYPERLINK("https://app.crepc.sk/?fn=detailBiblioForm&amp;sid=4FA8147281BCBAF1CB953BC8")</f>
        <v>https://app.crepc.sk/?fn=detailBiblioForm&amp;sid=4FA8147281BCBAF1CB953BC8</v>
      </c>
    </row>
    <row r="2408" spans="3:5" ht="75" x14ac:dyDescent="0.25">
      <c r="C2408" s="15">
        <v>192478</v>
      </c>
      <c r="D2408" s="4" t="s">
        <v>2412</v>
      </c>
      <c r="E2408" s="4" t="str">
        <f>HYPERLINK("https://app.crepc.sk/?fn=detailBiblioForm&amp;sid=76A044AA0B04CBA209CF10FD9A")</f>
        <v>https://app.crepc.sk/?fn=detailBiblioForm&amp;sid=76A044AA0B04CBA209CF10FD9A</v>
      </c>
    </row>
    <row r="2409" spans="3:5" ht="60" x14ac:dyDescent="0.25">
      <c r="C2409" s="15">
        <v>444857</v>
      </c>
      <c r="D2409" s="4" t="s">
        <v>2413</v>
      </c>
      <c r="E2409" s="4" t="str">
        <f>HYPERLINK("https://app.crepc.sk/?fn=detailBiblioForm&amp;sid=5637421EB0AAB541E7F6D97938")</f>
        <v>https://app.crepc.sk/?fn=detailBiblioForm&amp;sid=5637421EB0AAB541E7F6D97938</v>
      </c>
    </row>
    <row r="2410" spans="3:5" ht="60" x14ac:dyDescent="0.25">
      <c r="C2410" s="15">
        <v>162225</v>
      </c>
      <c r="D2410" s="4" t="s">
        <v>2414</v>
      </c>
      <c r="E2410" s="4" t="str">
        <f>HYPERLINK("https://app.crepc.sk/?fn=detailBiblioForm&amp;sid=064839694A055E9D1308D03241")</f>
        <v>https://app.crepc.sk/?fn=detailBiblioForm&amp;sid=064839694A055E9D1308D03241</v>
      </c>
    </row>
    <row r="2411" spans="3:5" ht="45" x14ac:dyDescent="0.25">
      <c r="C2411" s="15">
        <v>432436</v>
      </c>
      <c r="D2411" s="4" t="s">
        <v>2415</v>
      </c>
      <c r="E2411" s="4" t="str">
        <f>HYPERLINK("https://app.crepc.sk/?fn=detailBiblioForm&amp;sid=9C6DDAD5CC83289CB749CA964C")</f>
        <v>https://app.crepc.sk/?fn=detailBiblioForm&amp;sid=9C6DDAD5CC83289CB749CA964C</v>
      </c>
    </row>
    <row r="2412" spans="3:5" ht="60" x14ac:dyDescent="0.25">
      <c r="C2412" s="15">
        <v>253540</v>
      </c>
      <c r="D2412" s="4" t="s">
        <v>2416</v>
      </c>
      <c r="E2412" s="4" t="str">
        <f>HYPERLINK("https://app.crepc.sk/?fn=detailBiblioForm&amp;sid=CEF2DEE1832EFB79AEB86939C9")</f>
        <v>https://app.crepc.sk/?fn=detailBiblioForm&amp;sid=CEF2DEE1832EFB79AEB86939C9</v>
      </c>
    </row>
    <row r="2413" spans="3:5" ht="60" x14ac:dyDescent="0.25">
      <c r="C2413" s="15">
        <v>137316</v>
      </c>
      <c r="D2413" s="4" t="s">
        <v>2417</v>
      </c>
      <c r="E2413" s="4" t="str">
        <f>HYPERLINK("https://app.crepc.sk/?fn=detailBiblioForm&amp;sid=CD0F3DD308605F9675EF7B5CB6")</f>
        <v>https://app.crepc.sk/?fn=detailBiblioForm&amp;sid=CD0F3DD308605F9675EF7B5CB6</v>
      </c>
    </row>
    <row r="2414" spans="3:5" ht="45" x14ac:dyDescent="0.25">
      <c r="C2414" s="15">
        <v>180305</v>
      </c>
      <c r="D2414" s="4" t="s">
        <v>2418</v>
      </c>
      <c r="E2414" s="4" t="str">
        <f>HYPERLINK("https://app.crepc.sk/?fn=detailBiblioForm&amp;sid=F3B65402F5078FA71D21679E21")</f>
        <v>https://app.crepc.sk/?fn=detailBiblioForm&amp;sid=F3B65402F5078FA71D21679E21</v>
      </c>
    </row>
    <row r="2415" spans="3:5" ht="45" x14ac:dyDescent="0.25">
      <c r="C2415" s="15">
        <v>55962</v>
      </c>
      <c r="D2415" s="4" t="s">
        <v>2419</v>
      </c>
      <c r="E2415" s="4" t="str">
        <f>HYPERLINK("https://app.crepc.sk/?fn=detailBiblioForm&amp;sid=172A04CD1984768027E1C707")</f>
        <v>https://app.crepc.sk/?fn=detailBiblioForm&amp;sid=172A04CD1984768027E1C707</v>
      </c>
    </row>
    <row r="2416" spans="3:5" ht="60" x14ac:dyDescent="0.25">
      <c r="C2416" s="15">
        <v>127846</v>
      </c>
      <c r="D2416" s="4" t="s">
        <v>2420</v>
      </c>
      <c r="E2416" s="4" t="str">
        <f>HYPERLINK("https://app.crepc.sk/?fn=detailBiblioForm&amp;sid=9359D1AC2B33EC8F6B8391CA15")</f>
        <v>https://app.crepc.sk/?fn=detailBiblioForm&amp;sid=9359D1AC2B33EC8F6B8391CA15</v>
      </c>
    </row>
    <row r="2417" spans="3:5" ht="75" x14ac:dyDescent="0.25">
      <c r="C2417" s="15">
        <v>254209</v>
      </c>
      <c r="D2417" s="4" t="s">
        <v>2421</v>
      </c>
      <c r="E2417" s="4" t="str">
        <f>HYPERLINK("https://app.crepc.sk/?fn=detailBiblioForm&amp;sid=E9679CAB9090E665C0C0B48272")</f>
        <v>https://app.crepc.sk/?fn=detailBiblioForm&amp;sid=E9679CAB9090E665C0C0B48272</v>
      </c>
    </row>
    <row r="2418" spans="3:5" ht="45" x14ac:dyDescent="0.25">
      <c r="C2418" s="15">
        <v>421716</v>
      </c>
      <c r="D2418" s="4" t="s">
        <v>2422</v>
      </c>
      <c r="E2418" s="4" t="str">
        <f>HYPERLINK("https://app.crepc.sk/?fn=detailBiblioForm&amp;sid=6818999F04FDBFDCF75994F8E3")</f>
        <v>https://app.crepc.sk/?fn=detailBiblioForm&amp;sid=6818999F04FDBFDCF75994F8E3</v>
      </c>
    </row>
    <row r="2419" spans="3:5" ht="60" x14ac:dyDescent="0.25">
      <c r="C2419" s="15">
        <v>208801</v>
      </c>
      <c r="D2419" s="4" t="s">
        <v>2423</v>
      </c>
      <c r="E2419" s="4" t="str">
        <f>HYPERLINK("https://app.crepc.sk/?fn=detailBiblioForm&amp;sid=8709A00DECECE1CBA04745B0F2")</f>
        <v>https://app.crepc.sk/?fn=detailBiblioForm&amp;sid=8709A00DECECE1CBA04745B0F2</v>
      </c>
    </row>
    <row r="2420" spans="3:5" ht="45" x14ac:dyDescent="0.25">
      <c r="C2420" s="15">
        <v>250398</v>
      </c>
      <c r="D2420" s="4" t="s">
        <v>2424</v>
      </c>
      <c r="E2420" s="4" t="str">
        <f>HYPERLINK("https://app.crepc.sk/?fn=detailBiblioForm&amp;sid=86F3815C0D92DEDABF287E3C7A")</f>
        <v>https://app.crepc.sk/?fn=detailBiblioForm&amp;sid=86F3815C0D92DEDABF287E3C7A</v>
      </c>
    </row>
    <row r="2421" spans="3:5" ht="60" x14ac:dyDescent="0.25">
      <c r="C2421" s="15">
        <v>414842</v>
      </c>
      <c r="D2421" s="4" t="s">
        <v>2425</v>
      </c>
      <c r="E2421" s="4" t="str">
        <f>HYPERLINK("https://app.crepc.sk/?fn=detailBiblioForm&amp;sid=AC8D3350B73BAD6B5D609603B1")</f>
        <v>https://app.crepc.sk/?fn=detailBiblioForm&amp;sid=AC8D3350B73BAD6B5D609603B1</v>
      </c>
    </row>
    <row r="2422" spans="3:5" ht="45" x14ac:dyDescent="0.25">
      <c r="C2422" s="15">
        <v>186601</v>
      </c>
      <c r="D2422" s="4" t="s">
        <v>2426</v>
      </c>
      <c r="E2422" s="4" t="str">
        <f>HYPERLINK("https://app.crepc.sk/?fn=detailBiblioForm&amp;sid=226A7A544DA3649F6F5152FFEC")</f>
        <v>https://app.crepc.sk/?fn=detailBiblioForm&amp;sid=226A7A544DA3649F6F5152FFEC</v>
      </c>
    </row>
    <row r="2423" spans="3:5" ht="45" x14ac:dyDescent="0.25">
      <c r="C2423" s="15">
        <v>252880</v>
      </c>
      <c r="D2423" s="4" t="s">
        <v>2427</v>
      </c>
      <c r="E2423" s="4" t="str">
        <f>HYPERLINK("https://app.crepc.sk/?fn=detailBiblioForm&amp;sid=3B4FE26A2D4F4524B85A2F930C")</f>
        <v>https://app.crepc.sk/?fn=detailBiblioForm&amp;sid=3B4FE26A2D4F4524B85A2F930C</v>
      </c>
    </row>
    <row r="2424" spans="3:5" ht="45" x14ac:dyDescent="0.25">
      <c r="C2424" s="15">
        <v>161405</v>
      </c>
      <c r="D2424" s="4" t="s">
        <v>2428</v>
      </c>
      <c r="E2424" s="4" t="str">
        <f>HYPERLINK("https://app.crepc.sk/?fn=detailBiblioForm&amp;sid=72994EA9AD52E4DE4B9321105F")</f>
        <v>https://app.crepc.sk/?fn=detailBiblioForm&amp;sid=72994EA9AD52E4DE4B9321105F</v>
      </c>
    </row>
    <row r="2425" spans="3:5" ht="45" x14ac:dyDescent="0.25">
      <c r="C2425" s="15">
        <v>255722</v>
      </c>
      <c r="D2425" s="4" t="s">
        <v>2429</v>
      </c>
      <c r="E2425" s="4" t="str">
        <f>HYPERLINK("https://app.crepc.sk/?fn=detailBiblioForm&amp;sid=918F0144324B7C45708371E1CF")</f>
        <v>https://app.crepc.sk/?fn=detailBiblioForm&amp;sid=918F0144324B7C45708371E1CF</v>
      </c>
    </row>
    <row r="2426" spans="3:5" ht="60" x14ac:dyDescent="0.25">
      <c r="C2426" s="15">
        <v>91783</v>
      </c>
      <c r="D2426" s="4" t="s">
        <v>2430</v>
      </c>
      <c r="E2426" s="4" t="str">
        <f>HYPERLINK("https://app.crepc.sk/?fn=detailBiblioForm&amp;sid=600E4A910C7ECFB29B753DA3")</f>
        <v>https://app.crepc.sk/?fn=detailBiblioForm&amp;sid=600E4A910C7ECFB29B753DA3</v>
      </c>
    </row>
    <row r="2427" spans="3:5" ht="60" x14ac:dyDescent="0.25">
      <c r="C2427" s="15">
        <v>424604</v>
      </c>
      <c r="D2427" s="4" t="s">
        <v>2431</v>
      </c>
      <c r="E2427" s="4" t="str">
        <f>HYPERLINK("https://app.crepc.sk/?fn=detailBiblioForm&amp;sid=CC1B3F91A32071DE49D0F9FB02")</f>
        <v>https://app.crepc.sk/?fn=detailBiblioForm&amp;sid=CC1B3F91A32071DE49D0F9FB02</v>
      </c>
    </row>
    <row r="2428" spans="3:5" ht="60" x14ac:dyDescent="0.25">
      <c r="C2428" s="15">
        <v>75086</v>
      </c>
      <c r="D2428" s="4" t="s">
        <v>2432</v>
      </c>
      <c r="E2428" s="4" t="str">
        <f>HYPERLINK("https://app.crepc.sk/?fn=detailBiblioForm&amp;sid=CF26533969AC8982525A3B9B")</f>
        <v>https://app.crepc.sk/?fn=detailBiblioForm&amp;sid=CF26533969AC8982525A3B9B</v>
      </c>
    </row>
    <row r="2429" spans="3:5" ht="45" x14ac:dyDescent="0.25">
      <c r="C2429" s="15">
        <v>202248</v>
      </c>
      <c r="D2429" s="4" t="s">
        <v>2433</v>
      </c>
      <c r="E2429" s="4" t="str">
        <f>HYPERLINK("https://app.crepc.sk/?fn=detailBiblioForm&amp;sid=328A0EA2F0FAB7AE806093E35A")</f>
        <v>https://app.crepc.sk/?fn=detailBiblioForm&amp;sid=328A0EA2F0FAB7AE806093E35A</v>
      </c>
    </row>
    <row r="2430" spans="3:5" ht="60" x14ac:dyDescent="0.25">
      <c r="C2430" s="15">
        <v>115633</v>
      </c>
      <c r="D2430" s="4" t="s">
        <v>2434</v>
      </c>
      <c r="E2430" s="4" t="str">
        <f>HYPERLINK("https://app.crepc.sk/?fn=detailBiblioForm&amp;sid=8B887CD3FF777E5057B77BD084")</f>
        <v>https://app.crepc.sk/?fn=detailBiblioForm&amp;sid=8B887CD3FF777E5057B77BD084</v>
      </c>
    </row>
    <row r="2431" spans="3:5" ht="45" x14ac:dyDescent="0.25">
      <c r="C2431" s="15">
        <v>122795</v>
      </c>
      <c r="D2431" s="4" t="s">
        <v>2435</v>
      </c>
      <c r="E2431" s="4" t="str">
        <f>HYPERLINK("https://app.crepc.sk/?fn=detailBiblioForm&amp;sid=A5B40B0321D8B57907DD09F729")</f>
        <v>https://app.crepc.sk/?fn=detailBiblioForm&amp;sid=A5B40B0321D8B57907DD09F729</v>
      </c>
    </row>
    <row r="2432" spans="3:5" ht="45" x14ac:dyDescent="0.25">
      <c r="C2432" s="15">
        <v>447823</v>
      </c>
      <c r="D2432" s="4" t="s">
        <v>2436</v>
      </c>
      <c r="E2432" s="4" t="str">
        <f>HYPERLINK("https://app.crepc.sk/?fn=detailBiblioForm&amp;sid=56FF4D71ECEF5E390E558902C6")</f>
        <v>https://app.crepc.sk/?fn=detailBiblioForm&amp;sid=56FF4D71ECEF5E390E558902C6</v>
      </c>
    </row>
    <row r="2433" spans="3:5" ht="45" x14ac:dyDescent="0.25">
      <c r="C2433" s="15">
        <v>155381</v>
      </c>
      <c r="D2433" s="4" t="s">
        <v>2437</v>
      </c>
      <c r="E2433" s="4" t="str">
        <f>HYPERLINK("https://app.crepc.sk/?fn=detailBiblioForm&amp;sid=78AFF12394AFE35F82171C8992")</f>
        <v>https://app.crepc.sk/?fn=detailBiblioForm&amp;sid=78AFF12394AFE35F82171C8992</v>
      </c>
    </row>
    <row r="2434" spans="3:5" ht="45" x14ac:dyDescent="0.25">
      <c r="C2434" s="15">
        <v>88128</v>
      </c>
      <c r="D2434" s="4" t="s">
        <v>2438</v>
      </c>
      <c r="E2434" s="4" t="str">
        <f>HYPERLINK("https://app.crepc.sk/?fn=detailBiblioForm&amp;sid=DD5B4FAFE9EF6A8005D30004")</f>
        <v>https://app.crepc.sk/?fn=detailBiblioForm&amp;sid=DD5B4FAFE9EF6A8005D30004</v>
      </c>
    </row>
    <row r="2435" spans="3:5" ht="45" x14ac:dyDescent="0.25">
      <c r="C2435" s="15">
        <v>178370</v>
      </c>
      <c r="D2435" s="4" t="s">
        <v>2439</v>
      </c>
      <c r="E2435" s="4" t="str">
        <f>HYPERLINK("https://app.crepc.sk/?fn=detailBiblioForm&amp;sid=A5BC586C45F519526FE445B98C")</f>
        <v>https://app.crepc.sk/?fn=detailBiblioForm&amp;sid=A5BC586C45F519526FE445B98C</v>
      </c>
    </row>
    <row r="2436" spans="3:5" ht="75" x14ac:dyDescent="0.25">
      <c r="C2436" s="15">
        <v>249470</v>
      </c>
      <c r="D2436" s="4" t="s">
        <v>2440</v>
      </c>
      <c r="E2436" s="4" t="str">
        <f>HYPERLINK("https://app.crepc.sk/?fn=detailBiblioForm&amp;sid=037E11C9AF649CE32472EDE160")</f>
        <v>https://app.crepc.sk/?fn=detailBiblioForm&amp;sid=037E11C9AF649CE32472EDE160</v>
      </c>
    </row>
    <row r="2437" spans="3:5" ht="60" x14ac:dyDescent="0.25">
      <c r="C2437" s="15">
        <v>198959</v>
      </c>
      <c r="D2437" s="4" t="s">
        <v>2441</v>
      </c>
      <c r="E2437" s="4" t="str">
        <f>HYPERLINK("https://app.crepc.sk/?fn=detailBiblioForm&amp;sid=72F616B01DF8DEC04B4DA0C4CB")</f>
        <v>https://app.crepc.sk/?fn=detailBiblioForm&amp;sid=72F616B01DF8DEC04B4DA0C4CB</v>
      </c>
    </row>
    <row r="2438" spans="3:5" ht="45" x14ac:dyDescent="0.25">
      <c r="C2438" s="15">
        <v>172545</v>
      </c>
      <c r="D2438" s="4" t="s">
        <v>2442</v>
      </c>
      <c r="E2438" s="4" t="str">
        <f>HYPERLINK("https://app.crepc.sk/?fn=detailBiblioForm&amp;sid=C15045651E1CB51B04E4221423")</f>
        <v>https://app.crepc.sk/?fn=detailBiblioForm&amp;sid=C15045651E1CB51B04E4221423</v>
      </c>
    </row>
    <row r="2439" spans="3:5" ht="45" x14ac:dyDescent="0.25">
      <c r="C2439" s="15">
        <v>186597</v>
      </c>
      <c r="D2439" s="4" t="s">
        <v>2443</v>
      </c>
      <c r="E2439" s="4" t="str">
        <f>HYPERLINK("https://app.crepc.sk/?fn=detailBiblioForm&amp;sid=BBB70232DB8D19E5FE22D4CAE9")</f>
        <v>https://app.crepc.sk/?fn=detailBiblioForm&amp;sid=BBB70232DB8D19E5FE22D4CAE9</v>
      </c>
    </row>
    <row r="2440" spans="3:5" ht="60" x14ac:dyDescent="0.25">
      <c r="C2440" s="15">
        <v>134900</v>
      </c>
      <c r="D2440" s="4" t="s">
        <v>2444</v>
      </c>
      <c r="E2440" s="4" t="str">
        <f>HYPERLINK("https://app.crepc.sk/?fn=detailBiblioForm&amp;sid=82386B00AE44A4A3DDB470D12D")</f>
        <v>https://app.crepc.sk/?fn=detailBiblioForm&amp;sid=82386B00AE44A4A3DDB470D12D</v>
      </c>
    </row>
    <row r="2441" spans="3:5" ht="60" x14ac:dyDescent="0.25">
      <c r="C2441" s="15">
        <v>133554</v>
      </c>
      <c r="D2441" s="4" t="s">
        <v>2445</v>
      </c>
      <c r="E2441" s="4" t="str">
        <f>HYPERLINK("https://app.crepc.sk/?fn=detailBiblioForm&amp;sid=4A57AF3C5B51A495BF05254F65")</f>
        <v>https://app.crepc.sk/?fn=detailBiblioForm&amp;sid=4A57AF3C5B51A495BF05254F65</v>
      </c>
    </row>
    <row r="2442" spans="3:5" ht="75" x14ac:dyDescent="0.25">
      <c r="C2442" s="15">
        <v>205516</v>
      </c>
      <c r="D2442" s="4" t="s">
        <v>2446</v>
      </c>
      <c r="E2442" s="4" t="str">
        <f>HYPERLINK("https://app.crepc.sk/?fn=detailBiblioForm&amp;sid=1B1E3C1E1F334B1A4307FA7123")</f>
        <v>https://app.crepc.sk/?fn=detailBiblioForm&amp;sid=1B1E3C1E1F334B1A4307FA7123</v>
      </c>
    </row>
    <row r="2443" spans="3:5" ht="60" x14ac:dyDescent="0.25">
      <c r="C2443" s="15">
        <v>154975</v>
      </c>
      <c r="D2443" s="4" t="s">
        <v>2447</v>
      </c>
      <c r="E2443" s="4" t="str">
        <f>HYPERLINK("https://app.crepc.sk/?fn=detailBiblioForm&amp;sid=8DF0640F98642636B046F6576C")</f>
        <v>https://app.crepc.sk/?fn=detailBiblioForm&amp;sid=8DF0640F98642636B046F6576C</v>
      </c>
    </row>
    <row r="2444" spans="3:5" ht="60" x14ac:dyDescent="0.25">
      <c r="C2444" s="15">
        <v>131749</v>
      </c>
      <c r="D2444" s="4" t="s">
        <v>2448</v>
      </c>
      <c r="E2444" s="4" t="str">
        <f>HYPERLINK("https://app.crepc.sk/?fn=detailBiblioForm&amp;sid=25EF2F987A3BF400FE44E7722F")</f>
        <v>https://app.crepc.sk/?fn=detailBiblioForm&amp;sid=25EF2F987A3BF400FE44E7722F</v>
      </c>
    </row>
    <row r="2445" spans="3:5" ht="45" x14ac:dyDescent="0.25">
      <c r="C2445" s="15">
        <v>117762</v>
      </c>
      <c r="D2445" s="4" t="s">
        <v>2449</v>
      </c>
      <c r="E2445" s="4" t="str">
        <f>HYPERLINK("https://app.crepc.sk/?fn=detailBiblioForm&amp;sid=8232CE64E2D3AEDD05DB584CA5")</f>
        <v>https://app.crepc.sk/?fn=detailBiblioForm&amp;sid=8232CE64E2D3AEDD05DB584CA5</v>
      </c>
    </row>
    <row r="2446" spans="3:5" ht="60" x14ac:dyDescent="0.25">
      <c r="C2446" s="15">
        <v>164734</v>
      </c>
      <c r="D2446" s="4" t="s">
        <v>2450</v>
      </c>
      <c r="E2446" s="4" t="str">
        <f>HYPERLINK("https://app.crepc.sk/?fn=detailBiblioForm&amp;sid=FD93F7145DB9686269D25BF9A8")</f>
        <v>https://app.crepc.sk/?fn=detailBiblioForm&amp;sid=FD93F7145DB9686269D25BF9A8</v>
      </c>
    </row>
    <row r="2447" spans="3:5" ht="60" x14ac:dyDescent="0.25">
      <c r="C2447" s="15">
        <v>220882</v>
      </c>
      <c r="D2447" s="4" t="s">
        <v>2451</v>
      </c>
      <c r="E2447" s="4" t="str">
        <f>HYPERLINK("https://app.crepc.sk/?fn=detailBiblioForm&amp;sid=65B9C3CD633D1B0ACD3529A2AC")</f>
        <v>https://app.crepc.sk/?fn=detailBiblioForm&amp;sid=65B9C3CD633D1B0ACD3529A2AC</v>
      </c>
    </row>
    <row r="2448" spans="3:5" ht="75" x14ac:dyDescent="0.25">
      <c r="C2448" s="15">
        <v>109914</v>
      </c>
      <c r="D2448" s="4" t="s">
        <v>2452</v>
      </c>
      <c r="E2448" s="4" t="str">
        <f>HYPERLINK("https://app.crepc.sk/?fn=detailBiblioForm&amp;sid=21CAA6D6BE29B1FCCA10534CAD")</f>
        <v>https://app.crepc.sk/?fn=detailBiblioForm&amp;sid=21CAA6D6BE29B1FCCA10534CAD</v>
      </c>
    </row>
    <row r="2449" spans="3:5" ht="90" x14ac:dyDescent="0.25">
      <c r="C2449" s="15">
        <v>234089</v>
      </c>
      <c r="D2449" s="4" t="s">
        <v>2453</v>
      </c>
      <c r="E2449" s="4" t="str">
        <f>HYPERLINK("https://app.crepc.sk/?fn=detailBiblioForm&amp;sid=5D1E02039DFFCDD1E929212CFA")</f>
        <v>https://app.crepc.sk/?fn=detailBiblioForm&amp;sid=5D1E02039DFFCDD1E929212CFA</v>
      </c>
    </row>
    <row r="2450" spans="3:5" ht="45" x14ac:dyDescent="0.25">
      <c r="C2450" s="15">
        <v>218482</v>
      </c>
      <c r="D2450" s="4" t="s">
        <v>2454</v>
      </c>
      <c r="E2450" s="4" t="str">
        <f>HYPERLINK("https://app.crepc.sk/?fn=detailBiblioForm&amp;sid=BFE5C12B22C0C935C2E83853B1")</f>
        <v>https://app.crepc.sk/?fn=detailBiblioForm&amp;sid=BFE5C12B22C0C935C2E83853B1</v>
      </c>
    </row>
    <row r="2451" spans="3:5" ht="60" x14ac:dyDescent="0.25">
      <c r="C2451" s="15">
        <v>182113</v>
      </c>
      <c r="D2451" s="4" t="s">
        <v>2455</v>
      </c>
      <c r="E2451" s="4" t="str">
        <f>HYPERLINK("https://app.crepc.sk/?fn=detailBiblioForm&amp;sid=9A7D98113A4E7D6F01AD1FB6F1")</f>
        <v>https://app.crepc.sk/?fn=detailBiblioForm&amp;sid=9A7D98113A4E7D6F01AD1FB6F1</v>
      </c>
    </row>
    <row r="2452" spans="3:5" ht="75" x14ac:dyDescent="0.25">
      <c r="C2452" s="15">
        <v>64934</v>
      </c>
      <c r="D2452" s="4" t="s">
        <v>2456</v>
      </c>
      <c r="E2452" s="4" t="str">
        <f>HYPERLINK("https://app.crepc.sk/?fn=detailBiblioForm&amp;sid=35D309216F5400A3B76533D7")</f>
        <v>https://app.crepc.sk/?fn=detailBiblioForm&amp;sid=35D309216F5400A3B76533D7</v>
      </c>
    </row>
    <row r="2453" spans="3:5" ht="45" x14ac:dyDescent="0.25">
      <c r="C2453" s="15">
        <v>434844</v>
      </c>
      <c r="D2453" s="4" t="s">
        <v>2457</v>
      </c>
      <c r="E2453" s="4" t="str">
        <f>HYPERLINK("https://app.crepc.sk/?fn=detailBiblioForm&amp;sid=D5F2004AA41892611CC83B7DED")</f>
        <v>https://app.crepc.sk/?fn=detailBiblioForm&amp;sid=D5F2004AA41892611CC83B7DED</v>
      </c>
    </row>
    <row r="2454" spans="3:5" ht="60" x14ac:dyDescent="0.25">
      <c r="C2454" s="15">
        <v>97939</v>
      </c>
      <c r="D2454" s="4" t="s">
        <v>2458</v>
      </c>
      <c r="E2454" s="4" t="str">
        <f>HYPERLINK("https://app.crepc.sk/?fn=detailBiblioForm&amp;sid=918022A305B8EA8719CC3512")</f>
        <v>https://app.crepc.sk/?fn=detailBiblioForm&amp;sid=918022A305B8EA8719CC3512</v>
      </c>
    </row>
    <row r="2455" spans="3:5" ht="45" x14ac:dyDescent="0.25">
      <c r="C2455" s="15">
        <v>123211</v>
      </c>
      <c r="D2455" s="4" t="s">
        <v>2459</v>
      </c>
      <c r="E2455" s="4" t="str">
        <f>HYPERLINK("https://app.crepc.sk/?fn=detailBiblioForm&amp;sid=84A6561E00D8E3617D2AA633F8")</f>
        <v>https://app.crepc.sk/?fn=detailBiblioForm&amp;sid=84A6561E00D8E3617D2AA633F8</v>
      </c>
    </row>
    <row r="2456" spans="3:5" ht="60" x14ac:dyDescent="0.25">
      <c r="C2456" s="15">
        <v>181496</v>
      </c>
      <c r="D2456" s="4" t="s">
        <v>2460</v>
      </c>
      <c r="E2456" s="4" t="str">
        <f>HYPERLINK("https://app.crepc.sk/?fn=detailBiblioForm&amp;sid=0CD22148AAB768F4995B1D9366")</f>
        <v>https://app.crepc.sk/?fn=detailBiblioForm&amp;sid=0CD22148AAB768F4995B1D9366</v>
      </c>
    </row>
    <row r="2457" spans="3:5" ht="75" x14ac:dyDescent="0.25">
      <c r="C2457" s="15">
        <v>245881</v>
      </c>
      <c r="D2457" s="4" t="s">
        <v>2461</v>
      </c>
      <c r="E2457" s="4" t="str">
        <f>HYPERLINK("https://app.crepc.sk/?fn=detailBiblioForm&amp;sid=FF3357D80F79F717D2E5E41814")</f>
        <v>https://app.crepc.sk/?fn=detailBiblioForm&amp;sid=FF3357D80F79F717D2E5E41814</v>
      </c>
    </row>
    <row r="2458" spans="3:5" ht="45" x14ac:dyDescent="0.25">
      <c r="C2458" s="15">
        <v>431831</v>
      </c>
      <c r="D2458" s="4" t="s">
        <v>2462</v>
      </c>
      <c r="E2458" s="4" t="str">
        <f>HYPERLINK("https://app.crepc.sk/?fn=detailBiblioForm&amp;sid=3DE6CF9C5F52DC5A469362B88A")</f>
        <v>https://app.crepc.sk/?fn=detailBiblioForm&amp;sid=3DE6CF9C5F52DC5A469362B88A</v>
      </c>
    </row>
    <row r="2459" spans="3:5" ht="45" x14ac:dyDescent="0.25">
      <c r="C2459" s="15">
        <v>443290</v>
      </c>
      <c r="D2459" s="4" t="s">
        <v>2463</v>
      </c>
      <c r="E2459" s="4" t="str">
        <f>HYPERLINK("https://app.crepc.sk/?fn=detailBiblioForm&amp;sid=05DFDDD0691F0F032D75107290")</f>
        <v>https://app.crepc.sk/?fn=detailBiblioForm&amp;sid=05DFDDD0691F0F032D75107290</v>
      </c>
    </row>
    <row r="2460" spans="3:5" ht="60" x14ac:dyDescent="0.25">
      <c r="C2460" s="15">
        <v>161385</v>
      </c>
      <c r="D2460" s="4" t="s">
        <v>2464</v>
      </c>
      <c r="E2460" s="4" t="str">
        <f>HYPERLINK("https://app.crepc.sk/?fn=detailBiblioForm&amp;sid=F8FE310152E9D1F1E0102E57ED")</f>
        <v>https://app.crepc.sk/?fn=detailBiblioForm&amp;sid=F8FE310152E9D1F1E0102E57ED</v>
      </c>
    </row>
    <row r="2461" spans="3:5" ht="60" x14ac:dyDescent="0.25">
      <c r="C2461" s="15">
        <v>95624</v>
      </c>
      <c r="D2461" s="4" t="s">
        <v>2465</v>
      </c>
      <c r="E2461" s="4" t="str">
        <f>HYPERLINK("https://app.crepc.sk/?fn=detailBiblioForm&amp;sid=D33116C2DCD9F56BD230353E")</f>
        <v>https://app.crepc.sk/?fn=detailBiblioForm&amp;sid=D33116C2DCD9F56BD230353E</v>
      </c>
    </row>
    <row r="2462" spans="3:5" ht="60" x14ac:dyDescent="0.25">
      <c r="C2462" s="15">
        <v>433199</v>
      </c>
      <c r="D2462" s="4" t="s">
        <v>2466</v>
      </c>
      <c r="E2462" s="4" t="str">
        <f>HYPERLINK("https://app.crepc.sk/?fn=detailBiblioForm&amp;sid=28C56CAFAA5BCDC139DC6996D0")</f>
        <v>https://app.crepc.sk/?fn=detailBiblioForm&amp;sid=28C56CAFAA5BCDC139DC6996D0</v>
      </c>
    </row>
    <row r="2463" spans="3:5" ht="60" x14ac:dyDescent="0.25">
      <c r="C2463" s="15">
        <v>216963</v>
      </c>
      <c r="D2463" s="4" t="s">
        <v>2467</v>
      </c>
      <c r="E2463" s="4" t="str">
        <f>HYPERLINK("https://app.crepc.sk/?fn=detailBiblioForm&amp;sid=796AEDFF3F2608F5F4D19371A7")</f>
        <v>https://app.crepc.sk/?fn=detailBiblioForm&amp;sid=796AEDFF3F2608F5F4D19371A7</v>
      </c>
    </row>
    <row r="2464" spans="3:5" ht="60" x14ac:dyDescent="0.25">
      <c r="C2464" s="15">
        <v>102303</v>
      </c>
      <c r="D2464" s="4" t="s">
        <v>2468</v>
      </c>
      <c r="E2464" s="4" t="str">
        <f>HYPERLINK("https://app.crepc.sk/?fn=detailBiblioForm&amp;sid=91C5C15D9B8962214DC3063C29")</f>
        <v>https://app.crepc.sk/?fn=detailBiblioForm&amp;sid=91C5C15D9B8962214DC3063C29</v>
      </c>
    </row>
    <row r="2465" spans="3:5" ht="60" x14ac:dyDescent="0.25">
      <c r="C2465" s="15">
        <v>196564</v>
      </c>
      <c r="D2465" s="4" t="s">
        <v>2469</v>
      </c>
      <c r="E2465" s="4" t="str">
        <f>HYPERLINK("https://app.crepc.sk/?fn=detailBiblioForm&amp;sid=D843D49F92241BBFE8301A5B09")</f>
        <v>https://app.crepc.sk/?fn=detailBiblioForm&amp;sid=D843D49F92241BBFE8301A5B09</v>
      </c>
    </row>
    <row r="2466" spans="3:5" ht="45" x14ac:dyDescent="0.25">
      <c r="C2466" s="15">
        <v>448001</v>
      </c>
      <c r="D2466" s="4" t="s">
        <v>2470</v>
      </c>
      <c r="E2466" s="4" t="str">
        <f>HYPERLINK("https://app.crepc.sk/?fn=detailBiblioForm&amp;sid=C456FEA07AAA4EFBD4E94E7345")</f>
        <v>https://app.crepc.sk/?fn=detailBiblioForm&amp;sid=C456FEA07AAA4EFBD4E94E7345</v>
      </c>
    </row>
    <row r="2467" spans="3:5" ht="60" x14ac:dyDescent="0.25">
      <c r="C2467" s="15">
        <v>437758</v>
      </c>
      <c r="D2467" s="4" t="s">
        <v>2471</v>
      </c>
      <c r="E2467" s="4" t="str">
        <f>HYPERLINK("https://app.crepc.sk/?fn=detailBiblioForm&amp;sid=16B3066BF778562A6A1B4F7EEC")</f>
        <v>https://app.crepc.sk/?fn=detailBiblioForm&amp;sid=16B3066BF778562A6A1B4F7EEC</v>
      </c>
    </row>
    <row r="2468" spans="3:5" ht="60" x14ac:dyDescent="0.25">
      <c r="C2468" s="15">
        <v>119872</v>
      </c>
      <c r="D2468" s="4" t="s">
        <v>2472</v>
      </c>
      <c r="E2468" s="4" t="str">
        <f>HYPERLINK("https://app.crepc.sk/?fn=detailBiblioForm&amp;sid=ED186B153EF2F632FC4C723008")</f>
        <v>https://app.crepc.sk/?fn=detailBiblioForm&amp;sid=ED186B153EF2F632FC4C723008</v>
      </c>
    </row>
    <row r="2469" spans="3:5" ht="45" x14ac:dyDescent="0.25">
      <c r="C2469" s="15">
        <v>125436</v>
      </c>
      <c r="D2469" s="4" t="s">
        <v>2473</v>
      </c>
      <c r="E2469" s="4" t="str">
        <f>HYPERLINK("https://app.crepc.sk/?fn=detailBiblioForm&amp;sid=F2C5C64D9C64B04EA6792133DE")</f>
        <v>https://app.crepc.sk/?fn=detailBiblioForm&amp;sid=F2C5C64D9C64B04EA6792133DE</v>
      </c>
    </row>
    <row r="2470" spans="3:5" ht="45" x14ac:dyDescent="0.25">
      <c r="C2470" s="15">
        <v>198281</v>
      </c>
      <c r="D2470" s="4" t="s">
        <v>2474</v>
      </c>
      <c r="E2470" s="4" t="str">
        <f>HYPERLINK("https://app.crepc.sk/?fn=detailBiblioForm&amp;sid=5D87752206D8162BC0B1B09268")</f>
        <v>https://app.crepc.sk/?fn=detailBiblioForm&amp;sid=5D87752206D8162BC0B1B09268</v>
      </c>
    </row>
    <row r="2471" spans="3:5" ht="75" x14ac:dyDescent="0.25">
      <c r="C2471" s="15">
        <v>54459</v>
      </c>
      <c r="D2471" s="4" t="s">
        <v>2475</v>
      </c>
      <c r="E2471" s="4" t="str">
        <f>HYPERLINK("https://app.crepc.sk/?fn=detailBiblioForm&amp;sid=F8FC97925FF36C751C1FF66E")</f>
        <v>https://app.crepc.sk/?fn=detailBiblioForm&amp;sid=F8FC97925FF36C751C1FF66E</v>
      </c>
    </row>
    <row r="2472" spans="3:5" ht="75" x14ac:dyDescent="0.25">
      <c r="C2472" s="15">
        <v>253795</v>
      </c>
      <c r="D2472" s="4" t="s">
        <v>2476</v>
      </c>
      <c r="E2472" s="4" t="str">
        <f>HYPERLINK("https://app.crepc.sk/?fn=detailBiblioForm&amp;sid=39B3F1A9CB8F598F7D3E2CDD7C")</f>
        <v>https://app.crepc.sk/?fn=detailBiblioForm&amp;sid=39B3F1A9CB8F598F7D3E2CDD7C</v>
      </c>
    </row>
    <row r="2473" spans="3:5" ht="45" x14ac:dyDescent="0.25">
      <c r="C2473" s="15">
        <v>445880</v>
      </c>
      <c r="D2473" s="4" t="s">
        <v>2477</v>
      </c>
      <c r="E2473" s="4" t="str">
        <f>HYPERLINK("https://app.crepc.sk/?fn=detailBiblioForm&amp;sid=DEAAD5F98658C8900F3213DA4E")</f>
        <v>https://app.crepc.sk/?fn=detailBiblioForm&amp;sid=DEAAD5F98658C8900F3213DA4E</v>
      </c>
    </row>
    <row r="2474" spans="3:5" ht="60" x14ac:dyDescent="0.25">
      <c r="C2474" s="15">
        <v>75922</v>
      </c>
      <c r="D2474" s="4" t="s">
        <v>2478</v>
      </c>
      <c r="E2474" s="4" t="str">
        <f>HYPERLINK("https://app.crepc.sk/?fn=detailBiblioForm&amp;sid=03F0303514EF5CAEDFD064AC")</f>
        <v>https://app.crepc.sk/?fn=detailBiblioForm&amp;sid=03F0303514EF5CAEDFD064AC</v>
      </c>
    </row>
    <row r="2475" spans="3:5" ht="60" x14ac:dyDescent="0.25">
      <c r="C2475" s="15">
        <v>206811</v>
      </c>
      <c r="D2475" s="4" t="s">
        <v>2479</v>
      </c>
      <c r="E2475" s="4" t="str">
        <f>HYPERLINK("https://app.crepc.sk/?fn=detailBiblioForm&amp;sid=01F693E10B74071542B5413BCF")</f>
        <v>https://app.crepc.sk/?fn=detailBiblioForm&amp;sid=01F693E10B74071542B5413BCF</v>
      </c>
    </row>
    <row r="2476" spans="3:5" ht="60" x14ac:dyDescent="0.25">
      <c r="C2476" s="15">
        <v>206809</v>
      </c>
      <c r="D2476" s="4" t="s">
        <v>2480</v>
      </c>
      <c r="E2476" s="4" t="str">
        <f>HYPERLINK("https://app.crepc.sk/?fn=detailBiblioForm&amp;sid=01F693E10B74071543BD413BCF")</f>
        <v>https://app.crepc.sk/?fn=detailBiblioForm&amp;sid=01F693E10B74071543BD413BCF</v>
      </c>
    </row>
    <row r="2477" spans="3:5" ht="45" x14ac:dyDescent="0.25">
      <c r="C2477" s="15">
        <v>83382</v>
      </c>
      <c r="D2477" s="4" t="s">
        <v>2481</v>
      </c>
      <c r="E2477" s="4" t="str">
        <f>HYPERLINK("https://app.crepc.sk/?fn=detailBiblioForm&amp;sid=C589EC2D5793797CC3AB3D29")</f>
        <v>https://app.crepc.sk/?fn=detailBiblioForm&amp;sid=C589EC2D5793797CC3AB3D29</v>
      </c>
    </row>
    <row r="2478" spans="3:5" ht="60" x14ac:dyDescent="0.25">
      <c r="C2478" s="15">
        <v>180306</v>
      </c>
      <c r="D2478" s="4" t="s">
        <v>2482</v>
      </c>
      <c r="E2478" s="4" t="str">
        <f>HYPERLINK("https://app.crepc.sk/?fn=detailBiblioForm&amp;sid=F3B65402F5078FA71D22679E21")</f>
        <v>https://app.crepc.sk/?fn=detailBiblioForm&amp;sid=F3B65402F5078FA71D22679E21</v>
      </c>
    </row>
    <row r="2479" spans="3:5" ht="60" x14ac:dyDescent="0.25">
      <c r="C2479" s="15">
        <v>116483</v>
      </c>
      <c r="D2479" s="4" t="s">
        <v>2483</v>
      </c>
      <c r="E2479" s="4" t="str">
        <f>HYPERLINK("https://app.crepc.sk/?fn=detailBiblioForm&amp;sid=E2F93AEC495D93B32B43774800")</f>
        <v>https://app.crepc.sk/?fn=detailBiblioForm&amp;sid=E2F93AEC495D93B32B43774800</v>
      </c>
    </row>
    <row r="2480" spans="3:5" ht="60" x14ac:dyDescent="0.25">
      <c r="C2480" s="15">
        <v>128366</v>
      </c>
      <c r="D2480" s="4" t="s">
        <v>2484</v>
      </c>
      <c r="E2480" s="4" t="str">
        <f>HYPERLINK("https://app.crepc.sk/?fn=detailBiblioForm&amp;sid=74191DCBA790A6B781CA426AF5")</f>
        <v>https://app.crepc.sk/?fn=detailBiblioForm&amp;sid=74191DCBA790A6B781CA426AF5</v>
      </c>
    </row>
    <row r="2481" spans="3:5" ht="60" x14ac:dyDescent="0.25">
      <c r="C2481" s="15">
        <v>143274</v>
      </c>
      <c r="D2481" s="4" t="s">
        <v>2485</v>
      </c>
      <c r="E2481" s="4" t="str">
        <f>HYPERLINK("https://app.crepc.sk/?fn=detailBiblioForm&amp;sid=8AAE5857BF69342075B5E25F65")</f>
        <v>https://app.crepc.sk/?fn=detailBiblioForm&amp;sid=8AAE5857BF69342075B5E25F65</v>
      </c>
    </row>
    <row r="2482" spans="3:5" ht="45" x14ac:dyDescent="0.25">
      <c r="C2482" s="15">
        <v>212044</v>
      </c>
      <c r="D2482" s="4" t="s">
        <v>2486</v>
      </c>
      <c r="E2482" s="4" t="str">
        <f>HYPERLINK("https://app.crepc.sk/?fn=detailBiblioForm&amp;sid=3663676511429AA4E3B5A922D5")</f>
        <v>https://app.crepc.sk/?fn=detailBiblioForm&amp;sid=3663676511429AA4E3B5A922D5</v>
      </c>
    </row>
    <row r="2483" spans="3:5" ht="45" x14ac:dyDescent="0.25">
      <c r="C2483" s="15">
        <v>99313</v>
      </c>
      <c r="D2483" s="4" t="s">
        <v>2487</v>
      </c>
      <c r="E2483" s="4" t="str">
        <f>HYPERLINK("https://app.crepc.sk/?fn=detailBiblioForm&amp;sid=65F44F00D2D77E3B7B85706D")</f>
        <v>https://app.crepc.sk/?fn=detailBiblioForm&amp;sid=65F44F00D2D77E3B7B85706D</v>
      </c>
    </row>
    <row r="2484" spans="3:5" ht="45" x14ac:dyDescent="0.25">
      <c r="C2484" s="15">
        <v>418356</v>
      </c>
      <c r="D2484" s="4" t="s">
        <v>2488</v>
      </c>
      <c r="E2484" s="4" t="str">
        <f>HYPERLINK("https://app.crepc.sk/?fn=detailBiblioForm&amp;sid=00CAA88B7203ECA17EBD59EEAC")</f>
        <v>https://app.crepc.sk/?fn=detailBiblioForm&amp;sid=00CAA88B7203ECA17EBD59EEAC</v>
      </c>
    </row>
    <row r="2485" spans="3:5" ht="60" x14ac:dyDescent="0.25">
      <c r="C2485" s="15">
        <v>444848</v>
      </c>
      <c r="D2485" s="4" t="s">
        <v>2489</v>
      </c>
      <c r="E2485" s="4" t="str">
        <f>HYPERLINK("https://app.crepc.sk/?fn=detailBiblioForm&amp;sid=5637421EB0AAB541E6F9D97938")</f>
        <v>https://app.crepc.sk/?fn=detailBiblioForm&amp;sid=5637421EB0AAB541E6F9D97938</v>
      </c>
    </row>
    <row r="2486" spans="3:5" ht="45" x14ac:dyDescent="0.25">
      <c r="C2486" s="15">
        <v>183451</v>
      </c>
      <c r="D2486" s="4" t="s">
        <v>2490</v>
      </c>
      <c r="E2486" s="4" t="str">
        <f>HYPERLINK("https://app.crepc.sk/?fn=detailBiblioForm&amp;sid=14AB3A6774236FA24C91BF3B2C")</f>
        <v>https://app.crepc.sk/?fn=detailBiblioForm&amp;sid=14AB3A6774236FA24C91BF3B2C</v>
      </c>
    </row>
    <row r="2487" spans="3:5" ht="60" x14ac:dyDescent="0.25">
      <c r="C2487" s="15">
        <v>102677</v>
      </c>
      <c r="D2487" s="4" t="s">
        <v>2491</v>
      </c>
      <c r="E2487" s="4" t="str">
        <f>HYPERLINK("https://app.crepc.sk/?fn=detailBiblioForm&amp;sid=026BA8624594EFD38586659C87")</f>
        <v>https://app.crepc.sk/?fn=detailBiblioForm&amp;sid=026BA8624594EFD38586659C87</v>
      </c>
    </row>
    <row r="2488" spans="3:5" ht="45" x14ac:dyDescent="0.25">
      <c r="C2488" s="15">
        <v>82874</v>
      </c>
      <c r="D2488" s="4" t="s">
        <v>2492</v>
      </c>
      <c r="E2488" s="4" t="str">
        <f>HYPERLINK("https://app.crepc.sk/?fn=detailBiblioForm&amp;sid=1C71B429843F4C2CE227BBFE")</f>
        <v>https://app.crepc.sk/?fn=detailBiblioForm&amp;sid=1C71B429843F4C2CE227BBFE</v>
      </c>
    </row>
    <row r="2489" spans="3:5" ht="45" x14ac:dyDescent="0.25">
      <c r="C2489" s="15">
        <v>172544</v>
      </c>
      <c r="D2489" s="4" t="s">
        <v>2493</v>
      </c>
      <c r="E2489" s="4" t="str">
        <f>HYPERLINK("https://app.crepc.sk/?fn=detailBiblioForm&amp;sid=C15045651E1CB51B04E5221423")</f>
        <v>https://app.crepc.sk/?fn=detailBiblioForm&amp;sid=C15045651E1CB51B04E5221423</v>
      </c>
    </row>
    <row r="2490" spans="3:5" ht="45" x14ac:dyDescent="0.25">
      <c r="C2490" s="15">
        <v>95662</v>
      </c>
      <c r="D2490" s="4" t="s">
        <v>2494</v>
      </c>
      <c r="E2490" s="4" t="str">
        <f>HYPERLINK("https://app.crepc.sk/?fn=detailBiblioForm&amp;sid=44FBF6379D5DA95C34478DE0")</f>
        <v>https://app.crepc.sk/?fn=detailBiblioForm&amp;sid=44FBF6379D5DA95C34478DE0</v>
      </c>
    </row>
    <row r="2491" spans="3:5" ht="60" x14ac:dyDescent="0.25">
      <c r="C2491" s="15">
        <v>461821</v>
      </c>
      <c r="D2491" s="4" t="s">
        <v>2495</v>
      </c>
      <c r="E2491" s="4" t="str">
        <f>HYPERLINK("https://app.crepc.sk/?fn=detailBiblioForm&amp;sid=1B754228BA99B53F459A29B4E3")</f>
        <v>https://app.crepc.sk/?fn=detailBiblioForm&amp;sid=1B754228BA99B53F459A29B4E3</v>
      </c>
    </row>
    <row r="2492" spans="3:5" ht="60" x14ac:dyDescent="0.25">
      <c r="C2492" s="15">
        <v>161381</v>
      </c>
      <c r="D2492" s="4" t="s">
        <v>2496</v>
      </c>
      <c r="E2492" s="4" t="str">
        <f>HYPERLINK("https://app.crepc.sk/?fn=detailBiblioForm&amp;sid=F8FE310152E9D1F1E0142E57ED")</f>
        <v>https://app.crepc.sk/?fn=detailBiblioForm&amp;sid=F8FE310152E9D1F1E0142E57ED</v>
      </c>
    </row>
    <row r="2493" spans="3:5" ht="45" x14ac:dyDescent="0.25">
      <c r="C2493" s="15">
        <v>91484</v>
      </c>
      <c r="D2493" s="4" t="s">
        <v>2497</v>
      </c>
      <c r="E2493" s="4" t="str">
        <f>HYPERLINK("https://app.crepc.sk/?fn=detailBiblioForm&amp;sid=9DFABC6E71B79A96AB8C867C")</f>
        <v>https://app.crepc.sk/?fn=detailBiblioForm&amp;sid=9DFABC6E71B79A96AB8C867C</v>
      </c>
    </row>
    <row r="2494" spans="3:5" ht="45" x14ac:dyDescent="0.25">
      <c r="C2494" s="15">
        <v>95839</v>
      </c>
      <c r="D2494" s="4" t="s">
        <v>2498</v>
      </c>
      <c r="E2494" s="4" t="str">
        <f>HYPERLINK("https://app.crepc.sk/?fn=detailBiblioForm&amp;sid=ABA9C764E78330BEEC3ABD9C")</f>
        <v>https://app.crepc.sk/?fn=detailBiblioForm&amp;sid=ABA9C764E78330BEEC3ABD9C</v>
      </c>
    </row>
    <row r="2495" spans="3:5" ht="60" x14ac:dyDescent="0.25">
      <c r="C2495" s="15">
        <v>223228</v>
      </c>
      <c r="D2495" s="4" t="s">
        <v>2499</v>
      </c>
      <c r="E2495" s="4" t="str">
        <f>HYPERLINK("https://app.crepc.sk/?fn=detailBiblioForm&amp;sid=A560E0A5BF5D2849B8CFE84DBE")</f>
        <v>https://app.crepc.sk/?fn=detailBiblioForm&amp;sid=A560E0A5BF5D2849B8CFE84DBE</v>
      </c>
    </row>
    <row r="2496" spans="3:5" ht="60" x14ac:dyDescent="0.25">
      <c r="C2496" s="15">
        <v>444856</v>
      </c>
      <c r="D2496" s="4" t="s">
        <v>2500</v>
      </c>
      <c r="E2496" s="4" t="str">
        <f>HYPERLINK("https://app.crepc.sk/?fn=detailBiblioForm&amp;sid=5637421EB0AAB541E7F7D97938")</f>
        <v>https://app.crepc.sk/?fn=detailBiblioForm&amp;sid=5637421EB0AAB541E7F7D97938</v>
      </c>
    </row>
    <row r="2497" spans="3:5" ht="60" x14ac:dyDescent="0.25">
      <c r="C2497" s="15">
        <v>424642</v>
      </c>
      <c r="D2497" s="4" t="s">
        <v>2501</v>
      </c>
      <c r="E2497" s="4" t="str">
        <f>HYPERLINK("https://app.crepc.sk/?fn=detailBiblioForm&amp;sid=CC1B3F91A32071DE4DD6F9FB02")</f>
        <v>https://app.crepc.sk/?fn=detailBiblioForm&amp;sid=CC1B3F91A32071DE4DD6F9FB02</v>
      </c>
    </row>
    <row r="2498" spans="3:5" ht="60" x14ac:dyDescent="0.25">
      <c r="C2498" s="15">
        <v>204597</v>
      </c>
      <c r="D2498" s="4" t="s">
        <v>2502</v>
      </c>
      <c r="E2498" s="4" t="str">
        <f>HYPERLINK("https://app.crepc.sk/?fn=detailBiblioForm&amp;sid=A0B75F77750E5F68E20D49E738")</f>
        <v>https://app.crepc.sk/?fn=detailBiblioForm&amp;sid=A0B75F77750E5F68E20D49E738</v>
      </c>
    </row>
    <row r="2499" spans="3:5" ht="60" x14ac:dyDescent="0.25">
      <c r="C2499" s="15">
        <v>139448</v>
      </c>
      <c r="D2499" s="4" t="s">
        <v>2503</v>
      </c>
      <c r="E2499" s="4" t="str">
        <f>HYPERLINK("https://app.crepc.sk/?fn=detailBiblioForm&amp;sid=A3F3DC538E4836F27B9EBE03C8")</f>
        <v>https://app.crepc.sk/?fn=detailBiblioForm&amp;sid=A3F3DC538E4836F27B9EBE03C8</v>
      </c>
    </row>
    <row r="2500" spans="3:5" ht="60" x14ac:dyDescent="0.25">
      <c r="C2500" s="15">
        <v>418725</v>
      </c>
      <c r="D2500" s="4" t="s">
        <v>2504</v>
      </c>
      <c r="E2500" s="4" t="str">
        <f>HYPERLINK("https://app.crepc.sk/?fn=detailBiblioForm&amp;sid=C11F168675CD936C5FFF820E0F")</f>
        <v>https://app.crepc.sk/?fn=detailBiblioForm&amp;sid=C11F168675CD936C5FFF820E0F</v>
      </c>
    </row>
    <row r="2501" spans="3:5" ht="45" x14ac:dyDescent="0.25">
      <c r="C2501" s="15">
        <v>445405</v>
      </c>
      <c r="D2501" s="4" t="s">
        <v>2505</v>
      </c>
      <c r="E2501" s="4" t="str">
        <f>HYPERLINK("https://app.crepc.sk/?fn=detailBiblioForm&amp;sid=C526A7C23BB2EDD7E3B2DE77FA")</f>
        <v>https://app.crepc.sk/?fn=detailBiblioForm&amp;sid=C526A7C23BB2EDD7E3B2DE77FA</v>
      </c>
    </row>
    <row r="2502" spans="3:5" ht="45" x14ac:dyDescent="0.25">
      <c r="C2502" s="15">
        <v>95854</v>
      </c>
      <c r="D2502" s="4" t="s">
        <v>2506</v>
      </c>
      <c r="E2502" s="4" t="str">
        <f>HYPERLINK("https://app.crepc.sk/?fn=detailBiblioForm&amp;sid=9942598313D81D039BC63994")</f>
        <v>https://app.crepc.sk/?fn=detailBiblioForm&amp;sid=9942598313D81D039BC63994</v>
      </c>
    </row>
    <row r="2503" spans="3:5" ht="60" x14ac:dyDescent="0.25">
      <c r="C2503" s="15">
        <v>194755</v>
      </c>
      <c r="D2503" s="4" t="s">
        <v>2507</v>
      </c>
      <c r="E2503" s="4" t="str">
        <f>HYPERLINK("https://app.crepc.sk/?fn=detailBiblioForm&amp;sid=2FEED85A3FCEFC83C4EDE02009")</f>
        <v>https://app.crepc.sk/?fn=detailBiblioForm&amp;sid=2FEED85A3FCEFC83C4EDE02009</v>
      </c>
    </row>
    <row r="2504" spans="3:5" ht="60" x14ac:dyDescent="0.25">
      <c r="C2504" s="15">
        <v>451548</v>
      </c>
      <c r="D2504" s="4" t="s">
        <v>2508</v>
      </c>
      <c r="E2504" s="4" t="str">
        <f>HYPERLINK("https://app.crepc.sk/?fn=detailBiblioForm&amp;sid=6F56DACD54253712EB6755FE7B")</f>
        <v>https://app.crepc.sk/?fn=detailBiblioForm&amp;sid=6F56DACD54253712EB6755FE7B</v>
      </c>
    </row>
    <row r="2505" spans="3:5" ht="45" x14ac:dyDescent="0.25">
      <c r="C2505" s="15">
        <v>226586</v>
      </c>
      <c r="D2505" s="4" t="s">
        <v>2509</v>
      </c>
      <c r="E2505" s="4" t="str">
        <f>HYPERLINK("https://app.crepc.sk/?fn=detailBiblioForm&amp;sid=1A96CD219DD6F1D8F55D31CBF0")</f>
        <v>https://app.crepc.sk/?fn=detailBiblioForm&amp;sid=1A96CD219DD6F1D8F55D31CBF0</v>
      </c>
    </row>
    <row r="2506" spans="3:5" ht="60" x14ac:dyDescent="0.25">
      <c r="C2506" s="15">
        <v>91823</v>
      </c>
      <c r="D2506" s="4" t="s">
        <v>2510</v>
      </c>
      <c r="E2506" s="4" t="str">
        <f>HYPERLINK("https://app.crepc.sk/?fn=detailBiblioForm&amp;sid=B8753609717542125DF1C2A7")</f>
        <v>https://app.crepc.sk/?fn=detailBiblioForm&amp;sid=B8753609717542125DF1C2A7</v>
      </c>
    </row>
    <row r="2507" spans="3:5" ht="75" x14ac:dyDescent="0.25">
      <c r="C2507" s="15">
        <v>183227</v>
      </c>
      <c r="D2507" s="4" t="s">
        <v>2511</v>
      </c>
      <c r="E2507" s="4" t="str">
        <f>HYPERLINK("https://app.crepc.sk/?fn=detailBiblioForm&amp;sid=98506E6D5B5CDF25308DE743E8")</f>
        <v>https://app.crepc.sk/?fn=detailBiblioForm&amp;sid=98506E6D5B5CDF25308DE743E8</v>
      </c>
    </row>
    <row r="2508" spans="3:5" ht="60" x14ac:dyDescent="0.25">
      <c r="C2508" s="15">
        <v>161383</v>
      </c>
      <c r="D2508" s="4" t="s">
        <v>2512</v>
      </c>
      <c r="E2508" s="4" t="str">
        <f>HYPERLINK("https://app.crepc.sk/?fn=detailBiblioForm&amp;sid=F8FE310152E9D1F1E0162E57ED")</f>
        <v>https://app.crepc.sk/?fn=detailBiblioForm&amp;sid=F8FE310152E9D1F1E0162E57ED</v>
      </c>
    </row>
    <row r="2509" spans="3:5" ht="60" x14ac:dyDescent="0.25">
      <c r="C2509" s="15">
        <v>56083</v>
      </c>
      <c r="D2509" s="4" t="s">
        <v>2513</v>
      </c>
      <c r="E2509" s="4" t="str">
        <f>HYPERLINK("https://app.crepc.sk/?fn=detailBiblioForm&amp;sid=59869ECD395564D2C8297E75")</f>
        <v>https://app.crepc.sk/?fn=detailBiblioForm&amp;sid=59869ECD395564D2C8297E75</v>
      </c>
    </row>
    <row r="2510" spans="3:5" ht="45" x14ac:dyDescent="0.25">
      <c r="C2510" s="15">
        <v>438617</v>
      </c>
      <c r="D2510" s="4" t="s">
        <v>2514</v>
      </c>
      <c r="E2510" s="4" t="str">
        <f>HYPERLINK("https://app.crepc.sk/?fn=detailBiblioForm&amp;sid=C10B51E9E3EF1B1310AFE0F7D6")</f>
        <v>https://app.crepc.sk/?fn=detailBiblioForm&amp;sid=C10B51E9E3EF1B1310AFE0F7D6</v>
      </c>
    </row>
    <row r="2511" spans="3:5" ht="60" x14ac:dyDescent="0.25">
      <c r="C2511" s="15">
        <v>161411</v>
      </c>
      <c r="D2511" s="4" t="s">
        <v>2515</v>
      </c>
      <c r="E2511" s="4" t="str">
        <f>HYPERLINK("https://app.crepc.sk/?fn=detailBiblioForm&amp;sid=72994EA9AD52E4DE4A9721105F")</f>
        <v>https://app.crepc.sk/?fn=detailBiblioForm&amp;sid=72994EA9AD52E4DE4A9721105F</v>
      </c>
    </row>
    <row r="2512" spans="3:5" ht="60" x14ac:dyDescent="0.25">
      <c r="C2512" s="15">
        <v>199054</v>
      </c>
      <c r="D2512" s="4" t="s">
        <v>2516</v>
      </c>
      <c r="E2512" s="4" t="str">
        <f>HYPERLINK("https://app.crepc.sk/?fn=detailBiblioForm&amp;sid=485F8D043A8EA669F9C89F2BD2")</f>
        <v>https://app.crepc.sk/?fn=detailBiblioForm&amp;sid=485F8D043A8EA669F9C89F2BD2</v>
      </c>
    </row>
    <row r="2513" spans="3:5" ht="60" x14ac:dyDescent="0.25">
      <c r="C2513" s="15">
        <v>132567</v>
      </c>
      <c r="D2513" s="4" t="s">
        <v>2517</v>
      </c>
      <c r="E2513" s="4" t="str">
        <f>HYPERLINK("https://app.crepc.sk/?fn=detailBiblioForm&amp;sid=43610966F6A9DADEA4360DD63E")</f>
        <v>https://app.crepc.sk/?fn=detailBiblioForm&amp;sid=43610966F6A9DADEA4360DD63E</v>
      </c>
    </row>
    <row r="2514" spans="3:5" ht="60" x14ac:dyDescent="0.25">
      <c r="C2514" s="15">
        <v>197220</v>
      </c>
      <c r="D2514" s="4" t="s">
        <v>2518</v>
      </c>
      <c r="E2514" s="4" t="str">
        <f>HYPERLINK("https://app.crepc.sk/?fn=detailBiblioForm&amp;sid=DD548C8F9E86EAB08707BC14DD")</f>
        <v>https://app.crepc.sk/?fn=detailBiblioForm&amp;sid=DD548C8F9E86EAB08707BC14DD</v>
      </c>
    </row>
    <row r="2515" spans="3:5" ht="60" x14ac:dyDescent="0.25">
      <c r="C2515" s="15">
        <v>87694</v>
      </c>
      <c r="D2515" s="4" t="s">
        <v>2519</v>
      </c>
      <c r="E2515" s="4" t="str">
        <f>HYPERLINK("https://app.crepc.sk/?fn=detailBiblioForm&amp;sid=C0592EF4A0D8A5E7846892C9")</f>
        <v>https://app.crepc.sk/?fn=detailBiblioForm&amp;sid=C0592EF4A0D8A5E7846892C9</v>
      </c>
    </row>
    <row r="2516" spans="3:5" ht="45" x14ac:dyDescent="0.25">
      <c r="C2516" s="15">
        <v>216734</v>
      </c>
      <c r="D2516" s="4" t="s">
        <v>2520</v>
      </c>
      <c r="E2516" s="4" t="str">
        <f>HYPERLINK("https://app.crepc.sk/?fn=detailBiblioForm&amp;sid=73B630D0391B7B04C9C733631C")</f>
        <v>https://app.crepc.sk/?fn=detailBiblioForm&amp;sid=73B630D0391B7B04C9C733631C</v>
      </c>
    </row>
    <row r="2517" spans="3:5" ht="60" x14ac:dyDescent="0.25">
      <c r="C2517" s="15">
        <v>217920</v>
      </c>
      <c r="D2517" s="4" t="s">
        <v>2521</v>
      </c>
      <c r="E2517" s="4" t="str">
        <f>HYPERLINK("https://app.crepc.sk/?fn=detailBiblioForm&amp;sid=9E759344E92A278518E0C915AD")</f>
        <v>https://app.crepc.sk/?fn=detailBiblioForm&amp;sid=9E759344E92A278518E0C915AD</v>
      </c>
    </row>
    <row r="2518" spans="3:5" ht="45" x14ac:dyDescent="0.25">
      <c r="C2518" s="15">
        <v>56636</v>
      </c>
      <c r="D2518" s="4" t="s">
        <v>2522</v>
      </c>
      <c r="E2518" s="4" t="str">
        <f>HYPERLINK("https://app.crepc.sk/?fn=detailBiblioForm&amp;sid=D02B609B9A857AA87FEDF919")</f>
        <v>https://app.crepc.sk/?fn=detailBiblioForm&amp;sid=D02B609B9A857AA87FEDF919</v>
      </c>
    </row>
    <row r="2519" spans="3:5" ht="60" x14ac:dyDescent="0.25">
      <c r="C2519" s="15">
        <v>177647</v>
      </c>
      <c r="D2519" s="4" t="s">
        <v>2523</v>
      </c>
      <c r="E2519" s="4" t="str">
        <f>HYPERLINK("https://app.crepc.sk/?fn=detailBiblioForm&amp;sid=D51643D01657CDEC2B91DCE672")</f>
        <v>https://app.crepc.sk/?fn=detailBiblioForm&amp;sid=D51643D01657CDEC2B91DCE672</v>
      </c>
    </row>
    <row r="2520" spans="3:5" ht="60" x14ac:dyDescent="0.25">
      <c r="C2520" s="15">
        <v>430821</v>
      </c>
      <c r="D2520" s="4" t="s">
        <v>2524</v>
      </c>
      <c r="E2520" s="4" t="str">
        <f>HYPERLINK("https://app.crepc.sk/?fn=detailBiblioForm&amp;sid=A283D7FE65670969D1D19D9DD5")</f>
        <v>https://app.crepc.sk/?fn=detailBiblioForm&amp;sid=A283D7FE65670969D1D19D9DD5</v>
      </c>
    </row>
    <row r="2521" spans="3:5" ht="45" x14ac:dyDescent="0.25">
      <c r="C2521" s="15">
        <v>138771</v>
      </c>
      <c r="D2521" s="4" t="s">
        <v>2525</v>
      </c>
      <c r="E2521" s="4" t="str">
        <f>HYPERLINK("https://app.crepc.sk/?fn=detailBiblioForm&amp;sid=B05445C3B1156175C7C6E1ECCB")</f>
        <v>https://app.crepc.sk/?fn=detailBiblioForm&amp;sid=B05445C3B1156175C7C6E1ECCB</v>
      </c>
    </row>
    <row r="2522" spans="3:5" ht="75" x14ac:dyDescent="0.25">
      <c r="C2522" s="15">
        <v>91523</v>
      </c>
      <c r="D2522" s="4" t="s">
        <v>2526</v>
      </c>
      <c r="E2522" s="4" t="str">
        <f>HYPERLINK("https://app.crepc.sk/?fn=detailBiblioForm&amp;sid=EFA25887E3AD2AADA7FEFC42")</f>
        <v>https://app.crepc.sk/?fn=detailBiblioForm&amp;sid=EFA25887E3AD2AADA7FEFC42</v>
      </c>
    </row>
    <row r="2523" spans="3:5" ht="60" x14ac:dyDescent="0.25">
      <c r="C2523" s="15">
        <v>85108</v>
      </c>
      <c r="D2523" s="4" t="s">
        <v>2527</v>
      </c>
      <c r="E2523" s="4" t="str">
        <f>HYPERLINK("https://app.crepc.sk/?fn=detailBiblioForm&amp;sid=6B9B8537BCECC3F11569D8E9")</f>
        <v>https://app.crepc.sk/?fn=detailBiblioForm&amp;sid=6B9B8537BCECC3F11569D8E9</v>
      </c>
    </row>
    <row r="2524" spans="3:5" ht="60" x14ac:dyDescent="0.25">
      <c r="C2524" s="15">
        <v>112848</v>
      </c>
      <c r="D2524" s="4" t="s">
        <v>2528</v>
      </c>
      <c r="E2524" s="4" t="str">
        <f>HYPERLINK("https://app.crepc.sk/?fn=detailBiblioForm&amp;sid=B13AEFF39C4E73C41D8C9A9761")</f>
        <v>https://app.crepc.sk/?fn=detailBiblioForm&amp;sid=B13AEFF39C4E73C41D8C9A9761</v>
      </c>
    </row>
    <row r="2525" spans="3:5" ht="60" x14ac:dyDescent="0.25">
      <c r="C2525" s="15">
        <v>435131</v>
      </c>
      <c r="D2525" s="4" t="s">
        <v>2529</v>
      </c>
      <c r="E2525" s="4" t="str">
        <f>HYPERLINK("https://app.crepc.sk/?fn=detailBiblioForm&amp;sid=AD8868FB556EBD592C3BBB48EF")</f>
        <v>https://app.crepc.sk/?fn=detailBiblioForm&amp;sid=AD8868FB556EBD592C3BBB48EF</v>
      </c>
    </row>
    <row r="2526" spans="3:5" ht="60" x14ac:dyDescent="0.25">
      <c r="C2526" s="15">
        <v>82247</v>
      </c>
      <c r="D2526" s="4" t="s">
        <v>2530</v>
      </c>
      <c r="E2526" s="4" t="str">
        <f>HYPERLINK("https://app.crepc.sk/?fn=detailBiblioForm&amp;sid=21D6AFD63132B6B2FBCEA1A5")</f>
        <v>https://app.crepc.sk/?fn=detailBiblioForm&amp;sid=21D6AFD63132B6B2FBCEA1A5</v>
      </c>
    </row>
    <row r="2527" spans="3:5" ht="45" x14ac:dyDescent="0.25">
      <c r="C2527" s="15">
        <v>238614</v>
      </c>
      <c r="D2527" s="4" t="s">
        <v>2531</v>
      </c>
      <c r="E2527" s="4" t="str">
        <f>HYPERLINK("https://app.crepc.sk/?fn=detailBiblioForm&amp;sid=078FC86817C6D21AAD21D25C61")</f>
        <v>https://app.crepc.sk/?fn=detailBiblioForm&amp;sid=078FC86817C6D21AAD21D25C61</v>
      </c>
    </row>
    <row r="2528" spans="3:5" ht="45" x14ac:dyDescent="0.25">
      <c r="C2528" s="15">
        <v>173072</v>
      </c>
      <c r="D2528" s="4" t="s">
        <v>2532</v>
      </c>
      <c r="E2528" s="4" t="str">
        <f>HYPERLINK("https://app.crepc.sk/?fn=detailBiblioForm&amp;sid=DD4AECDD61273E16FF399290AB")</f>
        <v>https://app.crepc.sk/?fn=detailBiblioForm&amp;sid=DD4AECDD61273E16FF399290AB</v>
      </c>
    </row>
    <row r="2529" spans="3:5" ht="60" x14ac:dyDescent="0.25">
      <c r="C2529" s="15">
        <v>440942</v>
      </c>
      <c r="D2529" s="4" t="s">
        <v>2533</v>
      </c>
      <c r="E2529" s="4" t="str">
        <f>HYPERLINK("https://app.crepc.sk/?fn=detailBiblioForm&amp;sid=719C3487C3FE70046FC7189B76")</f>
        <v>https://app.crepc.sk/?fn=detailBiblioForm&amp;sid=719C3487C3FE70046FC7189B76</v>
      </c>
    </row>
    <row r="2530" spans="3:5" ht="60" x14ac:dyDescent="0.25">
      <c r="C2530" s="15">
        <v>95648</v>
      </c>
      <c r="D2530" s="4" t="s">
        <v>2534</v>
      </c>
      <c r="E2530" s="4" t="str">
        <f>HYPERLINK("https://app.crepc.sk/?fn=detailBiblioForm&amp;sid=E0A00CD6CC38944E8D2C54CF")</f>
        <v>https://app.crepc.sk/?fn=detailBiblioForm&amp;sid=E0A00CD6CC38944E8D2C54CF</v>
      </c>
    </row>
    <row r="2531" spans="3:5" ht="45" x14ac:dyDescent="0.25">
      <c r="C2531" s="15">
        <v>120249</v>
      </c>
      <c r="D2531" s="4" t="s">
        <v>2535</v>
      </c>
      <c r="E2531" s="4" t="str">
        <f>HYPERLINK("https://app.crepc.sk/?fn=detailBiblioForm&amp;sid=C31F93A747B848A988A6FCAE21")</f>
        <v>https://app.crepc.sk/?fn=detailBiblioForm&amp;sid=C31F93A747B848A988A6FCAE21</v>
      </c>
    </row>
    <row r="2532" spans="3:5" ht="60" x14ac:dyDescent="0.25">
      <c r="C2532" s="15">
        <v>425312</v>
      </c>
      <c r="D2532" s="4" t="s">
        <v>2536</v>
      </c>
      <c r="E2532" s="4" t="str">
        <f>HYPERLINK("https://app.crepc.sk/?fn=detailBiblioForm&amp;sid=F4CF49A2A14F2431BA5B5C7223")</f>
        <v>https://app.crepc.sk/?fn=detailBiblioForm&amp;sid=F4CF49A2A14F2431BA5B5C7223</v>
      </c>
    </row>
    <row r="2533" spans="3:5" ht="60" x14ac:dyDescent="0.25">
      <c r="C2533" s="15">
        <v>64622</v>
      </c>
      <c r="D2533" s="4" t="s">
        <v>2537</v>
      </c>
      <c r="E2533" s="4" t="str">
        <f>HYPERLINK("https://app.crepc.sk/?fn=detailBiblioForm&amp;sid=ED5077CC92596391D8FB8798")</f>
        <v>https://app.crepc.sk/?fn=detailBiblioForm&amp;sid=ED5077CC92596391D8FB8798</v>
      </c>
    </row>
    <row r="2534" spans="3:5" ht="60" x14ac:dyDescent="0.25">
      <c r="C2534" s="15">
        <v>88307</v>
      </c>
      <c r="D2534" s="4" t="s">
        <v>2538</v>
      </c>
      <c r="E2534" s="4" t="str">
        <f>HYPERLINK("https://app.crepc.sk/?fn=detailBiblioForm&amp;sid=1E85C748633B0126E4990817")</f>
        <v>https://app.crepc.sk/?fn=detailBiblioForm&amp;sid=1E85C748633B0126E4990817</v>
      </c>
    </row>
    <row r="2535" spans="3:5" ht="60" x14ac:dyDescent="0.25">
      <c r="C2535" s="15">
        <v>91827</v>
      </c>
      <c r="D2535" s="4" t="s">
        <v>2539</v>
      </c>
      <c r="E2535" s="4" t="str">
        <f>HYPERLINK("https://app.crepc.sk/?fn=detailBiblioForm&amp;sid=B87536097175421259F1C2A7")</f>
        <v>https://app.crepc.sk/?fn=detailBiblioForm&amp;sid=B87536097175421259F1C2A7</v>
      </c>
    </row>
    <row r="2536" spans="3:5" ht="45" x14ac:dyDescent="0.25">
      <c r="C2536" s="15">
        <v>181958</v>
      </c>
      <c r="D2536" s="4" t="s">
        <v>2540</v>
      </c>
      <c r="E2536" s="4" t="str">
        <f>HYPERLINK("https://app.crepc.sk/?fn=detailBiblioForm&amp;sid=24A0BAF10DE6280940798447F6")</f>
        <v>https://app.crepc.sk/?fn=detailBiblioForm&amp;sid=24A0BAF10DE6280940798447F6</v>
      </c>
    </row>
    <row r="2537" spans="3:5" ht="60" x14ac:dyDescent="0.25">
      <c r="C2537" s="15">
        <v>181110</v>
      </c>
      <c r="D2537" s="4" t="s">
        <v>2541</v>
      </c>
      <c r="E2537" s="4" t="str">
        <f>HYPERLINK("https://app.crepc.sk/?fn=detailBiblioForm&amp;sid=D2270EF957433A5E2C74E60F57")</f>
        <v>https://app.crepc.sk/?fn=detailBiblioForm&amp;sid=D2270EF957433A5E2C74E60F57</v>
      </c>
    </row>
    <row r="2538" spans="3:5" ht="45" x14ac:dyDescent="0.25">
      <c r="C2538" s="15">
        <v>252941</v>
      </c>
      <c r="D2538" s="4" t="s">
        <v>2542</v>
      </c>
      <c r="E2538" s="4" t="str">
        <f>HYPERLINK("https://app.crepc.sk/?fn=detailBiblioForm&amp;sid=01E8CD42BC45550202A1A10B6D")</f>
        <v>https://app.crepc.sk/?fn=detailBiblioForm&amp;sid=01E8CD42BC45550202A1A10B6D</v>
      </c>
    </row>
    <row r="2539" spans="3:5" ht="60" x14ac:dyDescent="0.25">
      <c r="C2539" s="15">
        <v>70976</v>
      </c>
      <c r="D2539" s="4" t="s">
        <v>2543</v>
      </c>
      <c r="E2539" s="4" t="str">
        <f>HYPERLINK("https://app.crepc.sk/?fn=detailBiblioForm&amp;sid=4904B5B6EB57605672730CF1")</f>
        <v>https://app.crepc.sk/?fn=detailBiblioForm&amp;sid=4904B5B6EB57605672730CF1</v>
      </c>
    </row>
    <row r="2540" spans="3:5" ht="45" x14ac:dyDescent="0.25">
      <c r="C2540" s="15">
        <v>110159</v>
      </c>
      <c r="D2540" s="4" t="s">
        <v>2544</v>
      </c>
      <c r="E2540" s="4" t="str">
        <f>HYPERLINK("https://app.crepc.sk/?fn=detailBiblioForm&amp;sid=8A0066A0CA5331690F2C3C6DCB")</f>
        <v>https://app.crepc.sk/?fn=detailBiblioForm&amp;sid=8A0066A0CA5331690F2C3C6DCB</v>
      </c>
    </row>
    <row r="2541" spans="3:5" ht="60" x14ac:dyDescent="0.25">
      <c r="C2541" s="15">
        <v>70330</v>
      </c>
      <c r="D2541" s="4" t="s">
        <v>2545</v>
      </c>
      <c r="E2541" s="4" t="str">
        <f>HYPERLINK("https://app.crepc.sk/?fn=detailBiblioForm&amp;sid=90F437AC0867FAD6154900E2")</f>
        <v>https://app.crepc.sk/?fn=detailBiblioForm&amp;sid=90F437AC0867FAD6154900E2</v>
      </c>
    </row>
    <row r="2542" spans="3:5" ht="45" x14ac:dyDescent="0.25">
      <c r="C2542" s="15">
        <v>432801</v>
      </c>
      <c r="D2542" s="4" t="s">
        <v>2546</v>
      </c>
      <c r="E2542" s="4" t="str">
        <f>HYPERLINK("https://app.crepc.sk/?fn=detailBiblioForm&amp;sid=60947673AC094B86B06B5A089E")</f>
        <v>https://app.crepc.sk/?fn=detailBiblioForm&amp;sid=60947673AC094B86B06B5A089E</v>
      </c>
    </row>
    <row r="2543" spans="3:5" ht="45" x14ac:dyDescent="0.25">
      <c r="C2543" s="15">
        <v>432799</v>
      </c>
      <c r="D2543" s="4" t="s">
        <v>2547</v>
      </c>
      <c r="E2543" s="4" t="str">
        <f>HYPERLINK("https://app.crepc.sk/?fn=detailBiblioForm&amp;sid=91973449B9DED6545D19A96A9B")</f>
        <v>https://app.crepc.sk/?fn=detailBiblioForm&amp;sid=91973449B9DED6545D19A96A9B</v>
      </c>
    </row>
    <row r="2544" spans="3:5" ht="45" x14ac:dyDescent="0.25">
      <c r="C2544" s="15">
        <v>432429</v>
      </c>
      <c r="D2544" s="4" t="s">
        <v>2548</v>
      </c>
      <c r="E2544" s="4" t="str">
        <f>HYPERLINK("https://app.crepc.sk/?fn=detailBiblioForm&amp;sid=9C6DDAD5CC83289CB646CA964C")</f>
        <v>https://app.crepc.sk/?fn=detailBiblioForm&amp;sid=9C6DDAD5CC83289CB646CA964C</v>
      </c>
    </row>
    <row r="2545" spans="3:5" ht="60" x14ac:dyDescent="0.25">
      <c r="C2545" s="15">
        <v>178310</v>
      </c>
      <c r="D2545" s="4" t="s">
        <v>2549</v>
      </c>
      <c r="E2545" s="4" t="str">
        <f>HYPERLINK("https://app.crepc.sk/?fn=detailBiblioForm&amp;sid=A5BC586C45F5195269E445B98C")</f>
        <v>https://app.crepc.sk/?fn=detailBiblioForm&amp;sid=A5BC586C45F5195269E445B98C</v>
      </c>
    </row>
    <row r="2546" spans="3:5" ht="45" x14ac:dyDescent="0.25">
      <c r="C2546" s="15">
        <v>435430</v>
      </c>
      <c r="D2546" s="4" t="s">
        <v>2550</v>
      </c>
      <c r="E2546" s="4" t="str">
        <f>HYPERLINK("https://app.crepc.sk/?fn=detailBiblioForm&amp;sid=DB4CEA49FC08B62DD2F980D54C")</f>
        <v>https://app.crepc.sk/?fn=detailBiblioForm&amp;sid=DB4CEA49FC08B62DD2F980D54C</v>
      </c>
    </row>
    <row r="2547" spans="3:5" ht="45" x14ac:dyDescent="0.25">
      <c r="C2547" s="15">
        <v>152768</v>
      </c>
      <c r="D2547" s="4" t="s">
        <v>2551</v>
      </c>
      <c r="E2547" s="4" t="str">
        <f>HYPERLINK("https://app.crepc.sk/?fn=detailBiblioForm&amp;sid=3D579E6F99510E20DDB229C6B9")</f>
        <v>https://app.crepc.sk/?fn=detailBiblioForm&amp;sid=3D579E6F99510E20DDB229C6B9</v>
      </c>
    </row>
    <row r="2548" spans="3:5" ht="75" x14ac:dyDescent="0.25">
      <c r="C2548" s="15">
        <v>308240</v>
      </c>
      <c r="D2548" s="4" t="s">
        <v>2552</v>
      </c>
      <c r="E2548" s="4" t="str">
        <f>HYPERLINK("https://app.crepc.sk/?fn=detailBiblioForm&amp;sid=65F0C0F63AFF658DA3A53F357A")</f>
        <v>https://app.crepc.sk/?fn=detailBiblioForm&amp;sid=65F0C0F63AFF658DA3A53F357A</v>
      </c>
    </row>
    <row r="2549" spans="3:5" ht="60" x14ac:dyDescent="0.25">
      <c r="C2549" s="15">
        <v>316393</v>
      </c>
      <c r="D2549" s="4" t="s">
        <v>2553</v>
      </c>
      <c r="E2549" s="4" t="str">
        <f>HYPERLINK("https://app.crepc.sk/?fn=detailBiblioForm&amp;sid=C2E5DDBE113D3DFDDED0C67146")</f>
        <v>https://app.crepc.sk/?fn=detailBiblioForm&amp;sid=C2E5DDBE113D3DFDDED0C67146</v>
      </c>
    </row>
    <row r="2550" spans="3:5" ht="45" x14ac:dyDescent="0.25">
      <c r="C2550" s="15">
        <v>125865</v>
      </c>
      <c r="D2550" s="4" t="s">
        <v>2554</v>
      </c>
      <c r="E2550" s="4" t="str">
        <f>HYPERLINK("https://app.crepc.sk/?fn=detailBiblioForm&amp;sid=E4A75C7E7E946ECA524E472E95")</f>
        <v>https://app.crepc.sk/?fn=detailBiblioForm&amp;sid=E4A75C7E7E946ECA524E472E95</v>
      </c>
    </row>
    <row r="2551" spans="3:5" ht="45" x14ac:dyDescent="0.25">
      <c r="C2551" s="15">
        <v>130604</v>
      </c>
      <c r="D2551" s="4" t="s">
        <v>2555</v>
      </c>
      <c r="E2551" s="4" t="str">
        <f>HYPERLINK("https://app.crepc.sk/?fn=detailBiblioForm&amp;sid=3092DA57427D6AA49182A0EC69")</f>
        <v>https://app.crepc.sk/?fn=detailBiblioForm&amp;sid=3092DA57427D6AA49182A0EC69</v>
      </c>
    </row>
    <row r="2552" spans="3:5" ht="60" x14ac:dyDescent="0.25">
      <c r="C2552" s="15">
        <v>242486</v>
      </c>
      <c r="D2552" s="4" t="s">
        <v>2556</v>
      </c>
      <c r="E2552" s="4" t="str">
        <f>HYPERLINK("https://app.crepc.sk/?fn=detailBiblioForm&amp;sid=911B7094F1CB54D05541B30A5D")</f>
        <v>https://app.crepc.sk/?fn=detailBiblioForm&amp;sid=911B7094F1CB54D05541B30A5D</v>
      </c>
    </row>
    <row r="2553" spans="3:5" ht="45" x14ac:dyDescent="0.25">
      <c r="C2553" s="15">
        <v>69347</v>
      </c>
      <c r="D2553" s="4" t="s">
        <v>2557</v>
      </c>
      <c r="E2553" s="4" t="str">
        <f>HYPERLINK("https://app.crepc.sk/?fn=detailBiblioForm&amp;sid=380BE5F3C338E847176ECDC3")</f>
        <v>https://app.crepc.sk/?fn=detailBiblioForm&amp;sid=380BE5F3C338E847176ECDC3</v>
      </c>
    </row>
    <row r="2554" spans="3:5" ht="60" x14ac:dyDescent="0.25">
      <c r="C2554" s="15">
        <v>155358</v>
      </c>
      <c r="D2554" s="4" t="s">
        <v>2558</v>
      </c>
      <c r="E2554" s="4" t="str">
        <f>HYPERLINK("https://app.crepc.sk/?fn=detailBiblioForm&amp;sid=78AFF12394AFE35F8F1E1C8992")</f>
        <v>https://app.crepc.sk/?fn=detailBiblioForm&amp;sid=78AFF12394AFE35F8F1E1C8992</v>
      </c>
    </row>
    <row r="2555" spans="3:5" ht="60" x14ac:dyDescent="0.25">
      <c r="C2555" s="15">
        <v>147253</v>
      </c>
      <c r="D2555" s="4" t="s">
        <v>2559</v>
      </c>
      <c r="E2555" s="4" t="str">
        <f>HYPERLINK("https://app.crepc.sk/?fn=detailBiblioForm&amp;sid=E725DF4FE130A80687683E1791")</f>
        <v>https://app.crepc.sk/?fn=detailBiblioForm&amp;sid=E725DF4FE130A80687683E1791</v>
      </c>
    </row>
    <row r="2556" spans="3:5" ht="60" x14ac:dyDescent="0.25">
      <c r="C2556" s="15">
        <v>239792</v>
      </c>
      <c r="D2556" s="4" t="s">
        <v>2560</v>
      </c>
      <c r="E2556" s="4" t="str">
        <f>HYPERLINK("https://app.crepc.sk/?fn=detailBiblioForm&amp;sid=A4F1A10991D589A5FEB074EC38")</f>
        <v>https://app.crepc.sk/?fn=detailBiblioForm&amp;sid=A4F1A10991D589A5FEB074EC38</v>
      </c>
    </row>
    <row r="2557" spans="3:5" ht="45" x14ac:dyDescent="0.25">
      <c r="C2557" s="15">
        <v>196005</v>
      </c>
      <c r="D2557" s="4" t="s">
        <v>2561</v>
      </c>
      <c r="E2557" s="4" t="str">
        <f>HYPERLINK("https://app.crepc.sk/?fn=detailBiblioForm&amp;sid=1FF0F555295BBAD69F5D175909")</f>
        <v>https://app.crepc.sk/?fn=detailBiblioForm&amp;sid=1FF0F555295BBAD69F5D175909</v>
      </c>
    </row>
    <row r="2558" spans="3:5" ht="60" x14ac:dyDescent="0.25">
      <c r="C2558" s="15">
        <v>311971</v>
      </c>
      <c r="D2558" s="4" t="s">
        <v>2562</v>
      </c>
      <c r="E2558" s="4" t="str">
        <f>HYPERLINK("https://app.crepc.sk/?fn=detailBiblioForm&amp;sid=396B080C231206F9566C9ED740")</f>
        <v>https://app.crepc.sk/?fn=detailBiblioForm&amp;sid=396B080C231206F9566C9ED740</v>
      </c>
    </row>
    <row r="2559" spans="3:5" ht="60" x14ac:dyDescent="0.25">
      <c r="C2559" s="15">
        <v>311065</v>
      </c>
      <c r="D2559" s="4" t="s">
        <v>2563</v>
      </c>
      <c r="E2559" s="4" t="str">
        <f>HYPERLINK("https://app.crepc.sk/?fn=detailBiblioForm&amp;sid=2D3067B65E7513C568B4F81B67")</f>
        <v>https://app.crepc.sk/?fn=detailBiblioForm&amp;sid=2D3067B65E7513C568B4F81B67</v>
      </c>
    </row>
    <row r="2560" spans="3:5" ht="75" x14ac:dyDescent="0.25">
      <c r="C2560" s="15">
        <v>128629</v>
      </c>
      <c r="D2560" s="4" t="s">
        <v>2564</v>
      </c>
      <c r="E2560" s="4" t="str">
        <f>HYPERLINK("https://app.crepc.sk/?fn=detailBiblioForm&amp;sid=B4445163FE48F42C535B87536D")</f>
        <v>https://app.crepc.sk/?fn=detailBiblioForm&amp;sid=B4445163FE48F42C535B87536D</v>
      </c>
    </row>
    <row r="2561" spans="3:5" ht="60" x14ac:dyDescent="0.25">
      <c r="C2561" s="15">
        <v>213429</v>
      </c>
      <c r="D2561" s="4" t="s">
        <v>2565</v>
      </c>
      <c r="E2561" s="4" t="str">
        <f>HYPERLINK("https://app.crepc.sk/?fn=detailBiblioForm&amp;sid=06981B2A15226E56855F0FFC0C")</f>
        <v>https://app.crepc.sk/?fn=detailBiblioForm&amp;sid=06981B2A15226E56855F0FFC0C</v>
      </c>
    </row>
    <row r="2562" spans="3:5" ht="60" x14ac:dyDescent="0.25">
      <c r="C2562" s="15">
        <v>133563</v>
      </c>
      <c r="D2562" s="4" t="s">
        <v>2566</v>
      </c>
      <c r="E2562" s="4" t="str">
        <f>HYPERLINK("https://app.crepc.sk/?fn=detailBiblioForm&amp;sid=4A57AF3C5B51A495BC02254F65")</f>
        <v>https://app.crepc.sk/?fn=detailBiblioForm&amp;sid=4A57AF3C5B51A495BC02254F65</v>
      </c>
    </row>
    <row r="2563" spans="3:5" ht="45" x14ac:dyDescent="0.25">
      <c r="C2563" s="15">
        <v>461818</v>
      </c>
      <c r="D2563" s="4" t="s">
        <v>2567</v>
      </c>
      <c r="E2563" s="4" t="str">
        <f>HYPERLINK("https://app.crepc.sk/?fn=detailBiblioForm&amp;sid=1B754228BA99B53F469329B4E3")</f>
        <v>https://app.crepc.sk/?fn=detailBiblioForm&amp;sid=1B754228BA99B53F469329B4E3</v>
      </c>
    </row>
    <row r="2564" spans="3:5" ht="45" x14ac:dyDescent="0.25">
      <c r="C2564" s="15">
        <v>121872</v>
      </c>
      <c r="D2564" s="4" t="s">
        <v>2568</v>
      </c>
      <c r="E2564" s="4" t="str">
        <f>HYPERLINK("https://app.crepc.sk/?fn=detailBiblioForm&amp;sid=FB227A2458B7F9F417652D5E19")</f>
        <v>https://app.crepc.sk/?fn=detailBiblioForm&amp;sid=FB227A2458B7F9F417652D5E19</v>
      </c>
    </row>
    <row r="2565" spans="3:5" ht="60" x14ac:dyDescent="0.25">
      <c r="C2565" s="15">
        <v>215692</v>
      </c>
      <c r="D2565" s="4" t="s">
        <v>2569</v>
      </c>
      <c r="E2565" s="4" t="str">
        <f>HYPERLINK("https://app.crepc.sk/?fn=detailBiblioForm&amp;sid=71C258F70EEA1E8C31FC0ED63E")</f>
        <v>https://app.crepc.sk/?fn=detailBiblioForm&amp;sid=71C258F70EEA1E8C31FC0ED63E</v>
      </c>
    </row>
    <row r="2566" spans="3:5" ht="45" x14ac:dyDescent="0.25">
      <c r="C2566" s="15">
        <v>59001</v>
      </c>
      <c r="D2566" s="4" t="s">
        <v>2570</v>
      </c>
      <c r="E2566" s="4" t="str">
        <f>HYPERLINK("https://app.crepc.sk/?fn=detailBiblioForm&amp;sid=979940A3A7B66EEEF7361097")</f>
        <v>https://app.crepc.sk/?fn=detailBiblioForm&amp;sid=979940A3A7B66EEEF7361097</v>
      </c>
    </row>
    <row r="2567" spans="3:5" ht="60" x14ac:dyDescent="0.25">
      <c r="C2567" s="15">
        <v>57730</v>
      </c>
      <c r="D2567" s="4" t="s">
        <v>2571</v>
      </c>
      <c r="E2567" s="4" t="str">
        <f>HYPERLINK("https://app.crepc.sk/?fn=detailBiblioForm&amp;sid=CAFC3DFAFE1A853A34550878")</f>
        <v>https://app.crepc.sk/?fn=detailBiblioForm&amp;sid=CAFC3DFAFE1A853A34550878</v>
      </c>
    </row>
    <row r="2568" spans="3:5" ht="90" x14ac:dyDescent="0.25">
      <c r="C2568" s="15">
        <v>145795</v>
      </c>
      <c r="D2568" s="4" t="s">
        <v>2572</v>
      </c>
      <c r="E2568" s="4" t="str">
        <f>HYPERLINK("https://app.crepc.sk/?fn=detailBiblioForm&amp;sid=0278C0DD79B92F655B590D3573")</f>
        <v>https://app.crepc.sk/?fn=detailBiblioForm&amp;sid=0278C0DD79B92F655B590D3573</v>
      </c>
    </row>
    <row r="2569" spans="3:5" ht="60" x14ac:dyDescent="0.25">
      <c r="C2569" s="15">
        <v>432853</v>
      </c>
      <c r="D2569" s="4" t="s">
        <v>2573</v>
      </c>
      <c r="E2569" s="4" t="str">
        <f>HYPERLINK("https://app.crepc.sk/?fn=detailBiblioForm&amp;sid=60947673AC094B86B5695A089E")</f>
        <v>https://app.crepc.sk/?fn=detailBiblioForm&amp;sid=60947673AC094B86B5695A089E</v>
      </c>
    </row>
    <row r="2570" spans="3:5" ht="45" x14ac:dyDescent="0.25">
      <c r="C2570" s="15">
        <v>166606</v>
      </c>
      <c r="D2570" s="4" t="s">
        <v>2574</v>
      </c>
      <c r="E2570" s="4" t="str">
        <f>HYPERLINK("https://app.crepc.sk/?fn=detailBiblioForm&amp;sid=F50A3640C856E51086E0D377C1")</f>
        <v>https://app.crepc.sk/?fn=detailBiblioForm&amp;sid=F50A3640C856E51086E0D377C1</v>
      </c>
    </row>
    <row r="2571" spans="3:5" ht="60" x14ac:dyDescent="0.25">
      <c r="C2571" s="15">
        <v>190372</v>
      </c>
      <c r="D2571" s="4" t="s">
        <v>2575</v>
      </c>
      <c r="E2571" s="4" t="str">
        <f>HYPERLINK("https://app.crepc.sk/?fn=detailBiblioForm&amp;sid=E58AF41CA0468A442DD786DC73")</f>
        <v>https://app.crepc.sk/?fn=detailBiblioForm&amp;sid=E58AF41CA0468A442DD786DC73</v>
      </c>
    </row>
    <row r="2572" spans="3:5" ht="45" x14ac:dyDescent="0.25">
      <c r="C2572" s="15">
        <v>443278</v>
      </c>
      <c r="D2572" s="4" t="s">
        <v>2576</v>
      </c>
      <c r="E2572" s="4" t="str">
        <f>HYPERLINK("https://app.crepc.sk/?fn=detailBiblioForm&amp;sid=05DFDDD0691F0F03237D107290")</f>
        <v>https://app.crepc.sk/?fn=detailBiblioForm&amp;sid=05DFDDD0691F0F03237D107290</v>
      </c>
    </row>
    <row r="2573" spans="3:5" ht="45" x14ac:dyDescent="0.25">
      <c r="C2573" s="15">
        <v>100602</v>
      </c>
      <c r="D2573" s="4" t="s">
        <v>2577</v>
      </c>
      <c r="E2573" s="4" t="str">
        <f>HYPERLINK("https://app.crepc.sk/?fn=detailBiblioForm&amp;sid=2204B64E72E25FC8E96FF15BC1")</f>
        <v>https://app.crepc.sk/?fn=detailBiblioForm&amp;sid=2204B64E72E25FC8E96FF15BC1</v>
      </c>
    </row>
    <row r="2574" spans="3:5" ht="60" x14ac:dyDescent="0.25">
      <c r="C2574" s="15">
        <v>430426</v>
      </c>
      <c r="D2574" s="4" t="s">
        <v>2578</v>
      </c>
      <c r="E2574" s="4" t="str">
        <f>HYPERLINK("https://app.crepc.sk/?fn=detailBiblioForm&amp;sid=56123830A8C00970BA04622E7E")</f>
        <v>https://app.crepc.sk/?fn=detailBiblioForm&amp;sid=56123830A8C00970BA04622E7E</v>
      </c>
    </row>
    <row r="2575" spans="3:5" ht="45" x14ac:dyDescent="0.25">
      <c r="C2575" s="15">
        <v>217177</v>
      </c>
      <c r="D2575" s="4" t="s">
        <v>2579</v>
      </c>
      <c r="E2575" s="4" t="str">
        <f>HYPERLINK("https://app.crepc.sk/?fn=detailBiblioForm&amp;sid=272E04D3E79414437EC30375A3")</f>
        <v>https://app.crepc.sk/?fn=detailBiblioForm&amp;sid=272E04D3E79414437EC30375A3</v>
      </c>
    </row>
    <row r="2576" spans="3:5" ht="45" x14ac:dyDescent="0.25">
      <c r="C2576" s="15">
        <v>82252</v>
      </c>
      <c r="D2576" s="4" t="s">
        <v>2580</v>
      </c>
      <c r="E2576" s="4" t="str">
        <f>HYPERLINK("https://app.crepc.sk/?fn=detailBiblioForm&amp;sid=3BDF811F5153EE0B93592654")</f>
        <v>https://app.crepc.sk/?fn=detailBiblioForm&amp;sid=3BDF811F5153EE0B93592654</v>
      </c>
    </row>
    <row r="2577" spans="3:5" ht="60" x14ac:dyDescent="0.25">
      <c r="C2577" s="15">
        <v>192422</v>
      </c>
      <c r="D2577" s="4" t="s">
        <v>2581</v>
      </c>
      <c r="E2577" s="4" t="str">
        <f>HYPERLINK("https://app.crepc.sk/?fn=detailBiblioForm&amp;sid=76A044AA0B04CBA20CC510FD9A")</f>
        <v>https://app.crepc.sk/?fn=detailBiblioForm&amp;sid=76A044AA0B04CBA20CC510FD9A</v>
      </c>
    </row>
    <row r="2578" spans="3:5" ht="45" x14ac:dyDescent="0.25">
      <c r="C2578" s="15">
        <v>185914</v>
      </c>
      <c r="D2578" s="4" t="s">
        <v>2582</v>
      </c>
      <c r="E2578" s="4" t="str">
        <f>HYPERLINK("https://app.crepc.sk/?fn=detailBiblioForm&amp;sid=0E3CFF6F9736DEA1273B989702")</f>
        <v>https://app.crepc.sk/?fn=detailBiblioForm&amp;sid=0E3CFF6F9736DEA1273B989702</v>
      </c>
    </row>
    <row r="2579" spans="3:5" ht="60" x14ac:dyDescent="0.25">
      <c r="C2579" s="15">
        <v>209574</v>
      </c>
      <c r="D2579" s="4" t="s">
        <v>2583</v>
      </c>
      <c r="E2579" s="4" t="str">
        <f>HYPERLINK("https://app.crepc.sk/?fn=detailBiblioForm&amp;sid=5D15CCFBDD7C9C1325B88220DC")</f>
        <v>https://app.crepc.sk/?fn=detailBiblioForm&amp;sid=5D15CCFBDD7C9C1325B88220DC</v>
      </c>
    </row>
    <row r="2580" spans="3:5" ht="60" x14ac:dyDescent="0.25">
      <c r="C2580" s="15">
        <v>155369</v>
      </c>
      <c r="D2580" s="4" t="s">
        <v>2584</v>
      </c>
      <c r="E2580" s="4" t="str">
        <f>HYPERLINK("https://app.crepc.sk/?fn=detailBiblioForm&amp;sid=78AFF12394AFE35F8C1F1C8992")</f>
        <v>https://app.crepc.sk/?fn=detailBiblioForm&amp;sid=78AFF12394AFE35F8C1F1C8992</v>
      </c>
    </row>
    <row r="2581" spans="3:5" ht="75" x14ac:dyDescent="0.25">
      <c r="C2581" s="15">
        <v>85765</v>
      </c>
      <c r="D2581" s="4" t="s">
        <v>2585</v>
      </c>
      <c r="E2581" s="4" t="str">
        <f>HYPERLINK("https://app.crepc.sk/?fn=detailBiblioForm&amp;sid=8BF1488BC5A7F79D5EEA59CB")</f>
        <v>https://app.crepc.sk/?fn=detailBiblioForm&amp;sid=8BF1488BC5A7F79D5EEA59CB</v>
      </c>
    </row>
    <row r="2582" spans="3:5" ht="60" x14ac:dyDescent="0.25">
      <c r="C2582" s="15">
        <v>315838</v>
      </c>
      <c r="D2582" s="4" t="s">
        <v>2586</v>
      </c>
      <c r="E2582" s="4" t="str">
        <f>HYPERLINK("https://app.crepc.sk/?fn=detailBiblioForm&amp;sid=86DD2B30A0B3D5650B11BBCF36")</f>
        <v>https://app.crepc.sk/?fn=detailBiblioForm&amp;sid=86DD2B30A0B3D5650B11BBCF36</v>
      </c>
    </row>
    <row r="2583" spans="3:5" ht="75" x14ac:dyDescent="0.25">
      <c r="C2583" s="15">
        <v>102294</v>
      </c>
      <c r="D2583" s="4" t="s">
        <v>2587</v>
      </c>
      <c r="E2583" s="4" t="str">
        <f>HYPERLINK("https://app.crepc.sk/?fn=detailBiblioForm&amp;sid=2E010DF3E4CBC2317C2A41E259")</f>
        <v>https://app.crepc.sk/?fn=detailBiblioForm&amp;sid=2E010DF3E4CBC2317C2A41E259</v>
      </c>
    </row>
    <row r="2584" spans="3:5" ht="60" x14ac:dyDescent="0.25">
      <c r="C2584" s="15">
        <v>119827</v>
      </c>
      <c r="D2584" s="4" t="s">
        <v>2588</v>
      </c>
      <c r="E2584" s="4" t="str">
        <f>HYPERLINK("https://app.crepc.sk/?fn=detailBiblioForm&amp;sid=ED186B153EF2F632F949723008")</f>
        <v>https://app.crepc.sk/?fn=detailBiblioForm&amp;sid=ED186B153EF2F632F949723008</v>
      </c>
    </row>
    <row r="2585" spans="3:5" ht="60" x14ac:dyDescent="0.25">
      <c r="C2585" s="15">
        <v>95751</v>
      </c>
      <c r="D2585" s="4" t="s">
        <v>2589</v>
      </c>
      <c r="E2585" s="4" t="str">
        <f>HYPERLINK("https://app.crepc.sk/?fn=detailBiblioForm&amp;sid=699E3888212D81F674C41D45")</f>
        <v>https://app.crepc.sk/?fn=detailBiblioForm&amp;sid=699E3888212D81F674C41D45</v>
      </c>
    </row>
    <row r="2586" spans="3:5" ht="45" x14ac:dyDescent="0.25">
      <c r="C2586" s="15">
        <v>196003</v>
      </c>
      <c r="D2586" s="4" t="s">
        <v>2590</v>
      </c>
      <c r="E2586" s="4" t="str">
        <f>HYPERLINK("https://app.crepc.sk/?fn=detailBiblioForm&amp;sid=1FF0F555295BBAD69F5B175909")</f>
        <v>https://app.crepc.sk/?fn=detailBiblioForm&amp;sid=1FF0F555295BBAD69F5B175909</v>
      </c>
    </row>
    <row r="2587" spans="3:5" ht="45" x14ac:dyDescent="0.25">
      <c r="C2587" s="15">
        <v>193880</v>
      </c>
      <c r="D2587" s="4" t="s">
        <v>2591</v>
      </c>
      <c r="E2587" s="4" t="str">
        <f>HYPERLINK("https://app.crepc.sk/?fn=detailBiblioForm&amp;sid=E20D8D887E442817FF7C583B6F")</f>
        <v>https://app.crepc.sk/?fn=detailBiblioForm&amp;sid=E20D8D887E442817FF7C583B6F</v>
      </c>
    </row>
    <row r="2588" spans="3:5" ht="60" x14ac:dyDescent="0.25">
      <c r="C2588" s="15">
        <v>246232</v>
      </c>
      <c r="D2588" s="4" t="s">
        <v>2592</v>
      </c>
      <c r="E2588" s="4" t="str">
        <f>HYPERLINK("https://app.crepc.sk/?fn=detailBiblioForm&amp;sid=31C8E708FF3B216F2D0E4DC45D")</f>
        <v>https://app.crepc.sk/?fn=detailBiblioForm&amp;sid=31C8E708FF3B216F2D0E4DC45D</v>
      </c>
    </row>
    <row r="2589" spans="3:5" ht="45" x14ac:dyDescent="0.25">
      <c r="C2589" s="15">
        <v>196562</v>
      </c>
      <c r="D2589" s="4" t="s">
        <v>2593</v>
      </c>
      <c r="E2589" s="4" t="str">
        <f>HYPERLINK("https://app.crepc.sk/?fn=detailBiblioForm&amp;sid=D843D49F92241BBFE8361A5B09")</f>
        <v>https://app.crepc.sk/?fn=detailBiblioForm&amp;sid=D843D49F92241BBFE8361A5B09</v>
      </c>
    </row>
    <row r="2590" spans="3:5" ht="45" x14ac:dyDescent="0.25">
      <c r="C2590" s="15">
        <v>150946</v>
      </c>
      <c r="D2590" s="4" t="s">
        <v>2594</v>
      </c>
      <c r="E2590" s="4" t="str">
        <f>HYPERLINK("https://app.crepc.sk/?fn=detailBiblioForm&amp;sid=1DDC86077D8354F3A7FCF2B260")</f>
        <v>https://app.crepc.sk/?fn=detailBiblioForm&amp;sid=1DDC86077D8354F3A7FCF2B260</v>
      </c>
    </row>
    <row r="2591" spans="3:5" ht="75" x14ac:dyDescent="0.25">
      <c r="C2591" s="15">
        <v>192420</v>
      </c>
      <c r="D2591" s="4" t="s">
        <v>2595</v>
      </c>
      <c r="E2591" s="4" t="str">
        <f>HYPERLINK("https://app.crepc.sk/?fn=detailBiblioForm&amp;sid=76A044AA0B04CBA20CC710FD9A")</f>
        <v>https://app.crepc.sk/?fn=detailBiblioForm&amp;sid=76A044AA0B04CBA20CC710FD9A</v>
      </c>
    </row>
    <row r="2592" spans="3:5" ht="75" x14ac:dyDescent="0.25">
      <c r="C2592" s="15">
        <v>196888</v>
      </c>
      <c r="D2592" s="4" t="s">
        <v>2596</v>
      </c>
      <c r="E2592" s="4" t="str">
        <f>HYPERLINK("https://app.crepc.sk/?fn=detailBiblioForm&amp;sid=71273B11B862991D7F0563B5FC")</f>
        <v>https://app.crepc.sk/?fn=detailBiblioForm&amp;sid=71273B11B862991D7F0563B5FC</v>
      </c>
    </row>
    <row r="2593" spans="3:5" ht="75" x14ac:dyDescent="0.25">
      <c r="C2593" s="15">
        <v>196893</v>
      </c>
      <c r="D2593" s="4" t="s">
        <v>2597</v>
      </c>
      <c r="E2593" s="4" t="str">
        <f>HYPERLINK("https://app.crepc.sk/?fn=detailBiblioForm&amp;sid=71273B11B862991D7E0E63B5FC")</f>
        <v>https://app.crepc.sk/?fn=detailBiblioForm&amp;sid=71273B11B862991D7E0E63B5FC</v>
      </c>
    </row>
    <row r="2594" spans="3:5" ht="60" x14ac:dyDescent="0.25">
      <c r="C2594" s="15">
        <v>123020</v>
      </c>
      <c r="D2594" s="4" t="s">
        <v>2598</v>
      </c>
      <c r="E2594" s="4" t="str">
        <f>HYPERLINK("https://app.crepc.sk/?fn=detailBiblioForm&amp;sid=2C489247B5D608FF5242A8A290")</f>
        <v>https://app.crepc.sk/?fn=detailBiblioForm&amp;sid=2C489247B5D608FF5242A8A290</v>
      </c>
    </row>
    <row r="2595" spans="3:5" ht="60" x14ac:dyDescent="0.25">
      <c r="C2595" s="15">
        <v>170214</v>
      </c>
      <c r="D2595" s="4" t="s">
        <v>2599</v>
      </c>
      <c r="E2595" s="4" t="str">
        <f>HYPERLINK("https://app.crepc.sk/?fn=detailBiblioForm&amp;sid=1CB25EF4639541CD2AC9D9150E")</f>
        <v>https://app.crepc.sk/?fn=detailBiblioForm&amp;sid=1CB25EF4639541CD2AC9D9150E</v>
      </c>
    </row>
    <row r="2596" spans="3:5" ht="60" x14ac:dyDescent="0.25">
      <c r="C2596" s="15">
        <v>197542</v>
      </c>
      <c r="D2596" s="4" t="s">
        <v>2600</v>
      </c>
      <c r="E2596" s="4" t="str">
        <f>HYPERLINK("https://app.crepc.sk/?fn=detailBiblioForm&amp;sid=D57BF42135A254DE89C9DC7B59")</f>
        <v>https://app.crepc.sk/?fn=detailBiblioForm&amp;sid=D57BF42135A254DE89C9DC7B59</v>
      </c>
    </row>
    <row r="2597" spans="3:5" ht="45" x14ac:dyDescent="0.25">
      <c r="C2597" s="15">
        <v>226455</v>
      </c>
      <c r="D2597" s="4" t="s">
        <v>2601</v>
      </c>
      <c r="E2597" s="4" t="str">
        <f>HYPERLINK("https://app.crepc.sk/?fn=detailBiblioForm&amp;sid=FE8BF299DCDA09080EEB3CDD0F")</f>
        <v>https://app.crepc.sk/?fn=detailBiblioForm&amp;sid=FE8BF299DCDA09080EEB3CDD0F</v>
      </c>
    </row>
    <row r="2598" spans="3:5" ht="45" x14ac:dyDescent="0.25">
      <c r="C2598" s="15">
        <v>413874</v>
      </c>
      <c r="D2598" s="4" t="s">
        <v>2602</v>
      </c>
      <c r="E2598" s="4" t="str">
        <f>HYPERLINK("https://app.crepc.sk/?fn=detailBiblioForm&amp;sid=0666E4DD92649C3D16597B444D")</f>
        <v>https://app.crepc.sk/?fn=detailBiblioForm&amp;sid=0666E4DD92649C3D16597B444D</v>
      </c>
    </row>
    <row r="2599" spans="3:5" ht="45" x14ac:dyDescent="0.25">
      <c r="C2599" s="15">
        <v>198880</v>
      </c>
      <c r="D2599" s="4" t="s">
        <v>2603</v>
      </c>
      <c r="E2599" s="4" t="str">
        <f>HYPERLINK("https://app.crepc.sk/?fn=detailBiblioForm&amp;sid=18DD23044A020D16F71EB595B9")</f>
        <v>https://app.crepc.sk/?fn=detailBiblioForm&amp;sid=18DD23044A020D16F71EB595B9</v>
      </c>
    </row>
    <row r="2600" spans="3:5" ht="60" x14ac:dyDescent="0.25">
      <c r="C2600" s="15">
        <v>444723</v>
      </c>
      <c r="D2600" s="4" t="s">
        <v>2604</v>
      </c>
      <c r="E2600" s="4" t="str">
        <f>HYPERLINK("https://app.crepc.sk/?fn=detailBiblioForm&amp;sid=FDCC891FB5F03A4682718A404B")</f>
        <v>https://app.crepc.sk/?fn=detailBiblioForm&amp;sid=FDCC891FB5F03A4682718A404B</v>
      </c>
    </row>
    <row r="2601" spans="3:5" ht="60" x14ac:dyDescent="0.25">
      <c r="C2601" s="15">
        <v>155353</v>
      </c>
      <c r="D2601" s="4" t="s">
        <v>2605</v>
      </c>
      <c r="E2601" s="4" t="str">
        <f>HYPERLINK("https://app.crepc.sk/?fn=detailBiblioForm&amp;sid=78AFF12394AFE35F8F151C8992")</f>
        <v>https://app.crepc.sk/?fn=detailBiblioForm&amp;sid=78AFF12394AFE35F8F151C8992</v>
      </c>
    </row>
    <row r="2602" spans="3:5" ht="60" x14ac:dyDescent="0.25">
      <c r="C2602" s="15">
        <v>51719</v>
      </c>
      <c r="D2602" s="4" t="s">
        <v>2606</v>
      </c>
      <c r="E2602" s="4" t="str">
        <f>HYPERLINK("https://app.crepc.sk/?fn=detailBiblioForm&amp;sid=09AFB01E4EA653A527568FF9")</f>
        <v>https://app.crepc.sk/?fn=detailBiblioForm&amp;sid=09AFB01E4EA653A527568FF9</v>
      </c>
    </row>
    <row r="2603" spans="3:5" ht="45" x14ac:dyDescent="0.25">
      <c r="C2603" s="15">
        <v>129005</v>
      </c>
      <c r="D2603" s="4" t="s">
        <v>2607</v>
      </c>
      <c r="E2603" s="4" t="str">
        <f>HYPERLINK("https://app.crepc.sk/?fn=detailBiblioForm&amp;sid=8ED2C2B0C8CAA517FA6F6E93E7")</f>
        <v>https://app.crepc.sk/?fn=detailBiblioForm&amp;sid=8ED2C2B0C8CAA517FA6F6E93E7</v>
      </c>
    </row>
    <row r="2604" spans="3:5" ht="60" x14ac:dyDescent="0.25">
      <c r="C2604" s="15">
        <v>226268</v>
      </c>
      <c r="D2604" s="4" t="s">
        <v>2608</v>
      </c>
      <c r="E2604" s="4" t="str">
        <f>HYPERLINK("https://app.crepc.sk/?fn=detailBiblioForm&amp;sid=C26C17FB3B3CF8D780FA9DB584")</f>
        <v>https://app.crepc.sk/?fn=detailBiblioForm&amp;sid=C26C17FB3B3CF8D780FA9DB584</v>
      </c>
    </row>
    <row r="2605" spans="3:5" ht="45" x14ac:dyDescent="0.25">
      <c r="C2605" s="15">
        <v>87031</v>
      </c>
      <c r="D2605" s="4" t="s">
        <v>2609</v>
      </c>
      <c r="E2605" s="4" t="str">
        <f>HYPERLINK("https://app.crepc.sk/?fn=detailBiblioForm&amp;sid=AFC64ECF2FDD061F8468B57E")</f>
        <v>https://app.crepc.sk/?fn=detailBiblioForm&amp;sid=AFC64ECF2FDD061F8468B57E</v>
      </c>
    </row>
    <row r="2606" spans="3:5" ht="60" x14ac:dyDescent="0.25">
      <c r="C2606" s="15">
        <v>116625</v>
      </c>
      <c r="D2606" s="4" t="s">
        <v>2610</v>
      </c>
      <c r="E2606" s="4" t="str">
        <f>HYPERLINK("https://app.crepc.sk/?fn=detailBiblioForm&amp;sid=C7058B2E53B5EC4D92120DAE3B")</f>
        <v>https://app.crepc.sk/?fn=detailBiblioForm&amp;sid=C7058B2E53B5EC4D92120DAE3B</v>
      </c>
    </row>
    <row r="2607" spans="3:5" ht="45" x14ac:dyDescent="0.25">
      <c r="C2607" s="15">
        <v>246326</v>
      </c>
      <c r="D2607" s="4" t="s">
        <v>2611</v>
      </c>
      <c r="E2607" s="4" t="str">
        <f>HYPERLINK("https://app.crepc.sk/?fn=detailBiblioForm&amp;sid=37814BE5097F908CC6591C236C")</f>
        <v>https://app.crepc.sk/?fn=detailBiblioForm&amp;sid=37814BE5097F908CC6591C236C</v>
      </c>
    </row>
    <row r="2608" spans="3:5" ht="60" x14ac:dyDescent="0.25">
      <c r="C2608" s="15">
        <v>206012</v>
      </c>
      <c r="D2608" s="4" t="s">
        <v>2612</v>
      </c>
      <c r="E2608" s="4" t="str">
        <f>HYPERLINK("https://app.crepc.sk/?fn=detailBiblioForm&amp;sid=8A3D6BC1A0983428FC60184B23")</f>
        <v>https://app.crepc.sk/?fn=detailBiblioForm&amp;sid=8A3D6BC1A0983428FC60184B23</v>
      </c>
    </row>
    <row r="2609" spans="3:5" ht="45" x14ac:dyDescent="0.25">
      <c r="C2609" s="15">
        <v>254267</v>
      </c>
      <c r="D2609" s="4" t="s">
        <v>2613</v>
      </c>
      <c r="E2609" s="4" t="str">
        <f>HYPERLINK("https://app.crepc.sk/?fn=detailBiblioForm&amp;sid=E9679CAB9090E665C6CEB48272")</f>
        <v>https://app.crepc.sk/?fn=detailBiblioForm&amp;sid=E9679CAB9090E665C6CEB48272</v>
      </c>
    </row>
    <row r="2610" spans="3:5" ht="75" x14ac:dyDescent="0.25">
      <c r="C2610" s="15">
        <v>316728</v>
      </c>
      <c r="D2610" s="4" t="s">
        <v>2614</v>
      </c>
      <c r="E2610" s="4" t="str">
        <f>HYPERLINK("https://app.crepc.sk/?fn=detailBiblioForm&amp;sid=31B74E2C3D2F4979E892C5B881")</f>
        <v>https://app.crepc.sk/?fn=detailBiblioForm&amp;sid=31B74E2C3D2F4979E892C5B881</v>
      </c>
    </row>
    <row r="2611" spans="3:5" ht="45" x14ac:dyDescent="0.25">
      <c r="C2611" s="15">
        <v>214814</v>
      </c>
      <c r="D2611" s="4" t="s">
        <v>2615</v>
      </c>
      <c r="E2611" s="4" t="str">
        <f>HYPERLINK("https://app.crepc.sk/?fn=detailBiblioForm&amp;sid=A06FA5B38568DD1490DBEE68D3")</f>
        <v>https://app.crepc.sk/?fn=detailBiblioForm&amp;sid=A06FA5B38568DD1490DBEE68D3</v>
      </c>
    </row>
    <row r="2612" spans="3:5" ht="45" x14ac:dyDescent="0.25">
      <c r="C2612" s="15">
        <v>209606</v>
      </c>
      <c r="D2612" s="4" t="s">
        <v>2616</v>
      </c>
      <c r="E2612" s="4" t="str">
        <f>HYPERLINK("https://app.crepc.sk/?fn=detailBiblioForm&amp;sid=2555DC9CD39DCDC0823AF08264")</f>
        <v>https://app.crepc.sk/?fn=detailBiblioForm&amp;sid=2555DC9CD39DCDC0823AF08264</v>
      </c>
    </row>
    <row r="2613" spans="3:5" ht="60" x14ac:dyDescent="0.25">
      <c r="C2613" s="15">
        <v>241265</v>
      </c>
      <c r="D2613" s="4" t="s">
        <v>2617</v>
      </c>
      <c r="E2613" s="4" t="str">
        <f>HYPERLINK("https://app.crepc.sk/?fn=detailBiblioForm&amp;sid=219D60F26EF95CE10E512B998E")</f>
        <v>https://app.crepc.sk/?fn=detailBiblioForm&amp;sid=219D60F26EF95CE10E512B998E</v>
      </c>
    </row>
    <row r="2614" spans="3:5" ht="45" x14ac:dyDescent="0.25">
      <c r="C2614" s="15">
        <v>53203</v>
      </c>
      <c r="D2614" s="4" t="s">
        <v>2618</v>
      </c>
      <c r="E2614" s="4" t="str">
        <f>HYPERLINK("https://app.crepc.sk/?fn=detailBiblioForm&amp;sid=311B5BF38C097198261DA6EF")</f>
        <v>https://app.crepc.sk/?fn=detailBiblioForm&amp;sid=311B5BF38C097198261DA6EF</v>
      </c>
    </row>
    <row r="2615" spans="3:5" ht="60" x14ac:dyDescent="0.25">
      <c r="C2615" s="15">
        <v>136629</v>
      </c>
      <c r="D2615" s="4" t="s">
        <v>2619</v>
      </c>
      <c r="E2615" s="4" t="str">
        <f>HYPERLINK("https://app.crepc.sk/?fn=detailBiblioForm&amp;sid=4D4167EFBDF6647E3FC3C3831D")</f>
        <v>https://app.crepc.sk/?fn=detailBiblioForm&amp;sid=4D4167EFBDF6647E3FC3C3831D</v>
      </c>
    </row>
    <row r="2616" spans="3:5" ht="120" x14ac:dyDescent="0.25">
      <c r="C2616" s="15">
        <v>421558</v>
      </c>
      <c r="D2616" s="4" t="s">
        <v>2620</v>
      </c>
      <c r="E2616" s="4" t="str">
        <f>HYPERLINK("https://app.crepc.sk/?fn=detailBiblioForm&amp;sid=336A6FAB9BB8BEE45F16092CE8")</f>
        <v>https://app.crepc.sk/?fn=detailBiblioForm&amp;sid=336A6FAB9BB8BEE45F16092CE8</v>
      </c>
    </row>
    <row r="2617" spans="3:5" ht="60" x14ac:dyDescent="0.25">
      <c r="C2617" s="15">
        <v>51974</v>
      </c>
      <c r="D2617" s="4" t="s">
        <v>2621</v>
      </c>
      <c r="E2617" s="4" t="str">
        <f>HYPERLINK("https://app.crepc.sk/?fn=detailBiblioForm&amp;sid=3CF9681F115FD6E29C09C569")</f>
        <v>https://app.crepc.sk/?fn=detailBiblioForm&amp;sid=3CF9681F115FD6E29C09C569</v>
      </c>
    </row>
    <row r="2618" spans="3:5" ht="60" x14ac:dyDescent="0.25">
      <c r="C2618" s="15">
        <v>82469</v>
      </c>
      <c r="D2618" s="4" t="s">
        <v>2622</v>
      </c>
      <c r="E2618" s="4" t="str">
        <f>HYPERLINK("https://app.crepc.sk/?fn=detailBiblioForm&amp;sid=E48AA23DC3B6C291612B534D")</f>
        <v>https://app.crepc.sk/?fn=detailBiblioForm&amp;sid=E48AA23DC3B6C291612B534D</v>
      </c>
    </row>
    <row r="2619" spans="3:5" ht="45" x14ac:dyDescent="0.25">
      <c r="C2619" s="15">
        <v>91550</v>
      </c>
      <c r="D2619" s="4" t="s">
        <v>2623</v>
      </c>
      <c r="E2619" s="4" t="str">
        <f>HYPERLINK("https://app.crepc.sk/?fn=detailBiblioForm&amp;sid=1BDE7804155D4CE71EB86BE4")</f>
        <v>https://app.crepc.sk/?fn=detailBiblioForm&amp;sid=1BDE7804155D4CE71EB86BE4</v>
      </c>
    </row>
    <row r="2620" spans="3:5" ht="45" x14ac:dyDescent="0.25">
      <c r="C2620" s="15">
        <v>197325</v>
      </c>
      <c r="D2620" s="4" t="s">
        <v>2624</v>
      </c>
      <c r="E2620" s="4" t="str">
        <f>HYPERLINK("https://app.crepc.sk/?fn=detailBiblioForm&amp;sid=DC4ED816FF1BFB25810D897557")</f>
        <v>https://app.crepc.sk/?fn=detailBiblioForm&amp;sid=DC4ED816FF1BFB25810D897557</v>
      </c>
    </row>
    <row r="2621" spans="3:5" ht="45" x14ac:dyDescent="0.25">
      <c r="C2621" s="15">
        <v>179574</v>
      </c>
      <c r="D2621" s="4" t="s">
        <v>2625</v>
      </c>
      <c r="E2621" s="4" t="str">
        <f>HYPERLINK("https://app.crepc.sk/?fn=detailBiblioForm&amp;sid=D2CDA85DA56256F277398485A6")</f>
        <v>https://app.crepc.sk/?fn=detailBiblioForm&amp;sid=D2CDA85DA56256F277398485A6</v>
      </c>
    </row>
    <row r="2622" spans="3:5" ht="45" x14ac:dyDescent="0.25">
      <c r="C2622" s="15">
        <v>68508</v>
      </c>
      <c r="D2622" s="4" t="s">
        <v>2626</v>
      </c>
      <c r="E2622" s="4" t="str">
        <f>HYPERLINK("https://app.crepc.sk/?fn=detailBiblioForm&amp;sid=6D64BBFD16C84C47E5192729")</f>
        <v>https://app.crepc.sk/?fn=detailBiblioForm&amp;sid=6D64BBFD16C84C47E5192729</v>
      </c>
    </row>
    <row r="2623" spans="3:5" ht="45" x14ac:dyDescent="0.25">
      <c r="C2623" s="15">
        <v>173477</v>
      </c>
      <c r="D2623" s="4" t="s">
        <v>2627</v>
      </c>
      <c r="E2623" s="4" t="str">
        <f>HYPERLINK("https://app.crepc.sk/?fn=detailBiblioForm&amp;sid=1F20E14014F543F14C0139B011")</f>
        <v>https://app.crepc.sk/?fn=detailBiblioForm&amp;sid=1F20E14014F543F14C0139B011</v>
      </c>
    </row>
    <row r="2624" spans="3:5" ht="60" x14ac:dyDescent="0.25">
      <c r="C2624" s="15">
        <v>310784</v>
      </c>
      <c r="D2624" s="4" t="s">
        <v>2628</v>
      </c>
      <c r="E2624" s="4" t="str">
        <f>HYPERLINK("https://app.crepc.sk/?fn=detailBiblioForm&amp;sid=BA568C50EF7A76E2DBF014E589")</f>
        <v>https://app.crepc.sk/?fn=detailBiblioForm&amp;sid=BA568C50EF7A76E2DBF014E589</v>
      </c>
    </row>
    <row r="2625" spans="3:5" ht="75" x14ac:dyDescent="0.25">
      <c r="C2625" s="15">
        <v>430027</v>
      </c>
      <c r="D2625" s="4" t="s">
        <v>2629</v>
      </c>
      <c r="E2625" s="4" t="str">
        <f>HYPERLINK("https://app.crepc.sk/?fn=detailBiblioForm&amp;sid=F2E556D6E2C83231B015416B40")</f>
        <v>https://app.crepc.sk/?fn=detailBiblioForm&amp;sid=F2E556D6E2C83231B015416B40</v>
      </c>
    </row>
    <row r="2626" spans="3:5" ht="60" x14ac:dyDescent="0.25">
      <c r="C2626" s="15">
        <v>230087</v>
      </c>
      <c r="D2626" s="4" t="s">
        <v>2630</v>
      </c>
      <c r="E2626" s="4" t="str">
        <f>HYPERLINK("https://app.crepc.sk/?fn=detailBiblioForm&amp;sid=1447EAD9E9ED6D3C287D565EB0")</f>
        <v>https://app.crepc.sk/?fn=detailBiblioForm&amp;sid=1447EAD9E9ED6D3C287D565EB0</v>
      </c>
    </row>
    <row r="2627" spans="3:5" ht="75" x14ac:dyDescent="0.25">
      <c r="C2627" s="15">
        <v>192470</v>
      </c>
      <c r="D2627" s="4" t="s">
        <v>2631</v>
      </c>
      <c r="E2627" s="4" t="str">
        <f>HYPERLINK("https://app.crepc.sk/?fn=detailBiblioForm&amp;sid=76A044AA0B04CBA209C710FD9A")</f>
        <v>https://app.crepc.sk/?fn=detailBiblioForm&amp;sid=76A044AA0B04CBA209C710FD9A</v>
      </c>
    </row>
    <row r="2628" spans="3:5" ht="60" x14ac:dyDescent="0.25">
      <c r="C2628" s="15">
        <v>198698</v>
      </c>
      <c r="D2628" s="4" t="s">
        <v>2632</v>
      </c>
      <c r="E2628" s="4" t="str">
        <f>HYPERLINK("https://app.crepc.sk/?fn=detailBiblioForm&amp;sid=401135A7AF766B14F016A652F8")</f>
        <v>https://app.crepc.sk/?fn=detailBiblioForm&amp;sid=401135A7AF766B14F016A652F8</v>
      </c>
    </row>
    <row r="2629" spans="3:5" ht="60" x14ac:dyDescent="0.25">
      <c r="C2629" s="15">
        <v>85988</v>
      </c>
      <c r="D2629" s="4" t="s">
        <v>2633</v>
      </c>
      <c r="E2629" s="4" t="str">
        <f>HYPERLINK("https://app.crepc.sk/?fn=detailBiblioForm&amp;sid=6E26F1E54CFFC2443DB60CAD")</f>
        <v>https://app.crepc.sk/?fn=detailBiblioForm&amp;sid=6E26F1E54CFFC2443DB60CAD</v>
      </c>
    </row>
    <row r="2630" spans="3:5" ht="45" x14ac:dyDescent="0.25">
      <c r="C2630" s="15">
        <v>58603</v>
      </c>
      <c r="D2630" s="4" t="s">
        <v>2634</v>
      </c>
      <c r="E2630" s="4" t="str">
        <f>HYPERLINK("https://app.crepc.sk/?fn=detailBiblioForm&amp;sid=843FEDAA2FCEA789971FFAD9")</f>
        <v>https://app.crepc.sk/?fn=detailBiblioForm&amp;sid=843FEDAA2FCEA789971FFAD9</v>
      </c>
    </row>
    <row r="2631" spans="3:5" ht="45" x14ac:dyDescent="0.25">
      <c r="C2631" s="15">
        <v>239536</v>
      </c>
      <c r="D2631" s="4" t="s">
        <v>2635</v>
      </c>
      <c r="E2631" s="4" t="str">
        <f>HYPERLINK("https://app.crepc.sk/?fn=detailBiblioForm&amp;sid=B320F1BF23C35CD232C99D5B47")</f>
        <v>https://app.crepc.sk/?fn=detailBiblioForm&amp;sid=B320F1BF23C35CD232C99D5B47</v>
      </c>
    </row>
    <row r="2632" spans="3:5" ht="45" x14ac:dyDescent="0.25">
      <c r="C2632" s="15">
        <v>138534</v>
      </c>
      <c r="D2632" s="4" t="s">
        <v>2636</v>
      </c>
      <c r="E2632" s="4" t="str">
        <f>HYPERLINK("https://app.crepc.sk/?fn=detailBiblioForm&amp;sid=BCBBF6F1CE9D98DE3B077122CC")</f>
        <v>https://app.crepc.sk/?fn=detailBiblioForm&amp;sid=BCBBF6F1CE9D98DE3B077122CC</v>
      </c>
    </row>
    <row r="2633" spans="3:5" ht="45" x14ac:dyDescent="0.25">
      <c r="C2633" s="15">
        <v>209589</v>
      </c>
      <c r="D2633" s="4" t="s">
        <v>2637</v>
      </c>
      <c r="E2633" s="4" t="str">
        <f>HYPERLINK("https://app.crepc.sk/?fn=detailBiblioForm&amp;sid=5D15CCFBDD7C9C132AB58220DC")</f>
        <v>https://app.crepc.sk/?fn=detailBiblioForm&amp;sid=5D15CCFBDD7C9C132AB58220DC</v>
      </c>
    </row>
    <row r="2634" spans="3:5" ht="45" x14ac:dyDescent="0.25">
      <c r="C2634" s="15">
        <v>208806</v>
      </c>
      <c r="D2634" s="4" t="s">
        <v>2638</v>
      </c>
      <c r="E2634" s="4" t="str">
        <f>HYPERLINK("https://app.crepc.sk/?fn=detailBiblioForm&amp;sid=8709A00DECECE1CBA04045B0F2")</f>
        <v>https://app.crepc.sk/?fn=detailBiblioForm&amp;sid=8709A00DECECE1CBA04045B0F2</v>
      </c>
    </row>
    <row r="2635" spans="3:5" ht="60" x14ac:dyDescent="0.25">
      <c r="C2635" s="15">
        <v>115700</v>
      </c>
      <c r="D2635" s="4" t="s">
        <v>2639</v>
      </c>
      <c r="E2635" s="4" t="str">
        <f>HYPERLINK("https://app.crepc.sk/?fn=detailBiblioForm&amp;sid=D6D3FA1F9AF5FFB8A160CC7F52")</f>
        <v>https://app.crepc.sk/?fn=detailBiblioForm&amp;sid=D6D3FA1F9AF5FFB8A160CC7F52</v>
      </c>
    </row>
    <row r="2636" spans="3:5" ht="60" x14ac:dyDescent="0.25">
      <c r="C2636" s="15">
        <v>88101</v>
      </c>
      <c r="D2636" s="4" t="s">
        <v>2640</v>
      </c>
      <c r="E2636" s="4" t="str">
        <f>HYPERLINK("https://app.crepc.sk/?fn=detailBiblioForm&amp;sid=4801E49D3DF5946B3CAC8865")</f>
        <v>https://app.crepc.sk/?fn=detailBiblioForm&amp;sid=4801E49D3DF5946B3CAC8865</v>
      </c>
    </row>
    <row r="2637" spans="3:5" ht="60" x14ac:dyDescent="0.25">
      <c r="C2637" s="15">
        <v>182838</v>
      </c>
      <c r="D2637" s="4" t="s">
        <v>2641</v>
      </c>
      <c r="E2637" s="4" t="str">
        <f>HYPERLINK("https://app.crepc.sk/?fn=detailBiblioForm&amp;sid=A6A9937D4AB687F478C4E5BFFE")</f>
        <v>https://app.crepc.sk/?fn=detailBiblioForm&amp;sid=A6A9937D4AB687F478C4E5BFFE</v>
      </c>
    </row>
    <row r="2638" spans="3:5" ht="45" x14ac:dyDescent="0.25">
      <c r="C2638" s="15">
        <v>176092</v>
      </c>
      <c r="D2638" s="4" t="s">
        <v>2642</v>
      </c>
      <c r="E2638" s="4" t="str">
        <f>HYPERLINK("https://app.crepc.sk/?fn=detailBiblioForm&amp;sid=36F4BD7000BAB49A1BC22BC6B7")</f>
        <v>https://app.crepc.sk/?fn=detailBiblioForm&amp;sid=36F4BD7000BAB49A1BC22BC6B7</v>
      </c>
    </row>
    <row r="2639" spans="3:5" ht="45" x14ac:dyDescent="0.25">
      <c r="C2639" s="15">
        <v>424750</v>
      </c>
      <c r="D2639" s="4" t="s">
        <v>2643</v>
      </c>
      <c r="E2639" s="4" t="str">
        <f>HYPERLINK("https://app.crepc.sk/?fn=detailBiblioForm&amp;sid=43F9B6408AF6905288402D677C")</f>
        <v>https://app.crepc.sk/?fn=detailBiblioForm&amp;sid=43F9B6408AF6905288402D677C</v>
      </c>
    </row>
    <row r="2640" spans="3:5" ht="45" x14ac:dyDescent="0.25">
      <c r="C2640" s="15">
        <v>95615</v>
      </c>
      <c r="D2640" s="4" t="s">
        <v>2644</v>
      </c>
      <c r="E2640" s="4" t="str">
        <f>HYPERLINK("https://app.crepc.sk/?fn=detailBiblioForm&amp;sid=25A51BE5E7E3D0FDBA0CDE07")</f>
        <v>https://app.crepc.sk/?fn=detailBiblioForm&amp;sid=25A51BE5E7E3D0FDBA0CDE07</v>
      </c>
    </row>
    <row r="2641" spans="3:5" ht="60" x14ac:dyDescent="0.25">
      <c r="C2641" s="15">
        <v>455631</v>
      </c>
      <c r="D2641" s="4" t="s">
        <v>2645</v>
      </c>
      <c r="E2641" s="4" t="str">
        <f>HYPERLINK("https://app.crepc.sk/?fn=detailBiblioForm&amp;sid=AB8313164A966A36F7BAC17AB6")</f>
        <v>https://app.crepc.sk/?fn=detailBiblioForm&amp;sid=AB8313164A966A36F7BAC17AB6</v>
      </c>
    </row>
    <row r="2642" spans="3:5" ht="60" x14ac:dyDescent="0.25">
      <c r="C2642" s="15">
        <v>217921</v>
      </c>
      <c r="D2642" s="4" t="s">
        <v>2646</v>
      </c>
      <c r="E2642" s="4" t="str">
        <f>HYPERLINK("https://app.crepc.sk/?fn=detailBiblioForm&amp;sid=9E759344E92A278518E1C915AD")</f>
        <v>https://app.crepc.sk/?fn=detailBiblioForm&amp;sid=9E759344E92A278518E1C915AD</v>
      </c>
    </row>
    <row r="2643" spans="3:5" ht="75" x14ac:dyDescent="0.25">
      <c r="C2643" s="15">
        <v>143348</v>
      </c>
      <c r="D2643" s="4" t="s">
        <v>2647</v>
      </c>
      <c r="E2643" s="4" t="str">
        <f>HYPERLINK("https://app.crepc.sk/?fn=detailBiblioForm&amp;sid=20F6D125F7A47F553790D455D1")</f>
        <v>https://app.crepc.sk/?fn=detailBiblioForm&amp;sid=20F6D125F7A47F553790D455D1</v>
      </c>
    </row>
    <row r="2644" spans="3:5" ht="75" x14ac:dyDescent="0.25">
      <c r="C2644" s="15">
        <v>253541</v>
      </c>
      <c r="D2644" s="4" t="s">
        <v>2648</v>
      </c>
      <c r="E2644" s="4" t="str">
        <f>HYPERLINK("https://app.crepc.sk/?fn=detailBiblioForm&amp;sid=CEF2DEE1832EFB79AEB96939C9")</f>
        <v>https://app.crepc.sk/?fn=detailBiblioForm&amp;sid=CEF2DEE1832EFB79AEB96939C9</v>
      </c>
    </row>
    <row r="2645" spans="3:5" ht="45" x14ac:dyDescent="0.25">
      <c r="C2645" s="15">
        <v>161401</v>
      </c>
      <c r="D2645" s="4" t="s">
        <v>2649</v>
      </c>
      <c r="E2645" s="4" t="str">
        <f>HYPERLINK("https://app.crepc.sk/?fn=detailBiblioForm&amp;sid=72994EA9AD52E4DE4B9721105F")</f>
        <v>https://app.crepc.sk/?fn=detailBiblioForm&amp;sid=72994EA9AD52E4DE4B9721105F</v>
      </c>
    </row>
    <row r="2646" spans="3:5" ht="60" x14ac:dyDescent="0.25">
      <c r="C2646" s="15">
        <v>155323</v>
      </c>
      <c r="D2646" s="4" t="s">
        <v>2650</v>
      </c>
      <c r="E2646" s="4" t="str">
        <f>HYPERLINK("https://app.crepc.sk/?fn=detailBiblioForm&amp;sid=78AFF12394AFE35F88151C8992")</f>
        <v>https://app.crepc.sk/?fn=detailBiblioForm&amp;sid=78AFF12394AFE35F88151C8992</v>
      </c>
    </row>
    <row r="2647" spans="3:5" ht="75" x14ac:dyDescent="0.25">
      <c r="C2647" s="15">
        <v>104345</v>
      </c>
      <c r="D2647" s="4" t="s">
        <v>2651</v>
      </c>
      <c r="E2647" s="4" t="str">
        <f>HYPERLINK("https://app.crepc.sk/?fn=detailBiblioForm&amp;sid=DD6DC1ACF31F8CDC5C9638F016")</f>
        <v>https://app.crepc.sk/?fn=detailBiblioForm&amp;sid=DD6DC1ACF31F8CDC5C9638F016</v>
      </c>
    </row>
    <row r="2648" spans="3:5" ht="60" x14ac:dyDescent="0.25">
      <c r="C2648" s="15">
        <v>140184</v>
      </c>
      <c r="D2648" s="4" t="s">
        <v>2652</v>
      </c>
      <c r="E2648" s="4" t="str">
        <f>HYPERLINK("https://app.crepc.sk/?fn=detailBiblioForm&amp;sid=17899838D38E4BD15E1BEAAA4C")</f>
        <v>https://app.crepc.sk/?fn=detailBiblioForm&amp;sid=17899838D38E4BD15E1BEAAA4C</v>
      </c>
    </row>
    <row r="2649" spans="3:5" ht="60" x14ac:dyDescent="0.25">
      <c r="C2649" s="15">
        <v>229860</v>
      </c>
      <c r="D2649" s="4" t="s">
        <v>2653</v>
      </c>
      <c r="E2649" s="4" t="str">
        <f>HYPERLINK("https://app.crepc.sk/?fn=detailBiblioForm&amp;sid=3EB293E291071F59800089FBD2")</f>
        <v>https://app.crepc.sk/?fn=detailBiblioForm&amp;sid=3EB293E291071F59800089FBD2</v>
      </c>
    </row>
    <row r="2650" spans="3:5" ht="60" x14ac:dyDescent="0.25">
      <c r="C2650" s="15">
        <v>134080</v>
      </c>
      <c r="D2650" s="4" t="s">
        <v>2654</v>
      </c>
      <c r="E2650" s="4" t="str">
        <f>HYPERLINK("https://app.crepc.sk/?fn=detailBiblioForm&amp;sid=5E30695270CDBCB7AB687D836D")</f>
        <v>https://app.crepc.sk/?fn=detailBiblioForm&amp;sid=5E30695270CDBCB7AB687D836D</v>
      </c>
    </row>
    <row r="2651" spans="3:5" ht="45" x14ac:dyDescent="0.25">
      <c r="C2651" s="15">
        <v>214810</v>
      </c>
      <c r="D2651" s="4" t="s">
        <v>2655</v>
      </c>
      <c r="E2651" s="4" t="str">
        <f>HYPERLINK("https://app.crepc.sk/?fn=detailBiblioForm&amp;sid=A06FA5B38568DD1490DFEE68D3")</f>
        <v>https://app.crepc.sk/?fn=detailBiblioForm&amp;sid=A06FA5B38568DD1490DFEE68D3</v>
      </c>
    </row>
    <row r="2652" spans="3:5" ht="60" x14ac:dyDescent="0.25">
      <c r="C2652" s="15">
        <v>63571</v>
      </c>
      <c r="D2652" s="4" t="s">
        <v>2656</v>
      </c>
      <c r="E2652" s="4" t="str">
        <f>HYPERLINK("https://app.crepc.sk/?fn=detailBiblioForm&amp;sid=9612ACCBD173C95AB1AF1DCD")</f>
        <v>https://app.crepc.sk/?fn=detailBiblioForm&amp;sid=9612ACCBD173C95AB1AF1DCD</v>
      </c>
    </row>
    <row r="2653" spans="3:5" ht="45" x14ac:dyDescent="0.25">
      <c r="C2653" s="15">
        <v>143033</v>
      </c>
      <c r="D2653" s="4" t="s">
        <v>2657</v>
      </c>
      <c r="E2653" s="4" t="str">
        <f>HYPERLINK("https://app.crepc.sk/?fn=detailBiblioForm&amp;sid=0EA7DBD32D42EAF6EEEF224B52")</f>
        <v>https://app.crepc.sk/?fn=detailBiblioForm&amp;sid=0EA7DBD32D42EAF6EEEF224B52</v>
      </c>
    </row>
    <row r="2654" spans="3:5" ht="60" x14ac:dyDescent="0.25">
      <c r="C2654" s="15">
        <v>209693</v>
      </c>
      <c r="D2654" s="4" t="s">
        <v>2658</v>
      </c>
      <c r="E2654" s="4" t="str">
        <f>HYPERLINK("https://app.crepc.sk/?fn=detailBiblioForm&amp;sid=2555DC9CD39DCDC08B3FF08264")</f>
        <v>https://app.crepc.sk/?fn=detailBiblioForm&amp;sid=2555DC9CD39DCDC08B3FF08264</v>
      </c>
    </row>
    <row r="2655" spans="3:5" ht="45" x14ac:dyDescent="0.25">
      <c r="C2655" s="15">
        <v>442646</v>
      </c>
      <c r="D2655" s="4" t="s">
        <v>2659</v>
      </c>
      <c r="E2655" s="4" t="str">
        <f>HYPERLINK("https://app.crepc.sk/?fn=detailBiblioForm&amp;sid=E0A737AA77CC1B73344A438573")</f>
        <v>https://app.crepc.sk/?fn=detailBiblioForm&amp;sid=E0A737AA77CC1B73344A438573</v>
      </c>
    </row>
    <row r="2656" spans="3:5" ht="45" x14ac:dyDescent="0.25">
      <c r="C2656" s="15">
        <v>209594</v>
      </c>
      <c r="D2656" s="4" t="s">
        <v>2660</v>
      </c>
      <c r="E2656" s="4" t="str">
        <f>HYPERLINK("https://app.crepc.sk/?fn=detailBiblioForm&amp;sid=5D15CCFBDD7C9C132BB88220DC")</f>
        <v>https://app.crepc.sk/?fn=detailBiblioForm&amp;sid=5D15CCFBDD7C9C132BB88220DC</v>
      </c>
    </row>
    <row r="2657" spans="1:5" ht="45" x14ac:dyDescent="0.25">
      <c r="C2657" s="15">
        <v>104606</v>
      </c>
      <c r="D2657" s="4" t="s">
        <v>2661</v>
      </c>
      <c r="E2657" s="4" t="str">
        <f>HYPERLINK("https://app.crepc.sk/?fn=detailBiblioForm&amp;sid=5F8F25FA85E06C2F95D007F83D")</f>
        <v>https://app.crepc.sk/?fn=detailBiblioForm&amp;sid=5F8F25FA85E06C2F95D007F83D</v>
      </c>
    </row>
    <row r="2658" spans="1:5" ht="45" x14ac:dyDescent="0.25">
      <c r="C2658" s="15">
        <v>416386</v>
      </c>
      <c r="D2658" s="4" t="s">
        <v>2662</v>
      </c>
      <c r="E2658" s="4" t="str">
        <f>HYPERLINK("https://app.crepc.sk/?fn=detailBiblioForm&amp;sid=02D97EB19DA28A2B9A2A1F2725")</f>
        <v>https://app.crepc.sk/?fn=detailBiblioForm&amp;sid=02D97EB19DA28A2B9A2A1F2725</v>
      </c>
    </row>
    <row r="2659" spans="1:5" ht="45" x14ac:dyDescent="0.25">
      <c r="C2659" s="15">
        <v>120818</v>
      </c>
      <c r="D2659" s="4" t="s">
        <v>2663</v>
      </c>
      <c r="E2659" s="4" t="str">
        <f>HYPERLINK("https://app.crepc.sk/?fn=detailBiblioForm&amp;sid=0A8AE641E757DE6069BE79B0B3")</f>
        <v>https://app.crepc.sk/?fn=detailBiblioForm&amp;sid=0A8AE641E757DE6069BE79B0B3</v>
      </c>
    </row>
    <row r="2660" spans="1:5" ht="75" x14ac:dyDescent="0.25">
      <c r="C2660" s="15">
        <v>417499</v>
      </c>
      <c r="D2660" s="4" t="s">
        <v>2664</v>
      </c>
      <c r="E2660" s="4" t="str">
        <f>HYPERLINK("https://app.crepc.sk/?fn=detailBiblioForm&amp;sid=769B6BB77E764C86F87548591B")</f>
        <v>https://app.crepc.sk/?fn=detailBiblioForm&amp;sid=769B6BB77E764C86F87548591B</v>
      </c>
    </row>
    <row r="2661" spans="1:5" ht="75" x14ac:dyDescent="0.25">
      <c r="C2661" s="15">
        <v>122789</v>
      </c>
      <c r="D2661" s="4" t="s">
        <v>2665</v>
      </c>
      <c r="E2661" s="4" t="str">
        <f>HYPERLINK("https://app.crepc.sk/?fn=detailBiblioForm&amp;sid=A5B40B0321D8B57906D109F729")</f>
        <v>https://app.crepc.sk/?fn=detailBiblioForm&amp;sid=A5B40B0321D8B57906D109F729</v>
      </c>
    </row>
    <row r="2662" spans="1:5" ht="75" x14ac:dyDescent="0.25">
      <c r="C2662" s="15">
        <v>119484</v>
      </c>
      <c r="D2662" s="4" t="s">
        <v>2666</v>
      </c>
      <c r="E2662" s="4" t="str">
        <f>HYPERLINK("https://app.crepc.sk/?fn=detailBiblioForm&amp;sid=F36B9AAD60772977FF574FEDDA")</f>
        <v>https://app.crepc.sk/?fn=detailBiblioForm&amp;sid=F36B9AAD60772977FF574FEDDA</v>
      </c>
    </row>
    <row r="2663" spans="1:5" ht="45" x14ac:dyDescent="0.25">
      <c r="C2663" s="15">
        <v>186063</v>
      </c>
      <c r="D2663" s="4" t="s">
        <v>2667</v>
      </c>
      <c r="E2663" s="4" t="str">
        <f>HYPERLINK("https://app.crepc.sk/?fn=detailBiblioForm&amp;sid=12BF14ADF430A4F4BBF73AA239")</f>
        <v>https://app.crepc.sk/?fn=detailBiblioForm&amp;sid=12BF14ADF430A4F4BBF73AA239</v>
      </c>
    </row>
    <row r="2664" spans="1:5" ht="60" x14ac:dyDescent="0.25">
      <c r="C2664" s="15">
        <v>189106</v>
      </c>
      <c r="D2664" s="4" t="s">
        <v>2668</v>
      </c>
      <c r="E2664" s="4" t="str">
        <f>HYPERLINK("https://app.crepc.sk/?fn=detailBiblioForm&amp;sid=5F8A474E6167CAF511C2F143D7")</f>
        <v>https://app.crepc.sk/?fn=detailBiblioForm&amp;sid=5F8A474E6167CAF511C2F143D7</v>
      </c>
    </row>
    <row r="2665" spans="1:5" ht="60" x14ac:dyDescent="0.25">
      <c r="C2665" s="15">
        <v>182658</v>
      </c>
      <c r="D2665" s="4" t="s">
        <v>2669</v>
      </c>
      <c r="E2665" s="4" t="str">
        <f>HYPERLINK("https://app.crepc.sk/?fn=detailBiblioForm&amp;sid=AA9A59A4FA5B9CCA5C9D2111BD")</f>
        <v>https://app.crepc.sk/?fn=detailBiblioForm&amp;sid=AA9A59A4FA5B9CCA5C9D2111BD</v>
      </c>
    </row>
    <row r="2666" spans="1:5" ht="60" x14ac:dyDescent="0.25">
      <c r="C2666" s="15">
        <v>315021</v>
      </c>
      <c r="D2666" s="4" t="s">
        <v>2670</v>
      </c>
      <c r="E2666" s="4" t="str">
        <f>HYPERLINK("https://app.crepc.sk/?fn=detailBiblioForm&amp;sid=98A3DA2AD395A9A96495A492DD")</f>
        <v>https://app.crepc.sk/?fn=detailBiblioForm&amp;sid=98A3DA2AD395A9A96495A492DD</v>
      </c>
    </row>
    <row r="2667" spans="1:5" ht="75" x14ac:dyDescent="0.25">
      <c r="C2667" s="15">
        <v>57402</v>
      </c>
      <c r="D2667" s="4" t="s">
        <v>2671</v>
      </c>
      <c r="E2667" s="4" t="str">
        <f>HYPERLINK("https://app.crepc.sk/?fn=detailBiblioForm&amp;sid=DB1EAFF15B62E9A675A962D6")</f>
        <v>https://app.crepc.sk/?fn=detailBiblioForm&amp;sid=DB1EAFF15B62E9A675A962D6</v>
      </c>
    </row>
    <row r="2668" spans="1:5" ht="60" x14ac:dyDescent="0.25">
      <c r="C2668" s="15">
        <v>444853</v>
      </c>
      <c r="D2668" s="4" t="s">
        <v>2672</v>
      </c>
      <c r="E2668" s="4" t="str">
        <f>HYPERLINK("https://app.crepc.sk/?fn=detailBiblioForm&amp;sid=5637421EB0AAB541E7F2D97938")</f>
        <v>https://app.crepc.sk/?fn=detailBiblioForm&amp;sid=5637421EB0AAB541E7F2D97938</v>
      </c>
    </row>
    <row r="2669" spans="1:5" ht="60" x14ac:dyDescent="0.25">
      <c r="C2669" s="15">
        <v>245062</v>
      </c>
      <c r="D2669" s="4" t="s">
        <v>2673</v>
      </c>
      <c r="E2669" s="4" t="str">
        <f>HYPERLINK("https://app.crepc.sk/?fn=detailBiblioForm&amp;sid=67165C9A40F2F88516914A198D")</f>
        <v>https://app.crepc.sk/?fn=detailBiblioForm&amp;sid=67165C9A40F2F88516914A198D</v>
      </c>
    </row>
    <row r="2670" spans="1:5" ht="60" x14ac:dyDescent="0.25">
      <c r="C2670" s="15">
        <v>219513</v>
      </c>
      <c r="D2670" s="4" t="s">
        <v>2674</v>
      </c>
      <c r="E2670" s="4" t="str">
        <f>HYPERLINK("https://app.crepc.sk/?fn=detailBiblioForm&amp;sid=82B1BA4FFFB57B2C9DDA468A88")</f>
        <v>https://app.crepc.sk/?fn=detailBiblioForm&amp;sid=82B1BA4FFFB57B2C9DDA468A88</v>
      </c>
    </row>
    <row r="2671" spans="1:5" ht="60" x14ac:dyDescent="0.25">
      <c r="C2671" s="15">
        <v>96951</v>
      </c>
      <c r="D2671" s="4" t="s">
        <v>2675</v>
      </c>
      <c r="E2671" s="4" t="str">
        <f>HYPERLINK("https://app.crepc.sk/?fn=detailBiblioForm&amp;sid=3EF336092B043026E5A07C7A")</f>
        <v>https://app.crepc.sk/?fn=detailBiblioForm&amp;sid=3EF336092B043026E5A07C7A</v>
      </c>
    </row>
    <row r="2672" spans="1:5" x14ac:dyDescent="0.25">
      <c r="A2672" s="4" t="s">
        <v>2676</v>
      </c>
      <c r="B2672" s="15">
        <v>719</v>
      </c>
    </row>
    <row r="2673" spans="3:5" ht="45" x14ac:dyDescent="0.25">
      <c r="C2673" s="15">
        <v>97388</v>
      </c>
      <c r="D2673" s="4" t="s">
        <v>2677</v>
      </c>
      <c r="E2673" s="4" t="str">
        <f>HYPERLINK("https://app.crepc.sk/?fn=detailBiblioForm&amp;sid=354D14859993DA4F6BFC9E6B")</f>
        <v>https://app.crepc.sk/?fn=detailBiblioForm&amp;sid=354D14859993DA4F6BFC9E6B</v>
      </c>
    </row>
    <row r="2674" spans="3:5" ht="60" x14ac:dyDescent="0.25">
      <c r="C2674" s="15">
        <v>81249</v>
      </c>
      <c r="D2674" s="4" t="s">
        <v>2678</v>
      </c>
      <c r="E2674" s="4" t="str">
        <f>HYPERLINK("https://app.crepc.sk/?fn=detailBiblioForm&amp;sid=2E358CB7BCAF09B15DDD60C2")</f>
        <v>https://app.crepc.sk/?fn=detailBiblioForm&amp;sid=2E358CB7BCAF09B15DDD60C2</v>
      </c>
    </row>
    <row r="2675" spans="3:5" ht="60" x14ac:dyDescent="0.25">
      <c r="C2675" s="15">
        <v>232409</v>
      </c>
      <c r="D2675" s="4" t="s">
        <v>2679</v>
      </c>
      <c r="E2675" s="4" t="str">
        <f>HYPERLINK("https://app.crepc.sk/?fn=detailBiblioForm&amp;sid=1DC25C603E41A09F116FE2CF10")</f>
        <v>https://app.crepc.sk/?fn=detailBiblioForm&amp;sid=1DC25C603E41A09F116FE2CF10</v>
      </c>
    </row>
    <row r="2676" spans="3:5" ht="45" x14ac:dyDescent="0.25">
      <c r="C2676" s="15">
        <v>123213</v>
      </c>
      <c r="D2676" s="4" t="s">
        <v>2680</v>
      </c>
      <c r="E2676" s="4" t="str">
        <f>HYPERLINK("https://app.crepc.sk/?fn=detailBiblioForm&amp;sid=84A6561E00D8E3617D28A633F8")</f>
        <v>https://app.crepc.sk/?fn=detailBiblioForm&amp;sid=84A6561E00D8E3617D28A633F8</v>
      </c>
    </row>
    <row r="2677" spans="3:5" ht="45" x14ac:dyDescent="0.25">
      <c r="C2677" s="15">
        <v>431127</v>
      </c>
      <c r="D2677" s="4" t="s">
        <v>2681</v>
      </c>
      <c r="E2677" s="4" t="str">
        <f>HYPERLINK("https://app.crepc.sk/?fn=detailBiblioForm&amp;sid=117E8DF36B6BB49F0C54DF69F7")</f>
        <v>https://app.crepc.sk/?fn=detailBiblioForm&amp;sid=117E8DF36B6BB49F0C54DF69F7</v>
      </c>
    </row>
    <row r="2678" spans="3:5" ht="45" x14ac:dyDescent="0.25">
      <c r="C2678" s="15">
        <v>226569</v>
      </c>
      <c r="D2678" s="4" t="s">
        <v>2682</v>
      </c>
      <c r="E2678" s="4" t="str">
        <f>HYPERLINK("https://app.crepc.sk/?fn=detailBiblioForm&amp;sid=1A96CD219DD6F1D8FB5231CBF0")</f>
        <v>https://app.crepc.sk/?fn=detailBiblioForm&amp;sid=1A96CD219DD6F1D8FB5231CBF0</v>
      </c>
    </row>
    <row r="2679" spans="3:5" ht="45" x14ac:dyDescent="0.25">
      <c r="C2679" s="15">
        <v>118821</v>
      </c>
      <c r="D2679" s="4" t="s">
        <v>2683</v>
      </c>
      <c r="E2679" s="4" t="str">
        <f>HYPERLINK("https://app.crepc.sk/?fn=detailBiblioForm&amp;sid=180EDEFD59FD42974A2B52B590")</f>
        <v>https://app.crepc.sk/?fn=detailBiblioForm&amp;sid=180EDEFD59FD42974A2B52B590</v>
      </c>
    </row>
    <row r="2680" spans="3:5" ht="45" x14ac:dyDescent="0.25">
      <c r="C2680" s="15">
        <v>161673</v>
      </c>
      <c r="D2680" s="4" t="s">
        <v>2684</v>
      </c>
      <c r="E2680" s="4" t="str">
        <f>HYPERLINK("https://app.crepc.sk/?fn=detailBiblioForm&amp;sid=1D69B1A76ABEB527B76DBB2E6D")</f>
        <v>https://app.crepc.sk/?fn=detailBiblioForm&amp;sid=1D69B1A76ABEB527B76DBB2E6D</v>
      </c>
    </row>
    <row r="2681" spans="3:5" ht="45" x14ac:dyDescent="0.25">
      <c r="C2681" s="15">
        <v>229329</v>
      </c>
      <c r="D2681" s="4" t="s">
        <v>2685</v>
      </c>
      <c r="E2681" s="4" t="str">
        <f>HYPERLINK("https://app.crepc.sk/?fn=detailBiblioForm&amp;sid=50EC99C9FF9B848B37FC6D41C5")</f>
        <v>https://app.crepc.sk/?fn=detailBiblioForm&amp;sid=50EC99C9FF9B848B37FC6D41C5</v>
      </c>
    </row>
    <row r="2682" spans="3:5" ht="45" x14ac:dyDescent="0.25">
      <c r="C2682" s="15">
        <v>101791</v>
      </c>
      <c r="D2682" s="4" t="s">
        <v>2686</v>
      </c>
      <c r="E2682" s="4" t="str">
        <f>HYPERLINK("https://app.crepc.sk/?fn=detailBiblioForm&amp;sid=D451BFA92DE77BAEDBD1E88587")</f>
        <v>https://app.crepc.sk/?fn=detailBiblioForm&amp;sid=D451BFA92DE77BAEDBD1E88587</v>
      </c>
    </row>
    <row r="2683" spans="3:5" ht="45" x14ac:dyDescent="0.25">
      <c r="C2683" s="15">
        <v>53014</v>
      </c>
      <c r="D2683" s="4" t="s">
        <v>2687</v>
      </c>
      <c r="E2683" s="4" t="str">
        <f>HYPERLINK("https://app.crepc.sk/?fn=detailBiblioForm&amp;sid=DCCA3817CD122D50CBF7F09F")</f>
        <v>https://app.crepc.sk/?fn=detailBiblioForm&amp;sid=DCCA3817CD122D50CBF7F09F</v>
      </c>
    </row>
    <row r="2684" spans="3:5" ht="45" x14ac:dyDescent="0.25">
      <c r="C2684" s="15">
        <v>245233</v>
      </c>
      <c r="D2684" s="4" t="s">
        <v>2688</v>
      </c>
      <c r="E2684" s="4" t="str">
        <f>HYPERLINK("https://app.crepc.sk/?fn=detailBiblioForm&amp;sid=BDD02C6927F03517720B5D9292")</f>
        <v>https://app.crepc.sk/?fn=detailBiblioForm&amp;sid=BDD02C6927F03517720B5D9292</v>
      </c>
    </row>
    <row r="2685" spans="3:5" ht="45" x14ac:dyDescent="0.25">
      <c r="C2685" s="15">
        <v>422581</v>
      </c>
      <c r="D2685" s="4" t="s">
        <v>2689</v>
      </c>
      <c r="E2685" s="4" t="str">
        <f>HYPERLINK("https://app.crepc.sk/?fn=detailBiblioForm&amp;sid=6230F03E3693AC1B94729CAE1A")</f>
        <v>https://app.crepc.sk/?fn=detailBiblioForm&amp;sid=6230F03E3693AC1B94729CAE1A</v>
      </c>
    </row>
    <row r="2686" spans="3:5" ht="75" x14ac:dyDescent="0.25">
      <c r="C2686" s="15">
        <v>208244</v>
      </c>
      <c r="D2686" s="4" t="s">
        <v>2690</v>
      </c>
      <c r="E2686" s="4" t="str">
        <f>HYPERLINK("https://app.crepc.sk/?fn=detailBiblioForm&amp;sid=9AB3B7EDD72446F7CD41C323B2")</f>
        <v>https://app.crepc.sk/?fn=detailBiblioForm&amp;sid=9AB3B7EDD72446F7CD41C323B2</v>
      </c>
    </row>
    <row r="2687" spans="3:5" ht="45" x14ac:dyDescent="0.25">
      <c r="C2687" s="15">
        <v>60006</v>
      </c>
      <c r="D2687" s="4" t="s">
        <v>2691</v>
      </c>
      <c r="E2687" s="4" t="str">
        <f>HYPERLINK("https://app.crepc.sk/?fn=detailBiblioForm&amp;sid=13F3F23C6DBAB14EE4C10E2A")</f>
        <v>https://app.crepc.sk/?fn=detailBiblioForm&amp;sid=13F3F23C6DBAB14EE4C10E2A</v>
      </c>
    </row>
    <row r="2688" spans="3:5" ht="45" x14ac:dyDescent="0.25">
      <c r="C2688" s="15">
        <v>431849</v>
      </c>
      <c r="D2688" s="4" t="s">
        <v>2692</v>
      </c>
      <c r="E2688" s="4" t="str">
        <f>HYPERLINK("https://app.crepc.sk/?fn=detailBiblioForm&amp;sid=3DE6CF9C5F52DC5A419B62B88A")</f>
        <v>https://app.crepc.sk/?fn=detailBiblioForm&amp;sid=3DE6CF9C5F52DC5A419B62B88A</v>
      </c>
    </row>
    <row r="2689" spans="3:5" ht="45" x14ac:dyDescent="0.25">
      <c r="C2689" s="15">
        <v>166566</v>
      </c>
      <c r="D2689" s="4" t="s">
        <v>2693</v>
      </c>
      <c r="E2689" s="4" t="str">
        <f>HYPERLINK("https://app.crepc.sk/?fn=detailBiblioForm&amp;sid=CBF19E20E3617CA9F147E89637")</f>
        <v>https://app.crepc.sk/?fn=detailBiblioForm&amp;sid=CBF19E20E3617CA9F147E89637</v>
      </c>
    </row>
    <row r="2690" spans="3:5" ht="60" x14ac:dyDescent="0.25">
      <c r="C2690" s="15">
        <v>416778</v>
      </c>
      <c r="D2690" s="4" t="s">
        <v>2694</v>
      </c>
      <c r="E2690" s="4" t="str">
        <f>HYPERLINK("https://app.crepc.sk/?fn=detailBiblioForm&amp;sid=FFF02B87E998ACF2F22756DEC9")</f>
        <v>https://app.crepc.sk/?fn=detailBiblioForm&amp;sid=FFF02B87E998ACF2F22756DEC9</v>
      </c>
    </row>
    <row r="2691" spans="3:5" ht="45" x14ac:dyDescent="0.25">
      <c r="C2691" s="15">
        <v>422586</v>
      </c>
      <c r="D2691" s="4" t="s">
        <v>2695</v>
      </c>
      <c r="E2691" s="4" t="str">
        <f>HYPERLINK("https://app.crepc.sk/?fn=detailBiblioForm&amp;sid=6230F03E3693AC1B94759CAE1A")</f>
        <v>https://app.crepc.sk/?fn=detailBiblioForm&amp;sid=6230F03E3693AC1B94759CAE1A</v>
      </c>
    </row>
    <row r="2692" spans="3:5" ht="45" x14ac:dyDescent="0.25">
      <c r="C2692" s="15">
        <v>55812</v>
      </c>
      <c r="D2692" s="4" t="s">
        <v>2696</v>
      </c>
      <c r="E2692" s="4" t="str">
        <f>HYPERLINK("https://app.crepc.sk/?fn=detailBiblioForm&amp;sid=39DDA4F13BC40ABDAD2857E7")</f>
        <v>https://app.crepc.sk/?fn=detailBiblioForm&amp;sid=39DDA4F13BC40ABDAD2857E7</v>
      </c>
    </row>
    <row r="2693" spans="3:5" ht="60" x14ac:dyDescent="0.25">
      <c r="C2693" s="15">
        <v>63014</v>
      </c>
      <c r="D2693" s="4" t="s">
        <v>2697</v>
      </c>
      <c r="E2693" s="4" t="str">
        <f>HYPERLINK("https://app.crepc.sk/?fn=detailBiblioForm&amp;sid=4D6E9B4847A818BF8A39D125")</f>
        <v>https://app.crepc.sk/?fn=detailBiblioForm&amp;sid=4D6E9B4847A818BF8A39D125</v>
      </c>
    </row>
    <row r="2694" spans="3:5" ht="60" x14ac:dyDescent="0.25">
      <c r="C2694" s="15">
        <v>180526</v>
      </c>
      <c r="D2694" s="4" t="s">
        <v>2698</v>
      </c>
      <c r="E2694" s="4" t="str">
        <f>HYPERLINK("https://app.crepc.sk/?fn=detailBiblioForm&amp;sid=F33BEAA28AB422A4F61803D707")</f>
        <v>https://app.crepc.sk/?fn=detailBiblioForm&amp;sid=F33BEAA28AB422A4F61803D707</v>
      </c>
    </row>
    <row r="2695" spans="3:5" ht="60" x14ac:dyDescent="0.25">
      <c r="C2695" s="15">
        <v>219113</v>
      </c>
      <c r="D2695" s="4" t="s">
        <v>2699</v>
      </c>
      <c r="E2695" s="4" t="str">
        <f>HYPERLINK("https://app.crepc.sk/?fn=detailBiblioForm&amp;sid=CA821E2D0F99DD04981C62CF5A")</f>
        <v>https://app.crepc.sk/?fn=detailBiblioForm&amp;sid=CA821E2D0F99DD04981C62CF5A</v>
      </c>
    </row>
    <row r="2696" spans="3:5" ht="60" x14ac:dyDescent="0.25">
      <c r="C2696" s="15">
        <v>200174</v>
      </c>
      <c r="D2696" s="4" t="s">
        <v>2700</v>
      </c>
      <c r="E2696" s="4" t="str">
        <f>HYPERLINK("https://app.crepc.sk/?fn=detailBiblioForm&amp;sid=9097805B3BD10337EB6559D914")</f>
        <v>https://app.crepc.sk/?fn=detailBiblioForm&amp;sid=9097805B3BD10337EB6559D914</v>
      </c>
    </row>
    <row r="2697" spans="3:5" ht="60" x14ac:dyDescent="0.25">
      <c r="C2697" s="15">
        <v>313804</v>
      </c>
      <c r="D2697" s="4" t="s">
        <v>2701</v>
      </c>
      <c r="E2697" s="4" t="str">
        <f>HYPERLINK("https://app.crepc.sk/?fn=detailBiblioForm&amp;sid=C62D698933728B5BFC87E95B09")</f>
        <v>https://app.crepc.sk/?fn=detailBiblioForm&amp;sid=C62D698933728B5BFC87E95B09</v>
      </c>
    </row>
    <row r="2698" spans="3:5" ht="60" x14ac:dyDescent="0.25">
      <c r="C2698" s="15">
        <v>247060</v>
      </c>
      <c r="D2698" s="4" t="s">
        <v>2702</v>
      </c>
      <c r="E2698" s="4" t="str">
        <f>HYPERLINK("https://app.crepc.sk/?fn=detailBiblioForm&amp;sid=EBEA61057054222A08967935A3")</f>
        <v>https://app.crepc.sk/?fn=detailBiblioForm&amp;sid=EBEA61057054222A08967935A3</v>
      </c>
    </row>
    <row r="2699" spans="3:5" ht="60" x14ac:dyDescent="0.25">
      <c r="C2699" s="15">
        <v>313721</v>
      </c>
      <c r="D2699" s="4" t="s">
        <v>2703</v>
      </c>
      <c r="E2699" s="4" t="str">
        <f>HYPERLINK("https://app.crepc.sk/?fn=detailBiblioForm&amp;sid=54D25A27962CDFF2C7C3F50D21")</f>
        <v>https://app.crepc.sk/?fn=detailBiblioForm&amp;sid=54D25A27962CDFF2C7C3F50D21</v>
      </c>
    </row>
    <row r="2700" spans="3:5" ht="60" x14ac:dyDescent="0.25">
      <c r="C2700" s="15">
        <v>167158</v>
      </c>
      <c r="D2700" s="4" t="s">
        <v>2704</v>
      </c>
      <c r="E2700" s="4" t="str">
        <f>HYPERLINK("https://app.crepc.sk/?fn=detailBiblioForm&amp;sid=780C5DA7522A72A299F89DC9C0")</f>
        <v>https://app.crepc.sk/?fn=detailBiblioForm&amp;sid=780C5DA7522A72A299F89DC9C0</v>
      </c>
    </row>
    <row r="2701" spans="3:5" ht="45" x14ac:dyDescent="0.25">
      <c r="C2701" s="15">
        <v>127884</v>
      </c>
      <c r="D2701" s="4" t="s">
        <v>2705</v>
      </c>
      <c r="E2701" s="4" t="str">
        <f>HYPERLINK("https://app.crepc.sk/?fn=detailBiblioForm&amp;sid=9359D1AC2B33EC8F678191CA15")</f>
        <v>https://app.crepc.sk/?fn=detailBiblioForm&amp;sid=9359D1AC2B33EC8F678191CA15</v>
      </c>
    </row>
    <row r="2702" spans="3:5" ht="60" x14ac:dyDescent="0.25">
      <c r="C2702" s="15">
        <v>166026</v>
      </c>
      <c r="D2702" s="4" t="s">
        <v>2706</v>
      </c>
      <c r="E2702" s="4" t="str">
        <f>HYPERLINK("https://app.crepc.sk/?fn=detailBiblioForm&amp;sid=AFB64E0160B4F4E92449BB898C")</f>
        <v>https://app.crepc.sk/?fn=detailBiblioForm&amp;sid=AFB64E0160B4F4E92449BB898C</v>
      </c>
    </row>
    <row r="2703" spans="3:5" ht="60" x14ac:dyDescent="0.25">
      <c r="C2703" s="15">
        <v>197642</v>
      </c>
      <c r="D2703" s="4" t="s">
        <v>2707</v>
      </c>
      <c r="E2703" s="4" t="str">
        <f>HYPERLINK("https://app.crepc.sk/?fn=detailBiblioForm&amp;sid=AF21FA440BC17A98E1E1F046CC")</f>
        <v>https://app.crepc.sk/?fn=detailBiblioForm&amp;sid=AF21FA440BC17A98E1E1F046CC</v>
      </c>
    </row>
    <row r="2704" spans="3:5" ht="60" x14ac:dyDescent="0.25">
      <c r="C2704" s="15">
        <v>197649</v>
      </c>
      <c r="D2704" s="4" t="s">
        <v>2708</v>
      </c>
      <c r="E2704" s="4" t="str">
        <f>HYPERLINK("https://app.crepc.sk/?fn=detailBiblioForm&amp;sid=AF21FA440BC17A98E1EAF046CC")</f>
        <v>https://app.crepc.sk/?fn=detailBiblioForm&amp;sid=AF21FA440BC17A98E1EAF046CC</v>
      </c>
    </row>
    <row r="2705" spans="3:5" ht="45" x14ac:dyDescent="0.25">
      <c r="C2705" s="15">
        <v>457233</v>
      </c>
      <c r="D2705" s="4" t="s">
        <v>2709</v>
      </c>
      <c r="E2705" s="4" t="str">
        <f>HYPERLINK("https://app.crepc.sk/?fn=detailBiblioForm&amp;sid=A3FD0E4E43B8895663C7AEF09F")</f>
        <v>https://app.crepc.sk/?fn=detailBiblioForm&amp;sid=A3FD0E4E43B8895663C7AEF09F</v>
      </c>
    </row>
    <row r="2706" spans="3:5" ht="45" x14ac:dyDescent="0.25">
      <c r="C2706" s="15">
        <v>442325</v>
      </c>
      <c r="D2706" s="4" t="s">
        <v>2710</v>
      </c>
      <c r="E2706" s="4" t="str">
        <f>HYPERLINK("https://app.crepc.sk/?fn=detailBiblioForm&amp;sid=F661DE2421DD595D56C862841D")</f>
        <v>https://app.crepc.sk/?fn=detailBiblioForm&amp;sid=F661DE2421DD595D56C862841D</v>
      </c>
    </row>
    <row r="2707" spans="3:5" ht="45" x14ac:dyDescent="0.25">
      <c r="C2707" s="15">
        <v>254195</v>
      </c>
      <c r="D2707" s="4" t="s">
        <v>2711</v>
      </c>
      <c r="E2707" s="4" t="str">
        <f>HYPERLINK("https://app.crepc.sk/?fn=detailBiblioForm&amp;sid=5626D67ABF6ED4EEC0655A2CB8")</f>
        <v>https://app.crepc.sk/?fn=detailBiblioForm&amp;sid=5626D67ABF6ED4EEC0655A2CB8</v>
      </c>
    </row>
    <row r="2708" spans="3:5" ht="60" x14ac:dyDescent="0.25">
      <c r="C2708" s="15">
        <v>205794</v>
      </c>
      <c r="D2708" s="4" t="s">
        <v>2712</v>
      </c>
      <c r="E2708" s="4" t="str">
        <f>HYPERLINK("https://app.crepc.sk/?fn=detailBiblioForm&amp;sid=574F17740F9952083CA4A15599")</f>
        <v>https://app.crepc.sk/?fn=detailBiblioForm&amp;sid=574F17740F9952083CA4A15599</v>
      </c>
    </row>
    <row r="2709" spans="3:5" ht="60" x14ac:dyDescent="0.25">
      <c r="C2709" s="15">
        <v>181309</v>
      </c>
      <c r="D2709" s="4" t="s">
        <v>2713</v>
      </c>
      <c r="E2709" s="4" t="str">
        <f>HYPERLINK("https://app.crepc.sk/?fn=detailBiblioForm&amp;sid=C007B9F4EACE4D3BE0C42AAEC2")</f>
        <v>https://app.crepc.sk/?fn=detailBiblioForm&amp;sid=C007B9F4EACE4D3BE0C42AAEC2</v>
      </c>
    </row>
    <row r="2710" spans="3:5" ht="75" x14ac:dyDescent="0.25">
      <c r="C2710" s="15">
        <v>58571</v>
      </c>
      <c r="D2710" s="4" t="s">
        <v>2714</v>
      </c>
      <c r="E2710" s="4" t="str">
        <f>HYPERLINK("https://app.crepc.sk/?fn=detailBiblioForm&amp;sid=6D95B250D6C5C1F7CDF2E6D7")</f>
        <v>https://app.crepc.sk/?fn=detailBiblioForm&amp;sid=6D95B250D6C5C1F7CDF2E6D7</v>
      </c>
    </row>
    <row r="2711" spans="3:5" ht="60" x14ac:dyDescent="0.25">
      <c r="C2711" s="15">
        <v>226638</v>
      </c>
      <c r="D2711" s="4" t="s">
        <v>2715</v>
      </c>
      <c r="E2711" s="4" t="str">
        <f>HYPERLINK("https://app.crepc.sk/?fn=detailBiblioForm&amp;sid=EFBE3DC7BD8E060F06EE05FABD")</f>
        <v>https://app.crepc.sk/?fn=detailBiblioForm&amp;sid=EFBE3DC7BD8E060F06EE05FABD</v>
      </c>
    </row>
    <row r="2712" spans="3:5" ht="75" x14ac:dyDescent="0.25">
      <c r="C2712" s="15">
        <v>153766</v>
      </c>
      <c r="D2712" s="4" t="s">
        <v>2716</v>
      </c>
      <c r="E2712" s="4" t="str">
        <f>HYPERLINK("https://app.crepc.sk/?fn=detailBiblioForm&amp;sid=85D30AFD358849054D9BD2583A")</f>
        <v>https://app.crepc.sk/?fn=detailBiblioForm&amp;sid=85D30AFD358849054D9BD2583A</v>
      </c>
    </row>
    <row r="2713" spans="3:5" ht="60" x14ac:dyDescent="0.25">
      <c r="C2713" s="15">
        <v>310355</v>
      </c>
      <c r="D2713" s="4" t="s">
        <v>2717</v>
      </c>
      <c r="E2713" s="4" t="str">
        <f>HYPERLINK("https://app.crepc.sk/?fn=detailBiblioForm&amp;sid=03B27D1524E990CA066CDBD35D")</f>
        <v>https://app.crepc.sk/?fn=detailBiblioForm&amp;sid=03B27D1524E990CA066CDBD35D</v>
      </c>
    </row>
    <row r="2714" spans="3:5" ht="45" x14ac:dyDescent="0.25">
      <c r="C2714" s="15">
        <v>438357</v>
      </c>
      <c r="D2714" s="4" t="s">
        <v>2718</v>
      </c>
      <c r="E2714" s="4" t="str">
        <f>HYPERLINK("https://app.crepc.sk/?fn=detailBiblioForm&amp;sid=3BE95C725A62C7D49E45F9E8A0")</f>
        <v>https://app.crepc.sk/?fn=detailBiblioForm&amp;sid=3BE95C725A62C7D49E45F9E8A0</v>
      </c>
    </row>
    <row r="2715" spans="3:5" ht="60" x14ac:dyDescent="0.25">
      <c r="C2715" s="15">
        <v>161487</v>
      </c>
      <c r="D2715" s="4" t="s">
        <v>2719</v>
      </c>
      <c r="E2715" s="4" t="str">
        <f>HYPERLINK("https://app.crepc.sk/?fn=detailBiblioForm&amp;sid=72994EA9AD52E4DE439121105F")</f>
        <v>https://app.crepc.sk/?fn=detailBiblioForm&amp;sid=72994EA9AD52E4DE439121105F</v>
      </c>
    </row>
    <row r="2716" spans="3:5" ht="45" x14ac:dyDescent="0.25">
      <c r="C2716" s="15">
        <v>82617</v>
      </c>
      <c r="D2716" s="4" t="s">
        <v>2720</v>
      </c>
      <c r="E2716" s="4" t="str">
        <f>HYPERLINK("https://app.crepc.sk/?fn=detailBiblioForm&amp;sid=EC0F2A0C86DFB17B424E717F")</f>
        <v>https://app.crepc.sk/?fn=detailBiblioForm&amp;sid=EC0F2A0C86DFB17B424E717F</v>
      </c>
    </row>
    <row r="2717" spans="3:5" ht="60" x14ac:dyDescent="0.25">
      <c r="C2717" s="15">
        <v>175846</v>
      </c>
      <c r="D2717" s="4" t="s">
        <v>2721</v>
      </c>
      <c r="E2717" s="4" t="str">
        <f>HYPERLINK("https://app.crepc.sk/?fn=detailBiblioForm&amp;sid=77472A57103095E44E0B0BB0E4")</f>
        <v>https://app.crepc.sk/?fn=detailBiblioForm&amp;sid=77472A57103095E44E0B0BB0E4</v>
      </c>
    </row>
    <row r="2718" spans="3:5" ht="75" x14ac:dyDescent="0.25">
      <c r="C2718" s="15">
        <v>132633</v>
      </c>
      <c r="D2718" s="4" t="s">
        <v>2722</v>
      </c>
      <c r="E2718" s="4" t="str">
        <f>HYPERLINK("https://app.crepc.sk/?fn=detailBiblioForm&amp;sid=45946F80BD0ADF83350D7F64E5")</f>
        <v>https://app.crepc.sk/?fn=detailBiblioForm&amp;sid=45946F80BD0ADF83350D7F64E5</v>
      </c>
    </row>
    <row r="2719" spans="3:5" ht="45" x14ac:dyDescent="0.25">
      <c r="C2719" s="15">
        <v>122604</v>
      </c>
      <c r="D2719" s="4" t="s">
        <v>2723</v>
      </c>
      <c r="E2719" s="4" t="str">
        <f>HYPERLINK("https://app.crepc.sk/?fn=detailBiblioForm&amp;sid=7E4A807172B6E375027D0C446E")</f>
        <v>https://app.crepc.sk/?fn=detailBiblioForm&amp;sid=7E4A807172B6E375027D0C446E</v>
      </c>
    </row>
    <row r="2720" spans="3:5" ht="75" x14ac:dyDescent="0.25">
      <c r="C2720" s="15">
        <v>448040</v>
      </c>
      <c r="D2720" s="4" t="s">
        <v>2724</v>
      </c>
      <c r="E2720" s="4" t="str">
        <f>HYPERLINK("https://app.crepc.sk/?fn=detailBiblioForm&amp;sid=C456FEA07AAA4EFBD0E84E7345")</f>
        <v>https://app.crepc.sk/?fn=detailBiblioForm&amp;sid=C456FEA07AAA4EFBD0E84E7345</v>
      </c>
    </row>
    <row r="2721" spans="3:5" ht="60" x14ac:dyDescent="0.25">
      <c r="C2721" s="15">
        <v>196747</v>
      </c>
      <c r="D2721" s="4" t="s">
        <v>2725</v>
      </c>
      <c r="E2721" s="4" t="str">
        <f>HYPERLINK("https://app.crepc.sk/?fn=detailBiblioForm&amp;sid=959B0CD35FC03E1AE1CC263F38")</f>
        <v>https://app.crepc.sk/?fn=detailBiblioForm&amp;sid=959B0CD35FC03E1AE1CC263F38</v>
      </c>
    </row>
    <row r="2722" spans="3:5" ht="75" x14ac:dyDescent="0.25">
      <c r="C2722" s="15">
        <v>95460</v>
      </c>
      <c r="D2722" s="4" t="s">
        <v>2726</v>
      </c>
      <c r="E2722" s="4" t="str">
        <f>HYPERLINK("https://app.crepc.sk/?fn=detailBiblioForm&amp;sid=F306F3994F398C83E71AB015")</f>
        <v>https://app.crepc.sk/?fn=detailBiblioForm&amp;sid=F306F3994F398C83E71AB015</v>
      </c>
    </row>
    <row r="2723" spans="3:5" ht="60" x14ac:dyDescent="0.25">
      <c r="C2723" s="15">
        <v>95882</v>
      </c>
      <c r="D2723" s="4" t="s">
        <v>2727</v>
      </c>
      <c r="E2723" s="4" t="str">
        <f>HYPERLINK("https://app.crepc.sk/?fn=detailBiblioForm&amp;sid=45ABF117E669B83755DDA2B8")</f>
        <v>https://app.crepc.sk/?fn=detailBiblioForm&amp;sid=45ABF117E669B83755DDA2B8</v>
      </c>
    </row>
    <row r="2724" spans="3:5" ht="90" x14ac:dyDescent="0.25">
      <c r="C2724" s="15">
        <v>115720</v>
      </c>
      <c r="D2724" s="4" t="s">
        <v>2728</v>
      </c>
      <c r="E2724" s="4" t="str">
        <f>HYPERLINK("https://app.crepc.sk/?fn=detailBiblioForm&amp;sid=D6D3FA1F9AF5FFB8A360CC7F52")</f>
        <v>https://app.crepc.sk/?fn=detailBiblioForm&amp;sid=D6D3FA1F9AF5FFB8A360CC7F52</v>
      </c>
    </row>
    <row r="2725" spans="3:5" ht="45" x14ac:dyDescent="0.25">
      <c r="C2725" s="15">
        <v>56430</v>
      </c>
      <c r="D2725" s="4" t="s">
        <v>2729</v>
      </c>
      <c r="E2725" s="4" t="str">
        <f>HYPERLINK("https://app.crepc.sk/?fn=detailBiblioForm&amp;sid=91D66ADD08F745784EC31941")</f>
        <v>https://app.crepc.sk/?fn=detailBiblioForm&amp;sid=91D66ADD08F745784EC31941</v>
      </c>
    </row>
    <row r="2726" spans="3:5" ht="60" x14ac:dyDescent="0.25">
      <c r="C2726" s="15">
        <v>210907</v>
      </c>
      <c r="D2726" s="4" t="s">
        <v>2730</v>
      </c>
      <c r="E2726" s="4" t="str">
        <f>HYPERLINK("https://app.crepc.sk/?fn=detailBiblioForm&amp;sid=8E8B9FDD7AFEE75C1B480D5756")</f>
        <v>https://app.crepc.sk/?fn=detailBiblioForm&amp;sid=8E8B9FDD7AFEE75C1B480D5756</v>
      </c>
    </row>
    <row r="2727" spans="3:5" ht="45" x14ac:dyDescent="0.25">
      <c r="C2727" s="15">
        <v>87695</v>
      </c>
      <c r="D2727" s="4" t="s">
        <v>2731</v>
      </c>
      <c r="E2727" s="4" t="str">
        <f>HYPERLINK("https://app.crepc.sk/?fn=detailBiblioForm&amp;sid=C0592EF4A0D8A5E7856892C9")</f>
        <v>https://app.crepc.sk/?fn=detailBiblioForm&amp;sid=C0592EF4A0D8A5E7856892C9</v>
      </c>
    </row>
    <row r="2728" spans="3:5" ht="45" x14ac:dyDescent="0.25">
      <c r="C2728" s="15">
        <v>449228</v>
      </c>
      <c r="D2728" s="4" t="s">
        <v>2732</v>
      </c>
      <c r="E2728" s="4" t="str">
        <f>HYPERLINK("https://app.crepc.sk/?fn=detailBiblioForm&amp;sid=5C45D95CD208786439B60C2A32")</f>
        <v>https://app.crepc.sk/?fn=detailBiblioForm&amp;sid=5C45D95CD208786439B60C2A32</v>
      </c>
    </row>
    <row r="2729" spans="3:5" ht="60" x14ac:dyDescent="0.25">
      <c r="C2729" s="15">
        <v>183834</v>
      </c>
      <c r="D2729" s="4" t="s">
        <v>2733</v>
      </c>
      <c r="E2729" s="4" t="str">
        <f>HYPERLINK("https://app.crepc.sk/?fn=detailBiblioForm&amp;sid=E9A819C3F6DCFD1BC9C0B8F136")</f>
        <v>https://app.crepc.sk/?fn=detailBiblioForm&amp;sid=E9A819C3F6DCFD1BC9C0B8F136</v>
      </c>
    </row>
    <row r="2730" spans="3:5" ht="45" x14ac:dyDescent="0.25">
      <c r="C2730" s="15">
        <v>313588</v>
      </c>
      <c r="D2730" s="4" t="s">
        <v>2734</v>
      </c>
      <c r="E2730" s="4" t="str">
        <f>HYPERLINK("https://app.crepc.sk/?fn=detailBiblioForm&amp;sid=84C2C2F763AF22E2C10B0E9486")</f>
        <v>https://app.crepc.sk/?fn=detailBiblioForm&amp;sid=84C2C2F763AF22E2C10B0E9486</v>
      </c>
    </row>
    <row r="2731" spans="3:5" ht="45" x14ac:dyDescent="0.25">
      <c r="C2731" s="15">
        <v>70662</v>
      </c>
      <c r="D2731" s="4" t="s">
        <v>2735</v>
      </c>
      <c r="E2731" s="4" t="str">
        <f>HYPERLINK("https://app.crepc.sk/?fn=detailBiblioForm&amp;sid=8E2ECA59FB551EB1C353BC8B")</f>
        <v>https://app.crepc.sk/?fn=detailBiblioForm&amp;sid=8E2ECA59FB551EB1C353BC8B</v>
      </c>
    </row>
    <row r="2732" spans="3:5" ht="45" x14ac:dyDescent="0.25">
      <c r="C2732" s="15">
        <v>55966</v>
      </c>
      <c r="D2732" s="4" t="s">
        <v>2736</v>
      </c>
      <c r="E2732" s="4" t="str">
        <f>HYPERLINK("https://app.crepc.sk/?fn=detailBiblioForm&amp;sid=172A04CD1984768023E1C707")</f>
        <v>https://app.crepc.sk/?fn=detailBiblioForm&amp;sid=172A04CD1984768023E1C707</v>
      </c>
    </row>
    <row r="2733" spans="3:5" ht="60" x14ac:dyDescent="0.25">
      <c r="C2733" s="15">
        <v>451846</v>
      </c>
      <c r="D2733" s="4" t="s">
        <v>2737</v>
      </c>
      <c r="E2733" s="4" t="str">
        <f>HYPERLINK("https://app.crepc.sk/?fn=detailBiblioForm&amp;sid=447DFCD5D4F7DE588BF8627DFF")</f>
        <v>https://app.crepc.sk/?fn=detailBiblioForm&amp;sid=447DFCD5D4F7DE588BF8627DFF</v>
      </c>
    </row>
    <row r="2734" spans="3:5" ht="45" x14ac:dyDescent="0.25">
      <c r="C2734" s="15">
        <v>227195</v>
      </c>
      <c r="D2734" s="4" t="s">
        <v>2738</v>
      </c>
      <c r="E2734" s="4" t="str">
        <f>HYPERLINK("https://app.crepc.sk/?fn=detailBiblioForm&amp;sid=4C033740B21F08492FEA65BB81")</f>
        <v>https://app.crepc.sk/?fn=detailBiblioForm&amp;sid=4C033740B21F08492FEA65BB81</v>
      </c>
    </row>
    <row r="2735" spans="3:5" ht="45" x14ac:dyDescent="0.25">
      <c r="C2735" s="15">
        <v>152798</v>
      </c>
      <c r="D2735" s="4" t="s">
        <v>2739</v>
      </c>
      <c r="E2735" s="4" t="str">
        <f>HYPERLINK("https://app.crepc.sk/?fn=detailBiblioForm&amp;sid=3D579E6F99510E20D2B229C6B9")</f>
        <v>https://app.crepc.sk/?fn=detailBiblioForm&amp;sid=3D579E6F99510E20D2B229C6B9</v>
      </c>
    </row>
    <row r="2736" spans="3:5" ht="60" x14ac:dyDescent="0.25">
      <c r="C2736" s="15">
        <v>216013</v>
      </c>
      <c r="D2736" s="4" t="s">
        <v>2740</v>
      </c>
      <c r="E2736" s="4" t="str">
        <f>HYPERLINK("https://app.crepc.sk/?fn=detailBiblioForm&amp;sid=BD296F5EC48344733F9897FAC5")</f>
        <v>https://app.crepc.sk/?fn=detailBiblioForm&amp;sid=BD296F5EC48344733F9897FAC5</v>
      </c>
    </row>
    <row r="2737" spans="3:5" ht="60" x14ac:dyDescent="0.25">
      <c r="C2737" s="15">
        <v>212745</v>
      </c>
      <c r="D2737" s="4" t="s">
        <v>2741</v>
      </c>
      <c r="E2737" s="4" t="str">
        <f>HYPERLINK("https://app.crepc.sk/?fn=detailBiblioForm&amp;sid=24B1BED81E519E7D60B5007643")</f>
        <v>https://app.crepc.sk/?fn=detailBiblioForm&amp;sid=24B1BED81E519E7D60B5007643</v>
      </c>
    </row>
    <row r="2738" spans="3:5" ht="45" x14ac:dyDescent="0.25">
      <c r="C2738" s="15">
        <v>116362</v>
      </c>
      <c r="D2738" s="4" t="s">
        <v>2742</v>
      </c>
      <c r="E2738" s="4" t="str">
        <f>HYPERLINK("https://app.crepc.sk/?fn=detailBiblioForm&amp;sid=1002ED0DF2340BB2297902508D")</f>
        <v>https://app.crepc.sk/?fn=detailBiblioForm&amp;sid=1002ED0DF2340BB2297902508D</v>
      </c>
    </row>
    <row r="2739" spans="3:5" ht="75" x14ac:dyDescent="0.25">
      <c r="C2739" s="15">
        <v>198876</v>
      </c>
      <c r="D2739" s="4" t="s">
        <v>2743</v>
      </c>
      <c r="E2739" s="4" t="str">
        <f>HYPERLINK("https://app.crepc.sk/?fn=detailBiblioForm&amp;sid=18DD23044A020D16F818B595B9")</f>
        <v>https://app.crepc.sk/?fn=detailBiblioForm&amp;sid=18DD23044A020D16F818B595B9</v>
      </c>
    </row>
    <row r="2740" spans="3:5" ht="60" x14ac:dyDescent="0.25">
      <c r="C2740" s="15">
        <v>143353</v>
      </c>
      <c r="D2740" s="4" t="s">
        <v>2744</v>
      </c>
      <c r="E2740" s="4" t="str">
        <f>HYPERLINK("https://app.crepc.sk/?fn=detailBiblioForm&amp;sid=20F6D125F7A47F55369BD455D1")</f>
        <v>https://app.crepc.sk/?fn=detailBiblioForm&amp;sid=20F6D125F7A47F55369BD455D1</v>
      </c>
    </row>
    <row r="2741" spans="3:5" ht="60" x14ac:dyDescent="0.25">
      <c r="C2741" s="15">
        <v>208246</v>
      </c>
      <c r="D2741" s="4" t="s">
        <v>2745</v>
      </c>
      <c r="E2741" s="4" t="str">
        <f>HYPERLINK("https://app.crepc.sk/?fn=detailBiblioForm&amp;sid=9AB3B7EDD72446F7CD43C323B2")</f>
        <v>https://app.crepc.sk/?fn=detailBiblioForm&amp;sid=9AB3B7EDD72446F7CD43C323B2</v>
      </c>
    </row>
    <row r="2742" spans="3:5" ht="60" x14ac:dyDescent="0.25">
      <c r="C2742" s="15">
        <v>242071</v>
      </c>
      <c r="D2742" s="4" t="s">
        <v>2746</v>
      </c>
      <c r="E2742" s="4" t="str">
        <f>HYPERLINK("https://app.crepc.sk/?fn=detailBiblioForm&amp;sid=9A2012D09B493E7D93925EDF0A")</f>
        <v>https://app.crepc.sk/?fn=detailBiblioForm&amp;sid=9A2012D09B493E7D93925EDF0A</v>
      </c>
    </row>
    <row r="2743" spans="3:5" ht="45" x14ac:dyDescent="0.25">
      <c r="C2743" s="15">
        <v>449559</v>
      </c>
      <c r="D2743" s="4" t="s">
        <v>2747</v>
      </c>
      <c r="E2743" s="4" t="str">
        <f>HYPERLINK("https://app.crepc.sk/?fn=detailBiblioForm&amp;sid=BD225944E7E3AB4023A1E2D004")</f>
        <v>https://app.crepc.sk/?fn=detailBiblioForm&amp;sid=BD225944E7E3AB4023A1E2D004</v>
      </c>
    </row>
    <row r="2744" spans="3:5" ht="60" x14ac:dyDescent="0.25">
      <c r="C2744" s="15">
        <v>184365</v>
      </c>
      <c r="D2744" s="4" t="s">
        <v>2748</v>
      </c>
      <c r="E2744" s="4" t="str">
        <f>HYPERLINK("https://app.crepc.sk/?fn=detailBiblioForm&amp;sid=F29B441F8EC4F8FBF333DE11B3")</f>
        <v>https://app.crepc.sk/?fn=detailBiblioForm&amp;sid=F29B441F8EC4F8FBF333DE11B3</v>
      </c>
    </row>
    <row r="2745" spans="3:5" ht="45" x14ac:dyDescent="0.25">
      <c r="C2745" s="15">
        <v>81251</v>
      </c>
      <c r="D2745" s="4" t="s">
        <v>2749</v>
      </c>
      <c r="E2745" s="4" t="str">
        <f>HYPERLINK("https://app.crepc.sk/?fn=detailBiblioForm&amp;sid=8FEE06A2424260A2DFAD7346")</f>
        <v>https://app.crepc.sk/?fn=detailBiblioForm&amp;sid=8FEE06A2424260A2DFAD7346</v>
      </c>
    </row>
    <row r="2746" spans="3:5" ht="75" x14ac:dyDescent="0.25">
      <c r="C2746" s="15">
        <v>52039</v>
      </c>
      <c r="D2746" s="4" t="s">
        <v>2750</v>
      </c>
      <c r="E2746" s="4" t="str">
        <f>HYPERLINK("https://app.crepc.sk/?fn=detailBiblioForm&amp;sid=015774A0243DF44F1A9680E5")</f>
        <v>https://app.crepc.sk/?fn=detailBiblioForm&amp;sid=015774A0243DF44F1A9680E5</v>
      </c>
    </row>
    <row r="2747" spans="3:5" ht="60" x14ac:dyDescent="0.25">
      <c r="C2747" s="15">
        <v>95296</v>
      </c>
      <c r="D2747" s="4" t="s">
        <v>2751</v>
      </c>
      <c r="E2747" s="4" t="str">
        <f>HYPERLINK("https://app.crepc.sk/?fn=detailBiblioForm&amp;sid=236DA1634580DDA7D00A39DE")</f>
        <v>https://app.crepc.sk/?fn=detailBiblioForm&amp;sid=236DA1634580DDA7D00A39DE</v>
      </c>
    </row>
    <row r="2748" spans="3:5" ht="60" x14ac:dyDescent="0.25">
      <c r="C2748" s="15">
        <v>249185</v>
      </c>
      <c r="D2748" s="4" t="s">
        <v>2752</v>
      </c>
      <c r="E2748" s="4" t="str">
        <f>HYPERLINK("https://app.crepc.sk/?fn=detailBiblioForm&amp;sid=4E3FC3EF0E33ED011AF1ECDC90")</f>
        <v>https://app.crepc.sk/?fn=detailBiblioForm&amp;sid=4E3FC3EF0E33ED011AF1ECDC90</v>
      </c>
    </row>
    <row r="2749" spans="3:5" ht="75" x14ac:dyDescent="0.25">
      <c r="C2749" s="15">
        <v>195985</v>
      </c>
      <c r="D2749" s="4" t="s">
        <v>2753</v>
      </c>
      <c r="E2749" s="4" t="str">
        <f>HYPERLINK("https://app.crepc.sk/?fn=detailBiblioForm&amp;sid=D0FFB1787B7ACE98B755689ACF")</f>
        <v>https://app.crepc.sk/?fn=detailBiblioForm&amp;sid=D0FFB1787B7ACE98B755689ACF</v>
      </c>
    </row>
    <row r="2750" spans="3:5" ht="60" x14ac:dyDescent="0.25">
      <c r="C2750" s="15">
        <v>311191</v>
      </c>
      <c r="D2750" s="4" t="s">
        <v>2754</v>
      </c>
      <c r="E2750" s="4" t="str">
        <f>HYPERLINK("https://app.crepc.sk/?fn=detailBiblioForm&amp;sid=EDC641B86B12B5F85047D27856")</f>
        <v>https://app.crepc.sk/?fn=detailBiblioForm&amp;sid=EDC641B86B12B5F85047D27856</v>
      </c>
    </row>
    <row r="2751" spans="3:5" ht="60" x14ac:dyDescent="0.25">
      <c r="C2751" s="15">
        <v>432855</v>
      </c>
      <c r="D2751" s="4" t="s">
        <v>2755</v>
      </c>
      <c r="E2751" s="4" t="str">
        <f>HYPERLINK("https://app.crepc.sk/?fn=detailBiblioForm&amp;sid=60947673AC094B86B56F5A089E")</f>
        <v>https://app.crepc.sk/?fn=detailBiblioForm&amp;sid=60947673AC094B86B56F5A089E</v>
      </c>
    </row>
    <row r="2752" spans="3:5" ht="60" x14ac:dyDescent="0.25">
      <c r="C2752" s="15">
        <v>53621</v>
      </c>
      <c r="D2752" s="4" t="s">
        <v>2756</v>
      </c>
      <c r="E2752" s="4" t="str">
        <f>HYPERLINK("https://app.crepc.sk/?fn=detailBiblioForm&amp;sid=F62A944F94E97B7B6EBA24C6")</f>
        <v>https://app.crepc.sk/?fn=detailBiblioForm&amp;sid=F62A944F94E97B7B6EBA24C6</v>
      </c>
    </row>
    <row r="2753" spans="3:5" ht="45" x14ac:dyDescent="0.25">
      <c r="C2753" s="15">
        <v>170938</v>
      </c>
      <c r="D2753" s="4" t="s">
        <v>2757</v>
      </c>
      <c r="E2753" s="4" t="str">
        <f>HYPERLINK("https://app.crepc.sk/?fn=detailBiblioForm&amp;sid=38F43C5054BC4F7F2CB4AFE505")</f>
        <v>https://app.crepc.sk/?fn=detailBiblioForm&amp;sid=38F43C5054BC4F7F2CB4AFE505</v>
      </c>
    </row>
    <row r="2754" spans="3:5" ht="45" x14ac:dyDescent="0.25">
      <c r="C2754" s="15">
        <v>51874</v>
      </c>
      <c r="D2754" s="4" t="s">
        <v>2758</v>
      </c>
      <c r="E2754" s="4" t="str">
        <f>HYPERLINK("https://app.crepc.sk/?fn=detailBiblioForm&amp;sid=D5D698E870B5262BE82533D6")</f>
        <v>https://app.crepc.sk/?fn=detailBiblioForm&amp;sid=D5D698E870B5262BE82533D6</v>
      </c>
    </row>
    <row r="2755" spans="3:5" ht="75" x14ac:dyDescent="0.25">
      <c r="C2755" s="15">
        <v>455349</v>
      </c>
      <c r="D2755" s="4" t="s">
        <v>2759</v>
      </c>
      <c r="E2755" s="4" t="str">
        <f>HYPERLINK("https://app.crepc.sk/?fn=detailBiblioForm&amp;sid=C0E279B1603E1C5702349D0680")</f>
        <v>https://app.crepc.sk/?fn=detailBiblioForm&amp;sid=C0E279B1603E1C5702349D0680</v>
      </c>
    </row>
    <row r="2756" spans="3:5" ht="60" x14ac:dyDescent="0.25">
      <c r="C2756" s="15">
        <v>162228</v>
      </c>
      <c r="D2756" s="4" t="s">
        <v>2760</v>
      </c>
      <c r="E2756" s="4" t="str">
        <f>HYPERLINK("https://app.crepc.sk/?fn=detailBiblioForm&amp;sid=064839694A055E9D1305D03241")</f>
        <v>https://app.crepc.sk/?fn=detailBiblioForm&amp;sid=064839694A055E9D1305D03241</v>
      </c>
    </row>
    <row r="2757" spans="3:5" ht="45" x14ac:dyDescent="0.25">
      <c r="C2757" s="15">
        <v>122768</v>
      </c>
      <c r="D2757" s="4" t="s">
        <v>2761</v>
      </c>
      <c r="E2757" s="4" t="str">
        <f>HYPERLINK("https://app.crepc.sk/?fn=detailBiblioForm&amp;sid=A5B40B0321D8B57908D009F729")</f>
        <v>https://app.crepc.sk/?fn=detailBiblioForm&amp;sid=A5B40B0321D8B57908D009F729</v>
      </c>
    </row>
    <row r="2758" spans="3:5" ht="60" x14ac:dyDescent="0.25">
      <c r="C2758" s="15">
        <v>150949</v>
      </c>
      <c r="D2758" s="4" t="s">
        <v>2762</v>
      </c>
      <c r="E2758" s="4" t="str">
        <f>HYPERLINK("https://app.crepc.sk/?fn=detailBiblioForm&amp;sid=1DDC86077D8354F3A7F3F2B260")</f>
        <v>https://app.crepc.sk/?fn=detailBiblioForm&amp;sid=1DDC86077D8354F3A7F3F2B260</v>
      </c>
    </row>
    <row r="2759" spans="3:5" ht="60" x14ac:dyDescent="0.25">
      <c r="C2759" s="15">
        <v>105662</v>
      </c>
      <c r="D2759" s="4" t="s">
        <v>2763</v>
      </c>
      <c r="E2759" s="4" t="str">
        <f>HYPERLINK("https://app.crepc.sk/?fn=detailBiblioForm&amp;sid=FD881BC05B1F2F7E42556C9F59")</f>
        <v>https://app.crepc.sk/?fn=detailBiblioForm&amp;sid=FD881BC05B1F2F7E42556C9F59</v>
      </c>
    </row>
    <row r="2760" spans="3:5" ht="75" x14ac:dyDescent="0.25">
      <c r="C2760" s="15">
        <v>151991</v>
      </c>
      <c r="D2760" s="4" t="s">
        <v>2764</v>
      </c>
      <c r="E2760" s="4" t="str">
        <f>HYPERLINK("https://app.crepc.sk/?fn=detailBiblioForm&amp;sid=25093AD9EB7829820B88F208A2")</f>
        <v>https://app.crepc.sk/?fn=detailBiblioForm&amp;sid=25093AD9EB7829820B88F208A2</v>
      </c>
    </row>
    <row r="2761" spans="3:5" ht="45" x14ac:dyDescent="0.25">
      <c r="C2761" s="15">
        <v>51344</v>
      </c>
      <c r="D2761" s="4" t="s">
        <v>2765</v>
      </c>
      <c r="E2761" s="4" t="str">
        <f>HYPERLINK("https://app.crepc.sk/?fn=detailBiblioForm&amp;sid=90FB1ACF428CDAC66ABA5D9E")</f>
        <v>https://app.crepc.sk/?fn=detailBiblioForm&amp;sid=90FB1ACF428CDAC66ABA5D9E</v>
      </c>
    </row>
    <row r="2762" spans="3:5" ht="45" x14ac:dyDescent="0.25">
      <c r="C2762" s="15">
        <v>184281</v>
      </c>
      <c r="D2762" s="4" t="s">
        <v>2766</v>
      </c>
      <c r="E2762" s="4" t="str">
        <f>HYPERLINK("https://app.crepc.sk/?fn=detailBiblioForm&amp;sid=51C176E8478ABC8F8A7663848B")</f>
        <v>https://app.crepc.sk/?fn=detailBiblioForm&amp;sid=51C176E8478ABC8F8A7663848B</v>
      </c>
    </row>
    <row r="2763" spans="3:5" ht="75" x14ac:dyDescent="0.25">
      <c r="C2763" s="15">
        <v>78611</v>
      </c>
      <c r="D2763" s="4" t="s">
        <v>2767</v>
      </c>
      <c r="E2763" s="4" t="str">
        <f>HYPERLINK("https://app.crepc.sk/?fn=detailBiblioForm&amp;sid=B738D0AD8D41EE5279168CBA")</f>
        <v>https://app.crepc.sk/?fn=detailBiblioForm&amp;sid=B738D0AD8D41EE5279168CBA</v>
      </c>
    </row>
    <row r="2764" spans="3:5" ht="60" x14ac:dyDescent="0.25">
      <c r="C2764" s="15">
        <v>210136</v>
      </c>
      <c r="D2764" s="4" t="s">
        <v>2768</v>
      </c>
      <c r="E2764" s="4" t="str">
        <f>HYPERLINK("https://app.crepc.sk/?fn=detailBiblioForm&amp;sid=5DB4E0B08DFCD5196542B528AC")</f>
        <v>https://app.crepc.sk/?fn=detailBiblioForm&amp;sid=5DB4E0B08DFCD5196542B528AC</v>
      </c>
    </row>
    <row r="2765" spans="3:5" ht="60" x14ac:dyDescent="0.25">
      <c r="C2765" s="15">
        <v>52181</v>
      </c>
      <c r="D2765" s="4" t="s">
        <v>2769</v>
      </c>
      <c r="E2765" s="4" t="str">
        <f>HYPERLINK("https://app.crepc.sk/?fn=detailBiblioForm&amp;sid=8845DFF785A051F399C473BC")</f>
        <v>https://app.crepc.sk/?fn=detailBiblioForm&amp;sid=8845DFF785A051F399C473BC</v>
      </c>
    </row>
    <row r="2766" spans="3:5" ht="60" x14ac:dyDescent="0.25">
      <c r="C2766" s="15">
        <v>116227</v>
      </c>
      <c r="D2766" s="4" t="s">
        <v>2770</v>
      </c>
      <c r="E2766" s="4" t="str">
        <f>HYPERLINK("https://app.crepc.sk/?fn=detailBiblioForm&amp;sid=E13542FA17D512302B93563330")</f>
        <v>https://app.crepc.sk/?fn=detailBiblioForm&amp;sid=E13542FA17D512302B93563330</v>
      </c>
    </row>
    <row r="2767" spans="3:5" ht="60" x14ac:dyDescent="0.25">
      <c r="C2767" s="15">
        <v>83905</v>
      </c>
      <c r="D2767" s="4" t="s">
        <v>2771</v>
      </c>
      <c r="E2767" s="4" t="str">
        <f>HYPERLINK("https://app.crepc.sk/?fn=detailBiblioForm&amp;sid=5346FE430F3F01655048C1D2")</f>
        <v>https://app.crepc.sk/?fn=detailBiblioForm&amp;sid=5346FE430F3F01655048C1D2</v>
      </c>
    </row>
    <row r="2768" spans="3:5" ht="45" x14ac:dyDescent="0.25">
      <c r="C2768" s="15">
        <v>182755</v>
      </c>
      <c r="D2768" s="4" t="s">
        <v>2772</v>
      </c>
      <c r="E2768" s="4" t="str">
        <f>HYPERLINK("https://app.crepc.sk/?fn=detailBiblioForm&amp;sid=C1EFC3B1039AA8EF92EF97B9B5")</f>
        <v>https://app.crepc.sk/?fn=detailBiblioForm&amp;sid=C1EFC3B1039AA8EF92EF97B9B5</v>
      </c>
    </row>
    <row r="2769" spans="3:5" ht="75" x14ac:dyDescent="0.25">
      <c r="C2769" s="15">
        <v>196869</v>
      </c>
      <c r="D2769" s="4" t="s">
        <v>2773</v>
      </c>
      <c r="E2769" s="4" t="str">
        <f>HYPERLINK("https://app.crepc.sk/?fn=detailBiblioForm&amp;sid=71273B11B862991D710463B5FC")</f>
        <v>https://app.crepc.sk/?fn=detailBiblioForm&amp;sid=71273B11B862991D710463B5FC</v>
      </c>
    </row>
    <row r="2770" spans="3:5" ht="60" x14ac:dyDescent="0.25">
      <c r="C2770" s="15">
        <v>189734</v>
      </c>
      <c r="D2770" s="4" t="s">
        <v>2774</v>
      </c>
      <c r="E2770" s="4" t="str">
        <f>HYPERLINK("https://app.crepc.sk/?fn=detailBiblioForm&amp;sid=ECD7BDABE461DD05CD31FD20C5")</f>
        <v>https://app.crepc.sk/?fn=detailBiblioForm&amp;sid=ECD7BDABE461DD05CD31FD20C5</v>
      </c>
    </row>
    <row r="2771" spans="3:5" ht="60" x14ac:dyDescent="0.25">
      <c r="C2771" s="15">
        <v>123523</v>
      </c>
      <c r="D2771" s="4" t="s">
        <v>2775</v>
      </c>
      <c r="E2771" s="4" t="str">
        <f>HYPERLINK("https://app.crepc.sk/?fn=detailBiblioForm&amp;sid=D29F3E4684739C0AF4D9C1639B")</f>
        <v>https://app.crepc.sk/?fn=detailBiblioForm&amp;sid=D29F3E4684739C0AF4D9C1639B</v>
      </c>
    </row>
    <row r="2772" spans="3:5" ht="60" x14ac:dyDescent="0.25">
      <c r="C2772" s="15">
        <v>68990</v>
      </c>
      <c r="D2772" s="4" t="s">
        <v>2776</v>
      </c>
      <c r="E2772" s="4" t="str">
        <f>HYPERLINK("https://app.crepc.sk/?fn=detailBiblioForm&amp;sid=B3C7572BB2D3356F3FC23706")</f>
        <v>https://app.crepc.sk/?fn=detailBiblioForm&amp;sid=B3C7572BB2D3356F3FC23706</v>
      </c>
    </row>
    <row r="2773" spans="3:5" ht="75" x14ac:dyDescent="0.25">
      <c r="C2773" s="15">
        <v>95490</v>
      </c>
      <c r="D2773" s="4" t="s">
        <v>2777</v>
      </c>
      <c r="E2773" s="4" t="str">
        <f>HYPERLINK("https://app.crepc.sk/?fn=detailBiblioForm&amp;sid=76005098D165B57D3B4B1E45")</f>
        <v>https://app.crepc.sk/?fn=detailBiblioForm&amp;sid=76005098D165B57D3B4B1E45</v>
      </c>
    </row>
    <row r="2774" spans="3:5" ht="75" x14ac:dyDescent="0.25">
      <c r="C2774" s="15">
        <v>420784</v>
      </c>
      <c r="D2774" s="4" t="s">
        <v>2778</v>
      </c>
      <c r="E2774" s="4" t="str">
        <f>HYPERLINK("https://app.crepc.sk/?fn=detailBiblioForm&amp;sid=D9A7B902AE3B4140D2BDC4EFA2")</f>
        <v>https://app.crepc.sk/?fn=detailBiblioForm&amp;sid=D9A7B902AE3B4140D2BDC4EFA2</v>
      </c>
    </row>
    <row r="2775" spans="3:5" ht="60" x14ac:dyDescent="0.25">
      <c r="C2775" s="15">
        <v>443745</v>
      </c>
      <c r="D2775" s="4" t="s">
        <v>2779</v>
      </c>
      <c r="E2775" s="4" t="str">
        <f>HYPERLINK("https://app.crepc.sk/?fn=detailBiblioForm&amp;sid=E77CDBABEB1A7DFB01CEA0624C")</f>
        <v>https://app.crepc.sk/?fn=detailBiblioForm&amp;sid=E77CDBABEB1A7DFB01CEA0624C</v>
      </c>
    </row>
    <row r="2776" spans="3:5" ht="60" x14ac:dyDescent="0.25">
      <c r="C2776" s="15">
        <v>133494</v>
      </c>
      <c r="D2776" s="4" t="s">
        <v>2780</v>
      </c>
      <c r="E2776" s="4" t="str">
        <f>HYPERLINK("https://app.crepc.sk/?fn=detailBiblioForm&amp;sid=062C1ED5E40068C51ED17EA354")</f>
        <v>https://app.crepc.sk/?fn=detailBiblioForm&amp;sid=062C1ED5E40068C51ED17EA354</v>
      </c>
    </row>
    <row r="2777" spans="3:5" ht="60" x14ac:dyDescent="0.25">
      <c r="C2777" s="15">
        <v>141335</v>
      </c>
      <c r="D2777" s="4" t="s">
        <v>2781</v>
      </c>
      <c r="E2777" s="4" t="str">
        <f>HYPERLINK("https://app.crepc.sk/?fn=detailBiblioForm&amp;sid=8E4B6E07E50410EA9FB6C9280E")</f>
        <v>https://app.crepc.sk/?fn=detailBiblioForm&amp;sid=8E4B6E07E50410EA9FB6C9280E</v>
      </c>
    </row>
    <row r="2778" spans="3:5" ht="45" x14ac:dyDescent="0.25">
      <c r="C2778" s="15">
        <v>193556</v>
      </c>
      <c r="D2778" s="4" t="s">
        <v>2782</v>
      </c>
      <c r="E2778" s="4" t="str">
        <f>HYPERLINK("https://app.crepc.sk/?fn=detailBiblioForm&amp;sid=80433203F04DA090B3A4FE3FCE")</f>
        <v>https://app.crepc.sk/?fn=detailBiblioForm&amp;sid=80433203F04DA090B3A4FE3FCE</v>
      </c>
    </row>
    <row r="2779" spans="3:5" ht="60" x14ac:dyDescent="0.25">
      <c r="C2779" s="15">
        <v>204694</v>
      </c>
      <c r="D2779" s="4" t="s">
        <v>2783</v>
      </c>
      <c r="E2779" s="4" t="str">
        <f>HYPERLINK("https://app.crepc.sk/?fn=detailBiblioForm&amp;sid=2B93CBFCB3A260DE8A9EB76277")</f>
        <v>https://app.crepc.sk/?fn=detailBiblioForm&amp;sid=2B93CBFCB3A260DE8A9EB76277</v>
      </c>
    </row>
    <row r="2780" spans="3:5" ht="60" x14ac:dyDescent="0.25">
      <c r="C2780" s="15">
        <v>225684</v>
      </c>
      <c r="D2780" s="4" t="s">
        <v>2784</v>
      </c>
      <c r="E2780" s="4" t="str">
        <f>HYPERLINK("https://app.crepc.sk/?fn=detailBiblioForm&amp;sid=2774F25B6743338D83EF76FF41")</f>
        <v>https://app.crepc.sk/?fn=detailBiblioForm&amp;sid=2774F25B6743338D83EF76FF41</v>
      </c>
    </row>
    <row r="2781" spans="3:5" ht="45" x14ac:dyDescent="0.25">
      <c r="C2781" s="15">
        <v>190388</v>
      </c>
      <c r="D2781" s="4" t="s">
        <v>2785</v>
      </c>
      <c r="E2781" s="4" t="str">
        <f>HYPERLINK("https://app.crepc.sk/?fn=detailBiblioForm&amp;sid=E58AF41CA0468A4422DD86DC73")</f>
        <v>https://app.crepc.sk/?fn=detailBiblioForm&amp;sid=E58AF41CA0468A4422DD86DC73</v>
      </c>
    </row>
    <row r="2782" spans="3:5" ht="60" x14ac:dyDescent="0.25">
      <c r="C2782" s="15">
        <v>161544</v>
      </c>
      <c r="D2782" s="4" t="s">
        <v>2786</v>
      </c>
      <c r="E2782" s="4" t="str">
        <f>HYPERLINK("https://app.crepc.sk/?fn=detailBiblioForm&amp;sid=BB60B769A491B65141F753E40D")</f>
        <v>https://app.crepc.sk/?fn=detailBiblioForm&amp;sid=BB60B769A491B65141F753E40D</v>
      </c>
    </row>
    <row r="2783" spans="3:5" ht="90" x14ac:dyDescent="0.25">
      <c r="C2783" s="15">
        <v>213121</v>
      </c>
      <c r="D2783" s="4" t="s">
        <v>2787</v>
      </c>
      <c r="E2783" s="4" t="str">
        <f>HYPERLINK("https://app.crepc.sk/?fn=detailBiblioForm&amp;sid=135C93AC0B2CE4567EFAF252A0")</f>
        <v>https://app.crepc.sk/?fn=detailBiblioForm&amp;sid=135C93AC0B2CE4567EFAF252A0</v>
      </c>
    </row>
    <row r="2784" spans="3:5" ht="90" x14ac:dyDescent="0.25">
      <c r="C2784" s="15">
        <v>414746</v>
      </c>
      <c r="D2784" s="4" t="s">
        <v>2788</v>
      </c>
      <c r="E2784" s="4" t="str">
        <f>HYPERLINK("https://app.crepc.sk/?fn=detailBiblioForm&amp;sid=A645C56C0FD7416CECFD59C2CF")</f>
        <v>https://app.crepc.sk/?fn=detailBiblioForm&amp;sid=A645C56C0FD7416CECFD59C2CF</v>
      </c>
    </row>
    <row r="2785" spans="3:5" ht="90" x14ac:dyDescent="0.25">
      <c r="C2785" s="15">
        <v>419385</v>
      </c>
      <c r="D2785" s="4" t="s">
        <v>2789</v>
      </c>
      <c r="E2785" s="4" t="str">
        <f>HYPERLINK("https://app.crepc.sk/?fn=detailBiblioForm&amp;sid=D0B86A6C889D400A95B566C23A")</f>
        <v>https://app.crepc.sk/?fn=detailBiblioForm&amp;sid=D0B86A6C889D400A95B566C23A</v>
      </c>
    </row>
    <row r="2786" spans="3:5" ht="90" x14ac:dyDescent="0.25">
      <c r="C2786" s="15">
        <v>229641</v>
      </c>
      <c r="D2786" s="4" t="s">
        <v>2790</v>
      </c>
      <c r="E2786" s="4" t="str">
        <f>HYPERLINK("https://app.crepc.sk/?fn=detailBiblioForm&amp;sid=CB005C5E0747D7B0BEDC9B7855")</f>
        <v>https://app.crepc.sk/?fn=detailBiblioForm&amp;sid=CB005C5E0747D7B0BEDC9B7855</v>
      </c>
    </row>
    <row r="2787" spans="3:5" ht="75" x14ac:dyDescent="0.25">
      <c r="C2787" s="15">
        <v>199079</v>
      </c>
      <c r="D2787" s="4" t="s">
        <v>2791</v>
      </c>
      <c r="E2787" s="4" t="str">
        <f>HYPERLINK("https://app.crepc.sk/?fn=detailBiblioForm&amp;sid=485F8D043A8EA669FBC59F2BD2")</f>
        <v>https://app.crepc.sk/?fn=detailBiblioForm&amp;sid=485F8D043A8EA669FBC59F2BD2</v>
      </c>
    </row>
    <row r="2788" spans="3:5" ht="45" x14ac:dyDescent="0.25">
      <c r="C2788" s="15">
        <v>313811</v>
      </c>
      <c r="D2788" s="4" t="s">
        <v>2792</v>
      </c>
      <c r="E2788" s="4" t="str">
        <f>HYPERLINK("https://app.crepc.sk/?fn=detailBiblioForm&amp;sid=C62D698933728B5BFD82E95B09")</f>
        <v>https://app.crepc.sk/?fn=detailBiblioForm&amp;sid=C62D698933728B5BFD82E95B09</v>
      </c>
    </row>
    <row r="2789" spans="3:5" ht="60" x14ac:dyDescent="0.25">
      <c r="C2789" s="15">
        <v>138213</v>
      </c>
      <c r="D2789" s="4" t="s">
        <v>2793</v>
      </c>
      <c r="E2789" s="4" t="str">
        <f>HYPERLINK("https://app.crepc.sk/?fn=detailBiblioForm&amp;sid=145E94B5E4A069A605FC3DD195")</f>
        <v>https://app.crepc.sk/?fn=detailBiblioForm&amp;sid=145E94B5E4A069A605FC3DD195</v>
      </c>
    </row>
    <row r="2790" spans="3:5" ht="45" x14ac:dyDescent="0.25">
      <c r="C2790" s="15">
        <v>86330</v>
      </c>
      <c r="D2790" s="4" t="s">
        <v>2794</v>
      </c>
      <c r="E2790" s="4" t="str">
        <f>HYPERLINK("https://app.crepc.sk/?fn=detailBiblioForm&amp;sid=CA04BFFD7A6C7A789B677ACF")</f>
        <v>https://app.crepc.sk/?fn=detailBiblioForm&amp;sid=CA04BFFD7A6C7A789B677ACF</v>
      </c>
    </row>
    <row r="2791" spans="3:5" ht="60" x14ac:dyDescent="0.25">
      <c r="C2791" s="15">
        <v>422420</v>
      </c>
      <c r="D2791" s="4" t="s">
        <v>2795</v>
      </c>
      <c r="E2791" s="4" t="str">
        <f>HYPERLINK("https://app.crepc.sk/?fn=detailBiblioForm&amp;sid=50C23C962AC4873685F398C4F3")</f>
        <v>https://app.crepc.sk/?fn=detailBiblioForm&amp;sid=50C23C962AC4873685F398C4F3</v>
      </c>
    </row>
    <row r="2792" spans="3:5" ht="60" x14ac:dyDescent="0.25">
      <c r="C2792" s="15">
        <v>70671</v>
      </c>
      <c r="D2792" s="4" t="s">
        <v>2796</v>
      </c>
      <c r="E2792" s="4" t="str">
        <f>HYPERLINK("https://app.crepc.sk/?fn=detailBiblioForm&amp;sid=41C4C1F4880435D043941A6F")</f>
        <v>https://app.crepc.sk/?fn=detailBiblioForm&amp;sid=41C4C1F4880435D043941A6F</v>
      </c>
    </row>
    <row r="2793" spans="3:5" ht="60" x14ac:dyDescent="0.25">
      <c r="C2793" s="15">
        <v>175848</v>
      </c>
      <c r="D2793" s="4" t="s">
        <v>2797</v>
      </c>
      <c r="E2793" s="4" t="str">
        <f>HYPERLINK("https://app.crepc.sk/?fn=detailBiblioForm&amp;sid=77472A57103095E44E050BB0E4")</f>
        <v>https://app.crepc.sk/?fn=detailBiblioForm&amp;sid=77472A57103095E44E050BB0E4</v>
      </c>
    </row>
    <row r="2794" spans="3:5" ht="75" x14ac:dyDescent="0.25">
      <c r="C2794" s="15">
        <v>161586</v>
      </c>
      <c r="D2794" s="4" t="s">
        <v>2798</v>
      </c>
      <c r="E2794" s="4" t="str">
        <f>HYPERLINK("https://app.crepc.sk/?fn=detailBiblioForm&amp;sid=BB60B769A491B6514DF553E40D")</f>
        <v>https://app.crepc.sk/?fn=detailBiblioForm&amp;sid=BB60B769A491B6514DF553E40D</v>
      </c>
    </row>
    <row r="2795" spans="3:5" ht="75" x14ac:dyDescent="0.25">
      <c r="C2795" s="15">
        <v>197543</v>
      </c>
      <c r="D2795" s="4" t="s">
        <v>2799</v>
      </c>
      <c r="E2795" s="4" t="str">
        <f>HYPERLINK("https://app.crepc.sk/?fn=detailBiblioForm&amp;sid=D57BF42135A254DE89C8DC7B59")</f>
        <v>https://app.crepc.sk/?fn=detailBiblioForm&amp;sid=D57BF42135A254DE89C8DC7B59</v>
      </c>
    </row>
    <row r="2796" spans="3:5" ht="45" x14ac:dyDescent="0.25">
      <c r="C2796" s="15">
        <v>116300</v>
      </c>
      <c r="D2796" s="4" t="s">
        <v>2800</v>
      </c>
      <c r="E2796" s="4" t="str">
        <f>HYPERLINK("https://app.crepc.sk/?fn=detailBiblioForm&amp;sid=1002ED0DF2340BB22F7B02508D")</f>
        <v>https://app.crepc.sk/?fn=detailBiblioForm&amp;sid=1002ED0DF2340BB22F7B02508D</v>
      </c>
    </row>
    <row r="2797" spans="3:5" ht="60" x14ac:dyDescent="0.25">
      <c r="C2797" s="15">
        <v>430735</v>
      </c>
      <c r="D2797" s="4" t="s">
        <v>2801</v>
      </c>
      <c r="E2797" s="4" t="str">
        <f>HYPERLINK("https://app.crepc.sk/?fn=detailBiblioForm&amp;sid=589F18BBC5A86022D035B181DA")</f>
        <v>https://app.crepc.sk/?fn=detailBiblioForm&amp;sid=589F18BBC5A86022D035B181DA</v>
      </c>
    </row>
    <row r="2798" spans="3:5" ht="45" x14ac:dyDescent="0.25">
      <c r="C2798" s="15">
        <v>123526</v>
      </c>
      <c r="D2798" s="4" t="s">
        <v>2802</v>
      </c>
      <c r="E2798" s="4" t="str">
        <f>HYPERLINK("https://app.crepc.sk/?fn=detailBiblioForm&amp;sid=D29F3E4684739C0AF4DCC1639B")</f>
        <v>https://app.crepc.sk/?fn=detailBiblioForm&amp;sid=D29F3E4684739C0AF4DCC1639B</v>
      </c>
    </row>
    <row r="2799" spans="3:5" ht="75" x14ac:dyDescent="0.25">
      <c r="C2799" s="15">
        <v>305471</v>
      </c>
      <c r="D2799" s="4" t="s">
        <v>2803</v>
      </c>
      <c r="E2799" s="4" t="str">
        <f>HYPERLINK("https://app.crepc.sk/?fn=detailBiblioForm&amp;sid=50A9D3A2C12B17EA371F40BDE0")</f>
        <v>https://app.crepc.sk/?fn=detailBiblioForm&amp;sid=50A9D3A2C12B17EA371F40BDE0</v>
      </c>
    </row>
    <row r="2800" spans="3:5" ht="60" x14ac:dyDescent="0.25">
      <c r="C2800" s="15">
        <v>190148</v>
      </c>
      <c r="D2800" s="4" t="s">
        <v>2804</v>
      </c>
      <c r="E2800" s="4" t="str">
        <f>HYPERLINK("https://app.crepc.sk/?fn=detailBiblioForm&amp;sid=91A8077BCD3DC838EF736AA292")</f>
        <v>https://app.crepc.sk/?fn=detailBiblioForm&amp;sid=91A8077BCD3DC838EF736AA292</v>
      </c>
    </row>
    <row r="2801" spans="3:5" ht="45" x14ac:dyDescent="0.25">
      <c r="C2801" s="15">
        <v>140740</v>
      </c>
      <c r="D2801" s="4" t="s">
        <v>2805</v>
      </c>
      <c r="E2801" s="4" t="str">
        <f>HYPERLINK("https://app.crepc.sk/?fn=detailBiblioForm&amp;sid=5706AE11B6D530C9971D8F181F")</f>
        <v>https://app.crepc.sk/?fn=detailBiblioForm&amp;sid=5706AE11B6D530C9971D8F181F</v>
      </c>
    </row>
    <row r="2802" spans="3:5" ht="45" x14ac:dyDescent="0.25">
      <c r="C2802" s="15">
        <v>196679</v>
      </c>
      <c r="D2802" s="4" t="s">
        <v>2806</v>
      </c>
      <c r="E2802" s="4" t="str">
        <f>HYPERLINK("https://app.crepc.sk/?fn=detailBiblioForm&amp;sid=8A8E655A3835503C40D7DE9D4A")</f>
        <v>https://app.crepc.sk/?fn=detailBiblioForm&amp;sid=8A8E655A3835503C40D7DE9D4A</v>
      </c>
    </row>
    <row r="2803" spans="3:5" ht="45" x14ac:dyDescent="0.25">
      <c r="C2803" s="15">
        <v>181186</v>
      </c>
      <c r="D2803" s="4" t="s">
        <v>2807</v>
      </c>
      <c r="E2803" s="4" t="str">
        <f>HYPERLINK("https://app.crepc.sk/?fn=detailBiblioForm&amp;sid=D2270EF957433A5E2572E60F57")</f>
        <v>https://app.crepc.sk/?fn=detailBiblioForm&amp;sid=D2270EF957433A5E2572E60F57</v>
      </c>
    </row>
    <row r="2804" spans="3:5" ht="60" x14ac:dyDescent="0.25">
      <c r="C2804" s="15">
        <v>195715</v>
      </c>
      <c r="D2804" s="4" t="s">
        <v>2808</v>
      </c>
      <c r="E2804" s="4" t="str">
        <f>HYPERLINK("https://app.crepc.sk/?fn=detailBiblioForm&amp;sid=295815C2A9E117C13CBFA4E4D3")</f>
        <v>https://app.crepc.sk/?fn=detailBiblioForm&amp;sid=295815C2A9E117C13CBFA4E4D3</v>
      </c>
    </row>
    <row r="2805" spans="3:5" ht="45" x14ac:dyDescent="0.25">
      <c r="C2805" s="15">
        <v>451193</v>
      </c>
      <c r="D2805" s="4" t="s">
        <v>2809</v>
      </c>
      <c r="E2805" s="4" t="str">
        <f>HYPERLINK("https://app.crepc.sk/?fn=detailBiblioForm&amp;sid=9F0385A5C8BE0E5AA6578D3D04")</f>
        <v>https://app.crepc.sk/?fn=detailBiblioForm&amp;sid=9F0385A5C8BE0E5AA6578D3D04</v>
      </c>
    </row>
    <row r="2806" spans="3:5" ht="75" x14ac:dyDescent="0.25">
      <c r="C2806" s="15">
        <v>117293</v>
      </c>
      <c r="D2806" s="4" t="s">
        <v>2810</v>
      </c>
      <c r="E2806" s="4" t="str">
        <f>HYPERLINK("https://app.crepc.sk/?fn=detailBiblioForm&amp;sid=4152576857568BE6F011899DC6")</f>
        <v>https://app.crepc.sk/?fn=detailBiblioForm&amp;sid=4152576857568BE6F011899DC6</v>
      </c>
    </row>
    <row r="2807" spans="3:5" ht="45" x14ac:dyDescent="0.25">
      <c r="C2807" s="15">
        <v>91845</v>
      </c>
      <c r="D2807" s="4" t="s">
        <v>2811</v>
      </c>
      <c r="E2807" s="4" t="str">
        <f>HYPERLINK("https://app.crepc.sk/?fn=detailBiblioForm&amp;sid=37A1D3D27783581E867A5A80")</f>
        <v>https://app.crepc.sk/?fn=detailBiblioForm&amp;sid=37A1D3D27783581E867A5A80</v>
      </c>
    </row>
    <row r="2808" spans="3:5" ht="45" x14ac:dyDescent="0.25">
      <c r="C2808" s="15">
        <v>180775</v>
      </c>
      <c r="D2808" s="4" t="s">
        <v>2812</v>
      </c>
      <c r="E2808" s="4" t="str">
        <f>HYPERLINK("https://app.crepc.sk/?fn=detailBiblioForm&amp;sid=46F337D26E70386BC9300607C3")</f>
        <v>https://app.crepc.sk/?fn=detailBiblioForm&amp;sid=46F337D26E70386BC9300607C3</v>
      </c>
    </row>
    <row r="2809" spans="3:5" ht="45" x14ac:dyDescent="0.25">
      <c r="C2809" s="15">
        <v>430284</v>
      </c>
      <c r="D2809" s="4" t="s">
        <v>2813</v>
      </c>
      <c r="E2809" s="4" t="str">
        <f>HYPERLINK("https://app.crepc.sk/?fn=detailBiblioForm&amp;sid=8BEC0704DEFF770451D1B6FDB1")</f>
        <v>https://app.crepc.sk/?fn=detailBiblioForm&amp;sid=8BEC0704DEFF770451D1B6FDB1</v>
      </c>
    </row>
    <row r="2810" spans="3:5" ht="45" x14ac:dyDescent="0.25">
      <c r="C2810" s="15">
        <v>437168</v>
      </c>
      <c r="D2810" s="4" t="s">
        <v>2814</v>
      </c>
      <c r="E2810" s="4" t="str">
        <f>HYPERLINK("https://app.crepc.sk/?fn=detailBiblioForm&amp;sid=F93C52C3CF0185EC3AC487A224")</f>
        <v>https://app.crepc.sk/?fn=detailBiblioForm&amp;sid=F93C52C3CF0185EC3AC487A224</v>
      </c>
    </row>
    <row r="2811" spans="3:5" ht="45" x14ac:dyDescent="0.25">
      <c r="C2811" s="15">
        <v>51413</v>
      </c>
      <c r="D2811" s="4" t="s">
        <v>2815</v>
      </c>
      <c r="E2811" s="4" t="str">
        <f>HYPERLINK("https://app.crepc.sk/?fn=detailBiblioForm&amp;sid=9877436D16FD22AF7A3DBBDF")</f>
        <v>https://app.crepc.sk/?fn=detailBiblioForm&amp;sid=9877436D16FD22AF7A3DBBDF</v>
      </c>
    </row>
    <row r="2812" spans="3:5" ht="45" x14ac:dyDescent="0.25">
      <c r="C2812" s="15">
        <v>175692</v>
      </c>
      <c r="D2812" s="4" t="s">
        <v>2816</v>
      </c>
      <c r="E2812" s="4" t="str">
        <f>HYPERLINK("https://app.crepc.sk/?fn=detailBiblioForm&amp;sid=BF3D9176E80E1FB677BD4047B2")</f>
        <v>https://app.crepc.sk/?fn=detailBiblioForm&amp;sid=BF3D9176E80E1FB677BD4047B2</v>
      </c>
    </row>
    <row r="2813" spans="3:5" ht="45" x14ac:dyDescent="0.25">
      <c r="C2813" s="15">
        <v>78867</v>
      </c>
      <c r="D2813" s="4" t="s">
        <v>2817</v>
      </c>
      <c r="E2813" s="4" t="str">
        <f>HYPERLINK("https://app.crepc.sk/?fn=detailBiblioForm&amp;sid=D24DC25E9AA18A9AFD1B4E68")</f>
        <v>https://app.crepc.sk/?fn=detailBiblioForm&amp;sid=D24DC25E9AA18A9AFD1B4E68</v>
      </c>
    </row>
    <row r="2814" spans="3:5" ht="60" x14ac:dyDescent="0.25">
      <c r="C2814" s="15">
        <v>71444</v>
      </c>
      <c r="D2814" s="4" t="s">
        <v>2818</v>
      </c>
      <c r="E2814" s="4" t="str">
        <f>HYPERLINK("https://app.crepc.sk/?fn=detailBiblioForm&amp;sid=077DC4C101B6A2A9CE8D1617")</f>
        <v>https://app.crepc.sk/?fn=detailBiblioForm&amp;sid=077DC4C101B6A2A9CE8D1617</v>
      </c>
    </row>
    <row r="2815" spans="3:5" ht="60" x14ac:dyDescent="0.25">
      <c r="C2815" s="15">
        <v>179576</v>
      </c>
      <c r="D2815" s="4" t="s">
        <v>2819</v>
      </c>
      <c r="E2815" s="4" t="str">
        <f>HYPERLINK("https://app.crepc.sk/?fn=detailBiblioForm&amp;sid=D2CDA85DA56256F2773B8485A6")</f>
        <v>https://app.crepc.sk/?fn=detailBiblioForm&amp;sid=D2CDA85DA56256F2773B8485A6</v>
      </c>
    </row>
    <row r="2816" spans="3:5" ht="60" x14ac:dyDescent="0.25">
      <c r="C2816" s="15">
        <v>249325</v>
      </c>
      <c r="D2816" s="4" t="s">
        <v>2820</v>
      </c>
      <c r="E2816" s="4" t="str">
        <f>HYPERLINK("https://app.crepc.sk/?fn=detailBiblioForm&amp;sid=923F6DECD2F5E180467AED03E3")</f>
        <v>https://app.crepc.sk/?fn=detailBiblioForm&amp;sid=923F6DECD2F5E180467AED03E3</v>
      </c>
    </row>
    <row r="2817" spans="3:5" ht="60" x14ac:dyDescent="0.25">
      <c r="C2817" s="15">
        <v>118135</v>
      </c>
      <c r="D2817" s="4" t="s">
        <v>2821</v>
      </c>
      <c r="E2817" s="4" t="str">
        <f>HYPERLINK("https://app.crepc.sk/?fn=detailBiblioForm&amp;sid=F5F9E12263A2DE48770E1B6A59")</f>
        <v>https://app.crepc.sk/?fn=detailBiblioForm&amp;sid=F5F9E12263A2DE48770E1B6A59</v>
      </c>
    </row>
    <row r="2818" spans="3:5" ht="45" x14ac:dyDescent="0.25">
      <c r="C2818" s="15">
        <v>152828</v>
      </c>
      <c r="D2818" s="4" t="s">
        <v>2822</v>
      </c>
      <c r="E2818" s="4" t="str">
        <f>HYPERLINK("https://app.crepc.sk/?fn=detailBiblioForm&amp;sid=4CB0668AE2C8F277B8ACC0BA9E")</f>
        <v>https://app.crepc.sk/?fn=detailBiblioForm&amp;sid=4CB0668AE2C8F277B8ACC0BA9E</v>
      </c>
    </row>
    <row r="2819" spans="3:5" ht="45" x14ac:dyDescent="0.25">
      <c r="C2819" s="15">
        <v>213562</v>
      </c>
      <c r="D2819" s="4" t="s">
        <v>2823</v>
      </c>
      <c r="E2819" s="4" t="str">
        <f>HYPERLINK("https://app.crepc.sk/?fn=detailBiblioForm&amp;sid=930DCEED2AD734F782C997E8D1")</f>
        <v>https://app.crepc.sk/?fn=detailBiblioForm&amp;sid=930DCEED2AD734F782C997E8D1</v>
      </c>
    </row>
    <row r="2820" spans="3:5" ht="45" x14ac:dyDescent="0.25">
      <c r="C2820" s="15">
        <v>420611</v>
      </c>
      <c r="D2820" s="4" t="s">
        <v>2824</v>
      </c>
      <c r="E2820" s="4" t="str">
        <f>HYPERLINK("https://app.crepc.sk/?fn=detailBiblioForm&amp;sid=A77AA55DE17C971B2F51FEE8BA")</f>
        <v>https://app.crepc.sk/?fn=detailBiblioForm&amp;sid=A77AA55DE17C971B2F51FEE8BA</v>
      </c>
    </row>
    <row r="2821" spans="3:5" ht="60" x14ac:dyDescent="0.25">
      <c r="C2821" s="15">
        <v>141173</v>
      </c>
      <c r="D2821" s="4" t="s">
        <v>2825</v>
      </c>
      <c r="E2821" s="4" t="str">
        <f>HYPERLINK("https://app.crepc.sk/?fn=detailBiblioForm&amp;sid=FB902EF68EDF2E2F0E00D7DAE0")</f>
        <v>https://app.crepc.sk/?fn=detailBiblioForm&amp;sid=FB902EF68EDF2E2F0E00D7DAE0</v>
      </c>
    </row>
    <row r="2822" spans="3:5" ht="90" x14ac:dyDescent="0.25">
      <c r="C2822" s="15">
        <v>244486</v>
      </c>
      <c r="D2822" s="4" t="s">
        <v>2826</v>
      </c>
      <c r="E2822" s="4" t="str">
        <f>HYPERLINK("https://app.crepc.sk/?fn=detailBiblioForm&amp;sid=EBD36AD372BA50A6A5B01DEA24")</f>
        <v>https://app.crepc.sk/?fn=detailBiblioForm&amp;sid=EBD36AD372BA50A6A5B01DEA24</v>
      </c>
    </row>
    <row r="2823" spans="3:5" ht="75" x14ac:dyDescent="0.25">
      <c r="C2823" s="15">
        <v>161566</v>
      </c>
      <c r="D2823" s="4" t="s">
        <v>2827</v>
      </c>
      <c r="E2823" s="4" t="str">
        <f>HYPERLINK("https://app.crepc.sk/?fn=detailBiblioForm&amp;sid=BB60B769A491B65143F553E40D")</f>
        <v>https://app.crepc.sk/?fn=detailBiblioForm&amp;sid=BB60B769A491B65143F553E40D</v>
      </c>
    </row>
    <row r="2824" spans="3:5" ht="45" x14ac:dyDescent="0.25">
      <c r="C2824" s="15">
        <v>98169</v>
      </c>
      <c r="D2824" s="4" t="s">
        <v>2828</v>
      </c>
      <c r="E2824" s="4" t="str">
        <f>HYPERLINK("https://app.crepc.sk/?fn=detailBiblioForm&amp;sid=C36E1D8C4A224ACF8BF92E7A")</f>
        <v>https://app.crepc.sk/?fn=detailBiblioForm&amp;sid=C36E1D8C4A224ACF8BF92E7A</v>
      </c>
    </row>
    <row r="2825" spans="3:5" ht="60" x14ac:dyDescent="0.25">
      <c r="C2825" s="15">
        <v>62343</v>
      </c>
      <c r="D2825" s="4" t="s">
        <v>2829</v>
      </c>
      <c r="E2825" s="4" t="str">
        <f>HYPERLINK("https://app.crepc.sk/?fn=detailBiblioForm&amp;sid=F6655D6E8A0D9DC6F7502CA3")</f>
        <v>https://app.crepc.sk/?fn=detailBiblioForm&amp;sid=F6655D6E8A0D9DC6F7502CA3</v>
      </c>
    </row>
    <row r="2826" spans="3:5" ht="75" x14ac:dyDescent="0.25">
      <c r="C2826" s="15">
        <v>430727</v>
      </c>
      <c r="D2826" s="4" t="s">
        <v>2830</v>
      </c>
      <c r="E2826" s="4" t="str">
        <f>HYPERLINK("https://app.crepc.sk/?fn=detailBiblioForm&amp;sid=589F18BBC5A86022D137B181DA")</f>
        <v>https://app.crepc.sk/?fn=detailBiblioForm&amp;sid=589F18BBC5A86022D137B181DA</v>
      </c>
    </row>
    <row r="2827" spans="3:5" ht="45" x14ac:dyDescent="0.25">
      <c r="C2827" s="15">
        <v>184125</v>
      </c>
      <c r="D2827" s="4" t="s">
        <v>2831</v>
      </c>
      <c r="E2827" s="4" t="str">
        <f>HYPERLINK("https://app.crepc.sk/?fn=detailBiblioForm&amp;sid=68B910E799EADD7B007357DADE")</f>
        <v>https://app.crepc.sk/?fn=detailBiblioForm&amp;sid=68B910E799EADD7B007357DADE</v>
      </c>
    </row>
    <row r="2828" spans="3:5" ht="45" x14ac:dyDescent="0.25">
      <c r="C2828" s="15">
        <v>220905</v>
      </c>
      <c r="D2828" s="4" t="s">
        <v>2832</v>
      </c>
      <c r="E2828" s="4" t="str">
        <f>HYPERLINK("https://app.crepc.sk/?fn=detailBiblioForm&amp;sid=0A2191265DCECE3E6DE03553D4")</f>
        <v>https://app.crepc.sk/?fn=detailBiblioForm&amp;sid=0A2191265DCECE3E6DE03553D4</v>
      </c>
    </row>
    <row r="2829" spans="3:5" ht="45" x14ac:dyDescent="0.25">
      <c r="C2829" s="15">
        <v>254113</v>
      </c>
      <c r="D2829" s="4" t="s">
        <v>2833</v>
      </c>
      <c r="E2829" s="4" t="str">
        <f>HYPERLINK("https://app.crepc.sk/?fn=detailBiblioForm&amp;sid=5626D67ABF6ED4EEC8635A2CB8")</f>
        <v>https://app.crepc.sk/?fn=detailBiblioForm&amp;sid=5626D67ABF6ED4EEC8635A2CB8</v>
      </c>
    </row>
    <row r="2830" spans="3:5" ht="75" x14ac:dyDescent="0.25">
      <c r="C2830" s="15">
        <v>71443</v>
      </c>
      <c r="D2830" s="4" t="s">
        <v>2834</v>
      </c>
      <c r="E2830" s="4" t="str">
        <f>HYPERLINK("https://app.crepc.sk/?fn=detailBiblioForm&amp;sid=077DC4C101B6A2A9C98D1617")</f>
        <v>https://app.crepc.sk/?fn=detailBiblioForm&amp;sid=077DC4C101B6A2A9C98D1617</v>
      </c>
    </row>
    <row r="2831" spans="3:5" ht="75" x14ac:dyDescent="0.25">
      <c r="C2831" s="15">
        <v>69007</v>
      </c>
      <c r="D2831" s="4" t="s">
        <v>2835</v>
      </c>
      <c r="E2831" s="4" t="str">
        <f>HYPERLINK("https://app.crepc.sk/?fn=detailBiblioForm&amp;sid=0EC8A8A7FCBB513287DFFB1D")</f>
        <v>https://app.crepc.sk/?fn=detailBiblioForm&amp;sid=0EC8A8A7FCBB513287DFFB1D</v>
      </c>
    </row>
    <row r="2832" spans="3:5" ht="60" x14ac:dyDescent="0.25">
      <c r="C2832" s="15">
        <v>177308</v>
      </c>
      <c r="D2832" s="4" t="s">
        <v>2836</v>
      </c>
      <c r="E2832" s="4" t="str">
        <f>HYPERLINK("https://app.crepc.sk/?fn=detailBiblioForm&amp;sid=9CB04A0EB3E2DA914799E2183A")</f>
        <v>https://app.crepc.sk/?fn=detailBiblioForm&amp;sid=9CB04A0EB3E2DA914799E2183A</v>
      </c>
    </row>
    <row r="2833" spans="3:5" ht="75" x14ac:dyDescent="0.25">
      <c r="C2833" s="15">
        <v>115868</v>
      </c>
      <c r="D2833" s="4" t="s">
        <v>2837</v>
      </c>
      <c r="E2833" s="4" t="str">
        <f>HYPERLINK("https://app.crepc.sk/?fn=detailBiblioForm&amp;sid=A7BFAA61F5172B9FE1B479FA0D")</f>
        <v>https://app.crepc.sk/?fn=detailBiblioForm&amp;sid=A7BFAA61F5172B9FE1B479FA0D</v>
      </c>
    </row>
    <row r="2834" spans="3:5" ht="60" x14ac:dyDescent="0.25">
      <c r="C2834" s="15">
        <v>255046</v>
      </c>
      <c r="D2834" s="4" t="s">
        <v>2838</v>
      </c>
      <c r="E2834" s="4" t="str">
        <f>HYPERLINK("https://app.crepc.sk/?fn=detailBiblioForm&amp;sid=2A06A686EDCDA05332680842F6")</f>
        <v>https://app.crepc.sk/?fn=detailBiblioForm&amp;sid=2A06A686EDCDA05332680842F6</v>
      </c>
    </row>
    <row r="2835" spans="3:5" ht="75" x14ac:dyDescent="0.25">
      <c r="C2835" s="15">
        <v>151988</v>
      </c>
      <c r="D2835" s="4" t="s">
        <v>2839</v>
      </c>
      <c r="E2835" s="4" t="str">
        <f>HYPERLINK("https://app.crepc.sk/?fn=detailBiblioForm&amp;sid=25093AD9EB7829820A81F208A2")</f>
        <v>https://app.crepc.sk/?fn=detailBiblioForm&amp;sid=25093AD9EB7829820A81F208A2</v>
      </c>
    </row>
    <row r="2836" spans="3:5" ht="75" x14ac:dyDescent="0.25">
      <c r="C2836" s="15">
        <v>451246</v>
      </c>
      <c r="D2836" s="4" t="s">
        <v>2840</v>
      </c>
      <c r="E2836" s="4" t="str">
        <f>HYPERLINK("https://app.crepc.sk/?fn=detailBiblioForm&amp;sid=E0E1BFB7DC95181FC8356844EB")</f>
        <v>https://app.crepc.sk/?fn=detailBiblioForm&amp;sid=E0E1BFB7DC95181FC8356844EB</v>
      </c>
    </row>
    <row r="2837" spans="3:5" ht="45" x14ac:dyDescent="0.25">
      <c r="C2837" s="15">
        <v>446624</v>
      </c>
      <c r="D2837" s="4" t="s">
        <v>2841</v>
      </c>
      <c r="E2837" s="4" t="str">
        <f>HYPERLINK("https://app.crepc.sk/?fn=detailBiblioForm&amp;sid=A0401751D2B5E3B700EFE5C1B5")</f>
        <v>https://app.crepc.sk/?fn=detailBiblioForm&amp;sid=A0401751D2B5E3B700EFE5C1B5</v>
      </c>
    </row>
    <row r="2838" spans="3:5" ht="60" x14ac:dyDescent="0.25">
      <c r="C2838" s="15">
        <v>419343</v>
      </c>
      <c r="D2838" s="4" t="s">
        <v>2842</v>
      </c>
      <c r="E2838" s="4" t="str">
        <f>HYPERLINK("https://app.crepc.sk/?fn=detailBiblioForm&amp;sid=D0B86A6C889D400A99B366C23A")</f>
        <v>https://app.crepc.sk/?fn=detailBiblioForm&amp;sid=D0B86A6C889D400A99B366C23A</v>
      </c>
    </row>
    <row r="2839" spans="3:5" ht="45" x14ac:dyDescent="0.25">
      <c r="C2839" s="15">
        <v>308943</v>
      </c>
      <c r="D2839" s="4" t="s">
        <v>2843</v>
      </c>
      <c r="E2839" s="4" t="str">
        <f>HYPERLINK("https://app.crepc.sk/?fn=detailBiblioForm&amp;sid=D5ABE00A5E503AAC7F648C57C1")</f>
        <v>https://app.crepc.sk/?fn=detailBiblioForm&amp;sid=D5ABE00A5E503AAC7F648C57C1</v>
      </c>
    </row>
    <row r="2840" spans="3:5" ht="45" x14ac:dyDescent="0.25">
      <c r="C2840" s="15">
        <v>134083</v>
      </c>
      <c r="D2840" s="4" t="s">
        <v>2844</v>
      </c>
      <c r="E2840" s="4" t="str">
        <f>HYPERLINK("https://app.crepc.sk/?fn=detailBiblioForm&amp;sid=5E30695270CDBCB7AB6B7D836D")</f>
        <v>https://app.crepc.sk/?fn=detailBiblioForm&amp;sid=5E30695270CDBCB7AB6B7D836D</v>
      </c>
    </row>
    <row r="2841" spans="3:5" ht="75" x14ac:dyDescent="0.25">
      <c r="C2841" s="15">
        <v>54205</v>
      </c>
      <c r="D2841" s="4" t="s">
        <v>2845</v>
      </c>
      <c r="E2841" s="4" t="str">
        <f>HYPERLINK("https://app.crepc.sk/?fn=detailBiblioForm&amp;sid=C0FBDF6C5867973C30E3477E")</f>
        <v>https://app.crepc.sk/?fn=detailBiblioForm&amp;sid=C0FBDF6C5867973C30E3477E</v>
      </c>
    </row>
    <row r="2842" spans="3:5" ht="60" x14ac:dyDescent="0.25">
      <c r="C2842" s="15">
        <v>123787</v>
      </c>
      <c r="D2842" s="4" t="s">
        <v>2846</v>
      </c>
      <c r="E2842" s="4" t="str">
        <f>HYPERLINK("https://app.crepc.sk/?fn=detailBiblioForm&amp;sid=6AF24C20D77B2492B56480C111")</f>
        <v>https://app.crepc.sk/?fn=detailBiblioForm&amp;sid=6AF24C20D77B2492B56480C111</v>
      </c>
    </row>
    <row r="2843" spans="3:5" ht="75" x14ac:dyDescent="0.25">
      <c r="C2843" s="15">
        <v>95871</v>
      </c>
      <c r="D2843" s="4" t="s">
        <v>2847</v>
      </c>
      <c r="E2843" s="4" t="str">
        <f>HYPERLINK("https://app.crepc.sk/?fn=detailBiblioForm&amp;sid=A01AE44F0CC17C3E35D23FB7")</f>
        <v>https://app.crepc.sk/?fn=detailBiblioForm&amp;sid=A01AE44F0CC17C3E35D23FB7</v>
      </c>
    </row>
    <row r="2844" spans="3:5" ht="45" x14ac:dyDescent="0.25">
      <c r="C2844" s="15">
        <v>437814</v>
      </c>
      <c r="D2844" s="4" t="s">
        <v>2848</v>
      </c>
      <c r="E2844" s="4" t="str">
        <f>HYPERLINK("https://app.crepc.sk/?fn=detailBiblioForm&amp;sid=CB094769097E3364E4118633D1")</f>
        <v>https://app.crepc.sk/?fn=detailBiblioForm&amp;sid=CB094769097E3364E4118633D1</v>
      </c>
    </row>
    <row r="2845" spans="3:5" ht="45" x14ac:dyDescent="0.25">
      <c r="C2845" s="15">
        <v>83913</v>
      </c>
      <c r="D2845" s="4" t="s">
        <v>2849</v>
      </c>
      <c r="E2845" s="4" t="str">
        <f>HYPERLINK("https://app.crepc.sk/?fn=detailBiblioForm&amp;sid=00A0E7C22E68F0D23BB92A15")</f>
        <v>https://app.crepc.sk/?fn=detailBiblioForm&amp;sid=00A0E7C22E68F0D23BB92A15</v>
      </c>
    </row>
    <row r="2846" spans="3:5" ht="75" x14ac:dyDescent="0.25">
      <c r="C2846" s="15">
        <v>95301</v>
      </c>
      <c r="D2846" s="4" t="s">
        <v>2850</v>
      </c>
      <c r="E2846" s="4" t="str">
        <f>HYPERLINK("https://app.crepc.sk/?fn=detailBiblioForm&amp;sid=56D9CE338A4B7AF8CB03CEFF")</f>
        <v>https://app.crepc.sk/?fn=detailBiblioForm&amp;sid=56D9CE338A4B7AF8CB03CEFF</v>
      </c>
    </row>
    <row r="2847" spans="3:5" ht="45" x14ac:dyDescent="0.25">
      <c r="C2847" s="15">
        <v>62516</v>
      </c>
      <c r="D2847" s="4" t="s">
        <v>2851</v>
      </c>
      <c r="E2847" s="4" t="str">
        <f>HYPERLINK("https://app.crepc.sk/?fn=detailBiblioForm&amp;sid=1264B765EAC8EE8E5C566188")</f>
        <v>https://app.crepc.sk/?fn=detailBiblioForm&amp;sid=1264B765EAC8EE8E5C566188</v>
      </c>
    </row>
    <row r="2848" spans="3:5" ht="60" x14ac:dyDescent="0.25">
      <c r="C2848" s="15">
        <v>175851</v>
      </c>
      <c r="D2848" s="4" t="s">
        <v>2852</v>
      </c>
      <c r="E2848" s="4" t="str">
        <f>HYPERLINK("https://app.crepc.sk/?fn=detailBiblioForm&amp;sid=77472A57103095E44F0C0BB0E4")</f>
        <v>https://app.crepc.sk/?fn=detailBiblioForm&amp;sid=77472A57103095E44F0C0BB0E4</v>
      </c>
    </row>
    <row r="2849" spans="3:5" ht="75" x14ac:dyDescent="0.25">
      <c r="C2849" s="15">
        <v>313777</v>
      </c>
      <c r="D2849" s="4" t="s">
        <v>2853</v>
      </c>
      <c r="E2849" s="4" t="str">
        <f>HYPERLINK("https://app.crepc.sk/?fn=detailBiblioForm&amp;sid=54D25A27962CDFF2C2C5F50D21")</f>
        <v>https://app.crepc.sk/?fn=detailBiblioForm&amp;sid=54D25A27962CDFF2C2C5F50D21</v>
      </c>
    </row>
    <row r="2850" spans="3:5" ht="75" x14ac:dyDescent="0.25">
      <c r="C2850" s="15">
        <v>84690</v>
      </c>
      <c r="D2850" s="4" t="s">
        <v>2854</v>
      </c>
      <c r="E2850" s="4" t="str">
        <f>HYPERLINK("https://app.crepc.sk/?fn=detailBiblioForm&amp;sid=2DC463C27BD09A4567DC2D6B")</f>
        <v>https://app.crepc.sk/?fn=detailBiblioForm&amp;sid=2DC463C27BD09A4567DC2D6B</v>
      </c>
    </row>
    <row r="2851" spans="3:5" ht="75" x14ac:dyDescent="0.25">
      <c r="C2851" s="15">
        <v>54329</v>
      </c>
      <c r="D2851" s="4" t="s">
        <v>2855</v>
      </c>
      <c r="E2851" s="4" t="str">
        <f>HYPERLINK("https://app.crepc.sk/?fn=detailBiblioForm&amp;sid=B0D43FEEF5DB9E2B7B0B362C")</f>
        <v>https://app.crepc.sk/?fn=detailBiblioForm&amp;sid=B0D43FEEF5DB9E2B7B0B362C</v>
      </c>
    </row>
    <row r="2852" spans="3:5" ht="60" x14ac:dyDescent="0.25">
      <c r="C2852" s="15">
        <v>451199</v>
      </c>
      <c r="D2852" s="4" t="s">
        <v>2856</v>
      </c>
      <c r="E2852" s="4" t="str">
        <f>HYPERLINK("https://app.crepc.sk/?fn=detailBiblioForm&amp;sid=9F0385A5C8BE0E5AA65D8D3D04")</f>
        <v>https://app.crepc.sk/?fn=detailBiblioForm&amp;sid=9F0385A5C8BE0E5AA65D8D3D04</v>
      </c>
    </row>
    <row r="2853" spans="3:5" ht="75" x14ac:dyDescent="0.25">
      <c r="C2853" s="15">
        <v>134241</v>
      </c>
      <c r="D2853" s="4" t="s">
        <v>2857</v>
      </c>
      <c r="E2853" s="4" t="str">
        <f>HYPERLINK("https://app.crepc.sk/?fn=detailBiblioForm&amp;sid=C8C09844F86E8670A5A80EE84B")</f>
        <v>https://app.crepc.sk/?fn=detailBiblioForm&amp;sid=C8C09844F86E8670A5A80EE84B</v>
      </c>
    </row>
    <row r="2854" spans="3:5" ht="60" x14ac:dyDescent="0.25">
      <c r="C2854" s="15">
        <v>140755</v>
      </c>
      <c r="D2854" s="4" t="s">
        <v>2858</v>
      </c>
      <c r="E2854" s="4" t="str">
        <f>HYPERLINK("https://app.crepc.sk/?fn=detailBiblioForm&amp;sid=5706AE11B6D530C996188F181F")</f>
        <v>https://app.crepc.sk/?fn=detailBiblioForm&amp;sid=5706AE11B6D530C996188F181F</v>
      </c>
    </row>
    <row r="2855" spans="3:5" ht="45" x14ac:dyDescent="0.25">
      <c r="C2855" s="15">
        <v>62338</v>
      </c>
      <c r="D2855" s="4" t="s">
        <v>2859</v>
      </c>
      <c r="E2855" s="4" t="str">
        <f>HYPERLINK("https://app.crepc.sk/?fn=detailBiblioForm&amp;sid=8EB751920B20E23F7E7186C2")</f>
        <v>https://app.crepc.sk/?fn=detailBiblioForm&amp;sid=8EB751920B20E23F7E7186C2</v>
      </c>
    </row>
    <row r="2856" spans="3:5" ht="45" x14ac:dyDescent="0.25">
      <c r="C2856" s="15">
        <v>416618</v>
      </c>
      <c r="D2856" s="4" t="s">
        <v>2860</v>
      </c>
      <c r="E2856" s="4" t="str">
        <f>HYPERLINK("https://app.crepc.sk/?fn=detailBiblioForm&amp;sid=B6526AA191AAC983452885990B")</f>
        <v>https://app.crepc.sk/?fn=detailBiblioForm&amp;sid=B6526AA191AAC983452885990B</v>
      </c>
    </row>
    <row r="2857" spans="3:5" ht="90" x14ac:dyDescent="0.25">
      <c r="C2857" s="15">
        <v>91821</v>
      </c>
      <c r="D2857" s="4" t="s">
        <v>2861</v>
      </c>
      <c r="E2857" s="4" t="str">
        <f>HYPERLINK("https://app.crepc.sk/?fn=detailBiblioForm&amp;sid=B8753609717542125FF1C2A7")</f>
        <v>https://app.crepc.sk/?fn=detailBiblioForm&amp;sid=B8753609717542125FF1C2A7</v>
      </c>
    </row>
    <row r="2858" spans="3:5" ht="60" x14ac:dyDescent="0.25">
      <c r="C2858" s="15">
        <v>436187</v>
      </c>
      <c r="D2858" s="4" t="s">
        <v>2862</v>
      </c>
      <c r="E2858" s="4" t="str">
        <f>HYPERLINK("https://app.crepc.sk/?fn=detailBiblioForm&amp;sid=F8B0ADCB0E369D19959FF069F9")</f>
        <v>https://app.crepc.sk/?fn=detailBiblioForm&amp;sid=F8B0ADCB0E369D19959FF069F9</v>
      </c>
    </row>
    <row r="2859" spans="3:5" ht="45" x14ac:dyDescent="0.25">
      <c r="C2859" s="15">
        <v>250958</v>
      </c>
      <c r="D2859" s="4" t="s">
        <v>2863</v>
      </c>
      <c r="E2859" s="4" t="str">
        <f>HYPERLINK("https://app.crepc.sk/?fn=detailBiblioForm&amp;sid=34C65924D82E7788E4B29D7952")</f>
        <v>https://app.crepc.sk/?fn=detailBiblioForm&amp;sid=34C65924D82E7788E4B29D7952</v>
      </c>
    </row>
    <row r="2860" spans="3:5" ht="45" x14ac:dyDescent="0.25">
      <c r="C2860" s="15">
        <v>454632</v>
      </c>
      <c r="D2860" s="4" t="s">
        <v>2864</v>
      </c>
      <c r="E2860" s="4" t="str">
        <f>HYPERLINK("https://app.crepc.sk/?fn=detailBiblioForm&amp;sid=0314BB39F7D326E3DFF9531052")</f>
        <v>https://app.crepc.sk/?fn=detailBiblioForm&amp;sid=0314BB39F7D326E3DFF9531052</v>
      </c>
    </row>
    <row r="2861" spans="3:5" ht="45" x14ac:dyDescent="0.25">
      <c r="C2861" s="15">
        <v>197324</v>
      </c>
      <c r="D2861" s="4" t="s">
        <v>2865</v>
      </c>
      <c r="E2861" s="4" t="str">
        <f>HYPERLINK("https://app.crepc.sk/?fn=detailBiblioForm&amp;sid=DC4ED816FF1BFB25810C897557")</f>
        <v>https://app.crepc.sk/?fn=detailBiblioForm&amp;sid=DC4ED816FF1BFB25810C897557</v>
      </c>
    </row>
    <row r="2862" spans="3:5" ht="60" x14ac:dyDescent="0.25">
      <c r="C2862" s="15">
        <v>76926</v>
      </c>
      <c r="D2862" s="4" t="s">
        <v>2866</v>
      </c>
      <c r="E2862" s="4" t="str">
        <f>HYPERLINK("https://app.crepc.sk/?fn=detailBiblioForm&amp;sid=DEFC1E7C5315E70417C5E88E")</f>
        <v>https://app.crepc.sk/?fn=detailBiblioForm&amp;sid=DEFC1E7C5315E70417C5E88E</v>
      </c>
    </row>
    <row r="2863" spans="3:5" ht="75" x14ac:dyDescent="0.25">
      <c r="C2863" s="15">
        <v>431338</v>
      </c>
      <c r="D2863" s="4" t="s">
        <v>2867</v>
      </c>
      <c r="E2863" s="4" t="str">
        <f>HYPERLINK("https://app.crepc.sk/?fn=detailBiblioForm&amp;sid=3B4E0D23E18AC9251C5BCCD577")</f>
        <v>https://app.crepc.sk/?fn=detailBiblioForm&amp;sid=3B4E0D23E18AC9251C5BCCD577</v>
      </c>
    </row>
    <row r="2864" spans="3:5" ht="75" x14ac:dyDescent="0.25">
      <c r="C2864" s="15">
        <v>161701</v>
      </c>
      <c r="D2864" s="4" t="s">
        <v>2868</v>
      </c>
      <c r="E2864" s="4" t="str">
        <f>HYPERLINK("https://app.crepc.sk/?fn=detailBiblioForm&amp;sid=BCA102CB6C4CA54D4CEEC863D9")</f>
        <v>https://app.crepc.sk/?fn=detailBiblioForm&amp;sid=BCA102CB6C4CA54D4CEEC863D9</v>
      </c>
    </row>
    <row r="2865" spans="3:5" ht="60" x14ac:dyDescent="0.25">
      <c r="C2865" s="15">
        <v>415999</v>
      </c>
      <c r="D2865" s="4" t="s">
        <v>2869</v>
      </c>
      <c r="E2865" s="4" t="str">
        <f>HYPERLINK("https://app.crepc.sk/?fn=detailBiblioForm&amp;sid=F7482C8978A199F7FBA7719CE2")</f>
        <v>https://app.crepc.sk/?fn=detailBiblioForm&amp;sid=F7482C8978A199F7FBA7719CE2</v>
      </c>
    </row>
    <row r="2866" spans="3:5" ht="75" x14ac:dyDescent="0.25">
      <c r="C2866" s="15">
        <v>198877</v>
      </c>
      <c r="D2866" s="4" t="s">
        <v>2870</v>
      </c>
      <c r="E2866" s="4" t="str">
        <f>HYPERLINK("https://app.crepc.sk/?fn=detailBiblioForm&amp;sid=18DD23044A020D16F819B595B9")</f>
        <v>https://app.crepc.sk/?fn=detailBiblioForm&amp;sid=18DD23044A020D16F819B595B9</v>
      </c>
    </row>
    <row r="2867" spans="3:5" ht="45" x14ac:dyDescent="0.25">
      <c r="C2867" s="15">
        <v>145378</v>
      </c>
      <c r="D2867" s="4" t="s">
        <v>2871</v>
      </c>
      <c r="E2867" s="4" t="str">
        <f>HYPERLINK("https://app.crepc.sk/?fn=detailBiblioForm&amp;sid=630E6FB02690F4A576FB7CC2B5")</f>
        <v>https://app.crepc.sk/?fn=detailBiblioForm&amp;sid=630E6FB02690F4A576FB7CC2B5</v>
      </c>
    </row>
    <row r="2868" spans="3:5" ht="60" x14ac:dyDescent="0.25">
      <c r="C2868" s="15">
        <v>150952</v>
      </c>
      <c r="D2868" s="4" t="s">
        <v>2872</v>
      </c>
      <c r="E2868" s="4" t="str">
        <f>HYPERLINK("https://app.crepc.sk/?fn=detailBiblioForm&amp;sid=1DDC86077D8354F3A6F8F2B260")</f>
        <v>https://app.crepc.sk/?fn=detailBiblioForm&amp;sid=1DDC86077D8354F3A6F8F2B260</v>
      </c>
    </row>
    <row r="2869" spans="3:5" ht="60" x14ac:dyDescent="0.25">
      <c r="C2869" s="15">
        <v>424062</v>
      </c>
      <c r="D2869" s="4" t="s">
        <v>2873</v>
      </c>
      <c r="E2869" s="4" t="str">
        <f>HYPERLINK("https://app.crepc.sk/?fn=detailBiblioForm&amp;sid=BA457766276C186FCF5802CEDF")</f>
        <v>https://app.crepc.sk/?fn=detailBiblioForm&amp;sid=BA457766276C186FCF5802CEDF</v>
      </c>
    </row>
    <row r="2870" spans="3:5" ht="60" x14ac:dyDescent="0.25">
      <c r="C2870" s="15">
        <v>234801</v>
      </c>
      <c r="D2870" s="4" t="s">
        <v>2874</v>
      </c>
      <c r="E2870" s="4" t="str">
        <f>HYPERLINK("https://app.crepc.sk/?fn=detailBiblioForm&amp;sid=FBFF3C02E5E62348A35D1235FE")</f>
        <v>https://app.crepc.sk/?fn=detailBiblioForm&amp;sid=FBFF3C02E5E62348A35D1235FE</v>
      </c>
    </row>
    <row r="2871" spans="3:5" ht="75" x14ac:dyDescent="0.25">
      <c r="C2871" s="15">
        <v>226006</v>
      </c>
      <c r="D2871" s="4" t="s">
        <v>2875</v>
      </c>
      <c r="E2871" s="4" t="str">
        <f>HYPERLINK("https://app.crepc.sk/?fn=detailBiblioForm&amp;sid=7241E0F0A68FF715095CAE2810")</f>
        <v>https://app.crepc.sk/?fn=detailBiblioForm&amp;sid=7241E0F0A68FF715095CAE2810</v>
      </c>
    </row>
    <row r="2872" spans="3:5" ht="45" x14ac:dyDescent="0.25">
      <c r="C2872" s="15">
        <v>246095</v>
      </c>
      <c r="D2872" s="4" t="s">
        <v>2876</v>
      </c>
      <c r="E2872" s="4" t="str">
        <f>HYPERLINK("https://app.crepc.sk/?fn=detailBiblioForm&amp;sid=9D4BC4CB00DF15A3CC9DC458AC")</f>
        <v>https://app.crepc.sk/?fn=detailBiblioForm&amp;sid=9D4BC4CB00DF15A3CC9DC458AC</v>
      </c>
    </row>
    <row r="2873" spans="3:5" ht="45" x14ac:dyDescent="0.25">
      <c r="C2873" s="15">
        <v>196750</v>
      </c>
      <c r="D2873" s="4" t="s">
        <v>2877</v>
      </c>
      <c r="E2873" s="4" t="str">
        <f>HYPERLINK("https://app.crepc.sk/?fn=detailBiblioForm&amp;sid=959B0CD35FC03E1AE0CB263F38")</f>
        <v>https://app.crepc.sk/?fn=detailBiblioForm&amp;sid=959B0CD35FC03E1AE0CB263F38</v>
      </c>
    </row>
    <row r="2874" spans="3:5" ht="60" x14ac:dyDescent="0.25">
      <c r="C2874" s="15">
        <v>152354</v>
      </c>
      <c r="D2874" s="4" t="s">
        <v>2878</v>
      </c>
      <c r="E2874" s="4" t="str">
        <f>HYPERLINK("https://app.crepc.sk/?fn=detailBiblioForm&amp;sid=B7A4F0D5DE0EE4D8FC5218DB64")</f>
        <v>https://app.crepc.sk/?fn=detailBiblioForm&amp;sid=B7A4F0D5DE0EE4D8FC5218DB64</v>
      </c>
    </row>
    <row r="2875" spans="3:5" ht="60" x14ac:dyDescent="0.25">
      <c r="C2875" s="15">
        <v>175853</v>
      </c>
      <c r="D2875" s="4" t="s">
        <v>2879</v>
      </c>
      <c r="E2875" s="4" t="str">
        <f>HYPERLINK("https://app.crepc.sk/?fn=detailBiblioForm&amp;sid=77472A57103095E44F0E0BB0E4")</f>
        <v>https://app.crepc.sk/?fn=detailBiblioForm&amp;sid=77472A57103095E44F0E0BB0E4</v>
      </c>
    </row>
    <row r="2876" spans="3:5" ht="60" x14ac:dyDescent="0.25">
      <c r="C2876" s="15">
        <v>210910</v>
      </c>
      <c r="D2876" s="4" t="s">
        <v>2880</v>
      </c>
      <c r="E2876" s="4" t="str">
        <f>HYPERLINK("https://app.crepc.sk/?fn=detailBiblioForm&amp;sid=8E8B9FDD7AFEE75C1A4F0D5756")</f>
        <v>https://app.crepc.sk/?fn=detailBiblioForm&amp;sid=8E8B9FDD7AFEE75C1A4F0D5756</v>
      </c>
    </row>
    <row r="2877" spans="3:5" ht="75" x14ac:dyDescent="0.25">
      <c r="C2877" s="15">
        <v>134904</v>
      </c>
      <c r="D2877" s="4" t="s">
        <v>2881</v>
      </c>
      <c r="E2877" s="4" t="str">
        <f>HYPERLINK("https://app.crepc.sk/?fn=detailBiblioForm&amp;sid=82386B00AE44A4A3DDB070D12D")</f>
        <v>https://app.crepc.sk/?fn=detailBiblioForm&amp;sid=82386B00AE44A4A3DDB070D12D</v>
      </c>
    </row>
    <row r="2878" spans="3:5" ht="90" x14ac:dyDescent="0.25">
      <c r="C2878" s="15">
        <v>425613</v>
      </c>
      <c r="D2878" s="4" t="s">
        <v>2882</v>
      </c>
      <c r="E2878" s="4" t="str">
        <f>HYPERLINK("https://app.crepc.sk/?fn=detailBiblioForm&amp;sid=DCD87B093B43B4A7BD0A497B10")</f>
        <v>https://app.crepc.sk/?fn=detailBiblioForm&amp;sid=DCD87B093B43B4A7BD0A497B10</v>
      </c>
    </row>
    <row r="2879" spans="3:5" ht="75" x14ac:dyDescent="0.25">
      <c r="C2879" s="15">
        <v>208140</v>
      </c>
      <c r="D2879" s="4" t="s">
        <v>2883</v>
      </c>
      <c r="E2879" s="4" t="str">
        <f>HYPERLINK("https://app.crepc.sk/?fn=detailBiblioForm&amp;sid=D6473325855F1BB400238619C8")</f>
        <v>https://app.crepc.sk/?fn=detailBiblioForm&amp;sid=D6473325855F1BB400238619C8</v>
      </c>
    </row>
    <row r="2880" spans="3:5" ht="60" x14ac:dyDescent="0.25">
      <c r="C2880" s="15">
        <v>173218</v>
      </c>
      <c r="D2880" s="4" t="s">
        <v>2884</v>
      </c>
      <c r="E2880" s="4" t="str">
        <f>HYPERLINK("https://app.crepc.sk/?fn=detailBiblioForm&amp;sid=7950E184AA7EAF4CBC88985512")</f>
        <v>https://app.crepc.sk/?fn=detailBiblioForm&amp;sid=7950E184AA7EAF4CBC88985512</v>
      </c>
    </row>
    <row r="2881" spans="3:5" ht="45" x14ac:dyDescent="0.25">
      <c r="C2881" s="15">
        <v>55366</v>
      </c>
      <c r="D2881" s="4" t="s">
        <v>2885</v>
      </c>
      <c r="E2881" s="4" t="str">
        <f>HYPERLINK("https://app.crepc.sk/?fn=detailBiblioForm&amp;sid=9F8968236B9617560E1F6268")</f>
        <v>https://app.crepc.sk/?fn=detailBiblioForm&amp;sid=9F8968236B9617560E1F6268</v>
      </c>
    </row>
    <row r="2882" spans="3:5" ht="60" x14ac:dyDescent="0.25">
      <c r="C2882" s="15">
        <v>313778</v>
      </c>
      <c r="D2882" s="4" t="s">
        <v>2886</v>
      </c>
      <c r="E2882" s="4" t="str">
        <f>HYPERLINK("https://app.crepc.sk/?fn=detailBiblioForm&amp;sid=54D25A27962CDFF2C2CAF50D21")</f>
        <v>https://app.crepc.sk/?fn=detailBiblioForm&amp;sid=54D25A27962CDFF2C2CAF50D21</v>
      </c>
    </row>
    <row r="2883" spans="3:5" ht="60" x14ac:dyDescent="0.25">
      <c r="C2883" s="15">
        <v>118136</v>
      </c>
      <c r="D2883" s="4" t="s">
        <v>2887</v>
      </c>
      <c r="E2883" s="4" t="str">
        <f>HYPERLINK("https://app.crepc.sk/?fn=detailBiblioForm&amp;sid=F5F9E12263A2DE48770D1B6A59")</f>
        <v>https://app.crepc.sk/?fn=detailBiblioForm&amp;sid=F5F9E12263A2DE48770D1B6A59</v>
      </c>
    </row>
    <row r="2884" spans="3:5" ht="45" x14ac:dyDescent="0.25">
      <c r="C2884" s="15">
        <v>196676</v>
      </c>
      <c r="D2884" s="4" t="s">
        <v>2888</v>
      </c>
      <c r="E2884" s="4" t="str">
        <f>HYPERLINK("https://app.crepc.sk/?fn=detailBiblioForm&amp;sid=8A8E655A3835503C40D8DE9D4A")</f>
        <v>https://app.crepc.sk/?fn=detailBiblioForm&amp;sid=8A8E655A3835503C40D8DE9D4A</v>
      </c>
    </row>
    <row r="2885" spans="3:5" ht="60" x14ac:dyDescent="0.25">
      <c r="C2885" s="15">
        <v>127946</v>
      </c>
      <c r="D2885" s="4" t="s">
        <v>2889</v>
      </c>
      <c r="E2885" s="4" t="str">
        <f>HYPERLINK("https://app.crepc.sk/?fn=detailBiblioForm&amp;sid=24C6E28F89ED84B9296359EEF1")</f>
        <v>https://app.crepc.sk/?fn=detailBiblioForm&amp;sid=24C6E28F89ED84B9296359EEF1</v>
      </c>
    </row>
    <row r="2886" spans="3:5" ht="45" x14ac:dyDescent="0.25">
      <c r="C2886" s="15">
        <v>442295</v>
      </c>
      <c r="D2886" s="4" t="s">
        <v>2890</v>
      </c>
      <c r="E2886" s="4" t="str">
        <f>HYPERLINK("https://app.crepc.sk/?fn=detailBiblioForm&amp;sid=449A78BFE483A8EAF4F249C553")</f>
        <v>https://app.crepc.sk/?fn=detailBiblioForm&amp;sid=449A78BFE483A8EAF4F249C553</v>
      </c>
    </row>
    <row r="2887" spans="3:5" ht="75" x14ac:dyDescent="0.25">
      <c r="C2887" s="15">
        <v>161698</v>
      </c>
      <c r="D2887" s="4" t="s">
        <v>2891</v>
      </c>
      <c r="E2887" s="4" t="str">
        <f>HYPERLINK("https://app.crepc.sk/?fn=detailBiblioForm&amp;sid=1D69B1A76ABEB527B966BB2E6D")</f>
        <v>https://app.crepc.sk/?fn=detailBiblioForm&amp;sid=1D69B1A76ABEB527B966BB2E6D</v>
      </c>
    </row>
    <row r="2888" spans="3:5" ht="45" x14ac:dyDescent="0.25">
      <c r="C2888" s="15">
        <v>436098</v>
      </c>
      <c r="D2888" s="4" t="s">
        <v>2892</v>
      </c>
      <c r="E2888" s="4" t="str">
        <f>HYPERLINK("https://app.crepc.sk/?fn=detailBiblioForm&amp;sid=0D8840D8555AF42F4D8A6A8F01")</f>
        <v>https://app.crepc.sk/?fn=detailBiblioForm&amp;sid=0D8840D8555AF42F4D8A6A8F01</v>
      </c>
    </row>
    <row r="2889" spans="3:5" ht="75" x14ac:dyDescent="0.25">
      <c r="C2889" s="15">
        <v>118666</v>
      </c>
      <c r="D2889" s="4" t="s">
        <v>2893</v>
      </c>
      <c r="E2889" s="4" t="str">
        <f>HYPERLINK("https://app.crepc.sk/?fn=detailBiblioForm&amp;sid=6B4985DCE924C343C7F7A4E6C1")</f>
        <v>https://app.crepc.sk/?fn=detailBiblioForm&amp;sid=6B4985DCE924C343C7F7A4E6C1</v>
      </c>
    </row>
    <row r="2890" spans="3:5" ht="45" x14ac:dyDescent="0.25">
      <c r="C2890" s="15">
        <v>308947</v>
      </c>
      <c r="D2890" s="4" t="s">
        <v>2894</v>
      </c>
      <c r="E2890" s="4" t="str">
        <f>HYPERLINK("https://app.crepc.sk/?fn=detailBiblioForm&amp;sid=D5ABE00A5E503AAC7F608C57C1")</f>
        <v>https://app.crepc.sk/?fn=detailBiblioForm&amp;sid=D5ABE00A5E503AAC7F608C57C1</v>
      </c>
    </row>
    <row r="2891" spans="3:5" ht="75" x14ac:dyDescent="0.25">
      <c r="C2891" s="15">
        <v>175855</v>
      </c>
      <c r="D2891" s="4" t="s">
        <v>2895</v>
      </c>
      <c r="E2891" s="4" t="str">
        <f>HYPERLINK("https://app.crepc.sk/?fn=detailBiblioForm&amp;sid=77472A57103095E44F080BB0E4")</f>
        <v>https://app.crepc.sk/?fn=detailBiblioForm&amp;sid=77472A57103095E44F080BB0E4</v>
      </c>
    </row>
    <row r="2892" spans="3:5" ht="75" x14ac:dyDescent="0.25">
      <c r="C2892" s="15">
        <v>166558</v>
      </c>
      <c r="D2892" s="4" t="s">
        <v>2896</v>
      </c>
      <c r="E2892" s="4" t="str">
        <f>HYPERLINK("https://app.crepc.sk/?fn=detailBiblioForm&amp;sid=CBF19E20E3617CA9F249E89637")</f>
        <v>https://app.crepc.sk/?fn=detailBiblioForm&amp;sid=CBF19E20E3617CA9F249E89637</v>
      </c>
    </row>
    <row r="2893" spans="3:5" ht="45" x14ac:dyDescent="0.25">
      <c r="C2893" s="15">
        <v>152800</v>
      </c>
      <c r="D2893" s="4" t="s">
        <v>2897</v>
      </c>
      <c r="E2893" s="4" t="str">
        <f>HYPERLINK("https://app.crepc.sk/?fn=detailBiblioForm&amp;sid=4CB0668AE2C8F277BAA4C0BA9E")</f>
        <v>https://app.crepc.sk/?fn=detailBiblioForm&amp;sid=4CB0668AE2C8F277BAA4C0BA9E</v>
      </c>
    </row>
    <row r="2894" spans="3:5" ht="45" x14ac:dyDescent="0.25">
      <c r="C2894" s="15">
        <v>182067</v>
      </c>
      <c r="D2894" s="4" t="s">
        <v>2898</v>
      </c>
      <c r="E2894" s="4" t="str">
        <f>HYPERLINK("https://app.crepc.sk/?fn=detailBiblioForm&amp;sid=AA0D9432EF6DE826CC1777590B")</f>
        <v>https://app.crepc.sk/?fn=detailBiblioForm&amp;sid=AA0D9432EF6DE826CC1777590B</v>
      </c>
    </row>
    <row r="2895" spans="3:5" ht="45" x14ac:dyDescent="0.25">
      <c r="C2895" s="15">
        <v>57783</v>
      </c>
      <c r="D2895" s="4" t="s">
        <v>2899</v>
      </c>
      <c r="E2895" s="4" t="str">
        <f>HYPERLINK("https://app.crepc.sk/?fn=detailBiblioForm&amp;sid=9A55BB660F428DAA835389F6")</f>
        <v>https://app.crepc.sk/?fn=detailBiblioForm&amp;sid=9A55BB660F428DAA835389F6</v>
      </c>
    </row>
    <row r="2896" spans="3:5" ht="45" x14ac:dyDescent="0.25">
      <c r="C2896" s="15">
        <v>99130</v>
      </c>
      <c r="D2896" s="4" t="s">
        <v>2900</v>
      </c>
      <c r="E2896" s="4" t="str">
        <f>HYPERLINK("https://app.crepc.sk/?fn=detailBiblioForm&amp;sid=0B53DCC0E1FA5B51151BCFBA")</f>
        <v>https://app.crepc.sk/?fn=detailBiblioForm&amp;sid=0B53DCC0E1FA5B51151BCFBA</v>
      </c>
    </row>
    <row r="2897" spans="3:5" ht="45" x14ac:dyDescent="0.25">
      <c r="C2897" s="15">
        <v>245540</v>
      </c>
      <c r="D2897" s="4" t="s">
        <v>2901</v>
      </c>
      <c r="E2897" s="4" t="str">
        <f>HYPERLINK("https://app.crepc.sk/?fn=detailBiblioForm&amp;sid=2D7D087DC286DEBC77C0E2F33B")</f>
        <v>https://app.crepc.sk/?fn=detailBiblioForm&amp;sid=2D7D087DC286DEBC77C0E2F33B</v>
      </c>
    </row>
    <row r="2898" spans="3:5" ht="60" x14ac:dyDescent="0.25">
      <c r="C2898" s="15">
        <v>103533</v>
      </c>
      <c r="D2898" s="4" t="s">
        <v>2902</v>
      </c>
      <c r="E2898" s="4" t="str">
        <f>HYPERLINK("https://app.crepc.sk/?fn=detailBiblioForm&amp;sid=A4FF8D52A5EE0AF9EF763B93DF")</f>
        <v>https://app.crepc.sk/?fn=detailBiblioForm&amp;sid=A4FF8D52A5EE0AF9EF763B93DF</v>
      </c>
    </row>
    <row r="2899" spans="3:5" ht="60" x14ac:dyDescent="0.25">
      <c r="C2899" s="15">
        <v>215413</v>
      </c>
      <c r="D2899" s="4" t="s">
        <v>2903</v>
      </c>
      <c r="E2899" s="4" t="str">
        <f>HYPERLINK("https://app.crepc.sk/?fn=detailBiblioForm&amp;sid=F4218EA09CD1A957492F9ECBAC")</f>
        <v>https://app.crepc.sk/?fn=detailBiblioForm&amp;sid=F4218EA09CD1A957492F9ECBAC</v>
      </c>
    </row>
    <row r="2900" spans="3:5" ht="60" x14ac:dyDescent="0.25">
      <c r="C2900" s="15">
        <v>255039</v>
      </c>
      <c r="D2900" s="4" t="s">
        <v>2904</v>
      </c>
      <c r="E2900" s="4" t="str">
        <f>HYPERLINK("https://app.crepc.sk/?fn=detailBiblioForm&amp;sid=2A06A686EDCDA05335670842F6")</f>
        <v>https://app.crepc.sk/?fn=detailBiblioForm&amp;sid=2A06A686EDCDA05335670842F6</v>
      </c>
    </row>
    <row r="2901" spans="3:5" ht="45" x14ac:dyDescent="0.25">
      <c r="C2901" s="15">
        <v>115717</v>
      </c>
      <c r="D2901" s="4" t="s">
        <v>2905</v>
      </c>
      <c r="E2901" s="4" t="str">
        <f>HYPERLINK("https://app.crepc.sk/?fn=detailBiblioForm&amp;sid=D6D3FA1F9AF5FFB8A067CC7F52")</f>
        <v>https://app.crepc.sk/?fn=detailBiblioForm&amp;sid=D6D3FA1F9AF5FFB8A067CC7F52</v>
      </c>
    </row>
    <row r="2902" spans="3:5" ht="75" x14ac:dyDescent="0.25">
      <c r="C2902" s="15">
        <v>448055</v>
      </c>
      <c r="D2902" s="4" t="s">
        <v>2906</v>
      </c>
      <c r="E2902" s="4" t="str">
        <f>HYPERLINK("https://app.crepc.sk/?fn=detailBiblioForm&amp;sid=C456FEA07AAA4EFBD1ED4E7345")</f>
        <v>https://app.crepc.sk/?fn=detailBiblioForm&amp;sid=C456FEA07AAA4EFBD1ED4E7345</v>
      </c>
    </row>
    <row r="2903" spans="3:5" ht="60" x14ac:dyDescent="0.25">
      <c r="C2903" s="15">
        <v>91806</v>
      </c>
      <c r="D2903" s="4" t="s">
        <v>2907</v>
      </c>
      <c r="E2903" s="4" t="str">
        <f>HYPERLINK("https://app.crepc.sk/?fn=detailBiblioForm&amp;sid=44B42343116450983DE0B30B")</f>
        <v>https://app.crepc.sk/?fn=detailBiblioForm&amp;sid=44B42343116450983DE0B30B</v>
      </c>
    </row>
    <row r="2904" spans="3:5" ht="45" x14ac:dyDescent="0.25">
      <c r="C2904" s="15">
        <v>452757</v>
      </c>
      <c r="D2904" s="4" t="s">
        <v>2908</v>
      </c>
      <c r="E2904" s="4" t="str">
        <f>HYPERLINK("https://app.crepc.sk/?fn=detailBiblioForm&amp;sid=69AE82E425BDACA66CFF9876F2")</f>
        <v>https://app.crepc.sk/?fn=detailBiblioForm&amp;sid=69AE82E425BDACA66CFF9876F2</v>
      </c>
    </row>
    <row r="2905" spans="3:5" ht="60" x14ac:dyDescent="0.25">
      <c r="C2905" s="15">
        <v>420791</v>
      </c>
      <c r="D2905" s="4" t="s">
        <v>2909</v>
      </c>
      <c r="E2905" s="4" t="str">
        <f>HYPERLINK("https://app.crepc.sk/?fn=detailBiblioForm&amp;sid=D9A7B902AE3B4140D3B8C4EFA2")</f>
        <v>https://app.crepc.sk/?fn=detailBiblioForm&amp;sid=D9A7B902AE3B4140D3B8C4EFA2</v>
      </c>
    </row>
    <row r="2906" spans="3:5" ht="45" x14ac:dyDescent="0.25">
      <c r="C2906" s="15">
        <v>74853</v>
      </c>
      <c r="D2906" s="4" t="s">
        <v>2910</v>
      </c>
      <c r="E2906" s="4" t="str">
        <f>HYPERLINK("https://app.crepc.sk/?fn=detailBiblioForm&amp;sid=6698AD877B24D93E90FB7CF9")</f>
        <v>https://app.crepc.sk/?fn=detailBiblioForm&amp;sid=6698AD877B24D93E90FB7CF9</v>
      </c>
    </row>
    <row r="2907" spans="3:5" ht="60" x14ac:dyDescent="0.25">
      <c r="C2907" s="15">
        <v>313803</v>
      </c>
      <c r="D2907" s="4" t="s">
        <v>2911</v>
      </c>
      <c r="E2907" s="4" t="str">
        <f>HYPERLINK("https://app.crepc.sk/?fn=detailBiblioForm&amp;sid=C62D698933728B5BFC80E95B09")</f>
        <v>https://app.crepc.sk/?fn=detailBiblioForm&amp;sid=C62D698933728B5BFC80E95B09</v>
      </c>
    </row>
    <row r="2908" spans="3:5" ht="90" x14ac:dyDescent="0.25">
      <c r="C2908" s="15">
        <v>161667</v>
      </c>
      <c r="D2908" s="4" t="s">
        <v>2912</v>
      </c>
      <c r="E2908" s="4" t="str">
        <f>HYPERLINK("https://app.crepc.sk/?fn=detailBiblioForm&amp;sid=1D69B1A76ABEB527B669BB2E6D")</f>
        <v>https://app.crepc.sk/?fn=detailBiblioForm&amp;sid=1D69B1A76ABEB527B669BB2E6D</v>
      </c>
    </row>
    <row r="2909" spans="3:5" ht="60" x14ac:dyDescent="0.25">
      <c r="C2909" s="15">
        <v>122606</v>
      </c>
      <c r="D2909" s="4" t="s">
        <v>2913</v>
      </c>
      <c r="E2909" s="4" t="str">
        <f>HYPERLINK("https://app.crepc.sk/?fn=detailBiblioForm&amp;sid=7E4A807172B6E375027F0C446E")</f>
        <v>https://app.crepc.sk/?fn=detailBiblioForm&amp;sid=7E4A807172B6E375027F0C446E</v>
      </c>
    </row>
    <row r="2910" spans="3:5" ht="60" x14ac:dyDescent="0.25">
      <c r="C2910" s="15">
        <v>130874</v>
      </c>
      <c r="D2910" s="4" t="s">
        <v>2914</v>
      </c>
      <c r="E2910" s="4" t="str">
        <f>HYPERLINK("https://app.crepc.sk/?fn=detailBiblioForm&amp;sid=118F2A3D570393A65C7001C907")</f>
        <v>https://app.crepc.sk/?fn=detailBiblioForm&amp;sid=118F2A3D570393A65C7001C907</v>
      </c>
    </row>
    <row r="2911" spans="3:5" ht="60" x14ac:dyDescent="0.25">
      <c r="C2911" s="15">
        <v>111574</v>
      </c>
      <c r="D2911" s="4" t="s">
        <v>2915</v>
      </c>
      <c r="E2911" s="4" t="str">
        <f>HYPERLINK("https://app.crepc.sk/?fn=detailBiblioForm&amp;sid=2C59A918B2DCB0BD7FF52F71B2")</f>
        <v>https://app.crepc.sk/?fn=detailBiblioForm&amp;sid=2C59A918B2DCB0BD7FF52F71B2</v>
      </c>
    </row>
    <row r="2912" spans="3:5" ht="60" x14ac:dyDescent="0.25">
      <c r="C2912" s="15">
        <v>180310</v>
      </c>
      <c r="D2912" s="4" t="s">
        <v>2916</v>
      </c>
      <c r="E2912" s="4" t="str">
        <f>HYPERLINK("https://app.crepc.sk/?fn=detailBiblioForm&amp;sid=F3B65402F5078FA71C24679E21")</f>
        <v>https://app.crepc.sk/?fn=detailBiblioForm&amp;sid=F3B65402F5078FA71C24679E21</v>
      </c>
    </row>
    <row r="2913" spans="3:5" ht="60" x14ac:dyDescent="0.25">
      <c r="C2913" s="15">
        <v>211065</v>
      </c>
      <c r="D2913" s="4" t="s">
        <v>2917</v>
      </c>
      <c r="E2913" s="4" t="str">
        <f>HYPERLINK("https://app.crepc.sk/?fn=detailBiblioForm&amp;sid=81D2D8BF2DF148AE46A1969A56")</f>
        <v>https://app.crepc.sk/?fn=detailBiblioForm&amp;sid=81D2D8BF2DF148AE46A1969A56</v>
      </c>
    </row>
    <row r="2914" spans="3:5" ht="60" x14ac:dyDescent="0.25">
      <c r="C2914" s="15">
        <v>307742</v>
      </c>
      <c r="D2914" s="4" t="s">
        <v>2918</v>
      </c>
      <c r="E2914" s="4" t="str">
        <f>HYPERLINK("https://app.crepc.sk/?fn=detailBiblioForm&amp;sid=D300494292311A148E0A9C5B89")</f>
        <v>https://app.crepc.sk/?fn=detailBiblioForm&amp;sid=D300494292311A148E0A9C5B89</v>
      </c>
    </row>
    <row r="2915" spans="3:5" ht="60" x14ac:dyDescent="0.25">
      <c r="C2915" s="15">
        <v>416779</v>
      </c>
      <c r="D2915" s="4" t="s">
        <v>2919</v>
      </c>
      <c r="E2915" s="4" t="str">
        <f>HYPERLINK("https://app.crepc.sk/?fn=detailBiblioForm&amp;sid=FFF02B87E998ACF2F22656DEC9")</f>
        <v>https://app.crepc.sk/?fn=detailBiblioForm&amp;sid=FFF02B87E998ACF2F22656DEC9</v>
      </c>
    </row>
    <row r="2916" spans="3:5" ht="45" x14ac:dyDescent="0.25">
      <c r="C2916" s="15">
        <v>429376</v>
      </c>
      <c r="D2916" s="4" t="s">
        <v>2920</v>
      </c>
      <c r="E2916" s="4" t="str">
        <f>HYPERLINK("https://app.crepc.sk/?fn=detailBiblioForm&amp;sid=950E93B0DC0E71F468EBAD9938")</f>
        <v>https://app.crepc.sk/?fn=detailBiblioForm&amp;sid=950E93B0DC0E71F468EBAD9938</v>
      </c>
    </row>
    <row r="2917" spans="3:5" ht="45" x14ac:dyDescent="0.25">
      <c r="C2917" s="15">
        <v>446614</v>
      </c>
      <c r="D2917" s="4" t="s">
        <v>2921</v>
      </c>
      <c r="E2917" s="4" t="str">
        <f>HYPERLINK("https://app.crepc.sk/?fn=detailBiblioForm&amp;sid=A0401751D2B5E3B703EFE5C1B5")</f>
        <v>https://app.crepc.sk/?fn=detailBiblioForm&amp;sid=A0401751D2B5E3B703EFE5C1B5</v>
      </c>
    </row>
    <row r="2918" spans="3:5" ht="45" x14ac:dyDescent="0.25">
      <c r="C2918" s="15">
        <v>196662</v>
      </c>
      <c r="D2918" s="4" t="s">
        <v>2922</v>
      </c>
      <c r="E2918" s="4" t="str">
        <f>HYPERLINK("https://app.crepc.sk/?fn=detailBiblioForm&amp;sid=8A8E655A3835503C41DCDE9D4A")</f>
        <v>https://app.crepc.sk/?fn=detailBiblioForm&amp;sid=8A8E655A3835503C41DCDE9D4A</v>
      </c>
    </row>
    <row r="2919" spans="3:5" ht="60" x14ac:dyDescent="0.25">
      <c r="C2919" s="15">
        <v>255047</v>
      </c>
      <c r="D2919" s="4" t="s">
        <v>2923</v>
      </c>
      <c r="E2919" s="4" t="str">
        <f>HYPERLINK("https://app.crepc.sk/?fn=detailBiblioForm&amp;sid=2A06A686EDCDA05332690842F6")</f>
        <v>https://app.crepc.sk/?fn=detailBiblioForm&amp;sid=2A06A686EDCDA05332690842F6</v>
      </c>
    </row>
    <row r="2920" spans="3:5" ht="45" x14ac:dyDescent="0.25">
      <c r="C2920" s="15">
        <v>415735</v>
      </c>
      <c r="D2920" s="4" t="s">
        <v>2924</v>
      </c>
      <c r="E2920" s="4" t="str">
        <f>HYPERLINK("https://app.crepc.sk/?fn=detailBiblioForm&amp;sid=2D6FF2DAFCD33121B69C641FCB")</f>
        <v>https://app.crepc.sk/?fn=detailBiblioForm&amp;sid=2D6FF2DAFCD33121B69C641FCB</v>
      </c>
    </row>
    <row r="2921" spans="3:5" ht="45" x14ac:dyDescent="0.25">
      <c r="C2921" s="15">
        <v>450056</v>
      </c>
      <c r="D2921" s="4" t="s">
        <v>2925</v>
      </c>
      <c r="E2921" s="4" t="str">
        <f>HYPERLINK("https://app.crepc.sk/?fn=detailBiblioForm&amp;sid=17D51798FBDCAF604CAB7CB596")</f>
        <v>https://app.crepc.sk/?fn=detailBiblioForm&amp;sid=17D51798FBDCAF604CAB7CB596</v>
      </c>
    </row>
    <row r="2922" spans="3:5" ht="75" x14ac:dyDescent="0.25">
      <c r="C2922" s="15">
        <v>91849</v>
      </c>
      <c r="D2922" s="4" t="s">
        <v>2926</v>
      </c>
      <c r="E2922" s="4" t="str">
        <f>HYPERLINK("https://app.crepc.sk/?fn=detailBiblioForm&amp;sid=37A1D3D27783581E8A7A5A80")</f>
        <v>https://app.crepc.sk/?fn=detailBiblioForm&amp;sid=37A1D3D27783581E8A7A5A80</v>
      </c>
    </row>
    <row r="2923" spans="3:5" ht="60" x14ac:dyDescent="0.25">
      <c r="C2923" s="15">
        <v>213916</v>
      </c>
      <c r="D2923" s="4" t="s">
        <v>2927</v>
      </c>
      <c r="E2923" s="4" t="str">
        <f>HYPERLINK("https://app.crepc.sk/?fn=detailBiblioForm&amp;sid=5C150E32B6874145F81B418AD1")</f>
        <v>https://app.crepc.sk/?fn=detailBiblioForm&amp;sid=5C150E32B6874145F81B418AD1</v>
      </c>
    </row>
    <row r="2924" spans="3:5" ht="60" x14ac:dyDescent="0.25">
      <c r="C2924" s="15">
        <v>310071</v>
      </c>
      <c r="D2924" s="4" t="s">
        <v>2928</v>
      </c>
      <c r="E2924" s="4" t="str">
        <f>HYPERLINK("https://app.crepc.sk/?fn=detailBiblioForm&amp;sid=F566C6E0CB47072BFBEF22F69C")</f>
        <v>https://app.crepc.sk/?fn=detailBiblioForm&amp;sid=F566C6E0CB47072BFBEF22F69C</v>
      </c>
    </row>
    <row r="2925" spans="3:5" ht="45" x14ac:dyDescent="0.25">
      <c r="C2925" s="15">
        <v>95866</v>
      </c>
      <c r="D2925" s="4" t="s">
        <v>2929</v>
      </c>
      <c r="E2925" s="4" t="str">
        <f>HYPERLINK("https://app.crepc.sk/?fn=detailBiblioForm&amp;sid=0295F256C15705009F9DEC13")</f>
        <v>https://app.crepc.sk/?fn=detailBiblioForm&amp;sid=0295F256C15705009F9DEC13</v>
      </c>
    </row>
    <row r="2926" spans="3:5" ht="60" x14ac:dyDescent="0.25">
      <c r="C2926" s="15">
        <v>438658</v>
      </c>
      <c r="D2926" s="4" t="s">
        <v>2930</v>
      </c>
      <c r="E2926" s="4" t="str">
        <f>HYPERLINK("https://app.crepc.sk/?fn=detailBiblioForm&amp;sid=C10B51E9E3EF1B1314A0E0F7D6")</f>
        <v>https://app.crepc.sk/?fn=detailBiblioForm&amp;sid=C10B51E9E3EF1B1314A0E0F7D6</v>
      </c>
    </row>
    <row r="2927" spans="3:5" ht="75" x14ac:dyDescent="0.25">
      <c r="C2927" s="15">
        <v>217997</v>
      </c>
      <c r="D2927" s="4" t="s">
        <v>2931</v>
      </c>
      <c r="E2927" s="4" t="str">
        <f>HYPERLINK("https://app.crepc.sk/?fn=detailBiblioForm&amp;sid=9E759344E92A278513E7C915AD")</f>
        <v>https://app.crepc.sk/?fn=detailBiblioForm&amp;sid=9E759344E92A278513E7C915AD</v>
      </c>
    </row>
    <row r="2928" spans="3:5" ht="45" x14ac:dyDescent="0.25">
      <c r="C2928" s="15">
        <v>116622</v>
      </c>
      <c r="D2928" s="4" t="s">
        <v>2932</v>
      </c>
      <c r="E2928" s="4" t="str">
        <f>HYPERLINK("https://app.crepc.sk/?fn=detailBiblioForm&amp;sid=C7058B2E53B5EC4D92150DAE3B")</f>
        <v>https://app.crepc.sk/?fn=detailBiblioForm&amp;sid=C7058B2E53B5EC4D92150DAE3B</v>
      </c>
    </row>
    <row r="2929" spans="3:5" ht="60" x14ac:dyDescent="0.25">
      <c r="C2929" s="15">
        <v>226007</v>
      </c>
      <c r="D2929" s="4" t="s">
        <v>2933</v>
      </c>
      <c r="E2929" s="4" t="str">
        <f>HYPERLINK("https://app.crepc.sk/?fn=detailBiblioForm&amp;sid=7241E0F0A68FF715095DAE2810")</f>
        <v>https://app.crepc.sk/?fn=detailBiblioForm&amp;sid=7241E0F0A68FF715095DAE2810</v>
      </c>
    </row>
    <row r="2930" spans="3:5" ht="60" x14ac:dyDescent="0.25">
      <c r="C2930" s="15">
        <v>203051</v>
      </c>
      <c r="D2930" s="4" t="s">
        <v>2934</v>
      </c>
      <c r="E2930" s="4" t="str">
        <f>HYPERLINK("https://app.crepc.sk/?fn=detailBiblioForm&amp;sid=751D63A714CA6F1EB934DC8D32")</f>
        <v>https://app.crepc.sk/?fn=detailBiblioForm&amp;sid=751D63A714CA6F1EB934DC8D32</v>
      </c>
    </row>
    <row r="2931" spans="3:5" ht="75" x14ac:dyDescent="0.25">
      <c r="C2931" s="15">
        <v>186926</v>
      </c>
      <c r="D2931" s="4" t="s">
        <v>2935</v>
      </c>
      <c r="E2931" s="4" t="str">
        <f>HYPERLINK("https://app.crepc.sk/?fn=detailBiblioForm&amp;sid=9EB7DDC054CB7EBFE174B5FCE5")</f>
        <v>https://app.crepc.sk/?fn=detailBiblioForm&amp;sid=9EB7DDC054CB7EBFE174B5FCE5</v>
      </c>
    </row>
    <row r="2932" spans="3:5" ht="45" x14ac:dyDescent="0.25">
      <c r="C2932" s="15">
        <v>427760</v>
      </c>
      <c r="D2932" s="4" t="s">
        <v>2936</v>
      </c>
      <c r="E2932" s="4" t="str">
        <f>HYPERLINK("https://app.crepc.sk/?fn=detailBiblioForm&amp;sid=F759D04D11DC96CB2BBBD6ACC8")</f>
        <v>https://app.crepc.sk/?fn=detailBiblioForm&amp;sid=F759D04D11DC96CB2BBBD6ACC8</v>
      </c>
    </row>
    <row r="2933" spans="3:5" ht="90" x14ac:dyDescent="0.25">
      <c r="C2933" s="15">
        <v>434923</v>
      </c>
      <c r="D2933" s="4" t="s">
        <v>2937</v>
      </c>
      <c r="E2933" s="4" t="str">
        <f>HYPERLINK("https://app.crepc.sk/?fn=detailBiblioForm&amp;sid=52D04D2DDDC7A0F4DC94575717")</f>
        <v>https://app.crepc.sk/?fn=detailBiblioForm&amp;sid=52D04D2DDDC7A0F4DC94575717</v>
      </c>
    </row>
    <row r="2934" spans="3:5" ht="60" x14ac:dyDescent="0.25">
      <c r="C2934" s="15">
        <v>442362</v>
      </c>
      <c r="D2934" s="4" t="s">
        <v>2938</v>
      </c>
      <c r="E2934" s="4" t="str">
        <f>HYPERLINK("https://app.crepc.sk/?fn=detailBiblioForm&amp;sid=F661DE2421DD595D52CF62841D")</f>
        <v>https://app.crepc.sk/?fn=detailBiblioForm&amp;sid=F661DE2421DD595D52CF62841D</v>
      </c>
    </row>
    <row r="2935" spans="3:5" ht="45" x14ac:dyDescent="0.25">
      <c r="C2935" s="15">
        <v>184282</v>
      </c>
      <c r="D2935" s="4" t="s">
        <v>2939</v>
      </c>
      <c r="E2935" s="4" t="str">
        <f>HYPERLINK("https://app.crepc.sk/?fn=detailBiblioForm&amp;sid=51C176E8478ABC8F8A7563848B")</f>
        <v>https://app.crepc.sk/?fn=detailBiblioForm&amp;sid=51C176E8478ABC8F8A7563848B</v>
      </c>
    </row>
    <row r="2936" spans="3:5" ht="60" x14ac:dyDescent="0.25">
      <c r="C2936" s="15">
        <v>122956</v>
      </c>
      <c r="D2936" s="4" t="s">
        <v>2940</v>
      </c>
      <c r="E2936" s="4" t="str">
        <f>HYPERLINK("https://app.crepc.sk/?fn=detailBiblioForm&amp;sid=3B2B0BBAA862FD0FCC498724C7")</f>
        <v>https://app.crepc.sk/?fn=detailBiblioForm&amp;sid=3B2B0BBAA862FD0FCC498724C7</v>
      </c>
    </row>
    <row r="2937" spans="3:5" ht="45" x14ac:dyDescent="0.25">
      <c r="C2937" s="15">
        <v>57401</v>
      </c>
      <c r="D2937" s="4" t="s">
        <v>2941</v>
      </c>
      <c r="E2937" s="4" t="str">
        <f>HYPERLINK("https://app.crepc.sk/?fn=detailBiblioForm&amp;sid=DB1EAFF15B62E9A676A962D6")</f>
        <v>https://app.crepc.sk/?fn=detailBiblioForm&amp;sid=DB1EAFF15B62E9A676A962D6</v>
      </c>
    </row>
    <row r="2938" spans="3:5" ht="45" x14ac:dyDescent="0.25">
      <c r="C2938" s="15">
        <v>184277</v>
      </c>
      <c r="D2938" s="4" t="s">
        <v>2942</v>
      </c>
      <c r="E2938" s="4" t="str">
        <f>HYPERLINK("https://app.crepc.sk/?fn=detailBiblioForm&amp;sid=51C176E8478ABC8F857063848B")</f>
        <v>https://app.crepc.sk/?fn=detailBiblioForm&amp;sid=51C176E8478ABC8F857063848B</v>
      </c>
    </row>
    <row r="2939" spans="3:5" ht="45" x14ac:dyDescent="0.25">
      <c r="C2939" s="15">
        <v>245249</v>
      </c>
      <c r="D2939" s="4" t="s">
        <v>2943</v>
      </c>
      <c r="E2939" s="4" t="str">
        <f>HYPERLINK("https://app.crepc.sk/?fn=detailBiblioForm&amp;sid=BDD02C6927F0351775015D9292")</f>
        <v>https://app.crepc.sk/?fn=detailBiblioForm&amp;sid=BDD02C6927F0351775015D9292</v>
      </c>
    </row>
    <row r="2940" spans="3:5" ht="45" x14ac:dyDescent="0.25">
      <c r="C2940" s="15">
        <v>447456</v>
      </c>
      <c r="D2940" s="4" t="s">
        <v>2944</v>
      </c>
      <c r="E2940" s="4" t="str">
        <f>HYPERLINK("https://app.crepc.sk/?fn=detailBiblioForm&amp;sid=327AF501581769A168B05DFF58")</f>
        <v>https://app.crepc.sk/?fn=detailBiblioForm&amp;sid=327AF501581769A168B05DFF58</v>
      </c>
    </row>
    <row r="2941" spans="3:5" ht="60" x14ac:dyDescent="0.25">
      <c r="C2941" s="15">
        <v>442515</v>
      </c>
      <c r="D2941" s="4" t="s">
        <v>2945</v>
      </c>
      <c r="E2941" s="4" t="str">
        <f>HYPERLINK("https://app.crepc.sk/?fn=detailBiblioForm&amp;sid=A9CFFDCBD31163D917A9FD67B2")</f>
        <v>https://app.crepc.sk/?fn=detailBiblioForm&amp;sid=A9CFFDCBD31163D917A9FD67B2</v>
      </c>
    </row>
    <row r="2942" spans="3:5" ht="45" x14ac:dyDescent="0.25">
      <c r="C2942" s="15">
        <v>196680</v>
      </c>
      <c r="D2942" s="4" t="s">
        <v>2946</v>
      </c>
      <c r="E2942" s="4" t="str">
        <f>HYPERLINK("https://app.crepc.sk/?fn=detailBiblioForm&amp;sid=8A8E655A3835503C4FDEDE9D4A")</f>
        <v>https://app.crepc.sk/?fn=detailBiblioForm&amp;sid=8A8E655A3835503C4FDEDE9D4A</v>
      </c>
    </row>
    <row r="2943" spans="3:5" ht="45" x14ac:dyDescent="0.25">
      <c r="C2943" s="15">
        <v>68905</v>
      </c>
      <c r="D2943" s="4" t="s">
        <v>2947</v>
      </c>
      <c r="E2943" s="4" t="str">
        <f>HYPERLINK("https://app.crepc.sk/?fn=detailBiblioForm&amp;sid=C9149025D1F5FE24D1A834F4")</f>
        <v>https://app.crepc.sk/?fn=detailBiblioForm&amp;sid=C9149025D1F5FE24D1A834F4</v>
      </c>
    </row>
    <row r="2944" spans="3:5" ht="75" x14ac:dyDescent="0.25">
      <c r="C2944" s="15">
        <v>226008</v>
      </c>
      <c r="D2944" s="4" t="s">
        <v>2948</v>
      </c>
      <c r="E2944" s="4" t="str">
        <f>HYPERLINK("https://app.crepc.sk/?fn=detailBiblioForm&amp;sid=7241E0F0A68FF7150952AE2810")</f>
        <v>https://app.crepc.sk/?fn=detailBiblioForm&amp;sid=7241E0F0A68FF7150952AE2810</v>
      </c>
    </row>
    <row r="2945" spans="3:5" ht="45" x14ac:dyDescent="0.25">
      <c r="C2945" s="15">
        <v>443020</v>
      </c>
      <c r="D2945" s="4" t="s">
        <v>2949</v>
      </c>
      <c r="E2945" s="4" t="str">
        <f>HYPERLINK("https://app.crepc.sk/?fn=detailBiblioForm&amp;sid=D2BE33474DF4BCB750825BFBDF")</f>
        <v>https://app.crepc.sk/?fn=detailBiblioForm&amp;sid=D2BE33474DF4BCB750825BFBDF</v>
      </c>
    </row>
    <row r="2946" spans="3:5" ht="60" x14ac:dyDescent="0.25">
      <c r="C2946" s="15">
        <v>163044</v>
      </c>
      <c r="D2946" s="4" t="s">
        <v>2950</v>
      </c>
      <c r="E2946" s="4" t="str">
        <f>HYPERLINK("https://app.crepc.sk/?fn=detailBiblioForm&amp;sid=50FE609ECAA3CD9EE4CC01F139")</f>
        <v>https://app.crepc.sk/?fn=detailBiblioForm&amp;sid=50FE609ECAA3CD9EE4CC01F139</v>
      </c>
    </row>
    <row r="2947" spans="3:5" ht="60" x14ac:dyDescent="0.25">
      <c r="C2947" s="15">
        <v>226038</v>
      </c>
      <c r="D2947" s="4" t="s">
        <v>2951</v>
      </c>
      <c r="E2947" s="4" t="str">
        <f>HYPERLINK("https://app.crepc.sk/?fn=detailBiblioForm&amp;sid=7241E0F0A68FF7150A52AE2810")</f>
        <v>https://app.crepc.sk/?fn=detailBiblioForm&amp;sid=7241E0F0A68FF7150A52AE2810</v>
      </c>
    </row>
    <row r="2948" spans="3:5" ht="75" x14ac:dyDescent="0.25">
      <c r="C2948" s="15">
        <v>95879</v>
      </c>
      <c r="D2948" s="4" t="s">
        <v>2952</v>
      </c>
      <c r="E2948" s="4" t="str">
        <f>HYPERLINK("https://app.crepc.sk/?fn=detailBiblioForm&amp;sid=A01AE44F0CC17C3E3DD23FB7")</f>
        <v>https://app.crepc.sk/?fn=detailBiblioForm&amp;sid=A01AE44F0CC17C3E3DD23FB7</v>
      </c>
    </row>
    <row r="2949" spans="3:5" ht="60" x14ac:dyDescent="0.25">
      <c r="C2949" s="15">
        <v>95299</v>
      </c>
      <c r="D2949" s="4" t="s">
        <v>2953</v>
      </c>
      <c r="E2949" s="4" t="str">
        <f>HYPERLINK("https://app.crepc.sk/?fn=detailBiblioForm&amp;sid=236DA1634580DDA7DF0A39DE")</f>
        <v>https://app.crepc.sk/?fn=detailBiblioForm&amp;sid=236DA1634580DDA7DF0A39DE</v>
      </c>
    </row>
    <row r="2950" spans="3:5" ht="45" x14ac:dyDescent="0.25">
      <c r="C2950" s="15">
        <v>96536</v>
      </c>
      <c r="D2950" s="4" t="s">
        <v>2954</v>
      </c>
      <c r="E2950" s="4" t="str">
        <f>HYPERLINK("https://app.crepc.sk/?fn=detailBiblioForm&amp;sid=8AA1DF69EAC42129278388FF")</f>
        <v>https://app.crepc.sk/?fn=detailBiblioForm&amp;sid=8AA1DF69EAC42129278388FF</v>
      </c>
    </row>
    <row r="2951" spans="3:5" ht="60" x14ac:dyDescent="0.25">
      <c r="C2951" s="15">
        <v>117507</v>
      </c>
      <c r="D2951" s="4" t="s">
        <v>2955</v>
      </c>
      <c r="E2951" s="4" t="str">
        <f>HYPERLINK("https://app.crepc.sk/?fn=detailBiblioForm&amp;sid=782C7F190F5282740EA32FB4FF")</f>
        <v>https://app.crepc.sk/?fn=detailBiblioForm&amp;sid=782C7F190F5282740EA32FB4FF</v>
      </c>
    </row>
    <row r="2952" spans="3:5" ht="45" x14ac:dyDescent="0.25">
      <c r="C2952" s="15">
        <v>181306</v>
      </c>
      <c r="D2952" s="4" t="s">
        <v>2956</v>
      </c>
      <c r="E2952" s="4" t="str">
        <f>HYPERLINK("https://app.crepc.sk/?fn=detailBiblioForm&amp;sid=C007B9F4EACE4D3BE0CB2AAEC2")</f>
        <v>https://app.crepc.sk/?fn=detailBiblioForm&amp;sid=C007B9F4EACE4D3BE0CB2AAEC2</v>
      </c>
    </row>
    <row r="2953" spans="3:5" ht="45" x14ac:dyDescent="0.25">
      <c r="C2953" s="15">
        <v>308942</v>
      </c>
      <c r="D2953" s="4" t="s">
        <v>2957</v>
      </c>
      <c r="E2953" s="4" t="str">
        <f>HYPERLINK("https://app.crepc.sk/?fn=detailBiblioForm&amp;sid=D5ABE00A5E503AAC7F658C57C1")</f>
        <v>https://app.crepc.sk/?fn=detailBiblioForm&amp;sid=D5ABE00A5E503AAC7F658C57C1</v>
      </c>
    </row>
    <row r="2954" spans="3:5" ht="45" x14ac:dyDescent="0.25">
      <c r="C2954" s="15">
        <v>172547</v>
      </c>
      <c r="D2954" s="4" t="s">
        <v>2958</v>
      </c>
      <c r="E2954" s="4" t="str">
        <f>HYPERLINK("https://app.crepc.sk/?fn=detailBiblioForm&amp;sid=C15045651E1CB51B04E6221423")</f>
        <v>https://app.crepc.sk/?fn=detailBiblioForm&amp;sid=C15045651E1CB51B04E6221423</v>
      </c>
    </row>
    <row r="2955" spans="3:5" ht="60" x14ac:dyDescent="0.25">
      <c r="C2955" s="15">
        <v>88242</v>
      </c>
      <c r="D2955" s="4" t="s">
        <v>2959</v>
      </c>
      <c r="E2955" s="4" t="str">
        <f>HYPERLINK("https://app.crepc.sk/?fn=detailBiblioForm&amp;sid=92F90ABF3CF5A0929526DC48")</f>
        <v>https://app.crepc.sk/?fn=detailBiblioForm&amp;sid=92F90ABF3CF5A0929526DC48</v>
      </c>
    </row>
    <row r="2956" spans="3:5" ht="60" x14ac:dyDescent="0.25">
      <c r="C2956" s="15">
        <v>206430</v>
      </c>
      <c r="D2956" s="4" t="s">
        <v>2960</v>
      </c>
      <c r="E2956" s="4" t="str">
        <f>HYPERLINK("https://app.crepc.sk/?fn=detailBiblioForm&amp;sid=9EADD462503AFBCA24541F908F")</f>
        <v>https://app.crepc.sk/?fn=detailBiblioForm&amp;sid=9EADD462503AFBCA24541F908F</v>
      </c>
    </row>
    <row r="2957" spans="3:5" ht="45" x14ac:dyDescent="0.25">
      <c r="C2957" s="15">
        <v>208138</v>
      </c>
      <c r="D2957" s="4" t="s">
        <v>2961</v>
      </c>
      <c r="E2957" s="4" t="str">
        <f>HYPERLINK("https://app.crepc.sk/?fn=detailBiblioForm&amp;sid=D6473325855F1BB4072B8619C8")</f>
        <v>https://app.crepc.sk/?fn=detailBiblioForm&amp;sid=D6473325855F1BB4072B8619C8</v>
      </c>
    </row>
    <row r="2958" spans="3:5" ht="75" x14ac:dyDescent="0.25">
      <c r="C2958" s="15">
        <v>448047</v>
      </c>
      <c r="D2958" s="4" t="s">
        <v>2962</v>
      </c>
      <c r="E2958" s="4" t="str">
        <f>HYPERLINK("https://app.crepc.sk/?fn=detailBiblioForm&amp;sid=C456FEA07AAA4EFBD0EF4E7345")</f>
        <v>https://app.crepc.sk/?fn=detailBiblioForm&amp;sid=C456FEA07AAA4EFBD0EF4E7345</v>
      </c>
    </row>
    <row r="2959" spans="3:5" ht="45" x14ac:dyDescent="0.25">
      <c r="C2959" s="15">
        <v>448525</v>
      </c>
      <c r="D2959" s="4" t="s">
        <v>2963</v>
      </c>
      <c r="E2959" s="4" t="str">
        <f>HYPERLINK("https://app.crepc.sk/?fn=detailBiblioForm&amp;sid=AB769D11A18D1299D4334F1DA7")</f>
        <v>https://app.crepc.sk/?fn=detailBiblioForm&amp;sid=AB769D11A18D1299D4334F1DA7</v>
      </c>
    </row>
    <row r="2960" spans="3:5" ht="75" x14ac:dyDescent="0.25">
      <c r="C2960" s="15">
        <v>80472</v>
      </c>
      <c r="D2960" s="4" t="s">
        <v>2964</v>
      </c>
      <c r="E2960" s="4" t="str">
        <f>HYPERLINK("https://app.crepc.sk/?fn=detailBiblioForm&amp;sid=83BD17D2F0EE7DDDBEAD7462")</f>
        <v>https://app.crepc.sk/?fn=detailBiblioForm&amp;sid=83BD17D2F0EE7DDDBEAD7462</v>
      </c>
    </row>
    <row r="2961" spans="3:5" ht="75" x14ac:dyDescent="0.25">
      <c r="C2961" s="15">
        <v>213641</v>
      </c>
      <c r="D2961" s="4" t="s">
        <v>2965</v>
      </c>
      <c r="E2961" s="4" t="str">
        <f>HYPERLINK("https://app.crepc.sk/?fn=detailBiblioForm&amp;sid=8E6409459947D973197DBC023D")</f>
        <v>https://app.crepc.sk/?fn=detailBiblioForm&amp;sid=8E6409459947D973197DBC023D</v>
      </c>
    </row>
    <row r="2962" spans="3:5" ht="60" x14ac:dyDescent="0.25">
      <c r="C2962" s="15">
        <v>448353</v>
      </c>
      <c r="D2962" s="4" t="s">
        <v>2966</v>
      </c>
      <c r="E2962" s="4" t="str">
        <f>HYPERLINK("https://app.crepc.sk/?fn=detailBiblioForm&amp;sid=F4F83FF99D02212E824F65EA70")</f>
        <v>https://app.crepc.sk/?fn=detailBiblioForm&amp;sid=F4F83FF99D02212E824F65EA70</v>
      </c>
    </row>
    <row r="2963" spans="3:5" ht="60" x14ac:dyDescent="0.25">
      <c r="C2963" s="15">
        <v>211057</v>
      </c>
      <c r="D2963" s="4" t="s">
        <v>2967</v>
      </c>
      <c r="E2963" s="4" t="str">
        <f>HYPERLINK("https://app.crepc.sk/?fn=detailBiblioForm&amp;sid=81D2D8BF2DF148AE45A3969A56")</f>
        <v>https://app.crepc.sk/?fn=detailBiblioForm&amp;sid=81D2D8BF2DF148AE45A3969A56</v>
      </c>
    </row>
    <row r="2964" spans="3:5" ht="45" x14ac:dyDescent="0.25">
      <c r="C2964" s="15">
        <v>215813</v>
      </c>
      <c r="D2964" s="4" t="s">
        <v>2968</v>
      </c>
      <c r="E2964" s="4" t="str">
        <f>HYPERLINK("https://app.crepc.sk/?fn=detailBiblioForm&amp;sid=BF21ECCDBDCC328E828CF9EB0F")</f>
        <v>https://app.crepc.sk/?fn=detailBiblioForm&amp;sid=BF21ECCDBDCC328E828CF9EB0F</v>
      </c>
    </row>
    <row r="2965" spans="3:5" ht="75" x14ac:dyDescent="0.25">
      <c r="C2965" s="15">
        <v>121626</v>
      </c>
      <c r="D2965" s="4" t="s">
        <v>2969</v>
      </c>
      <c r="E2965" s="4" t="str">
        <f>HYPERLINK("https://app.crepc.sk/?fn=detailBiblioForm&amp;sid=9E0AC4D45381629577057E0B88")</f>
        <v>https://app.crepc.sk/?fn=detailBiblioForm&amp;sid=9E0AC4D45381629577057E0B88</v>
      </c>
    </row>
    <row r="2966" spans="3:5" ht="45" x14ac:dyDescent="0.25">
      <c r="C2966" s="15">
        <v>454637</v>
      </c>
      <c r="D2966" s="4" t="s">
        <v>2970</v>
      </c>
      <c r="E2966" s="4" t="str">
        <f>HYPERLINK("https://app.crepc.sk/?fn=detailBiblioForm&amp;sid=0314BB39F7D326E3DFFC531052")</f>
        <v>https://app.crepc.sk/?fn=detailBiblioForm&amp;sid=0314BB39F7D326E3DFFC531052</v>
      </c>
    </row>
    <row r="2967" spans="3:5" ht="60" x14ac:dyDescent="0.25">
      <c r="C2967" s="15">
        <v>108182</v>
      </c>
      <c r="D2967" s="4" t="s">
        <v>2971</v>
      </c>
      <c r="E2967" s="4" t="str">
        <f>HYPERLINK("https://app.crepc.sk/?fn=detailBiblioForm&amp;sid=E3DFC453BEB872AB9D2050E801")</f>
        <v>https://app.crepc.sk/?fn=detailBiblioForm&amp;sid=E3DFC453BEB872AB9D2050E801</v>
      </c>
    </row>
    <row r="2968" spans="3:5" ht="60" x14ac:dyDescent="0.25">
      <c r="C2968" s="15">
        <v>68511</v>
      </c>
      <c r="D2968" s="4" t="s">
        <v>2972</v>
      </c>
      <c r="E2968" s="4" t="str">
        <f>HYPERLINK("https://app.crepc.sk/?fn=detailBiblioForm&amp;sid=72FC2C7D9D391973C7CD7F8D")</f>
        <v>https://app.crepc.sk/?fn=detailBiblioForm&amp;sid=72FC2C7D9D391973C7CD7F8D</v>
      </c>
    </row>
    <row r="2969" spans="3:5" ht="75" x14ac:dyDescent="0.25">
      <c r="C2969" s="15">
        <v>431342</v>
      </c>
      <c r="D2969" s="4" t="s">
        <v>2973</v>
      </c>
      <c r="E2969" s="4" t="str">
        <f>HYPERLINK("https://app.crepc.sk/?fn=detailBiblioForm&amp;sid=3B4E0D23E18AC9251B51CCD577")</f>
        <v>https://app.crepc.sk/?fn=detailBiblioForm&amp;sid=3B4E0D23E18AC9251B51CCD577</v>
      </c>
    </row>
    <row r="2970" spans="3:5" ht="45" x14ac:dyDescent="0.25">
      <c r="C2970" s="15">
        <v>83478</v>
      </c>
      <c r="D2970" s="4" t="s">
        <v>2974</v>
      </c>
      <c r="E2970" s="4" t="str">
        <f>HYPERLINK("https://app.crepc.sk/?fn=detailBiblioForm&amp;sid=8F0D87BD43DB5116DB2D78C1")</f>
        <v>https://app.crepc.sk/?fn=detailBiblioForm&amp;sid=8F0D87BD43DB5116DB2D78C1</v>
      </c>
    </row>
    <row r="2971" spans="3:5" ht="45" x14ac:dyDescent="0.25">
      <c r="C2971" s="15">
        <v>117126</v>
      </c>
      <c r="D2971" s="4" t="s">
        <v>2975</v>
      </c>
      <c r="E2971" s="4" t="str">
        <f>HYPERLINK("https://app.crepc.sk/?fn=detailBiblioForm&amp;sid=6B68A92B6F46FD75E8638F4FE2")</f>
        <v>https://app.crepc.sk/?fn=detailBiblioForm&amp;sid=6B68A92B6F46FD75E8638F4FE2</v>
      </c>
    </row>
    <row r="2972" spans="3:5" ht="75" x14ac:dyDescent="0.25">
      <c r="C2972" s="15">
        <v>196657</v>
      </c>
      <c r="D2972" s="4" t="s">
        <v>2976</v>
      </c>
      <c r="E2972" s="4" t="str">
        <f>HYPERLINK("https://app.crepc.sk/?fn=detailBiblioForm&amp;sid=8A8E655A3835503C42D9DE9D4A")</f>
        <v>https://app.crepc.sk/?fn=detailBiblioForm&amp;sid=8A8E655A3835503C42D9DE9D4A</v>
      </c>
    </row>
    <row r="2973" spans="3:5" ht="75" x14ac:dyDescent="0.25">
      <c r="C2973" s="15">
        <v>420074</v>
      </c>
      <c r="D2973" s="4" t="s">
        <v>2977</v>
      </c>
      <c r="E2973" s="4" t="str">
        <f>HYPERLINK("https://app.crepc.sk/?fn=detailBiblioForm&amp;sid=BC87E1A17A7C37FB608611D17E")</f>
        <v>https://app.crepc.sk/?fn=detailBiblioForm&amp;sid=BC87E1A17A7C37FB608611D17E</v>
      </c>
    </row>
    <row r="2974" spans="3:5" ht="45" x14ac:dyDescent="0.25">
      <c r="C2974" s="15">
        <v>186054</v>
      </c>
      <c r="D2974" s="4" t="s">
        <v>2978</v>
      </c>
      <c r="E2974" s="4" t="str">
        <f>HYPERLINK("https://app.crepc.sk/?fn=detailBiblioForm&amp;sid=12BF14ADF430A4F4B8F03AA239")</f>
        <v>https://app.crepc.sk/?fn=detailBiblioForm&amp;sid=12BF14ADF430A4F4B8F03AA239</v>
      </c>
    </row>
    <row r="2975" spans="3:5" ht="60" x14ac:dyDescent="0.25">
      <c r="C2975" s="15">
        <v>432185</v>
      </c>
      <c r="D2975" s="4" t="s">
        <v>2979</v>
      </c>
      <c r="E2975" s="4" t="str">
        <f>HYPERLINK("https://app.crepc.sk/?fn=detailBiblioForm&amp;sid=36F9E267D0DFCA06FA9A599993")</f>
        <v>https://app.crepc.sk/?fn=detailBiblioForm&amp;sid=36F9E267D0DFCA06FA9A599993</v>
      </c>
    </row>
    <row r="2976" spans="3:5" ht="45" x14ac:dyDescent="0.25">
      <c r="C2976" s="15">
        <v>196968</v>
      </c>
      <c r="D2976" s="4" t="s">
        <v>2980</v>
      </c>
      <c r="E2976" s="4" t="str">
        <f>HYPERLINK("https://app.crepc.sk/?fn=detailBiblioForm&amp;sid=FD2A61625DB31BB35051FEE577")</f>
        <v>https://app.crepc.sk/?fn=detailBiblioForm&amp;sid=FD2A61625DB31BB35051FEE577</v>
      </c>
    </row>
    <row r="2977" spans="3:5" ht="60" x14ac:dyDescent="0.25">
      <c r="C2977" s="15">
        <v>309220</v>
      </c>
      <c r="D2977" s="4" t="s">
        <v>2981</v>
      </c>
      <c r="E2977" s="4" t="str">
        <f>HYPERLINK("https://app.crepc.sk/?fn=detailBiblioForm&amp;sid=40BD072F73D8B14F680974681D")</f>
        <v>https://app.crepc.sk/?fn=detailBiblioForm&amp;sid=40BD072F73D8B14F680974681D</v>
      </c>
    </row>
    <row r="2978" spans="3:5" ht="60" x14ac:dyDescent="0.25">
      <c r="C2978" s="15">
        <v>132635</v>
      </c>
      <c r="D2978" s="4" t="s">
        <v>2982</v>
      </c>
      <c r="E2978" s="4" t="str">
        <f>HYPERLINK("https://app.crepc.sk/?fn=detailBiblioForm&amp;sid=45946F80BD0ADF83350B7F64E5")</f>
        <v>https://app.crepc.sk/?fn=detailBiblioForm&amp;sid=45946F80BD0ADF83350B7F64E5</v>
      </c>
    </row>
    <row r="2979" spans="3:5" ht="45" x14ac:dyDescent="0.25">
      <c r="C2979" s="15">
        <v>83318</v>
      </c>
      <c r="D2979" s="4" t="s">
        <v>2983</v>
      </c>
      <c r="E2979" s="4" t="str">
        <f>HYPERLINK("https://app.crepc.sk/?fn=detailBiblioForm&amp;sid=ACF841C358CF137079A7D5AE")</f>
        <v>https://app.crepc.sk/?fn=detailBiblioForm&amp;sid=ACF841C358CF137079A7D5AE</v>
      </c>
    </row>
    <row r="2980" spans="3:5" ht="60" x14ac:dyDescent="0.25">
      <c r="C2980" s="15">
        <v>255798</v>
      </c>
      <c r="D2980" s="4" t="s">
        <v>2984</v>
      </c>
      <c r="E2980" s="4" t="str">
        <f>HYPERLINK("https://app.crepc.sk/?fn=detailBiblioForm&amp;sid=918F0144324B7C457B8971E1CF")</f>
        <v>https://app.crepc.sk/?fn=detailBiblioForm&amp;sid=918F0144324B7C457B8971E1CF</v>
      </c>
    </row>
    <row r="2981" spans="3:5" ht="60" x14ac:dyDescent="0.25">
      <c r="C2981" s="15">
        <v>427545</v>
      </c>
      <c r="D2981" s="4" t="s">
        <v>2985</v>
      </c>
      <c r="E2981" s="4" t="str">
        <f>HYPERLINK("https://app.crepc.sk/?fn=detailBiblioForm&amp;sid=3E1CF430F52B8E0D36DBBB744D")</f>
        <v>https://app.crepc.sk/?fn=detailBiblioForm&amp;sid=3E1CF430F52B8E0D36DBBB744D</v>
      </c>
    </row>
    <row r="2982" spans="3:5" ht="45" x14ac:dyDescent="0.25">
      <c r="C2982" s="15">
        <v>239398</v>
      </c>
      <c r="D2982" s="4" t="s">
        <v>2986</v>
      </c>
      <c r="E2982" s="4" t="str">
        <f>HYPERLINK("https://app.crepc.sk/?fn=detailBiblioForm&amp;sid=4D4CF2068BEC72CC65C3973D43")</f>
        <v>https://app.crepc.sk/?fn=detailBiblioForm&amp;sid=4D4CF2068BEC72CC65C3973D43</v>
      </c>
    </row>
    <row r="2983" spans="3:5" ht="60" x14ac:dyDescent="0.25">
      <c r="C2983" s="15">
        <v>163865</v>
      </c>
      <c r="D2983" s="4" t="s">
        <v>2987</v>
      </c>
      <c r="E2983" s="4" t="str">
        <f>HYPERLINK("https://app.crepc.sk/?fn=detailBiblioForm&amp;sid=AFFB5693EB24A8FD73C47098CD")</f>
        <v>https://app.crepc.sk/?fn=detailBiblioForm&amp;sid=AFFB5693EB24A8FD73C47098CD</v>
      </c>
    </row>
    <row r="2984" spans="3:5" ht="60" x14ac:dyDescent="0.25">
      <c r="C2984" s="15">
        <v>455985</v>
      </c>
      <c r="D2984" s="4" t="s">
        <v>2988</v>
      </c>
      <c r="E2984" s="4" t="str">
        <f>HYPERLINK("https://app.crepc.sk/?fn=detailBiblioForm&amp;sid=F8E041F7343F91A798611A8B80")</f>
        <v>https://app.crepc.sk/?fn=detailBiblioForm&amp;sid=F8E041F7343F91A798611A8B80</v>
      </c>
    </row>
    <row r="2985" spans="3:5" ht="45" x14ac:dyDescent="0.25">
      <c r="C2985" s="15">
        <v>117506</v>
      </c>
      <c r="D2985" s="4" t="s">
        <v>2989</v>
      </c>
      <c r="E2985" s="4" t="str">
        <f>HYPERLINK("https://app.crepc.sk/?fn=detailBiblioForm&amp;sid=782C7F190F5282740EA22FB4FF")</f>
        <v>https://app.crepc.sk/?fn=detailBiblioForm&amp;sid=782C7F190F5282740EA22FB4FF</v>
      </c>
    </row>
    <row r="2986" spans="3:5" ht="45" x14ac:dyDescent="0.25">
      <c r="C2986" s="15">
        <v>82276</v>
      </c>
      <c r="D2986" s="4" t="s">
        <v>2990</v>
      </c>
      <c r="E2986" s="4" t="str">
        <f>HYPERLINK("https://app.crepc.sk/?fn=detailBiblioForm&amp;sid=44B15735B592DF38E6E8C50E")</f>
        <v>https://app.crepc.sk/?fn=detailBiblioForm&amp;sid=44B15735B592DF38E6E8C50E</v>
      </c>
    </row>
    <row r="2987" spans="3:5" ht="60" x14ac:dyDescent="0.25">
      <c r="C2987" s="15">
        <v>424478</v>
      </c>
      <c r="D2987" s="4" t="s">
        <v>2991</v>
      </c>
      <c r="E2987" s="4" t="str">
        <f>HYPERLINK("https://app.crepc.sk/?fn=detailBiblioForm&amp;sid=40A350F05C48D697D82247D983")</f>
        <v>https://app.crepc.sk/?fn=detailBiblioForm&amp;sid=40A350F05C48D697D82247D983</v>
      </c>
    </row>
    <row r="2988" spans="3:5" ht="45" x14ac:dyDescent="0.25">
      <c r="C2988" s="15">
        <v>184271</v>
      </c>
      <c r="D2988" s="4" t="s">
        <v>2992</v>
      </c>
      <c r="E2988" s="4" t="str">
        <f>HYPERLINK("https://app.crepc.sk/?fn=detailBiblioForm&amp;sid=51C176E8478ABC8F857663848B")</f>
        <v>https://app.crepc.sk/?fn=detailBiblioForm&amp;sid=51C176E8478ABC8F857663848B</v>
      </c>
    </row>
    <row r="2989" spans="3:5" ht="75" x14ac:dyDescent="0.25">
      <c r="C2989" s="15">
        <v>141951</v>
      </c>
      <c r="D2989" s="4" t="s">
        <v>2993</v>
      </c>
      <c r="E2989" s="4" t="str">
        <f>HYPERLINK("https://app.crepc.sk/?fn=detailBiblioForm&amp;sid=E75B5E22D326BA6A9DA2FAD9E5")</f>
        <v>https://app.crepc.sk/?fn=detailBiblioForm&amp;sid=E75B5E22D326BA6A9DA2FAD9E5</v>
      </c>
    </row>
    <row r="2990" spans="3:5" ht="45" x14ac:dyDescent="0.25">
      <c r="C2990" s="15">
        <v>116308</v>
      </c>
      <c r="D2990" s="4" t="s">
        <v>2994</v>
      </c>
      <c r="E2990" s="4" t="str">
        <f>HYPERLINK("https://app.crepc.sk/?fn=detailBiblioForm&amp;sid=1002ED0DF2340BB22F7302508D")</f>
        <v>https://app.crepc.sk/?fn=detailBiblioForm&amp;sid=1002ED0DF2340BB22F7302508D</v>
      </c>
    </row>
    <row r="2991" spans="3:5" ht="45" x14ac:dyDescent="0.25">
      <c r="C2991" s="15">
        <v>115729</v>
      </c>
      <c r="D2991" s="4" t="s">
        <v>2995</v>
      </c>
      <c r="E2991" s="4" t="str">
        <f>HYPERLINK("https://app.crepc.sk/?fn=detailBiblioForm&amp;sid=D6D3FA1F9AF5FFB8A369CC7F52")</f>
        <v>https://app.crepc.sk/?fn=detailBiblioForm&amp;sid=D6D3FA1F9AF5FFB8A369CC7F52</v>
      </c>
    </row>
    <row r="2992" spans="3:5" ht="45" x14ac:dyDescent="0.25">
      <c r="C2992" s="15">
        <v>167104</v>
      </c>
      <c r="D2992" s="4" t="s">
        <v>2996</v>
      </c>
      <c r="E2992" s="4" t="str">
        <f>HYPERLINK("https://app.crepc.sk/?fn=detailBiblioForm&amp;sid=780C5DA7522A72A29CF49DC9C0")</f>
        <v>https://app.crepc.sk/?fn=detailBiblioForm&amp;sid=780C5DA7522A72A29CF49DC9C0</v>
      </c>
    </row>
    <row r="2993" spans="3:5" ht="45" x14ac:dyDescent="0.25">
      <c r="C2993" s="15">
        <v>432584</v>
      </c>
      <c r="D2993" s="4" t="s">
        <v>2997</v>
      </c>
      <c r="E2993" s="4" t="str">
        <f>HYPERLINK("https://app.crepc.sk/?fn=detailBiblioForm&amp;sid=04748B9B3F6E966D3A3DB36E5B")</f>
        <v>https://app.crepc.sk/?fn=detailBiblioForm&amp;sid=04748B9B3F6E966D3A3DB36E5B</v>
      </c>
    </row>
    <row r="2994" spans="3:5" ht="60" x14ac:dyDescent="0.25">
      <c r="C2994" s="15">
        <v>240864</v>
      </c>
      <c r="D2994" s="4" t="s">
        <v>2998</v>
      </c>
      <c r="E2994" s="4" t="str">
        <f>HYPERLINK("https://app.crepc.sk/?fn=detailBiblioForm&amp;sid=5B016660862A0AA5420122D6A0")</f>
        <v>https://app.crepc.sk/?fn=detailBiblioForm&amp;sid=5B016660862A0AA5420122D6A0</v>
      </c>
    </row>
    <row r="2995" spans="3:5" ht="60" x14ac:dyDescent="0.25">
      <c r="C2995" s="15">
        <v>207987</v>
      </c>
      <c r="D2995" s="4" t="s">
        <v>2999</v>
      </c>
      <c r="E2995" s="4" t="str">
        <f>HYPERLINK("https://app.crepc.sk/?fn=detailBiblioForm&amp;sid=06D5204408007CA77FA54873FD")</f>
        <v>https://app.crepc.sk/?fn=detailBiblioForm&amp;sid=06D5204408007CA77FA54873FD</v>
      </c>
    </row>
    <row r="2996" spans="3:5" ht="45" x14ac:dyDescent="0.25">
      <c r="C2996" s="15">
        <v>255728</v>
      </c>
      <c r="D2996" s="4" t="s">
        <v>3000</v>
      </c>
      <c r="E2996" s="4" t="str">
        <f>HYPERLINK("https://app.crepc.sk/?fn=detailBiblioForm&amp;sid=918F0144324B7C45708971E1CF")</f>
        <v>https://app.crepc.sk/?fn=detailBiblioForm&amp;sid=918F0144324B7C45708971E1CF</v>
      </c>
    </row>
    <row r="2997" spans="3:5" ht="45" x14ac:dyDescent="0.25">
      <c r="C2997" s="15">
        <v>62360</v>
      </c>
      <c r="D2997" s="4" t="s">
        <v>3001</v>
      </c>
      <c r="E2997" s="4" t="str">
        <f>HYPERLINK("https://app.crepc.sk/?fn=detailBiblioForm&amp;sid=CF032D4E5769C71104D4671F")</f>
        <v>https://app.crepc.sk/?fn=detailBiblioForm&amp;sid=CF032D4E5769C71104D4671F</v>
      </c>
    </row>
    <row r="2998" spans="3:5" ht="60" x14ac:dyDescent="0.25">
      <c r="C2998" s="15">
        <v>60238</v>
      </c>
      <c r="D2998" s="4" t="s">
        <v>3002</v>
      </c>
      <c r="E2998" s="4" t="str">
        <f>HYPERLINK("https://app.crepc.sk/?fn=detailBiblioForm&amp;sid=D55948F36C76534DA602573F")</f>
        <v>https://app.crepc.sk/?fn=detailBiblioForm&amp;sid=D55948F36C76534DA602573F</v>
      </c>
    </row>
    <row r="2999" spans="3:5" ht="45" x14ac:dyDescent="0.25">
      <c r="C2999" s="15">
        <v>110731</v>
      </c>
      <c r="D2999" s="4" t="s">
        <v>3003</v>
      </c>
      <c r="E2999" s="4" t="str">
        <f>HYPERLINK("https://app.crepc.sk/?fn=detailBiblioForm&amp;sid=0218399C17E4BE6E17A6EAFE09")</f>
        <v>https://app.crepc.sk/?fn=detailBiblioForm&amp;sid=0218399C17E4BE6E17A6EAFE09</v>
      </c>
    </row>
    <row r="3000" spans="3:5" ht="60" x14ac:dyDescent="0.25">
      <c r="C3000" s="15">
        <v>69336</v>
      </c>
      <c r="D3000" s="4" t="s">
        <v>3004</v>
      </c>
      <c r="E3000" s="4" t="str">
        <f>HYPERLINK("https://app.crepc.sk/?fn=detailBiblioForm&amp;sid=BD75346F3B8E4DA9BD251D16")</f>
        <v>https://app.crepc.sk/?fn=detailBiblioForm&amp;sid=BD75346F3B8E4DA9BD251D16</v>
      </c>
    </row>
    <row r="3001" spans="3:5" ht="60" x14ac:dyDescent="0.25">
      <c r="C3001" s="15">
        <v>236291</v>
      </c>
      <c r="D3001" s="4" t="s">
        <v>3005</v>
      </c>
      <c r="E3001" s="4" t="str">
        <f>HYPERLINK("https://app.crepc.sk/?fn=detailBiblioForm&amp;sid=C110776E543635D212B7A03168")</f>
        <v>https://app.crepc.sk/?fn=detailBiblioForm&amp;sid=C110776E543635D212B7A03168</v>
      </c>
    </row>
    <row r="3002" spans="3:5" ht="105" x14ac:dyDescent="0.25">
      <c r="C3002" s="15">
        <v>163930</v>
      </c>
      <c r="D3002" s="4" t="s">
        <v>3006</v>
      </c>
      <c r="E3002" s="4" t="str">
        <f>HYPERLINK("https://app.crepc.sk/?fn=detailBiblioForm&amp;sid=1C2ACAED49234363BC528FC043")</f>
        <v>https://app.crepc.sk/?fn=detailBiblioForm&amp;sid=1C2ACAED49234363BC528FC043</v>
      </c>
    </row>
    <row r="3003" spans="3:5" ht="45" x14ac:dyDescent="0.25">
      <c r="C3003" s="15">
        <v>164979</v>
      </c>
      <c r="D3003" s="4" t="s">
        <v>3007</v>
      </c>
      <c r="E3003" s="4" t="str">
        <f>HYPERLINK("https://app.crepc.sk/?fn=detailBiblioForm&amp;sid=81B8C7E3C61A011F16305B0DE1")</f>
        <v>https://app.crepc.sk/?fn=detailBiblioForm&amp;sid=81B8C7E3C61A011F16305B0DE1</v>
      </c>
    </row>
    <row r="3004" spans="3:5" ht="60" x14ac:dyDescent="0.25">
      <c r="C3004" s="15">
        <v>142439</v>
      </c>
      <c r="D3004" s="4" t="s">
        <v>3008</v>
      </c>
      <c r="E3004" s="4" t="str">
        <f>HYPERLINK("https://app.crepc.sk/?fn=detailBiblioForm&amp;sid=C7DA6C94B65F4BF8496F32ECF7")</f>
        <v>https://app.crepc.sk/?fn=detailBiblioForm&amp;sid=C7DA6C94B65F4BF8496F32ECF7</v>
      </c>
    </row>
    <row r="3005" spans="3:5" ht="60" x14ac:dyDescent="0.25">
      <c r="C3005" s="15">
        <v>192071</v>
      </c>
      <c r="D3005" s="4" t="s">
        <v>3009</v>
      </c>
      <c r="E3005" s="4" t="str">
        <f>HYPERLINK("https://app.crepc.sk/?fn=detailBiblioForm&amp;sid=B5CF2D9B99F8CE1F94E91A2492")</f>
        <v>https://app.crepc.sk/?fn=detailBiblioForm&amp;sid=B5CF2D9B99F8CE1F94E91A2492</v>
      </c>
    </row>
    <row r="3006" spans="3:5" ht="60" x14ac:dyDescent="0.25">
      <c r="C3006" s="15">
        <v>201515</v>
      </c>
      <c r="D3006" s="4" t="s">
        <v>3010</v>
      </c>
      <c r="E3006" s="4" t="str">
        <f>HYPERLINK("https://app.crepc.sk/?fn=detailBiblioForm&amp;sid=C3E0BD8EE7867A05E8A55B1402")</f>
        <v>https://app.crepc.sk/?fn=detailBiblioForm&amp;sid=C3E0BD8EE7867A05E8A55B1402</v>
      </c>
    </row>
    <row r="3007" spans="3:5" ht="60" x14ac:dyDescent="0.25">
      <c r="C3007" s="15">
        <v>418982</v>
      </c>
      <c r="D3007" s="4" t="s">
        <v>3011</v>
      </c>
      <c r="E3007" s="4" t="str">
        <f>HYPERLINK("https://app.crepc.sk/?fn=detailBiblioForm&amp;sid=9AB6DF4C6BF801425B4EDD71DE")</f>
        <v>https://app.crepc.sk/?fn=detailBiblioForm&amp;sid=9AB6DF4C6BF801425B4EDD71DE</v>
      </c>
    </row>
    <row r="3008" spans="3:5" ht="60" x14ac:dyDescent="0.25">
      <c r="C3008" s="15">
        <v>206812</v>
      </c>
      <c r="D3008" s="4" t="s">
        <v>3012</v>
      </c>
      <c r="E3008" s="4" t="str">
        <f>HYPERLINK("https://app.crepc.sk/?fn=detailBiblioForm&amp;sid=01F693E10B74071542B6413BCF")</f>
        <v>https://app.crepc.sk/?fn=detailBiblioForm&amp;sid=01F693E10B74071542B6413BCF</v>
      </c>
    </row>
    <row r="3009" spans="3:5" ht="75" x14ac:dyDescent="0.25">
      <c r="C3009" s="15">
        <v>231039</v>
      </c>
      <c r="D3009" s="4" t="s">
        <v>3013</v>
      </c>
      <c r="E3009" s="4" t="str">
        <f>HYPERLINK("https://app.crepc.sk/?fn=detailBiblioForm&amp;sid=9930497010029B5A2220FCA920")</f>
        <v>https://app.crepc.sk/?fn=detailBiblioForm&amp;sid=9930497010029B5A2220FCA920</v>
      </c>
    </row>
    <row r="3010" spans="3:5" ht="60" x14ac:dyDescent="0.25">
      <c r="C3010" s="15">
        <v>54874</v>
      </c>
      <c r="D3010" s="4" t="s">
        <v>3014</v>
      </c>
      <c r="E3010" s="4" t="str">
        <f>HYPERLINK("https://app.crepc.sk/?fn=detailBiblioForm&amp;sid=945E523721A484C17D89A189")</f>
        <v>https://app.crepc.sk/?fn=detailBiblioForm&amp;sid=945E523721A484C17D89A189</v>
      </c>
    </row>
    <row r="3011" spans="3:5" ht="45" x14ac:dyDescent="0.25">
      <c r="C3011" s="15">
        <v>196664</v>
      </c>
      <c r="D3011" s="4" t="s">
        <v>3015</v>
      </c>
      <c r="E3011" s="4" t="str">
        <f>HYPERLINK("https://app.crepc.sk/?fn=detailBiblioForm&amp;sid=8A8E655A3835503C41DADE9D4A")</f>
        <v>https://app.crepc.sk/?fn=detailBiblioForm&amp;sid=8A8E655A3835503C41DADE9D4A</v>
      </c>
    </row>
    <row r="3012" spans="3:5" ht="45" x14ac:dyDescent="0.25">
      <c r="C3012" s="15">
        <v>84999</v>
      </c>
      <c r="D3012" s="4" t="s">
        <v>3016</v>
      </c>
      <c r="E3012" s="4" t="str">
        <f>HYPERLINK("https://app.crepc.sk/?fn=detailBiblioForm&amp;sid=0DFF37D736FA4E545295D8A4")</f>
        <v>https://app.crepc.sk/?fn=detailBiblioForm&amp;sid=0DFF37D736FA4E545295D8A4</v>
      </c>
    </row>
    <row r="3013" spans="3:5" ht="45" x14ac:dyDescent="0.25">
      <c r="C3013" s="15">
        <v>246455</v>
      </c>
      <c r="D3013" s="4" t="s">
        <v>3017</v>
      </c>
      <c r="E3013" s="4" t="str">
        <f>HYPERLINK("https://app.crepc.sk/?fn=detailBiblioForm&amp;sid=C23082FBDA4977C5BC7B22A713")</f>
        <v>https://app.crepc.sk/?fn=detailBiblioForm&amp;sid=C23082FBDA4977C5BC7B22A713</v>
      </c>
    </row>
    <row r="3014" spans="3:5" ht="60" x14ac:dyDescent="0.25">
      <c r="C3014" s="15">
        <v>171265</v>
      </c>
      <c r="D3014" s="4" t="s">
        <v>3018</v>
      </c>
      <c r="E3014" s="4" t="str">
        <f>HYPERLINK("https://app.crepc.sk/?fn=detailBiblioForm&amp;sid=6BD761ABB9A8FF53ECC961EC46")</f>
        <v>https://app.crepc.sk/?fn=detailBiblioForm&amp;sid=6BD761ABB9A8FF53ECC961EC46</v>
      </c>
    </row>
    <row r="3015" spans="3:5" ht="45" x14ac:dyDescent="0.25">
      <c r="C3015" s="15">
        <v>140318</v>
      </c>
      <c r="D3015" s="4" t="s">
        <v>3019</v>
      </c>
      <c r="E3015" s="4" t="str">
        <f>HYPERLINK("https://app.crepc.sk/?fn=detailBiblioForm&amp;sid=06ED14E8665C76DEA5CD3482C7")</f>
        <v>https://app.crepc.sk/?fn=detailBiblioForm&amp;sid=06ED14E8665C76DEA5CD3482C7</v>
      </c>
    </row>
    <row r="3016" spans="3:5" ht="45" x14ac:dyDescent="0.25">
      <c r="C3016" s="15">
        <v>140187</v>
      </c>
      <c r="D3016" s="4" t="s">
        <v>3020</v>
      </c>
      <c r="E3016" s="4" t="str">
        <f>HYPERLINK("https://app.crepc.sk/?fn=detailBiblioForm&amp;sid=17899838D38E4BD15E18EAAA4C")</f>
        <v>https://app.crepc.sk/?fn=detailBiblioForm&amp;sid=17899838D38E4BD15E18EAAA4C</v>
      </c>
    </row>
    <row r="3017" spans="3:5" ht="60" x14ac:dyDescent="0.25">
      <c r="C3017" s="15">
        <v>218671</v>
      </c>
      <c r="D3017" s="4" t="s">
        <v>3021</v>
      </c>
      <c r="E3017" s="4" t="str">
        <f>HYPERLINK("https://app.crepc.sk/?fn=detailBiblioForm&amp;sid=74446F55A9349C991ED50AA1D3")</f>
        <v>https://app.crepc.sk/?fn=detailBiblioForm&amp;sid=74446F55A9349C991ED50AA1D3</v>
      </c>
    </row>
    <row r="3018" spans="3:5" ht="45" x14ac:dyDescent="0.25">
      <c r="C3018" s="15">
        <v>96514</v>
      </c>
      <c r="D3018" s="4" t="s">
        <v>3022</v>
      </c>
      <c r="E3018" s="4" t="str">
        <f>HYPERLINK("https://app.crepc.sk/?fn=detailBiblioForm&amp;sid=6B45B9E6744A9FDACC50C6D1")</f>
        <v>https://app.crepc.sk/?fn=detailBiblioForm&amp;sid=6B45B9E6744A9FDACC50C6D1</v>
      </c>
    </row>
    <row r="3019" spans="3:5" ht="45" x14ac:dyDescent="0.25">
      <c r="C3019" s="15">
        <v>248531</v>
      </c>
      <c r="D3019" s="4" t="s">
        <v>3023</v>
      </c>
      <c r="E3019" s="4" t="str">
        <f>HYPERLINK("https://app.crepc.sk/?fn=detailBiblioForm&amp;sid=3173F3EBFDDB76EF40DD64397B")</f>
        <v>https://app.crepc.sk/?fn=detailBiblioForm&amp;sid=3173F3EBFDDB76EF40DD64397B</v>
      </c>
    </row>
    <row r="3020" spans="3:5" ht="60" x14ac:dyDescent="0.25">
      <c r="C3020" s="15">
        <v>433516</v>
      </c>
      <c r="D3020" s="4" t="s">
        <v>3024</v>
      </c>
      <c r="E3020" s="4" t="str">
        <f>HYPERLINK("https://app.crepc.sk/?fn=detailBiblioForm&amp;sid=5E59D5E80B28192E7D9E24E873")</f>
        <v>https://app.crepc.sk/?fn=detailBiblioForm&amp;sid=5E59D5E80B28192E7D9E24E873</v>
      </c>
    </row>
    <row r="3021" spans="3:5" ht="90" x14ac:dyDescent="0.25">
      <c r="C3021" s="15">
        <v>223129</v>
      </c>
      <c r="D3021" s="4" t="s">
        <v>3025</v>
      </c>
      <c r="E3021" s="4" t="str">
        <f>HYPERLINK("https://app.crepc.sk/?fn=detailBiblioForm&amp;sid=3CCA95DFCBDFD5503667FB1A00")</f>
        <v>https://app.crepc.sk/?fn=detailBiblioForm&amp;sid=3CCA95DFCBDFD5503667FB1A00</v>
      </c>
    </row>
    <row r="3022" spans="3:5" ht="60" x14ac:dyDescent="0.25">
      <c r="C3022" s="15">
        <v>115712</v>
      </c>
      <c r="D3022" s="4" t="s">
        <v>3026</v>
      </c>
      <c r="E3022" s="4" t="str">
        <f>HYPERLINK("https://app.crepc.sk/?fn=detailBiblioForm&amp;sid=D6D3FA1F9AF5FFB8A062CC7F52")</f>
        <v>https://app.crepc.sk/?fn=detailBiblioForm&amp;sid=D6D3FA1F9AF5FFB8A062CC7F52</v>
      </c>
    </row>
    <row r="3023" spans="3:5" ht="60" x14ac:dyDescent="0.25">
      <c r="C3023" s="15">
        <v>440777</v>
      </c>
      <c r="D3023" s="4" t="s">
        <v>3027</v>
      </c>
      <c r="E3023" s="4" t="str">
        <f>HYPERLINK("https://app.crepc.sk/?fn=detailBiblioForm&amp;sid=C3C046FDC00D8772C936A536D3")</f>
        <v>https://app.crepc.sk/?fn=detailBiblioForm&amp;sid=C3C046FDC00D8772C936A536D3</v>
      </c>
    </row>
    <row r="3024" spans="3:5" ht="45" x14ac:dyDescent="0.25">
      <c r="C3024" s="15">
        <v>82281</v>
      </c>
      <c r="D3024" s="4" t="s">
        <v>3028</v>
      </c>
      <c r="E3024" s="4" t="str">
        <f>HYPERLINK("https://app.crepc.sk/?fn=detailBiblioForm&amp;sid=3E6D1C27765D4A7C176FD699")</f>
        <v>https://app.crepc.sk/?fn=detailBiblioForm&amp;sid=3E6D1C27765D4A7C176FD699</v>
      </c>
    </row>
    <row r="3025" spans="3:5" ht="75" x14ac:dyDescent="0.25">
      <c r="C3025" s="15">
        <v>161640</v>
      </c>
      <c r="D3025" s="4" t="s">
        <v>3029</v>
      </c>
      <c r="E3025" s="4" t="str">
        <f>HYPERLINK("https://app.crepc.sk/?fn=detailBiblioForm&amp;sid=1D69B1A76ABEB527B46EBB2E6D")</f>
        <v>https://app.crepc.sk/?fn=detailBiblioForm&amp;sid=1D69B1A76ABEB527B46EBB2E6D</v>
      </c>
    </row>
    <row r="3026" spans="3:5" ht="60" x14ac:dyDescent="0.25">
      <c r="C3026" s="15">
        <v>52065</v>
      </c>
      <c r="D3026" s="4" t="s">
        <v>3030</v>
      </c>
      <c r="E3026" s="4" t="str">
        <f>HYPERLINK("https://app.crepc.sk/?fn=detailBiblioForm&amp;sid=284F288FAAA9BEBBADE30D2A")</f>
        <v>https://app.crepc.sk/?fn=detailBiblioForm&amp;sid=284F288FAAA9BEBBADE30D2A</v>
      </c>
    </row>
    <row r="3027" spans="3:5" ht="45" x14ac:dyDescent="0.25">
      <c r="C3027" s="15">
        <v>314012</v>
      </c>
      <c r="D3027" s="4" t="s">
        <v>3031</v>
      </c>
      <c r="E3027" s="4" t="str">
        <f>HYPERLINK("https://app.crepc.sk/?fn=detailBiblioForm&amp;sid=52CF6327BC03DBAB5D11815F18")</f>
        <v>https://app.crepc.sk/?fn=detailBiblioForm&amp;sid=52CF6327BC03DBAB5D11815F18</v>
      </c>
    </row>
    <row r="3028" spans="3:5" ht="45" x14ac:dyDescent="0.25">
      <c r="C3028" s="15">
        <v>312942</v>
      </c>
      <c r="D3028" s="4" t="s">
        <v>3032</v>
      </c>
      <c r="E3028" s="4" t="str">
        <f>HYPERLINK("https://app.crepc.sk/?fn=detailBiblioForm&amp;sid=31CB60CA56D70B77E114987C86")</f>
        <v>https://app.crepc.sk/?fn=detailBiblioForm&amp;sid=31CB60CA56D70B77E114987C86</v>
      </c>
    </row>
    <row r="3029" spans="3:5" ht="75" x14ac:dyDescent="0.25">
      <c r="C3029" s="15">
        <v>55036</v>
      </c>
      <c r="D3029" s="4" t="s">
        <v>3033</v>
      </c>
      <c r="E3029" s="4" t="str">
        <f>HYPERLINK("https://app.crepc.sk/?fn=detailBiblioForm&amp;sid=5986EFC03C30105AD9671582")</f>
        <v>https://app.crepc.sk/?fn=detailBiblioForm&amp;sid=5986EFC03C30105AD9671582</v>
      </c>
    </row>
    <row r="3030" spans="3:5" ht="120" x14ac:dyDescent="0.25">
      <c r="C3030" s="15">
        <v>245443</v>
      </c>
      <c r="D3030" s="4" t="s">
        <v>3034</v>
      </c>
      <c r="E3030" s="4" t="str">
        <f>HYPERLINK("https://app.crepc.sk/?fn=detailBiblioForm&amp;sid=47BCEFFDF5E696E830BB7296A9")</f>
        <v>https://app.crepc.sk/?fn=detailBiblioForm&amp;sid=47BCEFFDF5E696E830BB7296A9</v>
      </c>
    </row>
    <row r="3031" spans="3:5" ht="60" x14ac:dyDescent="0.25">
      <c r="C3031" s="15">
        <v>225363</v>
      </c>
      <c r="D3031" s="4" t="s">
        <v>3035</v>
      </c>
      <c r="E3031" s="4" t="str">
        <f>HYPERLINK("https://app.crepc.sk/?fn=detailBiblioForm&amp;sid=B821F9E3E81A9BB89C1DCA5D86")</f>
        <v>https://app.crepc.sk/?fn=detailBiblioForm&amp;sid=B821F9E3E81A9BB89C1DCA5D86</v>
      </c>
    </row>
    <row r="3032" spans="3:5" ht="60" x14ac:dyDescent="0.25">
      <c r="C3032" s="15">
        <v>62766</v>
      </c>
      <c r="D3032" s="4" t="s">
        <v>3036</v>
      </c>
      <c r="E3032" s="4" t="str">
        <f>HYPERLINK("https://app.crepc.sk/?fn=detailBiblioForm&amp;sid=5C48A9FC9239AA2268179BAC")</f>
        <v>https://app.crepc.sk/?fn=detailBiblioForm&amp;sid=5C48A9FC9239AA2268179BAC</v>
      </c>
    </row>
    <row r="3033" spans="3:5" ht="60" x14ac:dyDescent="0.25">
      <c r="C3033" s="15">
        <v>316809</v>
      </c>
      <c r="D3033" s="4" t="s">
        <v>3037</v>
      </c>
      <c r="E3033" s="4" t="str">
        <f>HYPERLINK("https://app.crepc.sk/?fn=detailBiblioForm&amp;sid=9B7EDFED3FF96897479C54B66B")</f>
        <v>https://app.crepc.sk/?fn=detailBiblioForm&amp;sid=9B7EDFED3FF96897479C54B66B</v>
      </c>
    </row>
    <row r="3034" spans="3:5" ht="60" x14ac:dyDescent="0.25">
      <c r="C3034" s="15">
        <v>182328</v>
      </c>
      <c r="D3034" s="4" t="s">
        <v>3038</v>
      </c>
      <c r="E3034" s="4" t="str">
        <f>HYPERLINK("https://app.crepc.sk/?fn=detailBiblioForm&amp;sid=53EEEDF946F250FB438545B5AD")</f>
        <v>https://app.crepc.sk/?fn=detailBiblioForm&amp;sid=53EEEDF946F250FB438545B5AD</v>
      </c>
    </row>
    <row r="3035" spans="3:5" ht="45" x14ac:dyDescent="0.25">
      <c r="C3035" s="15">
        <v>55890</v>
      </c>
      <c r="D3035" s="4" t="s">
        <v>3039</v>
      </c>
      <c r="E3035" s="4" t="str">
        <f>HYPERLINK("https://app.crepc.sk/?fn=detailBiblioForm&amp;sid=7265F64B91ED4F846E90AB68")</f>
        <v>https://app.crepc.sk/?fn=detailBiblioForm&amp;sid=7265F64B91ED4F846E90AB68</v>
      </c>
    </row>
    <row r="3036" spans="3:5" ht="45" x14ac:dyDescent="0.25">
      <c r="C3036" s="15">
        <v>227807</v>
      </c>
      <c r="D3036" s="4" t="s">
        <v>3040</v>
      </c>
      <c r="E3036" s="4" t="str">
        <f>HYPERLINK("https://app.crepc.sk/?fn=detailBiblioForm&amp;sid=D57B83470BBFCEC227813FD33C")</f>
        <v>https://app.crepc.sk/?fn=detailBiblioForm&amp;sid=D57B83470BBFCEC227813FD33C</v>
      </c>
    </row>
    <row r="3037" spans="3:5" ht="60" x14ac:dyDescent="0.25">
      <c r="C3037" s="15">
        <v>433207</v>
      </c>
      <c r="D3037" s="4" t="s">
        <v>3041</v>
      </c>
      <c r="E3037" s="4" t="str">
        <f>HYPERLINK("https://app.crepc.sk/?fn=detailBiblioForm&amp;sid=530B29B90A77EF33A10B499B3B")</f>
        <v>https://app.crepc.sk/?fn=detailBiblioForm&amp;sid=530B29B90A77EF33A10B499B3B</v>
      </c>
    </row>
    <row r="3038" spans="3:5" ht="45" x14ac:dyDescent="0.25">
      <c r="C3038" s="15">
        <v>52285</v>
      </c>
      <c r="D3038" s="4" t="s">
        <v>3042</v>
      </c>
      <c r="E3038" s="4" t="str">
        <f>HYPERLINK("https://app.crepc.sk/?fn=detailBiblioForm&amp;sid=539443B4345030064DB7CCCC")</f>
        <v>https://app.crepc.sk/?fn=detailBiblioForm&amp;sid=539443B4345030064DB7CCCC</v>
      </c>
    </row>
    <row r="3039" spans="3:5" ht="45" x14ac:dyDescent="0.25">
      <c r="C3039" s="15">
        <v>191645</v>
      </c>
      <c r="D3039" s="4" t="s">
        <v>3043</v>
      </c>
      <c r="E3039" s="4" t="str">
        <f>HYPERLINK("https://app.crepc.sk/?fn=detailBiblioForm&amp;sid=2BD2C66034D627EB7D02C4F76F")</f>
        <v>https://app.crepc.sk/?fn=detailBiblioForm&amp;sid=2BD2C66034D627EB7D02C4F76F</v>
      </c>
    </row>
    <row r="3040" spans="3:5" ht="60" x14ac:dyDescent="0.25">
      <c r="C3040" s="15">
        <v>314006</v>
      </c>
      <c r="D3040" s="4" t="s">
        <v>3044</v>
      </c>
      <c r="E3040" s="4" t="str">
        <f>HYPERLINK("https://app.crepc.sk/?fn=detailBiblioForm&amp;sid=52CF6327BC03DBAB5C15815F18")</f>
        <v>https://app.crepc.sk/?fn=detailBiblioForm&amp;sid=52CF6327BC03DBAB5C15815F18</v>
      </c>
    </row>
    <row r="3041" spans="3:5" ht="60" x14ac:dyDescent="0.25">
      <c r="C3041" s="15">
        <v>317933</v>
      </c>
      <c r="D3041" s="4" t="s">
        <v>3045</v>
      </c>
      <c r="E3041" s="4" t="str">
        <f>HYPERLINK("https://app.crepc.sk/?fn=detailBiblioForm&amp;sid=E0B41A029D812A2AD02397A17A")</f>
        <v>https://app.crepc.sk/?fn=detailBiblioForm&amp;sid=E0B41A029D812A2AD02397A17A</v>
      </c>
    </row>
    <row r="3042" spans="3:5" ht="60" x14ac:dyDescent="0.25">
      <c r="C3042" s="15">
        <v>226039</v>
      </c>
      <c r="D3042" s="4" t="s">
        <v>3046</v>
      </c>
      <c r="E3042" s="4" t="str">
        <f>HYPERLINK("https://app.crepc.sk/?fn=detailBiblioForm&amp;sid=7241E0F0A68FF7150A53AE2810")</f>
        <v>https://app.crepc.sk/?fn=detailBiblioForm&amp;sid=7241E0F0A68FF7150A53AE2810</v>
      </c>
    </row>
    <row r="3043" spans="3:5" ht="45" x14ac:dyDescent="0.25">
      <c r="C3043" s="15">
        <v>97346</v>
      </c>
      <c r="D3043" s="4" t="s">
        <v>3047</v>
      </c>
      <c r="E3043" s="4" t="str">
        <f>HYPERLINK("https://app.crepc.sk/?fn=detailBiblioForm&amp;sid=79F2EFB05732559780D59860")</f>
        <v>https://app.crepc.sk/?fn=detailBiblioForm&amp;sid=79F2EFB05732559780D59860</v>
      </c>
    </row>
    <row r="3044" spans="3:5" ht="60" x14ac:dyDescent="0.25">
      <c r="C3044" s="15">
        <v>422680</v>
      </c>
      <c r="D3044" s="4" t="s">
        <v>3048</v>
      </c>
      <c r="E3044" s="4" t="str">
        <f>HYPERLINK("https://app.crepc.sk/?fn=detailBiblioForm&amp;sid=595C10E2453401361B8D7F4B15")</f>
        <v>https://app.crepc.sk/?fn=detailBiblioForm&amp;sid=595C10E2453401361B8D7F4B15</v>
      </c>
    </row>
    <row r="3045" spans="3:5" ht="75" x14ac:dyDescent="0.25">
      <c r="C3045" s="15">
        <v>196865</v>
      </c>
      <c r="D3045" s="4" t="s">
        <v>3049</v>
      </c>
      <c r="E3045" s="4" t="str">
        <f>HYPERLINK("https://app.crepc.sk/?fn=detailBiblioForm&amp;sid=71273B11B862991D710863B5FC")</f>
        <v>https://app.crepc.sk/?fn=detailBiblioForm&amp;sid=71273B11B862991D710863B5FC</v>
      </c>
    </row>
    <row r="3046" spans="3:5" ht="45" x14ac:dyDescent="0.25">
      <c r="C3046" s="15">
        <v>184274</v>
      </c>
      <c r="D3046" s="4" t="s">
        <v>3050</v>
      </c>
      <c r="E3046" s="4" t="str">
        <f>HYPERLINK("https://app.crepc.sk/?fn=detailBiblioForm&amp;sid=51C176E8478ABC8F857363848B")</f>
        <v>https://app.crepc.sk/?fn=detailBiblioForm&amp;sid=51C176E8478ABC8F857363848B</v>
      </c>
    </row>
    <row r="3047" spans="3:5" ht="75" x14ac:dyDescent="0.25">
      <c r="C3047" s="15">
        <v>413883</v>
      </c>
      <c r="D3047" s="4" t="s">
        <v>3051</v>
      </c>
      <c r="E3047" s="4" t="str">
        <f>HYPERLINK("https://app.crepc.sk/?fn=detailBiblioForm&amp;sid=0666E4DD92649C3D195E7B444D")</f>
        <v>https://app.crepc.sk/?fn=detailBiblioForm&amp;sid=0666E4DD92649C3D195E7B444D</v>
      </c>
    </row>
    <row r="3048" spans="3:5" ht="60" x14ac:dyDescent="0.25">
      <c r="C3048" s="15">
        <v>448522</v>
      </c>
      <c r="D3048" s="4" t="s">
        <v>3052</v>
      </c>
      <c r="E3048" s="4" t="str">
        <f>HYPERLINK("https://app.crepc.sk/?fn=detailBiblioForm&amp;sid=AB769D11A18D1299D4344F1DA7")</f>
        <v>https://app.crepc.sk/?fn=detailBiblioForm&amp;sid=AB769D11A18D1299D4344F1DA7</v>
      </c>
    </row>
    <row r="3049" spans="3:5" ht="60" x14ac:dyDescent="0.25">
      <c r="C3049" s="15">
        <v>175886</v>
      </c>
      <c r="D3049" s="4" t="s">
        <v>3053</v>
      </c>
      <c r="E3049" s="4" t="str">
        <f>HYPERLINK("https://app.crepc.sk/?fn=detailBiblioForm&amp;sid=77472A57103095E4420B0BB0E4")</f>
        <v>https://app.crepc.sk/?fn=detailBiblioForm&amp;sid=77472A57103095E4420B0BB0E4</v>
      </c>
    </row>
    <row r="3050" spans="3:5" ht="60" x14ac:dyDescent="0.25">
      <c r="C3050" s="15">
        <v>421117</v>
      </c>
      <c r="D3050" s="4" t="s">
        <v>3054</v>
      </c>
      <c r="E3050" s="4" t="str">
        <f>HYPERLINK("https://app.crepc.sk/?fn=detailBiblioForm&amp;sid=2309F398A92FFEE7FE0F746638")</f>
        <v>https://app.crepc.sk/?fn=detailBiblioForm&amp;sid=2309F398A92FFEE7FE0F746638</v>
      </c>
    </row>
    <row r="3051" spans="3:5" ht="45" x14ac:dyDescent="0.25">
      <c r="C3051" s="15">
        <v>96975</v>
      </c>
      <c r="D3051" s="4" t="s">
        <v>3055</v>
      </c>
      <c r="E3051" s="4" t="str">
        <f>HYPERLINK("https://app.crepc.sk/?fn=detailBiblioForm&amp;sid=60BC9CC2288391B954A4BB3C")</f>
        <v>https://app.crepc.sk/?fn=detailBiblioForm&amp;sid=60BC9CC2288391B954A4BB3C</v>
      </c>
    </row>
    <row r="3052" spans="3:5" ht="45" x14ac:dyDescent="0.25">
      <c r="C3052" s="15">
        <v>107587</v>
      </c>
      <c r="D3052" s="4" t="s">
        <v>3056</v>
      </c>
      <c r="E3052" s="4" t="str">
        <f>HYPERLINK("https://app.crepc.sk/?fn=detailBiblioForm&amp;sid=CF1246C672FE53AF7195AEE68C")</f>
        <v>https://app.crepc.sk/?fn=detailBiblioForm&amp;sid=CF1246C672FE53AF7195AEE68C</v>
      </c>
    </row>
    <row r="3053" spans="3:5" ht="60" x14ac:dyDescent="0.25">
      <c r="C3053" s="15">
        <v>457262</v>
      </c>
      <c r="D3053" s="4" t="s">
        <v>3057</v>
      </c>
      <c r="E3053" s="4" t="str">
        <f>HYPERLINK("https://app.crepc.sk/?fn=detailBiblioForm&amp;sid=A3FD0E4E43B8895666C6AEF09F")</f>
        <v>https://app.crepc.sk/?fn=detailBiblioForm&amp;sid=A3FD0E4E43B8895666C6AEF09F</v>
      </c>
    </row>
    <row r="3054" spans="3:5" ht="45" x14ac:dyDescent="0.25">
      <c r="C3054" s="15">
        <v>96529</v>
      </c>
      <c r="D3054" s="4" t="s">
        <v>3058</v>
      </c>
      <c r="E3054" s="4" t="str">
        <f>HYPERLINK("https://app.crepc.sk/?fn=detailBiblioForm&amp;sid=F14E7D8E308D7257B1B1900D")</f>
        <v>https://app.crepc.sk/?fn=detailBiblioForm&amp;sid=F14E7D8E308D7257B1B1900D</v>
      </c>
    </row>
    <row r="3055" spans="3:5" ht="90" x14ac:dyDescent="0.25">
      <c r="C3055" s="15">
        <v>60532</v>
      </c>
      <c r="D3055" s="4" t="s">
        <v>3059</v>
      </c>
      <c r="E3055" s="4" t="str">
        <f>HYPERLINK("https://app.crepc.sk/?fn=detailBiblioForm&amp;sid=399CCCD0B183AEDE8FFB3C85")</f>
        <v>https://app.crepc.sk/?fn=detailBiblioForm&amp;sid=399CCCD0B183AEDE8FFB3C85</v>
      </c>
    </row>
    <row r="3056" spans="3:5" ht="90" x14ac:dyDescent="0.25">
      <c r="C3056" s="15">
        <v>107581</v>
      </c>
      <c r="D3056" s="4" t="s">
        <v>3060</v>
      </c>
      <c r="E3056" s="4" t="str">
        <f>HYPERLINK("https://app.crepc.sk/?fn=detailBiblioForm&amp;sid=CF1246C672FE53AF7193AEE68C")</f>
        <v>https://app.crepc.sk/?fn=detailBiblioForm&amp;sid=CF1246C672FE53AF7193AEE68C</v>
      </c>
    </row>
    <row r="3057" spans="3:5" ht="60" x14ac:dyDescent="0.25">
      <c r="C3057" s="15">
        <v>187289</v>
      </c>
      <c r="D3057" s="4" t="s">
        <v>3061</v>
      </c>
      <c r="E3057" s="4" t="str">
        <f>HYPERLINK("https://app.crepc.sk/?fn=detailBiblioForm&amp;sid=8D80AD18777FCC7F64BDDC5BD8")</f>
        <v>https://app.crepc.sk/?fn=detailBiblioForm&amp;sid=8D80AD18777FCC7F64BDDC5BD8</v>
      </c>
    </row>
    <row r="3058" spans="3:5" ht="60" x14ac:dyDescent="0.25">
      <c r="C3058" s="15">
        <v>167416</v>
      </c>
      <c r="D3058" s="4" t="s">
        <v>3062</v>
      </c>
      <c r="E3058" s="4" t="str">
        <f>HYPERLINK("https://app.crepc.sk/?fn=detailBiblioForm&amp;sid=5C1288C836E60822D5E1CB6202")</f>
        <v>https://app.crepc.sk/?fn=detailBiblioForm&amp;sid=5C1288C836E60822D5E1CB6202</v>
      </c>
    </row>
    <row r="3059" spans="3:5" ht="60" x14ac:dyDescent="0.25">
      <c r="C3059" s="15">
        <v>448737</v>
      </c>
      <c r="D3059" s="4" t="s">
        <v>3063</v>
      </c>
      <c r="E3059" s="4" t="str">
        <f>HYPERLINK("https://app.crepc.sk/?fn=detailBiblioForm&amp;sid=4F0BF64823CE1A9CBA3A0E2C57")</f>
        <v>https://app.crepc.sk/?fn=detailBiblioForm&amp;sid=4F0BF64823CE1A9CBA3A0E2C57</v>
      </c>
    </row>
    <row r="3060" spans="3:5" ht="60" x14ac:dyDescent="0.25">
      <c r="C3060" s="15">
        <v>186911</v>
      </c>
      <c r="D3060" s="4" t="s">
        <v>3064</v>
      </c>
      <c r="E3060" s="4" t="str">
        <f>HYPERLINK("https://app.crepc.sk/?fn=detailBiblioForm&amp;sid=9EB7DDC054CB7EBFE273B5FCE5")</f>
        <v>https://app.crepc.sk/?fn=detailBiblioForm&amp;sid=9EB7DDC054CB7EBFE273B5FCE5</v>
      </c>
    </row>
    <row r="3061" spans="3:5" ht="60" x14ac:dyDescent="0.25">
      <c r="C3061" s="15">
        <v>153769</v>
      </c>
      <c r="D3061" s="4" t="s">
        <v>3065</v>
      </c>
      <c r="E3061" s="4" t="str">
        <f>HYPERLINK("https://app.crepc.sk/?fn=detailBiblioForm&amp;sid=85D30AFD358849054D94D2583A")</f>
        <v>https://app.crepc.sk/?fn=detailBiblioForm&amp;sid=85D30AFD358849054D94D2583A</v>
      </c>
    </row>
    <row r="3062" spans="3:5" ht="60" x14ac:dyDescent="0.25">
      <c r="C3062" s="15">
        <v>203645</v>
      </c>
      <c r="D3062" s="4" t="s">
        <v>3066</v>
      </c>
      <c r="E3062" s="4" t="str">
        <f>HYPERLINK("https://app.crepc.sk/?fn=detailBiblioForm&amp;sid=8206D3352E43B351953394CACA")</f>
        <v>https://app.crepc.sk/?fn=detailBiblioForm&amp;sid=8206D3352E43B351953394CACA</v>
      </c>
    </row>
    <row r="3063" spans="3:5" ht="75" x14ac:dyDescent="0.25">
      <c r="C3063" s="15">
        <v>117130</v>
      </c>
      <c r="D3063" s="4" t="s">
        <v>3067</v>
      </c>
      <c r="E3063" s="4" t="str">
        <f>HYPERLINK("https://app.crepc.sk/?fn=detailBiblioForm&amp;sid=6B68A92B6F46FD75E9658F4FE2")</f>
        <v>https://app.crepc.sk/?fn=detailBiblioForm&amp;sid=6B68A92B6F46FD75E9658F4FE2</v>
      </c>
    </row>
    <row r="3064" spans="3:5" ht="60" x14ac:dyDescent="0.25">
      <c r="C3064" s="15">
        <v>83274</v>
      </c>
      <c r="D3064" s="4" t="s">
        <v>3068</v>
      </c>
      <c r="E3064" s="4" t="str">
        <f>HYPERLINK("https://app.crepc.sk/?fn=detailBiblioForm&amp;sid=0D2593B8EDF2286D3E1A4D3B")</f>
        <v>https://app.crepc.sk/?fn=detailBiblioForm&amp;sid=0D2593B8EDF2286D3E1A4D3B</v>
      </c>
    </row>
    <row r="3065" spans="3:5" ht="45" x14ac:dyDescent="0.25">
      <c r="C3065" s="15">
        <v>435463</v>
      </c>
      <c r="D3065" s="4" t="s">
        <v>3069</v>
      </c>
      <c r="E3065" s="4" t="str">
        <f>HYPERLINK("https://app.crepc.sk/?fn=detailBiblioForm&amp;sid=DB4CEA49FC08B62DD7FA80D54C")</f>
        <v>https://app.crepc.sk/?fn=detailBiblioForm&amp;sid=DB4CEA49FC08B62DD7FA80D54C</v>
      </c>
    </row>
    <row r="3066" spans="3:5" ht="60" x14ac:dyDescent="0.25">
      <c r="C3066" s="15">
        <v>191920</v>
      </c>
      <c r="D3066" s="4" t="s">
        <v>3070</v>
      </c>
      <c r="E3066" s="4" t="str">
        <f>HYPERLINK("https://app.crepc.sk/?fn=detailBiblioForm&amp;sid=6E4E4629F1EF9E5E37347EBF27")</f>
        <v>https://app.crepc.sk/?fn=detailBiblioForm&amp;sid=6E4E4629F1EF9E5E37347EBF27</v>
      </c>
    </row>
    <row r="3067" spans="3:5" ht="60" x14ac:dyDescent="0.25">
      <c r="C3067" s="15">
        <v>192112</v>
      </c>
      <c r="D3067" s="4" t="s">
        <v>3071</v>
      </c>
      <c r="E3067" s="4" t="str">
        <f>HYPERLINK("https://app.crepc.sk/?fn=detailBiblioForm&amp;sid=7F669382AC00D013D19F8E4A78")</f>
        <v>https://app.crepc.sk/?fn=detailBiblioForm&amp;sid=7F669382AC00D013D19F8E4A78</v>
      </c>
    </row>
    <row r="3068" spans="3:5" ht="60" x14ac:dyDescent="0.25">
      <c r="C3068" s="15">
        <v>58291</v>
      </c>
      <c r="D3068" s="4" t="s">
        <v>3072</v>
      </c>
      <c r="E3068" s="4" t="str">
        <f>HYPERLINK("https://app.crepc.sk/?fn=detailBiblioForm&amp;sid=6CB175BCF526B6FEE0C2CFEA")</f>
        <v>https://app.crepc.sk/?fn=detailBiblioForm&amp;sid=6CB175BCF526B6FEE0C2CFEA</v>
      </c>
    </row>
    <row r="3069" spans="3:5" ht="60" x14ac:dyDescent="0.25">
      <c r="C3069" s="15">
        <v>161662</v>
      </c>
      <c r="D3069" s="4" t="s">
        <v>3073</v>
      </c>
      <c r="E3069" s="4" t="str">
        <f>HYPERLINK("https://app.crepc.sk/?fn=detailBiblioForm&amp;sid=1D69B1A76ABEB527B66CBB2E6D")</f>
        <v>https://app.crepc.sk/?fn=detailBiblioForm&amp;sid=1D69B1A76ABEB527B66CBB2E6D</v>
      </c>
    </row>
    <row r="3070" spans="3:5" ht="60" x14ac:dyDescent="0.25">
      <c r="C3070" s="15">
        <v>76162</v>
      </c>
      <c r="D3070" s="4" t="s">
        <v>3074</v>
      </c>
      <c r="E3070" s="4" t="str">
        <f>HYPERLINK("https://app.crepc.sk/?fn=detailBiblioForm&amp;sid=22C4AA9D3A7A3FAA4505BE63")</f>
        <v>https://app.crepc.sk/?fn=detailBiblioForm&amp;sid=22C4AA9D3A7A3FAA4505BE63</v>
      </c>
    </row>
    <row r="3071" spans="3:5" ht="45" x14ac:dyDescent="0.25">
      <c r="C3071" s="15">
        <v>226092</v>
      </c>
      <c r="D3071" s="4" t="s">
        <v>3075</v>
      </c>
      <c r="E3071" s="4" t="str">
        <f>HYPERLINK("https://app.crepc.sk/?fn=detailBiblioForm&amp;sid=7241E0F0A68FF7150058AE2810")</f>
        <v>https://app.crepc.sk/?fn=detailBiblioForm&amp;sid=7241E0F0A68FF7150058AE2810</v>
      </c>
    </row>
    <row r="3072" spans="3:5" ht="60" x14ac:dyDescent="0.25">
      <c r="C3072" s="15">
        <v>83267</v>
      </c>
      <c r="D3072" s="4" t="s">
        <v>3076</v>
      </c>
      <c r="E3072" s="4" t="str">
        <f>HYPERLINK("https://app.crepc.sk/?fn=detailBiblioForm&amp;sid=5282B9C5D433775FF8D2AB6B")</f>
        <v>https://app.crepc.sk/?fn=detailBiblioForm&amp;sid=5282B9C5D433775FF8D2AB6B</v>
      </c>
    </row>
    <row r="3073" spans="3:5" ht="60" x14ac:dyDescent="0.25">
      <c r="C3073" s="15">
        <v>146798</v>
      </c>
      <c r="D3073" s="4" t="s">
        <v>3077</v>
      </c>
      <c r="E3073" s="4" t="str">
        <f>HYPERLINK("https://app.crepc.sk/?fn=detailBiblioForm&amp;sid=6CC5FEA37B0036024DFE528797")</f>
        <v>https://app.crepc.sk/?fn=detailBiblioForm&amp;sid=6CC5FEA37B0036024DFE528797</v>
      </c>
    </row>
    <row r="3074" spans="3:5" ht="45" x14ac:dyDescent="0.25">
      <c r="C3074" s="15">
        <v>57959</v>
      </c>
      <c r="D3074" s="4" t="s">
        <v>3078</v>
      </c>
      <c r="E3074" s="4" t="str">
        <f>HYPERLINK("https://app.crepc.sk/?fn=detailBiblioForm&amp;sid=201E08846A48D1042EBB2949")</f>
        <v>https://app.crepc.sk/?fn=detailBiblioForm&amp;sid=201E08846A48D1042EBB2949</v>
      </c>
    </row>
    <row r="3075" spans="3:5" ht="60" x14ac:dyDescent="0.25">
      <c r="C3075" s="15">
        <v>59209</v>
      </c>
      <c r="D3075" s="4" t="s">
        <v>3079</v>
      </c>
      <c r="E3075" s="4" t="str">
        <f>HYPERLINK("https://app.crepc.sk/?fn=detailBiblioForm&amp;sid=A0F0020771032498EBD8AE5F")</f>
        <v>https://app.crepc.sk/?fn=detailBiblioForm&amp;sid=A0F0020771032498EBD8AE5F</v>
      </c>
    </row>
    <row r="3076" spans="3:5" ht="60" x14ac:dyDescent="0.25">
      <c r="C3076" s="15">
        <v>435506</v>
      </c>
      <c r="D3076" s="4" t="s">
        <v>3080</v>
      </c>
      <c r="E3076" s="4" t="str">
        <f>HYPERLINK("https://app.crepc.sk/?fn=detailBiblioForm&amp;sid=CBCC4E2F87C3739922C1CFBB27")</f>
        <v>https://app.crepc.sk/?fn=detailBiblioForm&amp;sid=CBCC4E2F87C3739922C1CFBB27</v>
      </c>
    </row>
    <row r="3077" spans="3:5" ht="45" x14ac:dyDescent="0.25">
      <c r="C3077" s="15">
        <v>442253</v>
      </c>
      <c r="D3077" s="4" t="s">
        <v>3081</v>
      </c>
      <c r="E3077" s="4" t="str">
        <f>HYPERLINK("https://app.crepc.sk/?fn=detailBiblioForm&amp;sid=449A78BFE483A8EAF8F449C553")</f>
        <v>https://app.crepc.sk/?fn=detailBiblioForm&amp;sid=449A78BFE483A8EAF8F449C553</v>
      </c>
    </row>
    <row r="3078" spans="3:5" ht="75" x14ac:dyDescent="0.25">
      <c r="C3078" s="15">
        <v>418585</v>
      </c>
      <c r="D3078" s="4" t="s">
        <v>3082</v>
      </c>
      <c r="E3078" s="4" t="str">
        <f>HYPERLINK("https://app.crepc.sk/?fn=detailBiblioForm&amp;sid=C3BF054227B45EA573BA7B6664")</f>
        <v>https://app.crepc.sk/?fn=detailBiblioForm&amp;sid=C3BF054227B45EA573BA7B6664</v>
      </c>
    </row>
    <row r="3079" spans="3:5" ht="60" x14ac:dyDescent="0.25">
      <c r="C3079" s="15">
        <v>316281</v>
      </c>
      <c r="D3079" s="4" t="s">
        <v>3083</v>
      </c>
      <c r="E3079" s="4" t="str">
        <f>HYPERLINK("https://app.crepc.sk/?fn=detailBiblioForm&amp;sid=791E4A260FB3471CC0B5FEBA13")</f>
        <v>https://app.crepc.sk/?fn=detailBiblioForm&amp;sid=791E4A260FB3471CC0B5FEBA13</v>
      </c>
    </row>
    <row r="3080" spans="3:5" ht="45" x14ac:dyDescent="0.25">
      <c r="C3080" s="15">
        <v>212140</v>
      </c>
      <c r="D3080" s="4" t="s">
        <v>3084</v>
      </c>
      <c r="E3080" s="4" t="str">
        <f>HYPERLINK("https://app.crepc.sk/?fn=detailBiblioForm&amp;sid=A1202DE7B01A324D6CFE87F106")</f>
        <v>https://app.crepc.sk/?fn=detailBiblioForm&amp;sid=A1202DE7B01A324D6CFE87F106</v>
      </c>
    </row>
    <row r="3081" spans="3:5" ht="90" x14ac:dyDescent="0.25">
      <c r="C3081" s="15">
        <v>60521</v>
      </c>
      <c r="D3081" s="4" t="s">
        <v>3085</v>
      </c>
      <c r="E3081" s="4" t="str">
        <f>HYPERLINK("https://app.crepc.sk/?fn=detailBiblioForm&amp;sid=AE8721D6395324363D2140BA")</f>
        <v>https://app.crepc.sk/?fn=detailBiblioForm&amp;sid=AE8721D6395324363D2140BA</v>
      </c>
    </row>
    <row r="3082" spans="3:5" ht="60" x14ac:dyDescent="0.25">
      <c r="C3082" s="15">
        <v>211058</v>
      </c>
      <c r="D3082" s="4" t="s">
        <v>3086</v>
      </c>
      <c r="E3082" s="4" t="str">
        <f>HYPERLINK("https://app.crepc.sk/?fn=detailBiblioForm&amp;sid=81D2D8BF2DF148AE45AC969A56")</f>
        <v>https://app.crepc.sk/?fn=detailBiblioForm&amp;sid=81D2D8BF2DF148AE45AC969A56</v>
      </c>
    </row>
    <row r="3083" spans="3:5" ht="75" x14ac:dyDescent="0.25">
      <c r="C3083" s="15">
        <v>97478</v>
      </c>
      <c r="D3083" s="4" t="s">
        <v>3087</v>
      </c>
      <c r="E3083" s="4" t="str">
        <f>HYPERLINK("https://app.crepc.sk/?fn=detailBiblioForm&amp;sid=62E9A33677E84BA19454E56E")</f>
        <v>https://app.crepc.sk/?fn=detailBiblioForm&amp;sid=62E9A33677E84BA19454E56E</v>
      </c>
    </row>
    <row r="3084" spans="3:5" ht="75" x14ac:dyDescent="0.25">
      <c r="C3084" s="15">
        <v>187266</v>
      </c>
      <c r="D3084" s="4" t="s">
        <v>3088</v>
      </c>
      <c r="E3084" s="4" t="str">
        <f>HYPERLINK("https://app.crepc.sk/?fn=detailBiblioForm&amp;sid=8D80AD18777FCC7F6AB2DC5BD8")</f>
        <v>https://app.crepc.sk/?fn=detailBiblioForm&amp;sid=8D80AD18777FCC7F6AB2DC5BD8</v>
      </c>
    </row>
    <row r="3085" spans="3:5" ht="60" x14ac:dyDescent="0.25">
      <c r="C3085" s="15">
        <v>240633</v>
      </c>
      <c r="D3085" s="4" t="s">
        <v>3089</v>
      </c>
      <c r="E3085" s="4" t="str">
        <f>HYPERLINK("https://app.crepc.sk/?fn=detailBiblioForm&amp;sid=376FCAEA43ECD92AE76EE3DC06")</f>
        <v>https://app.crepc.sk/?fn=detailBiblioForm&amp;sid=376FCAEA43ECD92AE76EE3DC06</v>
      </c>
    </row>
    <row r="3086" spans="3:5" ht="45" x14ac:dyDescent="0.25">
      <c r="C3086" s="15">
        <v>417561</v>
      </c>
      <c r="D3086" s="4" t="s">
        <v>3090</v>
      </c>
      <c r="E3086" s="4" t="str">
        <f>HYPERLINK("https://app.crepc.sk/?fn=detailBiblioForm&amp;sid=7589DD7EE7DCA921972FD3EBF3")</f>
        <v>https://app.crepc.sk/?fn=detailBiblioForm&amp;sid=7589DD7EE7DCA921972FD3EBF3</v>
      </c>
    </row>
    <row r="3087" spans="3:5" ht="45" x14ac:dyDescent="0.25">
      <c r="C3087" s="15">
        <v>69334</v>
      </c>
      <c r="D3087" s="4" t="s">
        <v>3091</v>
      </c>
      <c r="E3087" s="4" t="str">
        <f>HYPERLINK("https://app.crepc.sk/?fn=detailBiblioForm&amp;sid=BD75346F3B8E4DA9BF251D16")</f>
        <v>https://app.crepc.sk/?fn=detailBiblioForm&amp;sid=BD75346F3B8E4DA9BF251D16</v>
      </c>
    </row>
    <row r="3088" spans="3:5" ht="45" x14ac:dyDescent="0.25">
      <c r="C3088" s="15">
        <v>161605</v>
      </c>
      <c r="D3088" s="4" t="s">
        <v>3092</v>
      </c>
      <c r="E3088" s="4" t="str">
        <f>HYPERLINK("https://app.crepc.sk/?fn=detailBiblioForm&amp;sid=1D69B1A76ABEB527B06BBB2E6D")</f>
        <v>https://app.crepc.sk/?fn=detailBiblioForm&amp;sid=1D69B1A76ABEB527B06BBB2E6D</v>
      </c>
    </row>
    <row r="3089" spans="3:5" ht="45" x14ac:dyDescent="0.25">
      <c r="C3089" s="15">
        <v>82890</v>
      </c>
      <c r="D3089" s="4" t="s">
        <v>3093</v>
      </c>
      <c r="E3089" s="4" t="str">
        <f>HYPERLINK("https://app.crepc.sk/?fn=detailBiblioForm&amp;sid=CC98F3436CAFE8909C9720FA")</f>
        <v>https://app.crepc.sk/?fn=detailBiblioForm&amp;sid=CC98F3436CAFE8909C9720FA</v>
      </c>
    </row>
    <row r="3090" spans="3:5" ht="45" x14ac:dyDescent="0.25">
      <c r="C3090" s="15">
        <v>120327</v>
      </c>
      <c r="D3090" s="4" t="s">
        <v>3094</v>
      </c>
      <c r="E3090" s="4" t="str">
        <f>HYPERLINK("https://app.crepc.sk/?fn=detailBiblioForm&amp;sid=7C8EC80C674BD33D46AA6DBADF")</f>
        <v>https://app.crepc.sk/?fn=detailBiblioForm&amp;sid=7C8EC80C674BD33D46AA6DBADF</v>
      </c>
    </row>
    <row r="3091" spans="3:5" ht="45" x14ac:dyDescent="0.25">
      <c r="C3091" s="15">
        <v>161681</v>
      </c>
      <c r="D3091" s="4" t="s">
        <v>3095</v>
      </c>
      <c r="E3091" s="4" t="str">
        <f>HYPERLINK("https://app.crepc.sk/?fn=detailBiblioForm&amp;sid=1D69B1A76ABEB527B86FBB2E6D")</f>
        <v>https://app.crepc.sk/?fn=detailBiblioForm&amp;sid=1D69B1A76ABEB527B86FBB2E6D</v>
      </c>
    </row>
    <row r="3092" spans="3:5" ht="45" x14ac:dyDescent="0.25">
      <c r="C3092" s="15">
        <v>432803</v>
      </c>
      <c r="D3092" s="4" t="s">
        <v>3096</v>
      </c>
      <c r="E3092" s="4" t="str">
        <f>HYPERLINK("https://app.crepc.sk/?fn=detailBiblioForm&amp;sid=60947673AC094B86B0695A089E")</f>
        <v>https://app.crepc.sk/?fn=detailBiblioForm&amp;sid=60947673AC094B86B0695A089E</v>
      </c>
    </row>
    <row r="3093" spans="3:5" ht="45" x14ac:dyDescent="0.25">
      <c r="C3093" s="15">
        <v>242169</v>
      </c>
      <c r="D3093" s="4" t="s">
        <v>3097</v>
      </c>
      <c r="E3093" s="4" t="str">
        <f>HYPERLINK("https://app.crepc.sk/?fn=detailBiblioForm&amp;sid=C2D791D8D6D66A4B745ED9E3BC")</f>
        <v>https://app.crepc.sk/?fn=detailBiblioForm&amp;sid=C2D791D8D6D66A4B745ED9E3BC</v>
      </c>
    </row>
    <row r="3094" spans="3:5" ht="45" x14ac:dyDescent="0.25">
      <c r="C3094" s="15">
        <v>238613</v>
      </c>
      <c r="D3094" s="4" t="s">
        <v>3098</v>
      </c>
      <c r="E3094" s="4" t="str">
        <f>HYPERLINK("https://app.crepc.sk/?fn=detailBiblioForm&amp;sid=078FC86817C6D21AAD26D25C61")</f>
        <v>https://app.crepc.sk/?fn=detailBiblioForm&amp;sid=078FC86817C6D21AAD26D25C61</v>
      </c>
    </row>
    <row r="3095" spans="3:5" ht="60" x14ac:dyDescent="0.25">
      <c r="C3095" s="15">
        <v>68920</v>
      </c>
      <c r="D3095" s="4" t="s">
        <v>3099</v>
      </c>
      <c r="E3095" s="4" t="str">
        <f>HYPERLINK("https://app.crepc.sk/?fn=detailBiblioForm&amp;sid=F93DDB4C28A4924A45481021")</f>
        <v>https://app.crepc.sk/?fn=detailBiblioForm&amp;sid=F93DDB4C28A4924A45481021</v>
      </c>
    </row>
    <row r="3096" spans="3:5" ht="75" x14ac:dyDescent="0.25">
      <c r="C3096" s="15">
        <v>161692</v>
      </c>
      <c r="D3096" s="4" t="s">
        <v>3100</v>
      </c>
      <c r="E3096" s="4" t="str">
        <f>HYPERLINK("https://app.crepc.sk/?fn=detailBiblioForm&amp;sid=1D69B1A76ABEB527B96CBB2E6D")</f>
        <v>https://app.crepc.sk/?fn=detailBiblioForm&amp;sid=1D69B1A76ABEB527B96CBB2E6D</v>
      </c>
    </row>
    <row r="3097" spans="3:5" ht="45" x14ac:dyDescent="0.25">
      <c r="C3097" s="15">
        <v>76925</v>
      </c>
      <c r="D3097" s="4" t="s">
        <v>3101</v>
      </c>
      <c r="E3097" s="4" t="str">
        <f>HYPERLINK("https://app.crepc.sk/?fn=detailBiblioForm&amp;sid=DEFC1E7C5315E70414C5E88E")</f>
        <v>https://app.crepc.sk/?fn=detailBiblioForm&amp;sid=DEFC1E7C5315E70414C5E88E</v>
      </c>
    </row>
    <row r="3098" spans="3:5" ht="45" x14ac:dyDescent="0.25">
      <c r="C3098" s="15">
        <v>65728</v>
      </c>
      <c r="D3098" s="4" t="s">
        <v>3102</v>
      </c>
      <c r="E3098" s="4" t="str">
        <f>HYPERLINK("https://app.crepc.sk/?fn=detailBiblioForm&amp;sid=1F94295352D587E84898F08C")</f>
        <v>https://app.crepc.sk/?fn=detailBiblioForm&amp;sid=1F94295352D587E84898F08C</v>
      </c>
    </row>
    <row r="3099" spans="3:5" ht="60" x14ac:dyDescent="0.25">
      <c r="C3099" s="15">
        <v>152830</v>
      </c>
      <c r="D3099" s="4" t="s">
        <v>3103</v>
      </c>
      <c r="E3099" s="4" t="str">
        <f>HYPERLINK("https://app.crepc.sk/?fn=detailBiblioForm&amp;sid=4CB0668AE2C8F277B9A4C0BA9E")</f>
        <v>https://app.crepc.sk/?fn=detailBiblioForm&amp;sid=4CB0668AE2C8F277B9A4C0BA9E</v>
      </c>
    </row>
    <row r="3100" spans="3:5" ht="60" x14ac:dyDescent="0.25">
      <c r="C3100" s="15">
        <v>115713</v>
      </c>
      <c r="D3100" s="4" t="s">
        <v>3104</v>
      </c>
      <c r="E3100" s="4" t="str">
        <f>HYPERLINK("https://app.crepc.sk/?fn=detailBiblioForm&amp;sid=D6D3FA1F9AF5FFB8A063CC7F52")</f>
        <v>https://app.crepc.sk/?fn=detailBiblioForm&amp;sid=D6D3FA1F9AF5FFB8A063CC7F52</v>
      </c>
    </row>
    <row r="3101" spans="3:5" ht="45" x14ac:dyDescent="0.25">
      <c r="C3101" s="15">
        <v>181020</v>
      </c>
      <c r="D3101" s="4" t="s">
        <v>3105</v>
      </c>
      <c r="E3101" s="4" t="str">
        <f>HYPERLINK("https://app.crepc.sk/?fn=detailBiblioForm&amp;sid=641DE671020428D5694C0CFE7E")</f>
        <v>https://app.crepc.sk/?fn=detailBiblioForm&amp;sid=641DE671020428D5694C0CFE7E</v>
      </c>
    </row>
    <row r="3102" spans="3:5" ht="45" x14ac:dyDescent="0.25">
      <c r="C3102" s="15">
        <v>430214</v>
      </c>
      <c r="D3102" s="4" t="s">
        <v>3106</v>
      </c>
      <c r="E3102" s="4" t="str">
        <f>HYPERLINK("https://app.crepc.sk/?fn=detailBiblioForm&amp;sid=8BEC0704DEFF770458D1B6FDB1")</f>
        <v>https://app.crepc.sk/?fn=detailBiblioForm&amp;sid=8BEC0704DEFF770458D1B6FDB1</v>
      </c>
    </row>
    <row r="3103" spans="3:5" ht="45" x14ac:dyDescent="0.25">
      <c r="C3103" s="15">
        <v>117123</v>
      </c>
      <c r="D3103" s="4" t="s">
        <v>3107</v>
      </c>
      <c r="E3103" s="4" t="str">
        <f>HYPERLINK("https://app.crepc.sk/?fn=detailBiblioForm&amp;sid=6B68A92B6F46FD75E8668F4FE2")</f>
        <v>https://app.crepc.sk/?fn=detailBiblioForm&amp;sid=6B68A92B6F46FD75E8668F4FE2</v>
      </c>
    </row>
    <row r="3104" spans="3:5" ht="60" x14ac:dyDescent="0.25">
      <c r="C3104" s="15">
        <v>244928</v>
      </c>
      <c r="D3104" s="4" t="s">
        <v>3108</v>
      </c>
      <c r="E3104" s="4" t="str">
        <f>HYPERLINK("https://app.crepc.sk/?fn=detailBiblioForm&amp;sid=765C1D28FAC1E799191D2EF886")</f>
        <v>https://app.crepc.sk/?fn=detailBiblioForm&amp;sid=765C1D28FAC1E799191D2EF886</v>
      </c>
    </row>
    <row r="3105" spans="3:5" ht="60" x14ac:dyDescent="0.25">
      <c r="C3105" s="15">
        <v>105661</v>
      </c>
      <c r="D3105" s="4" t="s">
        <v>3109</v>
      </c>
      <c r="E3105" s="4" t="str">
        <f>HYPERLINK("https://app.crepc.sk/?fn=detailBiblioForm&amp;sid=FD881BC05B1F2F7E42566C9F59")</f>
        <v>https://app.crepc.sk/?fn=detailBiblioForm&amp;sid=FD881BC05B1F2F7E42566C9F59</v>
      </c>
    </row>
    <row r="3106" spans="3:5" ht="75" x14ac:dyDescent="0.25">
      <c r="C3106" s="15">
        <v>227385</v>
      </c>
      <c r="D3106" s="4" t="s">
        <v>3110</v>
      </c>
      <c r="E3106" s="4" t="str">
        <f>HYPERLINK("https://app.crepc.sk/?fn=detailBiblioForm&amp;sid=6CA30878C8FDE196AB190AE199")</f>
        <v>https://app.crepc.sk/?fn=detailBiblioForm&amp;sid=6CA30878C8FDE196AB190AE199</v>
      </c>
    </row>
    <row r="3107" spans="3:5" ht="75" x14ac:dyDescent="0.25">
      <c r="C3107" s="15">
        <v>446642</v>
      </c>
      <c r="D3107" s="4" t="s">
        <v>3111</v>
      </c>
      <c r="E3107" s="4" t="str">
        <f>HYPERLINK("https://app.crepc.sk/?fn=detailBiblioForm&amp;sid=A0401751D2B5E3B706E9E5C1B5")</f>
        <v>https://app.crepc.sk/?fn=detailBiblioForm&amp;sid=A0401751D2B5E3B706E9E5C1B5</v>
      </c>
    </row>
    <row r="3108" spans="3:5" ht="60" x14ac:dyDescent="0.25">
      <c r="C3108" s="15">
        <v>129656</v>
      </c>
      <c r="D3108" s="4" t="s">
        <v>3112</v>
      </c>
      <c r="E3108" s="4" t="str">
        <f>HYPERLINK("https://app.crepc.sk/?fn=detailBiblioForm&amp;sid=ACAA4AF27E5710F222AE8B34E5")</f>
        <v>https://app.crepc.sk/?fn=detailBiblioForm&amp;sid=ACAA4AF27E5710F222AE8B34E5</v>
      </c>
    </row>
    <row r="3109" spans="3:5" ht="60" x14ac:dyDescent="0.25">
      <c r="C3109" s="15">
        <v>454159</v>
      </c>
      <c r="D3109" s="4" t="s">
        <v>3113</v>
      </c>
      <c r="E3109" s="4" t="str">
        <f>HYPERLINK("https://app.crepc.sk/?fn=detailBiblioForm&amp;sid=50B02D7C387F61EFE576FE9C8B")</f>
        <v>https://app.crepc.sk/?fn=detailBiblioForm&amp;sid=50B02D7C387F61EFE576FE9C8B</v>
      </c>
    </row>
    <row r="3110" spans="3:5" ht="45" x14ac:dyDescent="0.25">
      <c r="C3110" s="15">
        <v>77904</v>
      </c>
      <c r="D3110" s="4" t="s">
        <v>3114</v>
      </c>
      <c r="E3110" s="4" t="str">
        <f>HYPERLINK("https://app.crepc.sk/?fn=detailBiblioForm&amp;sid=D017D088D24741D10E3312EF")</f>
        <v>https://app.crepc.sk/?fn=detailBiblioForm&amp;sid=D017D088D24741D10E3312EF</v>
      </c>
    </row>
    <row r="3111" spans="3:5" ht="45" x14ac:dyDescent="0.25">
      <c r="C3111" s="15">
        <v>181108</v>
      </c>
      <c r="D3111" s="4" t="s">
        <v>3115</v>
      </c>
      <c r="E3111" s="4" t="str">
        <f>HYPERLINK("https://app.crepc.sk/?fn=detailBiblioForm&amp;sid=D2270EF957433A5E2D7CE60F57")</f>
        <v>https://app.crepc.sk/?fn=detailBiblioForm&amp;sid=D2270EF957433A5E2D7CE60F57</v>
      </c>
    </row>
    <row r="3112" spans="3:5" ht="45" x14ac:dyDescent="0.25">
      <c r="C3112" s="15">
        <v>180729</v>
      </c>
      <c r="D3112" s="4" t="s">
        <v>3116</v>
      </c>
      <c r="E3112" s="4" t="str">
        <f>HYPERLINK("https://app.crepc.sk/?fn=detailBiblioForm&amp;sid=46F337D26E70386BCC3C0607C3")</f>
        <v>https://app.crepc.sk/?fn=detailBiblioForm&amp;sid=46F337D26E70386BCC3C0607C3</v>
      </c>
    </row>
    <row r="3113" spans="3:5" ht="60" x14ac:dyDescent="0.25">
      <c r="C3113" s="15">
        <v>172546</v>
      </c>
      <c r="D3113" s="4" t="s">
        <v>3117</v>
      </c>
      <c r="E3113" s="4" t="str">
        <f>HYPERLINK("https://app.crepc.sk/?fn=detailBiblioForm&amp;sid=C15045651E1CB51B04E7221423")</f>
        <v>https://app.crepc.sk/?fn=detailBiblioForm&amp;sid=C15045651E1CB51B04E7221423</v>
      </c>
    </row>
    <row r="3114" spans="3:5" ht="45" x14ac:dyDescent="0.25">
      <c r="C3114" s="15">
        <v>96636</v>
      </c>
      <c r="D3114" s="4" t="s">
        <v>3118</v>
      </c>
      <c r="E3114" s="4" t="str">
        <f>HYPERLINK("https://app.crepc.sk/?fn=detailBiblioForm&amp;sid=2BCBFE4BB4C637826CA1CD22")</f>
        <v>https://app.crepc.sk/?fn=detailBiblioForm&amp;sid=2BCBFE4BB4C637826CA1CD22</v>
      </c>
    </row>
    <row r="3115" spans="3:5" ht="60" x14ac:dyDescent="0.25">
      <c r="C3115" s="15">
        <v>316409</v>
      </c>
      <c r="D3115" s="4" t="s">
        <v>3119</v>
      </c>
      <c r="E3115" s="4" t="str">
        <f>HYPERLINK("https://app.crepc.sk/?fn=detailBiblioForm&amp;sid=B8EEEF6BB6B69EE0735EE5DF8C")</f>
        <v>https://app.crepc.sk/?fn=detailBiblioForm&amp;sid=B8EEEF6BB6B69EE0735EE5DF8C</v>
      </c>
    </row>
    <row r="3116" spans="3:5" ht="45" x14ac:dyDescent="0.25">
      <c r="C3116" s="15">
        <v>312423</v>
      </c>
      <c r="D3116" s="4" t="s">
        <v>3120</v>
      </c>
      <c r="E3116" s="4" t="str">
        <f>HYPERLINK("https://app.crepc.sk/?fn=detailBiblioForm&amp;sid=29E831AA7AE2D1910DE32E0FED")</f>
        <v>https://app.crepc.sk/?fn=detailBiblioForm&amp;sid=29E831AA7AE2D1910DE32E0FED</v>
      </c>
    </row>
    <row r="3117" spans="3:5" ht="60" x14ac:dyDescent="0.25">
      <c r="C3117" s="15">
        <v>211385</v>
      </c>
      <c r="D3117" s="4" t="s">
        <v>3121</v>
      </c>
      <c r="E3117" s="4" t="str">
        <f>HYPERLINK("https://app.crepc.sk/?fn=detailBiblioForm&amp;sid=607F6B6A1832FEA87DCD3AD1B4")</f>
        <v>https://app.crepc.sk/?fn=detailBiblioForm&amp;sid=607F6B6A1832FEA87DCD3AD1B4</v>
      </c>
    </row>
    <row r="3118" spans="3:5" ht="60" x14ac:dyDescent="0.25">
      <c r="C3118" s="15">
        <v>313775</v>
      </c>
      <c r="D3118" s="4" t="s">
        <v>3122</v>
      </c>
      <c r="E3118" s="4" t="str">
        <f>HYPERLINK("https://app.crepc.sk/?fn=detailBiblioForm&amp;sid=54D25A27962CDFF2C2C7F50D21")</f>
        <v>https://app.crepc.sk/?fn=detailBiblioForm&amp;sid=54D25A27962CDFF2C2C7F50D21</v>
      </c>
    </row>
    <row r="3119" spans="3:5" ht="60" x14ac:dyDescent="0.25">
      <c r="C3119" s="15">
        <v>314120</v>
      </c>
      <c r="D3119" s="4" t="s">
        <v>3123</v>
      </c>
      <c r="E3119" s="4" t="str">
        <f>HYPERLINK("https://app.crepc.sk/?fn=detailBiblioForm&amp;sid=C11437276931E1270C3319387C")</f>
        <v>https://app.crepc.sk/?fn=detailBiblioForm&amp;sid=C11437276931E1270C3319387C</v>
      </c>
    </row>
    <row r="3120" spans="3:5" ht="45" x14ac:dyDescent="0.25">
      <c r="C3120" s="15">
        <v>135906</v>
      </c>
      <c r="D3120" s="4" t="s">
        <v>3124</v>
      </c>
      <c r="E3120" s="4" t="str">
        <f>HYPERLINK("https://app.crepc.sk/?fn=detailBiblioForm&amp;sid=01A6BB7AB96764ED524A58DFB9")</f>
        <v>https://app.crepc.sk/?fn=detailBiblioForm&amp;sid=01A6BB7AB96764ED524A58DFB9</v>
      </c>
    </row>
    <row r="3121" spans="3:5" ht="45" x14ac:dyDescent="0.25">
      <c r="C3121" s="15">
        <v>101998</v>
      </c>
      <c r="D3121" s="4" t="s">
        <v>3125</v>
      </c>
      <c r="E3121" s="4" t="str">
        <f>HYPERLINK("https://app.crepc.sk/?fn=detailBiblioForm&amp;sid=D80D1AB294E7FDBA3D7BAEC1B2")</f>
        <v>https://app.crepc.sk/?fn=detailBiblioForm&amp;sid=D80D1AB294E7FDBA3D7BAEC1B2</v>
      </c>
    </row>
    <row r="3122" spans="3:5" ht="45" x14ac:dyDescent="0.25">
      <c r="C3122" s="15">
        <v>161428</v>
      </c>
      <c r="D3122" s="4" t="s">
        <v>3126</v>
      </c>
      <c r="E3122" s="4" t="str">
        <f>HYPERLINK("https://app.crepc.sk/?fn=detailBiblioForm&amp;sid=72994EA9AD52E4DE499E21105F")</f>
        <v>https://app.crepc.sk/?fn=detailBiblioForm&amp;sid=72994EA9AD52E4DE499E21105F</v>
      </c>
    </row>
    <row r="3123" spans="3:5" ht="60" x14ac:dyDescent="0.25">
      <c r="C3123" s="15">
        <v>456306</v>
      </c>
      <c r="D3123" s="4" t="s">
        <v>3127</v>
      </c>
      <c r="E3123" s="4" t="str">
        <f>HYPERLINK("https://app.crepc.sk/?fn=detailBiblioForm&amp;sid=B98556672D915FE08A2F8D7062")</f>
        <v>https://app.crepc.sk/?fn=detailBiblioForm&amp;sid=B98556672D915FE08A2F8D7062</v>
      </c>
    </row>
    <row r="3124" spans="3:5" ht="45" x14ac:dyDescent="0.25">
      <c r="C3124" s="15">
        <v>212165</v>
      </c>
      <c r="D3124" s="4" t="s">
        <v>3128</v>
      </c>
      <c r="E3124" s="4" t="str">
        <f>HYPERLINK("https://app.crepc.sk/?fn=detailBiblioForm&amp;sid=A1202DE7B01A324D6EFB87F106")</f>
        <v>https://app.crepc.sk/?fn=detailBiblioForm&amp;sid=A1202DE7B01A324D6EFB87F106</v>
      </c>
    </row>
    <row r="3125" spans="3:5" ht="45" x14ac:dyDescent="0.25">
      <c r="C3125" s="15">
        <v>154524</v>
      </c>
      <c r="D3125" s="4" t="s">
        <v>3129</v>
      </c>
      <c r="E3125" s="4" t="str">
        <f>HYPERLINK("https://app.crepc.sk/?fn=detailBiblioForm&amp;sid=7CD47704C688C3C83154859C4A")</f>
        <v>https://app.crepc.sk/?fn=detailBiblioForm&amp;sid=7CD47704C688C3C83154859C4A</v>
      </c>
    </row>
    <row r="3126" spans="3:5" ht="60" x14ac:dyDescent="0.25">
      <c r="C3126" s="15">
        <v>76159</v>
      </c>
      <c r="D3126" s="4" t="s">
        <v>3130</v>
      </c>
      <c r="E3126" s="4" t="str">
        <f>HYPERLINK("https://app.crepc.sk/?fn=detailBiblioForm&amp;sid=9B1932A024E7853028157E46")</f>
        <v>https://app.crepc.sk/?fn=detailBiblioForm&amp;sid=9B1932A024E7853028157E46</v>
      </c>
    </row>
    <row r="3127" spans="3:5" ht="75" x14ac:dyDescent="0.25">
      <c r="C3127" s="15">
        <v>217982</v>
      </c>
      <c r="D3127" s="4" t="s">
        <v>3131</v>
      </c>
      <c r="E3127" s="4" t="str">
        <f>HYPERLINK("https://app.crepc.sk/?fn=detailBiblioForm&amp;sid=9E759344E92A278512E2C915AD")</f>
        <v>https://app.crepc.sk/?fn=detailBiblioForm&amp;sid=9E759344E92A278512E2C915AD</v>
      </c>
    </row>
    <row r="3128" spans="3:5" ht="75" x14ac:dyDescent="0.25">
      <c r="C3128" s="15">
        <v>202537</v>
      </c>
      <c r="D3128" s="4" t="s">
        <v>3132</v>
      </c>
      <c r="E3128" s="4" t="str">
        <f>HYPERLINK("https://app.crepc.sk/?fn=detailBiblioForm&amp;sid=3036734F2764D6FCC632D36630")</f>
        <v>https://app.crepc.sk/?fn=detailBiblioForm&amp;sid=3036734F2764D6FCC632D36630</v>
      </c>
    </row>
    <row r="3129" spans="3:5" ht="60" x14ac:dyDescent="0.25">
      <c r="C3129" s="15">
        <v>114726</v>
      </c>
      <c r="D3129" s="4" t="s">
        <v>3133</v>
      </c>
      <c r="E3129" s="4" t="str">
        <f>HYPERLINK("https://app.crepc.sk/?fn=detailBiblioForm&amp;sid=CBA343C5DDF51FCC053FB916ED")</f>
        <v>https://app.crepc.sk/?fn=detailBiblioForm&amp;sid=CBA343C5DDF51FCC053FB916ED</v>
      </c>
    </row>
    <row r="3130" spans="3:5" ht="45" x14ac:dyDescent="0.25">
      <c r="C3130" s="15">
        <v>184280</v>
      </c>
      <c r="D3130" s="4" t="s">
        <v>3134</v>
      </c>
      <c r="E3130" s="4" t="str">
        <f>HYPERLINK("https://app.crepc.sk/?fn=detailBiblioForm&amp;sid=51C176E8478ABC8F8A7763848B")</f>
        <v>https://app.crepc.sk/?fn=detailBiblioForm&amp;sid=51C176E8478ABC8F8A7763848B</v>
      </c>
    </row>
    <row r="3131" spans="3:5" ht="75" x14ac:dyDescent="0.25">
      <c r="C3131" s="15">
        <v>142441</v>
      </c>
      <c r="D3131" s="4" t="s">
        <v>3135</v>
      </c>
      <c r="E3131" s="4" t="str">
        <f>HYPERLINK("https://app.crepc.sk/?fn=detailBiblioForm&amp;sid=C7DA6C94B65F4BF84E6732ECF7")</f>
        <v>https://app.crepc.sk/?fn=detailBiblioForm&amp;sid=C7DA6C94B65F4BF84E6732ECF7</v>
      </c>
    </row>
    <row r="3132" spans="3:5" ht="45" x14ac:dyDescent="0.25">
      <c r="C3132" s="15">
        <v>196681</v>
      </c>
      <c r="D3132" s="4" t="s">
        <v>3136</v>
      </c>
      <c r="E3132" s="4" t="str">
        <f>HYPERLINK("https://app.crepc.sk/?fn=detailBiblioForm&amp;sid=8A8E655A3835503C4FDFDE9D4A")</f>
        <v>https://app.crepc.sk/?fn=detailBiblioForm&amp;sid=8A8E655A3835503C4FDFDE9D4A</v>
      </c>
    </row>
    <row r="3133" spans="3:5" ht="60" x14ac:dyDescent="0.25">
      <c r="C3133" s="15">
        <v>217258</v>
      </c>
      <c r="D3133" s="4" t="s">
        <v>3137</v>
      </c>
      <c r="E3133" s="4" t="str">
        <f>HYPERLINK("https://app.crepc.sk/?fn=detailBiblioForm&amp;sid=95653863DE8D795C3DB087F2A7")</f>
        <v>https://app.crepc.sk/?fn=detailBiblioForm&amp;sid=95653863DE8D795C3DB087F2A7</v>
      </c>
    </row>
    <row r="3134" spans="3:5" ht="75" x14ac:dyDescent="0.25">
      <c r="C3134" s="15">
        <v>83271</v>
      </c>
      <c r="D3134" s="4" t="s">
        <v>3138</v>
      </c>
      <c r="E3134" s="4" t="str">
        <f>HYPERLINK("https://app.crepc.sk/?fn=detailBiblioForm&amp;sid=0D2593B8EDF2286D3B1A4D3B")</f>
        <v>https://app.crepc.sk/?fn=detailBiblioForm&amp;sid=0D2593B8EDF2286D3B1A4D3B</v>
      </c>
    </row>
    <row r="3135" spans="3:5" ht="75" x14ac:dyDescent="0.25">
      <c r="C3135" s="15">
        <v>54373</v>
      </c>
      <c r="D3135" s="4" t="s">
        <v>3139</v>
      </c>
      <c r="E3135" s="4" t="str">
        <f>HYPERLINK("https://app.crepc.sk/?fn=detailBiblioForm&amp;sid=E4F849B250D3F654B2D68B5D")</f>
        <v>https://app.crepc.sk/?fn=detailBiblioForm&amp;sid=E4F849B250D3F654B2D68B5D</v>
      </c>
    </row>
    <row r="3136" spans="3:5" ht="60" x14ac:dyDescent="0.25">
      <c r="C3136" s="15">
        <v>117377</v>
      </c>
      <c r="D3136" s="4" t="s">
        <v>3140</v>
      </c>
      <c r="E3136" s="4" t="str">
        <f>HYPERLINK("https://app.crepc.sk/?fn=detailBiblioForm&amp;sid=CCDF67E7FC0AADE0B8BC9FDF23")</f>
        <v>https://app.crepc.sk/?fn=detailBiblioForm&amp;sid=CCDF67E7FC0AADE0B8BC9FDF23</v>
      </c>
    </row>
    <row r="3137" spans="3:5" ht="45" x14ac:dyDescent="0.25">
      <c r="C3137" s="15">
        <v>178317</v>
      </c>
      <c r="D3137" s="4" t="s">
        <v>3141</v>
      </c>
      <c r="E3137" s="4" t="str">
        <f>HYPERLINK("https://app.crepc.sk/?fn=detailBiblioForm&amp;sid=A5BC586C45F5195269E345B98C")</f>
        <v>https://app.crepc.sk/?fn=detailBiblioForm&amp;sid=A5BC586C45F5195269E345B98C</v>
      </c>
    </row>
    <row r="3138" spans="3:5" ht="45" x14ac:dyDescent="0.25">
      <c r="C3138" s="15">
        <v>212132</v>
      </c>
      <c r="D3138" s="4" t="s">
        <v>3142</v>
      </c>
      <c r="E3138" s="4" t="str">
        <f>HYPERLINK("https://app.crepc.sk/?fn=detailBiblioForm&amp;sid=A1202DE7B01A324D6BFC87F106")</f>
        <v>https://app.crepc.sk/?fn=detailBiblioForm&amp;sid=A1202DE7B01A324D6BFC87F106</v>
      </c>
    </row>
    <row r="3139" spans="3:5" ht="75" x14ac:dyDescent="0.25">
      <c r="C3139" s="15">
        <v>316269</v>
      </c>
      <c r="D3139" s="4" t="s">
        <v>3143</v>
      </c>
      <c r="E3139" s="4" t="str">
        <f>HYPERLINK("https://app.crepc.sk/?fn=detailBiblioForm&amp;sid=791E4A260FB3471CCEBDFEBA13")</f>
        <v>https://app.crepc.sk/?fn=detailBiblioForm&amp;sid=791E4A260FB3471CCEBDFEBA13</v>
      </c>
    </row>
    <row r="3140" spans="3:5" ht="45" x14ac:dyDescent="0.25">
      <c r="C3140" s="15">
        <v>76930</v>
      </c>
      <c r="D3140" s="4" t="s">
        <v>3144</v>
      </c>
      <c r="E3140" s="4" t="str">
        <f>HYPERLINK("https://app.crepc.sk/?fn=detailBiblioForm&amp;sid=6F80B7485FF0C60EB789C541")</f>
        <v>https://app.crepc.sk/?fn=detailBiblioForm&amp;sid=6F80B7485FF0C60EB789C541</v>
      </c>
    </row>
    <row r="3141" spans="3:5" ht="45" x14ac:dyDescent="0.25">
      <c r="C3141" s="15">
        <v>235712</v>
      </c>
      <c r="D3141" s="4" t="s">
        <v>3145</v>
      </c>
      <c r="E3141" s="4" t="str">
        <f>HYPERLINK("https://app.crepc.sk/?fn=detailBiblioForm&amp;sid=BFC6C7E5B399B1891608A68F86")</f>
        <v>https://app.crepc.sk/?fn=detailBiblioForm&amp;sid=BFC6C7E5B399B1891608A68F86</v>
      </c>
    </row>
    <row r="3142" spans="3:5" ht="60" x14ac:dyDescent="0.25">
      <c r="C3142" s="15">
        <v>105852</v>
      </c>
      <c r="D3142" s="4" t="s">
        <v>3146</v>
      </c>
      <c r="E3142" s="4" t="str">
        <f>HYPERLINK("https://app.crepc.sk/?fn=detailBiblioForm&amp;sid=497BFD8B534E5A6C0A83946B09")</f>
        <v>https://app.crepc.sk/?fn=detailBiblioForm&amp;sid=497BFD8B534E5A6C0A83946B09</v>
      </c>
    </row>
    <row r="3143" spans="3:5" ht="45" x14ac:dyDescent="0.25">
      <c r="C3143" s="15">
        <v>153918</v>
      </c>
      <c r="D3143" s="4" t="s">
        <v>3147</v>
      </c>
      <c r="E3143" s="4" t="str">
        <f>HYPERLINK("https://app.crepc.sk/?fn=detailBiblioForm&amp;sid=F91B27064E1B876826724CEFF1")</f>
        <v>https://app.crepc.sk/?fn=detailBiblioForm&amp;sid=F91B27064E1B876826724CEFF1</v>
      </c>
    </row>
    <row r="3144" spans="3:5" ht="60" x14ac:dyDescent="0.25">
      <c r="C3144" s="15">
        <v>120316</v>
      </c>
      <c r="D3144" s="4" t="s">
        <v>3148</v>
      </c>
      <c r="E3144" s="4" t="str">
        <f>HYPERLINK("https://app.crepc.sk/?fn=detailBiblioForm&amp;sid=7C8EC80C674BD33D45AB6DBADF")</f>
        <v>https://app.crepc.sk/?fn=detailBiblioForm&amp;sid=7C8EC80C674BD33D45AB6DBADF</v>
      </c>
    </row>
    <row r="3145" spans="3:5" ht="75" x14ac:dyDescent="0.25">
      <c r="C3145" s="15">
        <v>204718</v>
      </c>
      <c r="D3145" s="4" t="s">
        <v>3149</v>
      </c>
      <c r="E3145" s="4" t="str">
        <f>HYPERLINK("https://app.crepc.sk/?fn=detailBiblioForm&amp;sid=EABE3B0E8FC6173633890C7D5F")</f>
        <v>https://app.crepc.sk/?fn=detailBiblioForm&amp;sid=EABE3B0E8FC6173633890C7D5F</v>
      </c>
    </row>
    <row r="3146" spans="3:5" ht="45" x14ac:dyDescent="0.25">
      <c r="C3146" s="15">
        <v>449222</v>
      </c>
      <c r="D3146" s="4" t="s">
        <v>3150</v>
      </c>
      <c r="E3146" s="4" t="str">
        <f>HYPERLINK("https://app.crepc.sk/?fn=detailBiblioForm&amp;sid=5C45D95CD208786439BC0C2A32")</f>
        <v>https://app.crepc.sk/?fn=detailBiblioForm&amp;sid=5C45D95CD208786439BC0C2A32</v>
      </c>
    </row>
    <row r="3147" spans="3:5" ht="60" x14ac:dyDescent="0.25">
      <c r="C3147" s="15">
        <v>53410</v>
      </c>
      <c r="D3147" s="4" t="s">
        <v>3151</v>
      </c>
      <c r="E3147" s="4" t="str">
        <f>HYPERLINK("https://app.crepc.sk/?fn=detailBiblioForm&amp;sid=33939F2BBAD0B1BA6FB893E9")</f>
        <v>https://app.crepc.sk/?fn=detailBiblioForm&amp;sid=33939F2BBAD0B1BA6FB893E9</v>
      </c>
    </row>
    <row r="3148" spans="3:5" ht="60" x14ac:dyDescent="0.25">
      <c r="C3148" s="15">
        <v>83179</v>
      </c>
      <c r="D3148" s="4" t="s">
        <v>3152</v>
      </c>
      <c r="E3148" s="4" t="str">
        <f>HYPERLINK("https://app.crepc.sk/?fn=detailBiblioForm&amp;sid=5B97E83A032EEAFDDDB535D8")</f>
        <v>https://app.crepc.sk/?fn=detailBiblioForm&amp;sid=5B97E83A032EEAFDDDB535D8</v>
      </c>
    </row>
    <row r="3149" spans="3:5" ht="60" x14ac:dyDescent="0.25">
      <c r="C3149" s="15">
        <v>141422</v>
      </c>
      <c r="D3149" s="4" t="s">
        <v>3153</v>
      </c>
      <c r="E3149" s="4" t="str">
        <f>HYPERLINK("https://app.crepc.sk/?fn=detailBiblioForm&amp;sid=FF44C990A7CA883E4D8C308485")</f>
        <v>https://app.crepc.sk/?fn=detailBiblioForm&amp;sid=FF44C990A7CA883E4D8C308485</v>
      </c>
    </row>
    <row r="3150" spans="3:5" ht="90" x14ac:dyDescent="0.25">
      <c r="C3150" s="15">
        <v>123214</v>
      </c>
      <c r="D3150" s="4" t="s">
        <v>3154</v>
      </c>
      <c r="E3150" s="4" t="str">
        <f>HYPERLINK("https://app.crepc.sk/?fn=detailBiblioForm&amp;sid=84A6561E00D8E3617D2FA633F8")</f>
        <v>https://app.crepc.sk/?fn=detailBiblioForm&amp;sid=84A6561E00D8E3617D2FA633F8</v>
      </c>
    </row>
    <row r="3151" spans="3:5" ht="90" x14ac:dyDescent="0.25">
      <c r="C3151" s="15">
        <v>442297</v>
      </c>
      <c r="D3151" s="4" t="s">
        <v>3155</v>
      </c>
      <c r="E3151" s="4" t="str">
        <f>HYPERLINK("https://app.crepc.sk/?fn=detailBiblioForm&amp;sid=449A78BFE483A8EAF4F049C553")</f>
        <v>https://app.crepc.sk/?fn=detailBiblioForm&amp;sid=449A78BFE483A8EAF4F049C553</v>
      </c>
    </row>
    <row r="3152" spans="3:5" ht="75" x14ac:dyDescent="0.25">
      <c r="C3152" s="15">
        <v>128465</v>
      </c>
      <c r="D3152" s="4" t="s">
        <v>3156</v>
      </c>
      <c r="E3152" s="4" t="str">
        <f>HYPERLINK("https://app.crepc.sk/?fn=detailBiblioForm&amp;sid=585F9F27CC7F4CBF0A3B4263E3")</f>
        <v>https://app.crepc.sk/?fn=detailBiblioForm&amp;sid=585F9F27CC7F4CBF0A3B4263E3</v>
      </c>
    </row>
    <row r="3153" spans="3:5" ht="75" x14ac:dyDescent="0.25">
      <c r="C3153" s="15">
        <v>102154</v>
      </c>
      <c r="D3153" s="4" t="s">
        <v>3157</v>
      </c>
      <c r="E3153" s="4" t="str">
        <f>HYPERLINK("https://app.crepc.sk/?fn=detailBiblioForm&amp;sid=0932CDF70C0F8DE4AE541E630C")</f>
        <v>https://app.crepc.sk/?fn=detailBiblioForm&amp;sid=0932CDF70C0F8DE4AE541E630C</v>
      </c>
    </row>
    <row r="3154" spans="3:5" ht="45" x14ac:dyDescent="0.25">
      <c r="C3154" s="15">
        <v>199978</v>
      </c>
      <c r="D3154" s="4" t="s">
        <v>3158</v>
      </c>
      <c r="E3154" s="4" t="str">
        <f>HYPERLINK("https://app.crepc.sk/?fn=detailBiblioForm&amp;sid=79CE4EFB7063335D6685A6F482")</f>
        <v>https://app.crepc.sk/?fn=detailBiblioForm&amp;sid=79CE4EFB7063335D6685A6F482</v>
      </c>
    </row>
    <row r="3155" spans="3:5" ht="60" x14ac:dyDescent="0.25">
      <c r="C3155" s="15">
        <v>161558</v>
      </c>
      <c r="D3155" s="4" t="s">
        <v>3159</v>
      </c>
      <c r="E3155" s="4" t="str">
        <f>HYPERLINK("https://app.crepc.sk/?fn=detailBiblioForm&amp;sid=BB60B769A491B65140FB53E40D")</f>
        <v>https://app.crepc.sk/?fn=detailBiblioForm&amp;sid=BB60B769A491B65140FB53E40D</v>
      </c>
    </row>
    <row r="3156" spans="3:5" ht="45" x14ac:dyDescent="0.25">
      <c r="C3156" s="15">
        <v>182041</v>
      </c>
      <c r="D3156" s="4" t="s">
        <v>3160</v>
      </c>
      <c r="E3156" s="4" t="str">
        <f>HYPERLINK("https://app.crepc.sk/?fn=detailBiblioForm&amp;sid=AA0D9432EF6DE826CE1177590B")</f>
        <v>https://app.crepc.sk/?fn=detailBiblioForm&amp;sid=AA0D9432EF6DE826CE1177590B</v>
      </c>
    </row>
    <row r="3157" spans="3:5" ht="45" x14ac:dyDescent="0.25">
      <c r="C3157" s="15">
        <v>196682</v>
      </c>
      <c r="D3157" s="4" t="s">
        <v>3161</v>
      </c>
      <c r="E3157" s="4" t="str">
        <f>HYPERLINK("https://app.crepc.sk/?fn=detailBiblioForm&amp;sid=8A8E655A3835503C4FDCDE9D4A")</f>
        <v>https://app.crepc.sk/?fn=detailBiblioForm&amp;sid=8A8E655A3835503C4FDCDE9D4A</v>
      </c>
    </row>
    <row r="3158" spans="3:5" ht="60" x14ac:dyDescent="0.25">
      <c r="C3158" s="15">
        <v>218971</v>
      </c>
      <c r="D3158" s="4" t="s">
        <v>3162</v>
      </c>
      <c r="E3158" s="4" t="str">
        <f>HYPERLINK("https://app.crepc.sk/?fn=detailBiblioForm&amp;sid=26870146E1F58F019F2D6F5660")</f>
        <v>https://app.crepc.sk/?fn=detailBiblioForm&amp;sid=26870146E1F58F019F2D6F5660</v>
      </c>
    </row>
    <row r="3159" spans="3:5" ht="75" x14ac:dyDescent="0.25">
      <c r="C3159" s="15">
        <v>311161</v>
      </c>
      <c r="D3159" s="4" t="s">
        <v>3163</v>
      </c>
      <c r="E3159" s="4" t="str">
        <f>HYPERLINK("https://app.crepc.sk/?fn=detailBiblioForm&amp;sid=EDC641B86B12B5F85F47D27856")</f>
        <v>https://app.crepc.sk/?fn=detailBiblioForm&amp;sid=EDC641B86B12B5F85F47D27856</v>
      </c>
    </row>
    <row r="3160" spans="3:5" ht="60" x14ac:dyDescent="0.25">
      <c r="C3160" s="15">
        <v>454249</v>
      </c>
      <c r="D3160" s="4" t="s">
        <v>3164</v>
      </c>
      <c r="E3160" s="4" t="str">
        <f>HYPERLINK("https://app.crepc.sk/?fn=detailBiblioForm&amp;sid=67D8FF390DF10D0FBEC270F2BB")</f>
        <v>https://app.crepc.sk/?fn=detailBiblioForm&amp;sid=67D8FF390DF10D0FBEC270F2BB</v>
      </c>
    </row>
    <row r="3161" spans="3:5" ht="60" x14ac:dyDescent="0.25">
      <c r="C3161" s="15">
        <v>186265</v>
      </c>
      <c r="D3161" s="4" t="s">
        <v>3165</v>
      </c>
      <c r="E3161" s="4" t="str">
        <f>HYPERLINK("https://app.crepc.sk/?fn=detailBiblioForm&amp;sid=4013D2F8FE5692F458CE415971")</f>
        <v>https://app.crepc.sk/?fn=detailBiblioForm&amp;sid=4013D2F8FE5692F458CE415971</v>
      </c>
    </row>
    <row r="3162" spans="3:5" ht="60" x14ac:dyDescent="0.25">
      <c r="C3162" s="15">
        <v>246177</v>
      </c>
      <c r="D3162" s="4" t="s">
        <v>3166</v>
      </c>
      <c r="E3162" s="4" t="str">
        <f>HYPERLINK("https://app.crepc.sk/?fn=detailBiblioForm&amp;sid=ADE6DDC5AF9A0C069A673768C6")</f>
        <v>https://app.crepc.sk/?fn=detailBiblioForm&amp;sid=ADE6DDC5AF9A0C069A673768C6</v>
      </c>
    </row>
    <row r="3163" spans="3:5" ht="60" x14ac:dyDescent="0.25">
      <c r="C3163" s="15">
        <v>316267</v>
      </c>
      <c r="D3163" s="4" t="s">
        <v>3167</v>
      </c>
      <c r="E3163" s="4" t="str">
        <f>HYPERLINK("https://app.crepc.sk/?fn=detailBiblioForm&amp;sid=791E4A260FB3471CCEB3FEBA13")</f>
        <v>https://app.crepc.sk/?fn=detailBiblioForm&amp;sid=791E4A260FB3471CCEB3FEBA13</v>
      </c>
    </row>
    <row r="3164" spans="3:5" ht="60" x14ac:dyDescent="0.25">
      <c r="C3164" s="15">
        <v>55811</v>
      </c>
      <c r="D3164" s="4" t="s">
        <v>3168</v>
      </c>
      <c r="E3164" s="4" t="str">
        <f>HYPERLINK("https://app.crepc.sk/?fn=detailBiblioForm&amp;sid=39DDA4F13BC40ABDAE2857E7")</f>
        <v>https://app.crepc.sk/?fn=detailBiblioForm&amp;sid=39DDA4F13BC40ABDAE2857E7</v>
      </c>
    </row>
    <row r="3165" spans="3:5" ht="60" x14ac:dyDescent="0.25">
      <c r="C3165" s="15">
        <v>440099</v>
      </c>
      <c r="D3165" s="4" t="s">
        <v>3169</v>
      </c>
      <c r="E3165" s="4" t="str">
        <f>HYPERLINK("https://app.crepc.sk/?fn=detailBiblioForm&amp;sid=1F7F22C428EA4866B2F5BC7D5E")</f>
        <v>https://app.crepc.sk/?fn=detailBiblioForm&amp;sid=1F7F22C428EA4866B2F5BC7D5E</v>
      </c>
    </row>
    <row r="3166" spans="3:5" ht="60" x14ac:dyDescent="0.25">
      <c r="C3166" s="15">
        <v>248778</v>
      </c>
      <c r="D3166" s="4" t="s">
        <v>3170</v>
      </c>
      <c r="E3166" s="4" t="str">
        <f>HYPERLINK("https://app.crepc.sk/?fn=detailBiblioForm&amp;sid=D8DBF9EC8180B08B011783E6C9")</f>
        <v>https://app.crepc.sk/?fn=detailBiblioForm&amp;sid=D8DBF9EC8180B08B011783E6C9</v>
      </c>
    </row>
    <row r="3167" spans="3:5" ht="45" x14ac:dyDescent="0.25">
      <c r="C3167" s="15">
        <v>237158</v>
      </c>
      <c r="D3167" s="4" t="s">
        <v>3171</v>
      </c>
      <c r="E3167" s="4" t="str">
        <f>HYPERLINK("https://app.crepc.sk/?fn=detailBiblioForm&amp;sid=6F97A29B01FDE04BAFC0BB5493")</f>
        <v>https://app.crepc.sk/?fn=detailBiblioForm&amp;sid=6F97A29B01FDE04BAFC0BB5493</v>
      </c>
    </row>
    <row r="3168" spans="3:5" ht="60" x14ac:dyDescent="0.25">
      <c r="C3168" s="15">
        <v>184123</v>
      </c>
      <c r="D3168" s="4" t="s">
        <v>3172</v>
      </c>
      <c r="E3168" s="4" t="str">
        <f>HYPERLINK("https://app.crepc.sk/?fn=detailBiblioForm&amp;sid=68B910E799EADD7B007557DADE")</f>
        <v>https://app.crepc.sk/?fn=detailBiblioForm&amp;sid=68B910E799EADD7B007557DADE</v>
      </c>
    </row>
    <row r="3169" spans="3:5" ht="60" x14ac:dyDescent="0.25">
      <c r="C3169" s="15">
        <v>418606</v>
      </c>
      <c r="D3169" s="4" t="s">
        <v>3173</v>
      </c>
      <c r="E3169" s="4" t="str">
        <f>HYPERLINK("https://app.crepc.sk/?fn=detailBiblioForm&amp;sid=EF9BA79F4EF8CB95B720CE6080")</f>
        <v>https://app.crepc.sk/?fn=detailBiblioForm&amp;sid=EF9BA79F4EF8CB95B720CE6080</v>
      </c>
    </row>
    <row r="3170" spans="3:5" ht="45" x14ac:dyDescent="0.25">
      <c r="C3170" s="15">
        <v>111121</v>
      </c>
      <c r="D3170" s="4" t="s">
        <v>3174</v>
      </c>
      <c r="E3170" s="4" t="str">
        <f>HYPERLINK("https://app.crepc.sk/?fn=detailBiblioForm&amp;sid=100EE58FA53739A60C5A370883")</f>
        <v>https://app.crepc.sk/?fn=detailBiblioForm&amp;sid=100EE58FA53739A60C5A370883</v>
      </c>
    </row>
    <row r="3171" spans="3:5" ht="45" x14ac:dyDescent="0.25">
      <c r="C3171" s="15">
        <v>136452</v>
      </c>
      <c r="D3171" s="4" t="s">
        <v>3175</v>
      </c>
      <c r="E3171" s="4" t="str">
        <f>HYPERLINK("https://app.crepc.sk/?fn=detailBiblioForm&amp;sid=B6A4D7332C46D305BD4E17FF25")</f>
        <v>https://app.crepc.sk/?fn=detailBiblioForm&amp;sid=B6A4D7332C46D305BD4E17FF25</v>
      </c>
    </row>
    <row r="3172" spans="3:5" ht="45" x14ac:dyDescent="0.25">
      <c r="C3172" s="15">
        <v>83182</v>
      </c>
      <c r="D3172" s="4" t="s">
        <v>3176</v>
      </c>
      <c r="E3172" s="4" t="str">
        <f>HYPERLINK("https://app.crepc.sk/?fn=detailBiblioForm&amp;sid=00B1942FEEE8EFE5FCFBA393")</f>
        <v>https://app.crepc.sk/?fn=detailBiblioForm&amp;sid=00B1942FEEE8EFE5FCFBA393</v>
      </c>
    </row>
    <row r="3173" spans="3:5" ht="45" x14ac:dyDescent="0.25">
      <c r="C3173" s="15">
        <v>96515</v>
      </c>
      <c r="D3173" s="4" t="s">
        <v>3177</v>
      </c>
      <c r="E3173" s="4" t="str">
        <f>HYPERLINK("https://app.crepc.sk/?fn=detailBiblioForm&amp;sid=6B45B9E6744A9FDACD50C6D1")</f>
        <v>https://app.crepc.sk/?fn=detailBiblioForm&amp;sid=6B45B9E6744A9FDACD50C6D1</v>
      </c>
    </row>
    <row r="3174" spans="3:5" ht="60" x14ac:dyDescent="0.25">
      <c r="C3174" s="15">
        <v>200175</v>
      </c>
      <c r="D3174" s="4" t="s">
        <v>3178</v>
      </c>
      <c r="E3174" s="4" t="str">
        <f>HYPERLINK("https://app.crepc.sk/?fn=detailBiblioForm&amp;sid=9097805B3BD10337EB6459D914")</f>
        <v>https://app.crepc.sk/?fn=detailBiblioForm&amp;sid=9097805B3BD10337EB6459D914</v>
      </c>
    </row>
    <row r="3175" spans="3:5" ht="45" x14ac:dyDescent="0.25">
      <c r="C3175" s="15">
        <v>417148</v>
      </c>
      <c r="D3175" s="4" t="s">
        <v>3179</v>
      </c>
      <c r="E3175" s="4" t="str">
        <f>HYPERLINK("https://app.crepc.sk/?fn=detailBiblioForm&amp;sid=484E2EBFF53C2A5B7559CC1D5A")</f>
        <v>https://app.crepc.sk/?fn=detailBiblioForm&amp;sid=484E2EBFF53C2A5B7559CC1D5A</v>
      </c>
    </row>
    <row r="3176" spans="3:5" ht="45" x14ac:dyDescent="0.25">
      <c r="C3176" s="15">
        <v>165880</v>
      </c>
      <c r="D3176" s="4" t="s">
        <v>3180</v>
      </c>
      <c r="E3176" s="4" t="str">
        <f>HYPERLINK("https://app.crepc.sk/?fn=detailBiblioForm&amp;sid=C67292DEA65D7A08EB279CDCD9")</f>
        <v>https://app.crepc.sk/?fn=detailBiblioForm&amp;sid=C67292DEA65D7A08EB279CDCD9</v>
      </c>
    </row>
    <row r="3177" spans="3:5" ht="75" x14ac:dyDescent="0.25">
      <c r="C3177" s="15">
        <v>255044</v>
      </c>
      <c r="D3177" s="4" t="s">
        <v>3181</v>
      </c>
      <c r="E3177" s="4" t="str">
        <f>HYPERLINK("https://app.crepc.sk/?fn=detailBiblioForm&amp;sid=2A06A686EDCDA053326A0842F6")</f>
        <v>https://app.crepc.sk/?fn=detailBiblioForm&amp;sid=2A06A686EDCDA053326A0842F6</v>
      </c>
    </row>
    <row r="3178" spans="3:5" ht="45" x14ac:dyDescent="0.25">
      <c r="C3178" s="15">
        <v>145221</v>
      </c>
      <c r="D3178" s="4" t="s">
        <v>3182</v>
      </c>
      <c r="E3178" s="4" t="str">
        <f>HYPERLINK("https://app.crepc.sk/?fn=detailBiblioForm&amp;sid=92F98CEFD52BF35243C8C1FECC")</f>
        <v>https://app.crepc.sk/?fn=detailBiblioForm&amp;sid=92F98CEFD52BF35243C8C1FECC</v>
      </c>
    </row>
    <row r="3179" spans="3:5" ht="45" x14ac:dyDescent="0.25">
      <c r="C3179" s="15">
        <v>142790</v>
      </c>
      <c r="D3179" s="4" t="s">
        <v>3183</v>
      </c>
      <c r="E3179" s="4" t="str">
        <f>HYPERLINK("https://app.crepc.sk/?fn=detailBiblioForm&amp;sid=288AEB55AAC803403F0F2CA696")</f>
        <v>https://app.crepc.sk/?fn=detailBiblioForm&amp;sid=288AEB55AAC803403F0F2CA696</v>
      </c>
    </row>
    <row r="3180" spans="3:5" ht="60" x14ac:dyDescent="0.25">
      <c r="C3180" s="15">
        <v>116627</v>
      </c>
      <c r="D3180" s="4" t="s">
        <v>3184</v>
      </c>
      <c r="E3180" s="4" t="str">
        <f>HYPERLINK("https://app.crepc.sk/?fn=detailBiblioForm&amp;sid=C7058B2E53B5EC4D92100DAE3B")</f>
        <v>https://app.crepc.sk/?fn=detailBiblioForm&amp;sid=C7058B2E53B5EC4D92100DAE3B</v>
      </c>
    </row>
    <row r="3181" spans="3:5" ht="60" x14ac:dyDescent="0.25">
      <c r="C3181" s="15">
        <v>421191</v>
      </c>
      <c r="D3181" s="4" t="s">
        <v>3185</v>
      </c>
      <c r="E3181" s="4" t="str">
        <f>HYPERLINK("https://app.crepc.sk/?fn=detailBiblioForm&amp;sid=2309F398A92FFEE7F609746638")</f>
        <v>https://app.crepc.sk/?fn=detailBiblioForm&amp;sid=2309F398A92FFEE7F609746638</v>
      </c>
    </row>
    <row r="3182" spans="3:5" ht="45" x14ac:dyDescent="0.25">
      <c r="C3182" s="15">
        <v>52104</v>
      </c>
      <c r="D3182" s="4" t="s">
        <v>3186</v>
      </c>
      <c r="E3182" s="4" t="str">
        <f>HYPERLINK("https://app.crepc.sk/?fn=detailBiblioForm&amp;sid=490923FD10227E103657917C")</f>
        <v>https://app.crepc.sk/?fn=detailBiblioForm&amp;sid=490923FD10227E103657917C</v>
      </c>
    </row>
    <row r="3183" spans="3:5" ht="45" x14ac:dyDescent="0.25">
      <c r="C3183" s="15">
        <v>61198</v>
      </c>
      <c r="D3183" s="4" t="s">
        <v>3187</v>
      </c>
      <c r="E3183" s="4" t="str">
        <f>HYPERLINK("https://app.crepc.sk/?fn=detailBiblioForm&amp;sid=C75D3C352CA490CEED74FB5C")</f>
        <v>https://app.crepc.sk/?fn=detailBiblioForm&amp;sid=C75D3C352CA490CEED74FB5C</v>
      </c>
    </row>
    <row r="3184" spans="3:5" ht="45" x14ac:dyDescent="0.25">
      <c r="C3184" s="15">
        <v>54522</v>
      </c>
      <c r="D3184" s="4" t="s">
        <v>3188</v>
      </c>
      <c r="E3184" s="4" t="str">
        <f>HYPERLINK("https://app.crepc.sk/?fn=detailBiblioForm&amp;sid=509C9DF030C151D0AC0EAAFB")</f>
        <v>https://app.crepc.sk/?fn=detailBiblioForm&amp;sid=509C9DF030C151D0AC0EAAFB</v>
      </c>
    </row>
    <row r="3185" spans="3:5" ht="45" x14ac:dyDescent="0.25">
      <c r="C3185" s="15">
        <v>55360</v>
      </c>
      <c r="D3185" s="4" t="s">
        <v>3189</v>
      </c>
      <c r="E3185" s="4" t="str">
        <f>HYPERLINK("https://app.crepc.sk/?fn=detailBiblioForm&amp;sid=9F8968236B961756081F6268")</f>
        <v>https://app.crepc.sk/?fn=detailBiblioForm&amp;sid=9F8968236B961756081F6268</v>
      </c>
    </row>
    <row r="3186" spans="3:5" ht="60" x14ac:dyDescent="0.25">
      <c r="C3186" s="15">
        <v>221453</v>
      </c>
      <c r="D3186" s="4" t="s">
        <v>3190</v>
      </c>
      <c r="E3186" s="4" t="str">
        <f>HYPERLINK("https://app.crepc.sk/?fn=detailBiblioForm&amp;sid=BDE1989955220D35EEF54F9FC4")</f>
        <v>https://app.crepc.sk/?fn=detailBiblioForm&amp;sid=BDE1989955220D35EEF54F9FC4</v>
      </c>
    </row>
    <row r="3187" spans="3:5" ht="60" x14ac:dyDescent="0.25">
      <c r="C3187" s="15">
        <v>146238</v>
      </c>
      <c r="D3187" s="4" t="s">
        <v>3191</v>
      </c>
      <c r="E3187" s="4" t="str">
        <f>HYPERLINK("https://app.crepc.sk/?fn=detailBiblioForm&amp;sid=0847CB681108BF2AC96A5F0E3C")</f>
        <v>https://app.crepc.sk/?fn=detailBiblioForm&amp;sid=0847CB681108BF2AC96A5F0E3C</v>
      </c>
    </row>
    <row r="3188" spans="3:5" ht="60" x14ac:dyDescent="0.25">
      <c r="C3188" s="15">
        <v>436970</v>
      </c>
      <c r="D3188" s="4" t="s">
        <v>3192</v>
      </c>
      <c r="E3188" s="4" t="str">
        <f>HYPERLINK("https://app.crepc.sk/?fn=detailBiblioForm&amp;sid=A1A8EB404CE9E8974D99B2A156")</f>
        <v>https://app.crepc.sk/?fn=detailBiblioForm&amp;sid=A1A8EB404CE9E8974D99B2A156</v>
      </c>
    </row>
    <row r="3189" spans="3:5" ht="45" x14ac:dyDescent="0.25">
      <c r="C3189" s="15">
        <v>53016</v>
      </c>
      <c r="D3189" s="4" t="s">
        <v>3193</v>
      </c>
      <c r="E3189" s="4" t="str">
        <f>HYPERLINK("https://app.crepc.sk/?fn=detailBiblioForm&amp;sid=DCCA3817CD122D50C9F7F09F")</f>
        <v>https://app.crepc.sk/?fn=detailBiblioForm&amp;sid=DCCA3817CD122D50C9F7F09F</v>
      </c>
    </row>
    <row r="3190" spans="3:5" ht="60" x14ac:dyDescent="0.25">
      <c r="C3190" s="15">
        <v>52120</v>
      </c>
      <c r="D3190" s="4" t="s">
        <v>3194</v>
      </c>
      <c r="E3190" s="4" t="str">
        <f>HYPERLINK("https://app.crepc.sk/?fn=detailBiblioForm&amp;sid=449F06E9DA05D4D0749E7605")</f>
        <v>https://app.crepc.sk/?fn=detailBiblioForm&amp;sid=449F06E9DA05D4D0749E7605</v>
      </c>
    </row>
    <row r="3191" spans="3:5" ht="60" x14ac:dyDescent="0.25">
      <c r="C3191" s="15">
        <v>211061</v>
      </c>
      <c r="D3191" s="4" t="s">
        <v>3195</v>
      </c>
      <c r="E3191" s="4" t="str">
        <f>HYPERLINK("https://app.crepc.sk/?fn=detailBiblioForm&amp;sid=81D2D8BF2DF148AE46A5969A56")</f>
        <v>https://app.crepc.sk/?fn=detailBiblioForm&amp;sid=81D2D8BF2DF148AE46A5969A56</v>
      </c>
    </row>
    <row r="3192" spans="3:5" ht="60" x14ac:dyDescent="0.25">
      <c r="C3192" s="15">
        <v>210137</v>
      </c>
      <c r="D3192" s="4" t="s">
        <v>3196</v>
      </c>
      <c r="E3192" s="4" t="str">
        <f>HYPERLINK("https://app.crepc.sk/?fn=detailBiblioForm&amp;sid=5DB4E0B08DFCD5196543B528AC")</f>
        <v>https://app.crepc.sk/?fn=detailBiblioForm&amp;sid=5DB4E0B08DFCD5196543B528AC</v>
      </c>
    </row>
    <row r="3193" spans="3:5" ht="45" x14ac:dyDescent="0.25">
      <c r="C3193" s="15">
        <v>436969</v>
      </c>
      <c r="D3193" s="4" t="s">
        <v>3197</v>
      </c>
      <c r="E3193" s="4" t="str">
        <f>HYPERLINK("https://app.crepc.sk/?fn=detailBiblioForm&amp;sid=A1A8EB404CE9E8974C90B2A156")</f>
        <v>https://app.crepc.sk/?fn=detailBiblioForm&amp;sid=A1A8EB404CE9E8974C90B2A156</v>
      </c>
    </row>
    <row r="3194" spans="3:5" ht="60" x14ac:dyDescent="0.25">
      <c r="C3194" s="15">
        <v>181609</v>
      </c>
      <c r="D3194" s="4" t="s">
        <v>3198</v>
      </c>
      <c r="E3194" s="4" t="str">
        <f>HYPERLINK("https://app.crepc.sk/?fn=detailBiblioForm&amp;sid=F0082B7A009D1614B8C975AE99")</f>
        <v>https://app.crepc.sk/?fn=detailBiblioForm&amp;sid=F0082B7A009D1614B8C975AE99</v>
      </c>
    </row>
    <row r="3195" spans="3:5" ht="60" x14ac:dyDescent="0.25">
      <c r="C3195" s="15">
        <v>452755</v>
      </c>
      <c r="D3195" s="4" t="s">
        <v>3199</v>
      </c>
      <c r="E3195" s="4" t="str">
        <f>HYPERLINK("https://app.crepc.sk/?fn=detailBiblioForm&amp;sid=69AE82E425BDACA66CFD9876F2")</f>
        <v>https://app.crepc.sk/?fn=detailBiblioForm&amp;sid=69AE82E425BDACA66CFD9876F2</v>
      </c>
    </row>
    <row r="3196" spans="3:5" ht="60" x14ac:dyDescent="0.25">
      <c r="C3196" s="15">
        <v>54857</v>
      </c>
      <c r="D3196" s="4" t="s">
        <v>3200</v>
      </c>
      <c r="E3196" s="4" t="str">
        <f>HYPERLINK("https://app.crepc.sk/?fn=detailBiblioForm&amp;sid=C6AE4A4F036B12B26050389F")</f>
        <v>https://app.crepc.sk/?fn=detailBiblioForm&amp;sid=C6AE4A4F036B12B26050389F</v>
      </c>
    </row>
    <row r="3197" spans="3:5" ht="45" x14ac:dyDescent="0.25">
      <c r="C3197" s="15">
        <v>164808</v>
      </c>
      <c r="D3197" s="4" t="s">
        <v>3201</v>
      </c>
      <c r="E3197" s="4" t="str">
        <f>HYPERLINK("https://app.crepc.sk/?fn=detailBiblioForm&amp;sid=B5E6096D0905A43EE806760FCE")</f>
        <v>https://app.crepc.sk/?fn=detailBiblioForm&amp;sid=B5E6096D0905A43EE806760FCE</v>
      </c>
    </row>
    <row r="3198" spans="3:5" ht="45" x14ac:dyDescent="0.25">
      <c r="C3198" s="15">
        <v>430105</v>
      </c>
      <c r="D3198" s="4" t="s">
        <v>3202</v>
      </c>
      <c r="E3198" s="4" t="str">
        <f>HYPERLINK("https://app.crepc.sk/?fn=detailBiblioForm&amp;sid=D59FFB823ACFE7C7BB8AA00097")</f>
        <v>https://app.crepc.sk/?fn=detailBiblioForm&amp;sid=D59FFB823ACFE7C7BB8AA00097</v>
      </c>
    </row>
    <row r="3199" spans="3:5" ht="75" x14ac:dyDescent="0.25">
      <c r="C3199" s="15">
        <v>455637</v>
      </c>
      <c r="D3199" s="4" t="s">
        <v>3203</v>
      </c>
      <c r="E3199" s="4" t="str">
        <f>HYPERLINK("https://app.crepc.sk/?fn=detailBiblioForm&amp;sid=AB8313164A966A36F7BCC17AB6")</f>
        <v>https://app.crepc.sk/?fn=detailBiblioForm&amp;sid=AB8313164A966A36F7BCC17AB6</v>
      </c>
    </row>
    <row r="3200" spans="3:5" ht="75" x14ac:dyDescent="0.25">
      <c r="C3200" s="15">
        <v>195988</v>
      </c>
      <c r="D3200" s="4" t="s">
        <v>3204</v>
      </c>
      <c r="E3200" s="4" t="str">
        <f>HYPERLINK("https://app.crepc.sk/?fn=detailBiblioForm&amp;sid=D0FFB1787B7ACE98B758689ACF")</f>
        <v>https://app.crepc.sk/?fn=detailBiblioForm&amp;sid=D0FFB1787B7ACE98B758689ACF</v>
      </c>
    </row>
    <row r="3201" spans="3:5" ht="45" x14ac:dyDescent="0.25">
      <c r="C3201" s="15">
        <v>186055</v>
      </c>
      <c r="D3201" s="4" t="s">
        <v>3205</v>
      </c>
      <c r="E3201" s="4" t="str">
        <f>HYPERLINK("https://app.crepc.sk/?fn=detailBiblioForm&amp;sid=12BF14ADF430A4F4B8F13AA239")</f>
        <v>https://app.crepc.sk/?fn=detailBiblioForm&amp;sid=12BF14ADF430A4F4B8F13AA239</v>
      </c>
    </row>
    <row r="3202" spans="3:5" ht="45" x14ac:dyDescent="0.25">
      <c r="C3202" s="15">
        <v>175059</v>
      </c>
      <c r="D3202" s="4" t="s">
        <v>3206</v>
      </c>
      <c r="E3202" s="4" t="str">
        <f>HYPERLINK("https://app.crepc.sk/?fn=detailBiblioForm&amp;sid=378281AEB05FBF71743DA4B0F1")</f>
        <v>https://app.crepc.sk/?fn=detailBiblioForm&amp;sid=378281AEB05FBF71743DA4B0F1</v>
      </c>
    </row>
    <row r="3203" spans="3:5" ht="60" x14ac:dyDescent="0.25">
      <c r="C3203" s="15">
        <v>54374</v>
      </c>
      <c r="D3203" s="4" t="s">
        <v>3207</v>
      </c>
      <c r="E3203" s="4" t="str">
        <f>HYPERLINK("https://app.crepc.sk/?fn=detailBiblioForm&amp;sid=E4F849B250D3F654B5D68B5D")</f>
        <v>https://app.crepc.sk/?fn=detailBiblioForm&amp;sid=E4F849B250D3F654B5D68B5D</v>
      </c>
    </row>
    <row r="3204" spans="3:5" ht="60" x14ac:dyDescent="0.25">
      <c r="C3204" s="15">
        <v>183114</v>
      </c>
      <c r="D3204" s="4" t="s">
        <v>3208</v>
      </c>
      <c r="E3204" s="4" t="str">
        <f>HYPERLINK("https://app.crepc.sk/?fn=detailBiblioForm&amp;sid=38EFE54B98F197D5BA17EA12EF")</f>
        <v>https://app.crepc.sk/?fn=detailBiblioForm&amp;sid=38EFE54B98F197D5BA17EA12EF</v>
      </c>
    </row>
    <row r="3205" spans="3:5" ht="75" x14ac:dyDescent="0.25">
      <c r="C3205" s="15">
        <v>430737</v>
      </c>
      <c r="D3205" s="4" t="s">
        <v>3209</v>
      </c>
      <c r="E3205" s="4" t="str">
        <f>HYPERLINK("https://app.crepc.sk/?fn=detailBiblioForm&amp;sid=589F18BBC5A86022D037B181DA")</f>
        <v>https://app.crepc.sk/?fn=detailBiblioForm&amp;sid=589F18BBC5A86022D037B181DA</v>
      </c>
    </row>
    <row r="3206" spans="3:5" ht="75" x14ac:dyDescent="0.25">
      <c r="C3206" s="15">
        <v>210279</v>
      </c>
      <c r="D3206" s="4" t="s">
        <v>3210</v>
      </c>
      <c r="E3206" s="4" t="str">
        <f>HYPERLINK("https://app.crepc.sk/?fn=detailBiblioForm&amp;sid=D7A3109A15EDA59323C07CB056")</f>
        <v>https://app.crepc.sk/?fn=detailBiblioForm&amp;sid=D7A3109A15EDA59323C07CB056</v>
      </c>
    </row>
    <row r="3207" spans="3:5" ht="75" x14ac:dyDescent="0.25">
      <c r="C3207" s="15">
        <v>168403</v>
      </c>
      <c r="D3207" s="4" t="s">
        <v>3211</v>
      </c>
      <c r="E3207" s="4" t="str">
        <f>HYPERLINK("https://app.crepc.sk/?fn=detailBiblioForm&amp;sid=EDED30F385E76150B8FE548FA8")</f>
        <v>https://app.crepc.sk/?fn=detailBiblioForm&amp;sid=EDED30F385E76150B8FE548FA8</v>
      </c>
    </row>
    <row r="3208" spans="3:5" ht="75" x14ac:dyDescent="0.25">
      <c r="C3208" s="15">
        <v>84688</v>
      </c>
      <c r="D3208" s="4" t="s">
        <v>3212</v>
      </c>
      <c r="E3208" s="4" t="str">
        <f>HYPERLINK("https://app.crepc.sk/?fn=detailBiblioForm&amp;sid=6FDAEBA2732E10E5D47A3F47")</f>
        <v>https://app.crepc.sk/?fn=detailBiblioForm&amp;sid=6FDAEBA2732E10E5D47A3F47</v>
      </c>
    </row>
    <row r="3209" spans="3:5" ht="60" x14ac:dyDescent="0.25">
      <c r="C3209" s="15">
        <v>432405</v>
      </c>
      <c r="D3209" s="4" t="s">
        <v>3213</v>
      </c>
      <c r="E3209" s="4" t="str">
        <f>HYPERLINK("https://app.crepc.sk/?fn=detailBiblioForm&amp;sid=9C6DDAD5CC83289CB44ACA964C")</f>
        <v>https://app.crepc.sk/?fn=detailBiblioForm&amp;sid=9C6DDAD5CC83289CB44ACA964C</v>
      </c>
    </row>
    <row r="3210" spans="3:5" ht="45" x14ac:dyDescent="0.25">
      <c r="C3210" s="15">
        <v>438355</v>
      </c>
      <c r="D3210" s="4" t="s">
        <v>3214</v>
      </c>
      <c r="E3210" s="4" t="str">
        <f>HYPERLINK("https://app.crepc.sk/?fn=detailBiblioForm&amp;sid=3BE95C725A62C7D49E47F9E8A0")</f>
        <v>https://app.crepc.sk/?fn=detailBiblioForm&amp;sid=3BE95C725A62C7D49E47F9E8A0</v>
      </c>
    </row>
    <row r="3211" spans="3:5" ht="75" x14ac:dyDescent="0.25">
      <c r="C3211" s="15">
        <v>161651</v>
      </c>
      <c r="D3211" s="4" t="s">
        <v>3215</v>
      </c>
      <c r="E3211" s="4" t="str">
        <f>HYPERLINK("https://app.crepc.sk/?fn=detailBiblioForm&amp;sid=1D69B1A76ABEB527B56FBB2E6D")</f>
        <v>https://app.crepc.sk/?fn=detailBiblioForm&amp;sid=1D69B1A76ABEB527B56FBB2E6D</v>
      </c>
    </row>
    <row r="3212" spans="3:5" ht="45" x14ac:dyDescent="0.25">
      <c r="C3212" s="15">
        <v>59210</v>
      </c>
      <c r="D3212" s="4" t="s">
        <v>3216</v>
      </c>
      <c r="E3212" s="4" t="str">
        <f>HYPERLINK("https://app.crepc.sk/?fn=detailBiblioForm&amp;sid=C0F0D778877047F356E25074")</f>
        <v>https://app.crepc.sk/?fn=detailBiblioForm&amp;sid=C0F0D778877047F356E25074</v>
      </c>
    </row>
    <row r="3213" spans="3:5" ht="45" x14ac:dyDescent="0.25">
      <c r="C3213" s="15">
        <v>313497</v>
      </c>
      <c r="D3213" s="4" t="s">
        <v>3217</v>
      </c>
      <c r="E3213" s="4" t="str">
        <f>HYPERLINK("https://app.crepc.sk/?fn=detailBiblioForm&amp;sid=A672849A31E203BB1702AD8FCE")</f>
        <v>https://app.crepc.sk/?fn=detailBiblioForm&amp;sid=A672849A31E203BB1702AD8FCE</v>
      </c>
    </row>
    <row r="3214" spans="3:5" ht="60" x14ac:dyDescent="0.25">
      <c r="C3214" s="15">
        <v>95293</v>
      </c>
      <c r="D3214" s="4" t="s">
        <v>3218</v>
      </c>
      <c r="E3214" s="4" t="str">
        <f>HYPERLINK("https://app.crepc.sk/?fn=detailBiblioForm&amp;sid=236DA1634580DDA7D50A39DE")</f>
        <v>https://app.crepc.sk/?fn=detailBiblioForm&amp;sid=236DA1634580DDA7D50A39DE</v>
      </c>
    </row>
    <row r="3215" spans="3:5" ht="60" x14ac:dyDescent="0.25">
      <c r="C3215" s="15">
        <v>437361</v>
      </c>
      <c r="D3215" s="4" t="s">
        <v>3219</v>
      </c>
      <c r="E3215" s="4" t="str">
        <f>HYPERLINK("https://app.crepc.sk/?fn=detailBiblioForm&amp;sid=8BC9DDCFB45BB4090367A2C05A")</f>
        <v>https://app.crepc.sk/?fn=detailBiblioForm&amp;sid=8BC9DDCFB45BB4090367A2C05A</v>
      </c>
    </row>
    <row r="3216" spans="3:5" ht="75" x14ac:dyDescent="0.25">
      <c r="C3216" s="15">
        <v>161656</v>
      </c>
      <c r="D3216" s="4" t="s">
        <v>3220</v>
      </c>
      <c r="E3216" s="4" t="str">
        <f>HYPERLINK("https://app.crepc.sk/?fn=detailBiblioForm&amp;sid=1D69B1A76ABEB527B568BB2E6D")</f>
        <v>https://app.crepc.sk/?fn=detailBiblioForm&amp;sid=1D69B1A76ABEB527B568BB2E6D</v>
      </c>
    </row>
    <row r="3217" spans="3:5" ht="105" x14ac:dyDescent="0.25">
      <c r="C3217" s="15">
        <v>182862</v>
      </c>
      <c r="D3217" s="4" t="s">
        <v>3221</v>
      </c>
      <c r="E3217" s="4" t="str">
        <f>HYPERLINK("https://app.crepc.sk/?fn=detailBiblioForm&amp;sid=A6A9937D4AB687F47DCEE5BFFE")</f>
        <v>https://app.crepc.sk/?fn=detailBiblioForm&amp;sid=A6A9937D4AB687F47DCEE5BFFE</v>
      </c>
    </row>
    <row r="3218" spans="3:5" ht="45" x14ac:dyDescent="0.25">
      <c r="C3218" s="15">
        <v>96981</v>
      </c>
      <c r="D3218" s="4" t="s">
        <v>3222</v>
      </c>
      <c r="E3218" s="4" t="str">
        <f>HYPERLINK("https://app.crepc.sk/?fn=detailBiblioForm&amp;sid=A4DE82C7DAADBD9DF09B5E32")</f>
        <v>https://app.crepc.sk/?fn=detailBiblioForm&amp;sid=A4DE82C7DAADBD9DF09B5E32</v>
      </c>
    </row>
    <row r="3219" spans="3:5" ht="45" x14ac:dyDescent="0.25">
      <c r="C3219" s="15">
        <v>138718</v>
      </c>
      <c r="D3219" s="4" t="s">
        <v>3223</v>
      </c>
      <c r="E3219" s="4" t="str">
        <f>HYPERLINK("https://app.crepc.sk/?fn=detailBiblioForm&amp;sid=B05445C3B1156175C1CFE1ECCB")</f>
        <v>https://app.crepc.sk/?fn=detailBiblioForm&amp;sid=B05445C3B1156175C1CFE1ECCB</v>
      </c>
    </row>
    <row r="3220" spans="3:5" ht="45" x14ac:dyDescent="0.25">
      <c r="C3220" s="15">
        <v>138288</v>
      </c>
      <c r="D3220" s="4" t="s">
        <v>3224</v>
      </c>
      <c r="E3220" s="4" t="str">
        <f>HYPERLINK("https://app.crepc.sk/?fn=detailBiblioForm&amp;sid=145E94B5E4A069A60CF73DD195")</f>
        <v>https://app.crepc.sk/?fn=detailBiblioForm&amp;sid=145E94B5E4A069A60CF73DD195</v>
      </c>
    </row>
    <row r="3221" spans="3:5" ht="45" x14ac:dyDescent="0.25">
      <c r="C3221" s="15">
        <v>138299</v>
      </c>
      <c r="D3221" s="4" t="s">
        <v>3225</v>
      </c>
      <c r="E3221" s="4" t="str">
        <f>HYPERLINK("https://app.crepc.sk/?fn=detailBiblioForm&amp;sid=145E94B5E4A069A60DF63DD195")</f>
        <v>https://app.crepc.sk/?fn=detailBiblioForm&amp;sid=145E94B5E4A069A60DF63DD195</v>
      </c>
    </row>
    <row r="3222" spans="3:5" ht="60" x14ac:dyDescent="0.25">
      <c r="C3222" s="15">
        <v>52069</v>
      </c>
      <c r="D3222" s="4" t="s">
        <v>3226</v>
      </c>
      <c r="E3222" s="4" t="str">
        <f>HYPERLINK("https://app.crepc.sk/?fn=detailBiblioForm&amp;sid=284F288FAAA9BEBBA1E30D2A")</f>
        <v>https://app.crepc.sk/?fn=detailBiblioForm&amp;sid=284F288FAAA9BEBBA1E30D2A</v>
      </c>
    </row>
    <row r="3223" spans="3:5" ht="45" x14ac:dyDescent="0.25">
      <c r="C3223" s="15">
        <v>133133</v>
      </c>
      <c r="D3223" s="4" t="s">
        <v>3227</v>
      </c>
      <c r="E3223" s="4" t="str">
        <f>HYPERLINK("https://app.crepc.sk/?fn=detailBiblioForm&amp;sid=A87535322FFBFE64C9D1F88649")</f>
        <v>https://app.crepc.sk/?fn=detailBiblioForm&amp;sid=A87535322FFBFE64C9D1F88649</v>
      </c>
    </row>
    <row r="3224" spans="3:5" ht="45" x14ac:dyDescent="0.25">
      <c r="C3224" s="15">
        <v>186049</v>
      </c>
      <c r="D3224" s="4" t="s">
        <v>3228</v>
      </c>
      <c r="E3224" s="4" t="str">
        <f>HYPERLINK("https://app.crepc.sk/?fn=detailBiblioForm&amp;sid=12BF14ADF430A4F4B9FD3AA239")</f>
        <v>https://app.crepc.sk/?fn=detailBiblioForm&amp;sid=12BF14ADF430A4F4B9FD3AA239</v>
      </c>
    </row>
    <row r="3225" spans="3:5" ht="60" x14ac:dyDescent="0.25">
      <c r="C3225" s="15">
        <v>121338</v>
      </c>
      <c r="D3225" s="4" t="s">
        <v>3229</v>
      </c>
      <c r="E3225" s="4" t="str">
        <f>HYPERLINK("https://app.crepc.sk/?fn=detailBiblioForm&amp;sid=EFDADBCCBBDB1A63B9B93C2371")</f>
        <v>https://app.crepc.sk/?fn=detailBiblioForm&amp;sid=EFDADBCCBBDB1A63B9B93C2371</v>
      </c>
    </row>
    <row r="3226" spans="3:5" ht="45" x14ac:dyDescent="0.25">
      <c r="C3226" s="15">
        <v>204406</v>
      </c>
      <c r="D3226" s="4" t="s">
        <v>3230</v>
      </c>
      <c r="E3226" s="4" t="str">
        <f>HYPERLINK("https://app.crepc.sk/?fn=detailBiblioForm&amp;sid=750C8F7143D97E71E86753FEA9")</f>
        <v>https://app.crepc.sk/?fn=detailBiblioForm&amp;sid=750C8F7143D97E71E86753FEA9</v>
      </c>
    </row>
    <row r="3227" spans="3:5" ht="45" x14ac:dyDescent="0.25">
      <c r="C3227" s="15">
        <v>204407</v>
      </c>
      <c r="D3227" s="4" t="s">
        <v>3231</v>
      </c>
      <c r="E3227" s="4" t="str">
        <f>HYPERLINK("https://app.crepc.sk/?fn=detailBiblioForm&amp;sid=750C8F7143D97E71E86653FEA9")</f>
        <v>https://app.crepc.sk/?fn=detailBiblioForm&amp;sid=750C8F7143D97E71E86653FEA9</v>
      </c>
    </row>
    <row r="3228" spans="3:5" ht="45" x14ac:dyDescent="0.25">
      <c r="C3228" s="15">
        <v>120814</v>
      </c>
      <c r="D3228" s="4" t="s">
        <v>3232</v>
      </c>
      <c r="E3228" s="4" t="str">
        <f>HYPERLINK("https://app.crepc.sk/?fn=detailBiblioForm&amp;sid=0A8AE641E757DE6069B279B0B3")</f>
        <v>https://app.crepc.sk/?fn=detailBiblioForm&amp;sid=0A8AE641E757DE6069B279B0B3</v>
      </c>
    </row>
    <row r="3229" spans="3:5" ht="90" x14ac:dyDescent="0.25">
      <c r="C3229" s="15">
        <v>250925</v>
      </c>
      <c r="D3229" s="4" t="s">
        <v>3233</v>
      </c>
      <c r="E3229" s="4" t="str">
        <f>HYPERLINK("https://app.crepc.sk/?fn=detailBiblioForm&amp;sid=34C65924D82E7788E3BF9D7952")</f>
        <v>https://app.crepc.sk/?fn=detailBiblioForm&amp;sid=34C65924D82E7788E3BF9D7952</v>
      </c>
    </row>
    <row r="3230" spans="3:5" ht="105" x14ac:dyDescent="0.25">
      <c r="C3230" s="15">
        <v>183033</v>
      </c>
      <c r="D3230" s="4" t="s">
        <v>3234</v>
      </c>
      <c r="E3230" s="4" t="str">
        <f>HYPERLINK("https://app.crepc.sk/?fn=detailBiblioForm&amp;sid=ACFB8EE4E98483452D4DDB10BB")</f>
        <v>https://app.crepc.sk/?fn=detailBiblioForm&amp;sid=ACFB8EE4E98483452D4DDB10BB</v>
      </c>
    </row>
    <row r="3231" spans="3:5" ht="75" x14ac:dyDescent="0.25">
      <c r="C3231" s="15">
        <v>162824</v>
      </c>
      <c r="D3231" s="4" t="s">
        <v>3235</v>
      </c>
      <c r="E3231" s="4" t="str">
        <f>HYPERLINK("https://app.crepc.sk/?fn=detailBiblioForm&amp;sid=1383B27F49E7628F58D5DE5229")</f>
        <v>https://app.crepc.sk/?fn=detailBiblioForm&amp;sid=1383B27F49E7628F58D5DE5229</v>
      </c>
    </row>
    <row r="3232" spans="3:5" ht="60" x14ac:dyDescent="0.25">
      <c r="C3232" s="15">
        <v>141432</v>
      </c>
      <c r="D3232" s="4" t="s">
        <v>3236</v>
      </c>
      <c r="E3232" s="4" t="str">
        <f>HYPERLINK("https://app.crepc.sk/?fn=detailBiblioForm&amp;sid=FF44C990A7CA883E4C8C308485")</f>
        <v>https://app.crepc.sk/?fn=detailBiblioForm&amp;sid=FF44C990A7CA883E4C8C308485</v>
      </c>
    </row>
    <row r="3233" spans="3:5" ht="75" x14ac:dyDescent="0.25">
      <c r="C3233" s="15">
        <v>431380</v>
      </c>
      <c r="D3233" s="4" t="s">
        <v>3237</v>
      </c>
      <c r="E3233" s="4" t="str">
        <f>HYPERLINK("https://app.crepc.sk/?fn=detailBiblioForm&amp;sid=3B4E0D23E18AC9251753CCD577")</f>
        <v>https://app.crepc.sk/?fn=detailBiblioForm&amp;sid=3B4E0D23E18AC9251753CCD577</v>
      </c>
    </row>
    <row r="3234" spans="3:5" ht="60" x14ac:dyDescent="0.25">
      <c r="C3234" s="15">
        <v>147523</v>
      </c>
      <c r="D3234" s="4" t="s">
        <v>3238</v>
      </c>
      <c r="E3234" s="4" t="str">
        <f>HYPERLINK("https://app.crepc.sk/?fn=detailBiblioForm&amp;sid=427371B0090519B80641BF379E")</f>
        <v>https://app.crepc.sk/?fn=detailBiblioForm&amp;sid=427371B0090519B80641BF379E</v>
      </c>
    </row>
    <row r="3235" spans="3:5" ht="60" x14ac:dyDescent="0.25">
      <c r="C3235" s="15">
        <v>223930</v>
      </c>
      <c r="D3235" s="4" t="s">
        <v>3239</v>
      </c>
      <c r="E3235" s="4" t="str">
        <f>HYPERLINK("https://app.crepc.sk/?fn=detailBiblioForm&amp;sid=580091835B90645256842973D0")</f>
        <v>https://app.crepc.sk/?fn=detailBiblioForm&amp;sid=580091835B90645256842973D0</v>
      </c>
    </row>
    <row r="3236" spans="3:5" ht="60" x14ac:dyDescent="0.25">
      <c r="C3236" s="15">
        <v>424482</v>
      </c>
      <c r="D3236" s="4" t="s">
        <v>3240</v>
      </c>
      <c r="E3236" s="4" t="str">
        <f>HYPERLINK("https://app.crepc.sk/?fn=detailBiblioForm&amp;sid=40A350F05C48D697D72847D983")</f>
        <v>https://app.crepc.sk/?fn=detailBiblioForm&amp;sid=40A350F05C48D697D72847D983</v>
      </c>
    </row>
    <row r="3237" spans="3:5" ht="60" x14ac:dyDescent="0.25">
      <c r="C3237" s="15">
        <v>116626</v>
      </c>
      <c r="D3237" s="4" t="s">
        <v>3241</v>
      </c>
      <c r="E3237" s="4" t="str">
        <f>HYPERLINK("https://app.crepc.sk/?fn=detailBiblioForm&amp;sid=C7058B2E53B5EC4D92110DAE3B")</f>
        <v>https://app.crepc.sk/?fn=detailBiblioForm&amp;sid=C7058B2E53B5EC4D92110DAE3B</v>
      </c>
    </row>
    <row r="3238" spans="3:5" ht="60" x14ac:dyDescent="0.25">
      <c r="C3238" s="15">
        <v>116621</v>
      </c>
      <c r="D3238" s="4" t="s">
        <v>3242</v>
      </c>
      <c r="E3238" s="4" t="str">
        <f>HYPERLINK("https://app.crepc.sk/?fn=detailBiblioForm&amp;sid=C7058B2E53B5EC4D92160DAE3B")</f>
        <v>https://app.crepc.sk/?fn=detailBiblioForm&amp;sid=C7058B2E53B5EC4D92160DAE3B</v>
      </c>
    </row>
    <row r="3239" spans="3:5" ht="75" x14ac:dyDescent="0.25">
      <c r="C3239" s="15">
        <v>126160</v>
      </c>
      <c r="D3239" s="4" t="s">
        <v>3243</v>
      </c>
      <c r="E3239" s="4" t="str">
        <f>HYPERLINK("https://app.crepc.sk/?fn=detailBiblioForm&amp;sid=1C98E395077C31135458831412")</f>
        <v>https://app.crepc.sk/?fn=detailBiblioForm&amp;sid=1C98E395077C31135458831412</v>
      </c>
    </row>
    <row r="3240" spans="3:5" ht="60" x14ac:dyDescent="0.25">
      <c r="C3240" s="15">
        <v>137320</v>
      </c>
      <c r="D3240" s="4" t="s">
        <v>3244</v>
      </c>
      <c r="E3240" s="4" t="str">
        <f>HYPERLINK("https://app.crepc.sk/?fn=detailBiblioForm&amp;sid=CD0F3DD308605F9676E97B5CB6")</f>
        <v>https://app.crepc.sk/?fn=detailBiblioForm&amp;sid=CD0F3DD308605F9676E97B5CB6</v>
      </c>
    </row>
    <row r="3241" spans="3:5" ht="75" x14ac:dyDescent="0.25">
      <c r="C3241" s="15">
        <v>51161</v>
      </c>
      <c r="D3241" s="4" t="s">
        <v>3245</v>
      </c>
      <c r="E3241" s="4" t="str">
        <f>HYPERLINK("https://app.crepc.sk/?fn=detailBiblioForm&amp;sid=884D2D1501E1614478CEEDDE")</f>
        <v>https://app.crepc.sk/?fn=detailBiblioForm&amp;sid=884D2D1501E1614478CEEDDE</v>
      </c>
    </row>
    <row r="3242" spans="3:5" ht="60" x14ac:dyDescent="0.25">
      <c r="C3242" s="15">
        <v>429174</v>
      </c>
      <c r="D3242" s="4" t="s">
        <v>3246</v>
      </c>
      <c r="E3242" s="4" t="str">
        <f>HYPERLINK("https://app.crepc.sk/?fn=detailBiblioForm&amp;sid=1F960971EB794925E5F63E5078")</f>
        <v>https://app.crepc.sk/?fn=detailBiblioForm&amp;sid=1F960971EB794925E5F63E5078</v>
      </c>
    </row>
    <row r="3243" spans="3:5" ht="60" x14ac:dyDescent="0.25">
      <c r="C3243" s="15">
        <v>52066</v>
      </c>
      <c r="D3243" s="4" t="s">
        <v>3247</v>
      </c>
      <c r="E3243" s="4" t="str">
        <f>HYPERLINK("https://app.crepc.sk/?fn=detailBiblioForm&amp;sid=284F288FAAA9BEBBAEE30D2A")</f>
        <v>https://app.crepc.sk/?fn=detailBiblioForm&amp;sid=284F288FAAA9BEBBAEE30D2A</v>
      </c>
    </row>
    <row r="3244" spans="3:5" ht="60" x14ac:dyDescent="0.25">
      <c r="C3244" s="15">
        <v>203990</v>
      </c>
      <c r="D3244" s="4" t="s">
        <v>3248</v>
      </c>
      <c r="E3244" s="4" t="str">
        <f>HYPERLINK("https://app.crepc.sk/?fn=detailBiblioForm&amp;sid=F912B4A50847FB6288BC103CA1")</f>
        <v>https://app.crepc.sk/?fn=detailBiblioForm&amp;sid=F912B4A50847FB6288BC103CA1</v>
      </c>
    </row>
    <row r="3245" spans="3:5" ht="60" x14ac:dyDescent="0.25">
      <c r="C3245" s="15">
        <v>161433</v>
      </c>
      <c r="D3245" s="4" t="s">
        <v>3249</v>
      </c>
      <c r="E3245" s="4" t="str">
        <f>HYPERLINK("https://app.crepc.sk/?fn=detailBiblioForm&amp;sid=72994EA9AD52E4DE489521105F")</f>
        <v>https://app.crepc.sk/?fn=detailBiblioForm&amp;sid=72994EA9AD52E4DE489521105F</v>
      </c>
    </row>
    <row r="3246" spans="3:5" ht="45" x14ac:dyDescent="0.25">
      <c r="C3246" s="15">
        <v>234102</v>
      </c>
      <c r="D3246" s="4" t="s">
        <v>3250</v>
      </c>
      <c r="E3246" s="4" t="str">
        <f>HYPERLINK("https://app.crepc.sk/?fn=detailBiblioForm&amp;sid=296641D250251057AD502EC834")</f>
        <v>https://app.crepc.sk/?fn=detailBiblioForm&amp;sid=296641D250251057AD502EC834</v>
      </c>
    </row>
    <row r="3247" spans="3:5" ht="45" x14ac:dyDescent="0.25">
      <c r="C3247" s="15">
        <v>245242</v>
      </c>
      <c r="D3247" s="4" t="s">
        <v>3251</v>
      </c>
      <c r="E3247" s="4" t="str">
        <f>HYPERLINK("https://app.crepc.sk/?fn=detailBiblioForm&amp;sid=BDD02C6927F03517750A5D9292")</f>
        <v>https://app.crepc.sk/?fn=detailBiblioForm&amp;sid=BDD02C6927F03517750A5D9292</v>
      </c>
    </row>
    <row r="3248" spans="3:5" ht="45" x14ac:dyDescent="0.25">
      <c r="C3248" s="15">
        <v>115727</v>
      </c>
      <c r="D3248" s="4" t="s">
        <v>3252</v>
      </c>
      <c r="E3248" s="4" t="str">
        <f>HYPERLINK("https://app.crepc.sk/?fn=detailBiblioForm&amp;sid=D6D3FA1F9AF5FFB8A367CC7F52")</f>
        <v>https://app.crepc.sk/?fn=detailBiblioForm&amp;sid=D6D3FA1F9AF5FFB8A367CC7F52</v>
      </c>
    </row>
    <row r="3249" spans="3:5" ht="45" x14ac:dyDescent="0.25">
      <c r="C3249" s="15">
        <v>254199</v>
      </c>
      <c r="D3249" s="4" t="s">
        <v>3253</v>
      </c>
      <c r="E3249" s="4" t="str">
        <f>HYPERLINK("https://app.crepc.sk/?fn=detailBiblioForm&amp;sid=5626D67ABF6ED4EEC0695A2CB8")</f>
        <v>https://app.crepc.sk/?fn=detailBiblioForm&amp;sid=5626D67ABF6ED4EEC0695A2CB8</v>
      </c>
    </row>
    <row r="3250" spans="3:5" ht="60" x14ac:dyDescent="0.25">
      <c r="C3250" s="15">
        <v>115718</v>
      </c>
      <c r="D3250" s="4" t="s">
        <v>3254</v>
      </c>
      <c r="E3250" s="4" t="str">
        <f>HYPERLINK("https://app.crepc.sk/?fn=detailBiblioForm&amp;sid=D6D3FA1F9AF5FFB8A068CC7F52")</f>
        <v>https://app.crepc.sk/?fn=detailBiblioForm&amp;sid=D6D3FA1F9AF5FFB8A068CC7F52</v>
      </c>
    </row>
    <row r="3251" spans="3:5" ht="45" x14ac:dyDescent="0.25">
      <c r="C3251" s="15">
        <v>225359</v>
      </c>
      <c r="D3251" s="4" t="s">
        <v>3255</v>
      </c>
      <c r="E3251" s="4" t="str">
        <f>HYPERLINK("https://app.crepc.sk/?fn=detailBiblioForm&amp;sid=B821F9E3E81A9BB89F17CA5D86")</f>
        <v>https://app.crepc.sk/?fn=detailBiblioForm&amp;sid=B821F9E3E81A9BB89F17CA5D86</v>
      </c>
    </row>
    <row r="3252" spans="3:5" ht="60" x14ac:dyDescent="0.25">
      <c r="C3252" s="15">
        <v>440611</v>
      </c>
      <c r="D3252" s="4" t="s">
        <v>3256</v>
      </c>
      <c r="E3252" s="4" t="str">
        <f>HYPERLINK("https://app.crepc.sk/?fn=detailBiblioForm&amp;sid=41D0612371856B8759DD4486F7")</f>
        <v>https://app.crepc.sk/?fn=detailBiblioForm&amp;sid=41D0612371856B8759DD4486F7</v>
      </c>
    </row>
    <row r="3253" spans="3:5" ht="60" x14ac:dyDescent="0.25">
      <c r="C3253" s="15">
        <v>126489</v>
      </c>
      <c r="D3253" s="4" t="s">
        <v>3257</v>
      </c>
      <c r="E3253" s="4" t="str">
        <f>HYPERLINK("https://app.crepc.sk/?fn=detailBiblioForm&amp;sid=D06FCBD82F9002B64E4FB097C2")</f>
        <v>https://app.crepc.sk/?fn=detailBiblioForm&amp;sid=D06FCBD82F9002B64E4FB097C2</v>
      </c>
    </row>
    <row r="3254" spans="3:5" ht="60" x14ac:dyDescent="0.25">
      <c r="C3254" s="15">
        <v>101996</v>
      </c>
      <c r="D3254" s="4" t="s">
        <v>3258</v>
      </c>
      <c r="E3254" s="4" t="str">
        <f>HYPERLINK("https://app.crepc.sk/?fn=detailBiblioForm&amp;sid=D80D1AB294E7FDBA3D75AEC1B2")</f>
        <v>https://app.crepc.sk/?fn=detailBiblioForm&amp;sid=D80D1AB294E7FDBA3D75AEC1B2</v>
      </c>
    </row>
    <row r="3255" spans="3:5" ht="60" x14ac:dyDescent="0.25">
      <c r="C3255" s="15">
        <v>179609</v>
      </c>
      <c r="D3255" s="4" t="s">
        <v>3259</v>
      </c>
      <c r="E3255" s="4" t="str">
        <f>HYPERLINK("https://app.crepc.sk/?fn=detailBiblioForm&amp;sid=E800E35B75A4A8F937012F3FB2")</f>
        <v>https://app.crepc.sk/?fn=detailBiblioForm&amp;sid=E800E35B75A4A8F937012F3FB2</v>
      </c>
    </row>
    <row r="3256" spans="3:5" ht="45" x14ac:dyDescent="0.25">
      <c r="C3256" s="15">
        <v>255644</v>
      </c>
      <c r="D3256" s="4" t="s">
        <v>3260</v>
      </c>
      <c r="E3256" s="4" t="str">
        <f>HYPERLINK("https://app.crepc.sk/?fn=detailBiblioForm&amp;sid=EE7AC10E01D02473FBB2919967")</f>
        <v>https://app.crepc.sk/?fn=detailBiblioForm&amp;sid=EE7AC10E01D02473FBB2919967</v>
      </c>
    </row>
    <row r="3257" spans="3:5" ht="45" x14ac:dyDescent="0.25">
      <c r="C3257" s="15">
        <v>246827</v>
      </c>
      <c r="D3257" s="4" t="s">
        <v>3261</v>
      </c>
      <c r="E3257" s="4" t="str">
        <f>HYPERLINK("https://app.crepc.sk/?fn=detailBiblioForm&amp;sid=9E4CFCC9DDD0ADD6AF1866562E")</f>
        <v>https://app.crepc.sk/?fn=detailBiblioForm&amp;sid=9E4CFCC9DDD0ADD6AF1866562E</v>
      </c>
    </row>
    <row r="3258" spans="3:5" ht="45" x14ac:dyDescent="0.25">
      <c r="C3258" s="15">
        <v>116228</v>
      </c>
      <c r="D3258" s="4" t="s">
        <v>3262</v>
      </c>
      <c r="E3258" s="4" t="str">
        <f>HYPERLINK("https://app.crepc.sk/?fn=detailBiblioForm&amp;sid=E13542FA17D512302B9C563330")</f>
        <v>https://app.crepc.sk/?fn=detailBiblioForm&amp;sid=E13542FA17D512302B9C563330</v>
      </c>
    </row>
    <row r="3259" spans="3:5" ht="60" x14ac:dyDescent="0.25">
      <c r="C3259" s="15">
        <v>189725</v>
      </c>
      <c r="D3259" s="4" t="s">
        <v>3263</v>
      </c>
      <c r="E3259" s="4" t="str">
        <f>HYPERLINK("https://app.crepc.sk/?fn=detailBiblioForm&amp;sid=ECD7BDABE461DD05CC30FD20C5")</f>
        <v>https://app.crepc.sk/?fn=detailBiblioForm&amp;sid=ECD7BDABE461DD05CC30FD20C5</v>
      </c>
    </row>
    <row r="3260" spans="3:5" ht="45" x14ac:dyDescent="0.25">
      <c r="C3260" s="15">
        <v>96531</v>
      </c>
      <c r="D3260" s="4" t="s">
        <v>3264</v>
      </c>
      <c r="E3260" s="4" t="str">
        <f>HYPERLINK("https://app.crepc.sk/?fn=detailBiblioForm&amp;sid=8AA1DF69EAC42129208388FF")</f>
        <v>https://app.crepc.sk/?fn=detailBiblioForm&amp;sid=8AA1DF69EAC42129208388FF</v>
      </c>
    </row>
    <row r="3261" spans="3:5" ht="60" x14ac:dyDescent="0.25">
      <c r="C3261" s="15">
        <v>442296</v>
      </c>
      <c r="D3261" s="4" t="s">
        <v>3265</v>
      </c>
      <c r="E3261" s="4" t="str">
        <f>HYPERLINK("https://app.crepc.sk/?fn=detailBiblioForm&amp;sid=449A78BFE483A8EAF4F149C553")</f>
        <v>https://app.crepc.sk/?fn=detailBiblioForm&amp;sid=449A78BFE483A8EAF4F149C553</v>
      </c>
    </row>
    <row r="3262" spans="3:5" ht="45" x14ac:dyDescent="0.25">
      <c r="C3262" s="15">
        <v>184284</v>
      </c>
      <c r="D3262" s="4" t="s">
        <v>3266</v>
      </c>
      <c r="E3262" s="4" t="str">
        <f>HYPERLINK("https://app.crepc.sk/?fn=detailBiblioForm&amp;sid=51C176E8478ABC8F8A7363848B")</f>
        <v>https://app.crepc.sk/?fn=detailBiblioForm&amp;sid=51C176E8478ABC8F8A7363848B</v>
      </c>
    </row>
    <row r="3263" spans="3:5" ht="75" x14ac:dyDescent="0.25">
      <c r="C3263" s="15">
        <v>182656</v>
      </c>
      <c r="D3263" s="4" t="s">
        <v>3267</v>
      </c>
      <c r="E3263" s="4" t="str">
        <f>HYPERLINK("https://app.crepc.sk/?fn=detailBiblioForm&amp;sid=AA9A59A4FA5B9CCA5C932111BD")</f>
        <v>https://app.crepc.sk/?fn=detailBiblioForm&amp;sid=AA9A59A4FA5B9CCA5C932111BD</v>
      </c>
    </row>
    <row r="3264" spans="3:5" ht="60" x14ac:dyDescent="0.25">
      <c r="C3264" s="15">
        <v>87942</v>
      </c>
      <c r="D3264" s="4" t="s">
        <v>3268</v>
      </c>
      <c r="E3264" s="4" t="str">
        <f>HYPERLINK("https://app.crepc.sk/?fn=detailBiblioForm&amp;sid=52E278B0DE3372C48C167FEE")</f>
        <v>https://app.crepc.sk/?fn=detailBiblioForm&amp;sid=52E278B0DE3372C48C167FEE</v>
      </c>
    </row>
    <row r="3265" spans="3:5" ht="45" x14ac:dyDescent="0.25">
      <c r="C3265" s="15">
        <v>175533</v>
      </c>
      <c r="D3265" s="4" t="s">
        <v>3269</v>
      </c>
      <c r="E3265" s="4" t="str">
        <f>HYPERLINK("https://app.crepc.sk/?fn=detailBiblioForm&amp;sid=83298E4B591633891D8FB6AF32")</f>
        <v>https://app.crepc.sk/?fn=detailBiblioForm&amp;sid=83298E4B591633891D8FB6AF32</v>
      </c>
    </row>
    <row r="3266" spans="3:5" ht="45" x14ac:dyDescent="0.25">
      <c r="C3266" s="15">
        <v>437819</v>
      </c>
      <c r="D3266" s="4" t="s">
        <v>3270</v>
      </c>
      <c r="E3266" s="4" t="str">
        <f>HYPERLINK("https://app.crepc.sk/?fn=detailBiblioForm&amp;sid=CB094769097E3364E41C8633D1")</f>
        <v>https://app.crepc.sk/?fn=detailBiblioForm&amp;sid=CB094769097E3364E41C8633D1</v>
      </c>
    </row>
    <row r="3267" spans="3:5" ht="60" x14ac:dyDescent="0.25">
      <c r="C3267" s="15">
        <v>53716</v>
      </c>
      <c r="D3267" s="4" t="s">
        <v>3271</v>
      </c>
      <c r="E3267" s="4" t="str">
        <f>HYPERLINK("https://app.crepc.sk/?fn=detailBiblioForm&amp;sid=C62129F841A643280F092250")</f>
        <v>https://app.crepc.sk/?fn=detailBiblioForm&amp;sid=C62129F841A643280F092250</v>
      </c>
    </row>
    <row r="3268" spans="3:5" ht="75" x14ac:dyDescent="0.25">
      <c r="C3268" s="15">
        <v>203913</v>
      </c>
      <c r="D3268" s="4" t="s">
        <v>3272</v>
      </c>
      <c r="E3268" s="4" t="str">
        <f>HYPERLINK("https://app.crepc.sk/?fn=detailBiblioForm&amp;sid=F912B4A50847FB6280BF103CA1")</f>
        <v>https://app.crepc.sk/?fn=detailBiblioForm&amp;sid=F912B4A50847FB6280BF103CA1</v>
      </c>
    </row>
    <row r="3269" spans="3:5" ht="75" x14ac:dyDescent="0.25">
      <c r="C3269" s="15">
        <v>95498</v>
      </c>
      <c r="D3269" s="4" t="s">
        <v>3273</v>
      </c>
      <c r="E3269" s="4" t="str">
        <f>HYPERLINK("https://app.crepc.sk/?fn=detailBiblioForm&amp;sid=76005098D165B57D334B1E45")</f>
        <v>https://app.crepc.sk/?fn=detailBiblioForm&amp;sid=76005098D165B57D334B1E45</v>
      </c>
    </row>
    <row r="3270" spans="3:5" ht="45" x14ac:dyDescent="0.25">
      <c r="C3270" s="15">
        <v>196970</v>
      </c>
      <c r="D3270" s="4" t="s">
        <v>3274</v>
      </c>
      <c r="E3270" s="4" t="str">
        <f>HYPERLINK("https://app.crepc.sk/?fn=detailBiblioForm&amp;sid=FD2A61625DB31BB35159FEE577")</f>
        <v>https://app.crepc.sk/?fn=detailBiblioForm&amp;sid=FD2A61625DB31BB35159FEE577</v>
      </c>
    </row>
    <row r="3271" spans="3:5" ht="45" x14ac:dyDescent="0.25">
      <c r="C3271" s="15">
        <v>127259</v>
      </c>
      <c r="D3271" s="4" t="s">
        <v>3275</v>
      </c>
      <c r="E3271" s="4" t="str">
        <f>HYPERLINK("https://app.crepc.sk/?fn=detailBiblioForm&amp;sid=5C148BAA13C74FFF3860FF1A72")</f>
        <v>https://app.crepc.sk/?fn=detailBiblioForm&amp;sid=5C148BAA13C74FFF3860FF1A72</v>
      </c>
    </row>
    <row r="3272" spans="3:5" ht="60" x14ac:dyDescent="0.25">
      <c r="C3272" s="15">
        <v>180836</v>
      </c>
      <c r="D3272" s="4" t="s">
        <v>3276</v>
      </c>
      <c r="E3272" s="4" t="str">
        <f>HYPERLINK("https://app.crepc.sk/?fn=detailBiblioForm&amp;sid=CAE3E57F1FDC62BA2ABAB4FED8")</f>
        <v>https://app.crepc.sk/?fn=detailBiblioForm&amp;sid=CAE3E57F1FDC62BA2ABAB4FED8</v>
      </c>
    </row>
    <row r="3273" spans="3:5" ht="60" x14ac:dyDescent="0.25">
      <c r="C3273" s="15">
        <v>236283</v>
      </c>
      <c r="D3273" s="4" t="s">
        <v>3277</v>
      </c>
      <c r="E3273" s="4" t="str">
        <f>HYPERLINK("https://app.crepc.sk/?fn=detailBiblioForm&amp;sid=C110776E543635D213B5A03168")</f>
        <v>https://app.crepc.sk/?fn=detailBiblioForm&amp;sid=C110776E543635D213B5A03168</v>
      </c>
    </row>
    <row r="3274" spans="3:5" ht="60" x14ac:dyDescent="0.25">
      <c r="C3274" s="15">
        <v>166571</v>
      </c>
      <c r="D3274" s="4" t="s">
        <v>3278</v>
      </c>
      <c r="E3274" s="4" t="str">
        <f>HYPERLINK("https://app.crepc.sk/?fn=detailBiblioForm&amp;sid=CBF19E20E3617CA9F040E89637")</f>
        <v>https://app.crepc.sk/?fn=detailBiblioForm&amp;sid=CBF19E20E3617CA9F040E89637</v>
      </c>
    </row>
    <row r="3275" spans="3:5" ht="45" x14ac:dyDescent="0.25">
      <c r="C3275" s="15">
        <v>138571</v>
      </c>
      <c r="D3275" s="4" t="s">
        <v>3279</v>
      </c>
      <c r="E3275" s="4" t="str">
        <f>HYPERLINK("https://app.crepc.sk/?fn=detailBiblioForm&amp;sid=BCBBF6F1CE9D98DE3F027122CC")</f>
        <v>https://app.crepc.sk/?fn=detailBiblioForm&amp;sid=BCBBF6F1CE9D98DE3F027122CC</v>
      </c>
    </row>
    <row r="3276" spans="3:5" ht="60" x14ac:dyDescent="0.25">
      <c r="C3276" s="15">
        <v>424065</v>
      </c>
      <c r="D3276" s="4" t="s">
        <v>3280</v>
      </c>
      <c r="E3276" s="4" t="str">
        <f>HYPERLINK("https://app.crepc.sk/?fn=detailBiblioForm&amp;sid=BA457766276C186FCF5F02CEDF")</f>
        <v>https://app.crepc.sk/?fn=detailBiblioForm&amp;sid=BA457766276C186FCF5F02CEDF</v>
      </c>
    </row>
    <row r="3277" spans="3:5" ht="45" x14ac:dyDescent="0.25">
      <c r="C3277" s="15">
        <v>314425</v>
      </c>
      <c r="D3277" s="4" t="s">
        <v>3281</v>
      </c>
      <c r="E3277" s="4" t="str">
        <f>HYPERLINK("https://app.crepc.sk/?fn=detailBiblioForm&amp;sid=C7E6A58A421B62336FC7B6DFEA")</f>
        <v>https://app.crepc.sk/?fn=detailBiblioForm&amp;sid=C7E6A58A421B62336FC7B6DFEA</v>
      </c>
    </row>
    <row r="3278" spans="3:5" ht="60" x14ac:dyDescent="0.25">
      <c r="C3278" s="15">
        <v>429383</v>
      </c>
      <c r="D3278" s="4" t="s">
        <v>3282</v>
      </c>
      <c r="E3278" s="4" t="str">
        <f>HYPERLINK("https://app.crepc.sk/?fn=detailBiblioForm&amp;sid=950E93B0DC0E71F467EEAD9938")</f>
        <v>https://app.crepc.sk/?fn=detailBiblioForm&amp;sid=950E93B0DC0E71F467EEAD9938</v>
      </c>
    </row>
    <row r="3279" spans="3:5" ht="60" x14ac:dyDescent="0.25">
      <c r="C3279" s="15">
        <v>436050</v>
      </c>
      <c r="D3279" s="4" t="s">
        <v>3283</v>
      </c>
      <c r="E3279" s="4" t="str">
        <f>HYPERLINK("https://app.crepc.sk/?fn=detailBiblioForm&amp;sid=0D8840D8555AF42F41826A8F01")</f>
        <v>https://app.crepc.sk/?fn=detailBiblioForm&amp;sid=0D8840D8555AF42F41826A8F01</v>
      </c>
    </row>
    <row r="3280" spans="3:5" ht="45" x14ac:dyDescent="0.25">
      <c r="C3280" s="15">
        <v>51630</v>
      </c>
      <c r="D3280" s="4" t="s">
        <v>3284</v>
      </c>
      <c r="E3280" s="4" t="str">
        <f>HYPERLINK("https://app.crepc.sk/?fn=detailBiblioForm&amp;sid=438C694A923EE783CFA54B5C")</f>
        <v>https://app.crepc.sk/?fn=detailBiblioForm&amp;sid=438C694A923EE783CFA54B5C</v>
      </c>
    </row>
    <row r="3281" spans="3:5" ht="90" x14ac:dyDescent="0.25">
      <c r="C3281" s="15">
        <v>249151</v>
      </c>
      <c r="D3281" s="4" t="s">
        <v>3285</v>
      </c>
      <c r="E3281" s="4" t="str">
        <f>HYPERLINK("https://app.crepc.sk/?fn=detailBiblioForm&amp;sid=4E3FC3EF0E33ED0117F5ECDC90")</f>
        <v>https://app.crepc.sk/?fn=detailBiblioForm&amp;sid=4E3FC3EF0E33ED0117F5ECDC90</v>
      </c>
    </row>
    <row r="3282" spans="3:5" ht="45" x14ac:dyDescent="0.25">
      <c r="C3282" s="15">
        <v>107583</v>
      </c>
      <c r="D3282" s="4" t="s">
        <v>3286</v>
      </c>
      <c r="E3282" s="4" t="str">
        <f>HYPERLINK("https://app.crepc.sk/?fn=detailBiblioForm&amp;sid=CF1246C672FE53AF7191AEE68C")</f>
        <v>https://app.crepc.sk/?fn=detailBiblioForm&amp;sid=CF1246C672FE53AF7191AEE68C</v>
      </c>
    </row>
    <row r="3283" spans="3:5" ht="45" x14ac:dyDescent="0.25">
      <c r="C3283" s="15">
        <v>53628</v>
      </c>
      <c r="D3283" s="4" t="s">
        <v>3287</v>
      </c>
      <c r="E3283" s="4" t="str">
        <f>HYPERLINK("https://app.crepc.sk/?fn=detailBiblioForm&amp;sid=F62A944F94E97B7B67BA24C6")</f>
        <v>https://app.crepc.sk/?fn=detailBiblioForm&amp;sid=F62A944F94E97B7B67BA24C6</v>
      </c>
    </row>
    <row r="3284" spans="3:5" ht="60" x14ac:dyDescent="0.25">
      <c r="C3284" s="15">
        <v>219111</v>
      </c>
      <c r="D3284" s="4" t="s">
        <v>3288</v>
      </c>
      <c r="E3284" s="4" t="str">
        <f>HYPERLINK("https://app.crepc.sk/?fn=detailBiblioForm&amp;sid=CA821E2D0F99DD04981E62CF5A")</f>
        <v>https://app.crepc.sk/?fn=detailBiblioForm&amp;sid=CA821E2D0F99DD04981E62CF5A</v>
      </c>
    </row>
    <row r="3285" spans="3:5" ht="60" x14ac:dyDescent="0.25">
      <c r="C3285" s="15">
        <v>442565</v>
      </c>
      <c r="D3285" s="4" t="s">
        <v>3289</v>
      </c>
      <c r="E3285" s="4" t="str">
        <f>HYPERLINK("https://app.crepc.sk/?fn=detailBiblioForm&amp;sid=A9CFFDCBD31163D910A9FD67B2")</f>
        <v>https://app.crepc.sk/?fn=detailBiblioForm&amp;sid=A9CFFDCBD31163D910A9FD67B2</v>
      </c>
    </row>
    <row r="3286" spans="3:5" ht="60" x14ac:dyDescent="0.25">
      <c r="C3286" s="15">
        <v>207432</v>
      </c>
      <c r="D3286" s="4" t="s">
        <v>3290</v>
      </c>
      <c r="E3286" s="4" t="str">
        <f>HYPERLINK("https://app.crepc.sk/?fn=detailBiblioForm&amp;sid=710E036344B29395B88546F5C5")</f>
        <v>https://app.crepc.sk/?fn=detailBiblioForm&amp;sid=710E036344B29395B88546F5C5</v>
      </c>
    </row>
    <row r="3287" spans="3:5" ht="75" x14ac:dyDescent="0.25">
      <c r="C3287" s="15">
        <v>241501</v>
      </c>
      <c r="D3287" s="4" t="s">
        <v>3291</v>
      </c>
      <c r="E3287" s="4" t="str">
        <f>HYPERLINK("https://app.crepc.sk/?fn=detailBiblioForm&amp;sid=2D9339155C1255990B84C98BF0")</f>
        <v>https://app.crepc.sk/?fn=detailBiblioForm&amp;sid=2D9339155C1255990B84C98BF0</v>
      </c>
    </row>
    <row r="3288" spans="3:5" ht="60" x14ac:dyDescent="0.25">
      <c r="C3288" s="15">
        <v>416342</v>
      </c>
      <c r="D3288" s="4" t="s">
        <v>3292</v>
      </c>
      <c r="E3288" s="4" t="str">
        <f>HYPERLINK("https://app.crepc.sk/?fn=detailBiblioForm&amp;sid=02D97EB19DA28A2B962E1F2725")</f>
        <v>https://app.crepc.sk/?fn=detailBiblioForm&amp;sid=02D97EB19DA28A2B962E1F2725</v>
      </c>
    </row>
    <row r="3289" spans="3:5" ht="60" x14ac:dyDescent="0.25">
      <c r="C3289" s="15">
        <v>210904</v>
      </c>
      <c r="D3289" s="4" t="s">
        <v>3293</v>
      </c>
      <c r="E3289" s="4" t="str">
        <f>HYPERLINK("https://app.crepc.sk/?fn=detailBiblioForm&amp;sid=8E8B9FDD7AFEE75C1B4B0D5756")</f>
        <v>https://app.crepc.sk/?fn=detailBiblioForm&amp;sid=8E8B9FDD7AFEE75C1B4B0D5756</v>
      </c>
    </row>
    <row r="3290" spans="3:5" ht="60" x14ac:dyDescent="0.25">
      <c r="C3290" s="15">
        <v>53729</v>
      </c>
      <c r="D3290" s="4" t="s">
        <v>3294</v>
      </c>
      <c r="E3290" s="4" t="str">
        <f>HYPERLINK("https://app.crepc.sk/?fn=detailBiblioForm&amp;sid=6EF3D86DF377A110122F9E79")</f>
        <v>https://app.crepc.sk/?fn=detailBiblioForm&amp;sid=6EF3D86DF377A110122F9E79</v>
      </c>
    </row>
    <row r="3291" spans="3:5" ht="60" x14ac:dyDescent="0.25">
      <c r="C3291" s="15">
        <v>153764</v>
      </c>
      <c r="D3291" s="4" t="s">
        <v>3295</v>
      </c>
      <c r="E3291" s="4" t="str">
        <f>HYPERLINK("https://app.crepc.sk/?fn=detailBiblioForm&amp;sid=85D30AFD358849054D99D2583A")</f>
        <v>https://app.crepc.sk/?fn=detailBiblioForm&amp;sid=85D30AFD358849054D99D2583A</v>
      </c>
    </row>
    <row r="3292" spans="3:5" ht="75" x14ac:dyDescent="0.25">
      <c r="C3292" s="15">
        <v>52071</v>
      </c>
      <c r="D3292" s="4" t="s">
        <v>3296</v>
      </c>
      <c r="E3292" s="4" t="str">
        <f>HYPERLINK("https://app.crepc.sk/?fn=detailBiblioForm&amp;sid=D11D1ECCEF23BB2ACD22814F")</f>
        <v>https://app.crepc.sk/?fn=detailBiblioForm&amp;sid=D11D1ECCEF23BB2ACD22814F</v>
      </c>
    </row>
    <row r="3293" spans="3:5" ht="60" x14ac:dyDescent="0.25">
      <c r="C3293" s="15">
        <v>255840</v>
      </c>
      <c r="D3293" s="4" t="s">
        <v>3297</v>
      </c>
      <c r="E3293" s="4" t="str">
        <f>HYPERLINK("https://app.crepc.sk/?fn=detailBiblioForm&amp;sid=B0B81F2AF3D38590F60C60A9A6")</f>
        <v>https://app.crepc.sk/?fn=detailBiblioForm&amp;sid=B0B81F2AF3D38590F60C60A9A6</v>
      </c>
    </row>
    <row r="3294" spans="3:5" ht="75" x14ac:dyDescent="0.25">
      <c r="C3294" s="15">
        <v>312394</v>
      </c>
      <c r="D3294" s="4" t="s">
        <v>3298</v>
      </c>
      <c r="E3294" s="4" t="str">
        <f>HYPERLINK("https://app.crepc.sk/?fn=detailBiblioForm&amp;sid=4B02C4261583C7B82AAE198635")</f>
        <v>https://app.crepc.sk/?fn=detailBiblioForm&amp;sid=4B02C4261583C7B82AAE198635</v>
      </c>
    </row>
    <row r="3295" spans="3:5" ht="60" x14ac:dyDescent="0.25">
      <c r="C3295" s="15">
        <v>308171</v>
      </c>
      <c r="D3295" s="4" t="s">
        <v>3299</v>
      </c>
      <c r="E3295" s="4" t="str">
        <f>HYPERLINK("https://app.crepc.sk/?fn=detailBiblioForm&amp;sid=FE85522D1D1CC09959A8563951")</f>
        <v>https://app.crepc.sk/?fn=detailBiblioForm&amp;sid=FE85522D1D1CC09959A8563951</v>
      </c>
    </row>
    <row r="3296" spans="3:5" ht="60" x14ac:dyDescent="0.25">
      <c r="C3296" s="15">
        <v>419120</v>
      </c>
      <c r="D3296" s="4" t="s">
        <v>3300</v>
      </c>
      <c r="E3296" s="4" t="str">
        <f>HYPERLINK("https://app.crepc.sk/?fn=detailBiblioForm&amp;sid=52A70A1BEBCB2B35677C5171DB")</f>
        <v>https://app.crepc.sk/?fn=detailBiblioForm&amp;sid=52A70A1BEBCB2B35677C5171DB</v>
      </c>
    </row>
    <row r="3297" spans="3:5" ht="60" x14ac:dyDescent="0.25">
      <c r="C3297" s="15">
        <v>147250</v>
      </c>
      <c r="D3297" s="4" t="s">
        <v>3301</v>
      </c>
      <c r="E3297" s="4" t="str">
        <f>HYPERLINK("https://app.crepc.sk/?fn=detailBiblioForm&amp;sid=E725DF4FE130A806876B3E1791")</f>
        <v>https://app.crepc.sk/?fn=detailBiblioForm&amp;sid=E725DF4FE130A806876B3E1791</v>
      </c>
    </row>
    <row r="3298" spans="3:5" ht="45" x14ac:dyDescent="0.25">
      <c r="C3298" s="15">
        <v>152823</v>
      </c>
      <c r="D3298" s="4" t="s">
        <v>3302</v>
      </c>
      <c r="E3298" s="4" t="str">
        <f>HYPERLINK("https://app.crepc.sk/?fn=detailBiblioForm&amp;sid=4CB0668AE2C8F277B8A7C0BA9E")</f>
        <v>https://app.crepc.sk/?fn=detailBiblioForm&amp;sid=4CB0668AE2C8F277B8A7C0BA9E</v>
      </c>
    </row>
    <row r="3299" spans="3:5" ht="60" x14ac:dyDescent="0.25">
      <c r="C3299" s="15">
        <v>432856</v>
      </c>
      <c r="D3299" s="4" t="s">
        <v>3303</v>
      </c>
      <c r="E3299" s="4" t="str">
        <f>HYPERLINK("https://app.crepc.sk/?fn=detailBiblioForm&amp;sid=60947673AC094B86B56C5A089E")</f>
        <v>https://app.crepc.sk/?fn=detailBiblioForm&amp;sid=60947673AC094B86B56C5A089E</v>
      </c>
    </row>
    <row r="3300" spans="3:5" ht="45" x14ac:dyDescent="0.25">
      <c r="C3300" s="15">
        <v>213912</v>
      </c>
      <c r="D3300" s="4" t="s">
        <v>3304</v>
      </c>
      <c r="E3300" s="4" t="str">
        <f>HYPERLINK("https://app.crepc.sk/?fn=detailBiblioForm&amp;sid=5C150E32B6874145F81F418AD1")</f>
        <v>https://app.crepc.sk/?fn=detailBiblioForm&amp;sid=5C150E32B6874145F81F418AD1</v>
      </c>
    </row>
    <row r="3301" spans="3:5" ht="45" x14ac:dyDescent="0.25">
      <c r="C3301" s="15">
        <v>256765</v>
      </c>
      <c r="D3301" s="4" t="s">
        <v>3305</v>
      </c>
      <c r="E3301" s="4" t="str">
        <f>HYPERLINK("https://app.crepc.sk/?fn=detailBiblioForm&amp;sid=BD0181EEBEB08E4FB2A16E26DA")</f>
        <v>https://app.crepc.sk/?fn=detailBiblioForm&amp;sid=BD0181EEBEB08E4FB2A16E26DA</v>
      </c>
    </row>
    <row r="3302" spans="3:5" ht="60" x14ac:dyDescent="0.25">
      <c r="C3302" s="15">
        <v>456246</v>
      </c>
      <c r="D3302" s="4" t="s">
        <v>3306</v>
      </c>
      <c r="E3302" s="4" t="str">
        <f>HYPERLINK("https://app.crepc.sk/?fn=detailBiblioForm&amp;sid=6766EFDCBF5312AE69DB869615")</f>
        <v>https://app.crepc.sk/?fn=detailBiblioForm&amp;sid=6766EFDCBF5312AE69DB869615</v>
      </c>
    </row>
    <row r="3303" spans="3:5" ht="75" x14ac:dyDescent="0.25">
      <c r="C3303" s="15">
        <v>206764</v>
      </c>
      <c r="D3303" s="4" t="s">
        <v>3307</v>
      </c>
      <c r="E3303" s="4" t="str">
        <f>HYPERLINK("https://app.crepc.sk/?fn=detailBiblioForm&amp;sid=DF29B71B83315C1235996F6198")</f>
        <v>https://app.crepc.sk/?fn=detailBiblioForm&amp;sid=DF29B71B83315C1235996F6198</v>
      </c>
    </row>
    <row r="3304" spans="3:5" ht="60" x14ac:dyDescent="0.25">
      <c r="C3304" s="15">
        <v>100640</v>
      </c>
      <c r="D3304" s="4" t="s">
        <v>3308</v>
      </c>
      <c r="E3304" s="4" t="str">
        <f>HYPERLINK("https://app.crepc.sk/?fn=detailBiblioForm&amp;sid=2204B64E72E25FC8ED6DF15BC1")</f>
        <v>https://app.crepc.sk/?fn=detailBiblioForm&amp;sid=2204B64E72E25FC8ED6DF15BC1</v>
      </c>
    </row>
    <row r="3305" spans="3:5" ht="75" x14ac:dyDescent="0.25">
      <c r="C3305" s="15">
        <v>55356</v>
      </c>
      <c r="D3305" s="4" t="s">
        <v>3309</v>
      </c>
      <c r="E3305" s="4" t="str">
        <f>HYPERLINK("https://app.crepc.sk/?fn=detailBiblioForm&amp;sid=A53A6EE4B8523C2456799A44")</f>
        <v>https://app.crepc.sk/?fn=detailBiblioForm&amp;sid=A53A6EE4B8523C2456799A44</v>
      </c>
    </row>
    <row r="3306" spans="3:5" ht="45" x14ac:dyDescent="0.25">
      <c r="C3306" s="15">
        <v>448026</v>
      </c>
      <c r="D3306" s="4" t="s">
        <v>3310</v>
      </c>
      <c r="E3306" s="4" t="str">
        <f>HYPERLINK("https://app.crepc.sk/?fn=detailBiblioForm&amp;sid=C456FEA07AAA4EFBD6EE4E7345")</f>
        <v>https://app.crepc.sk/?fn=detailBiblioForm&amp;sid=C456FEA07AAA4EFBD6EE4E7345</v>
      </c>
    </row>
    <row r="3307" spans="3:5" ht="45" x14ac:dyDescent="0.25">
      <c r="C3307" s="15">
        <v>175534</v>
      </c>
      <c r="D3307" s="4" t="s">
        <v>3311</v>
      </c>
      <c r="E3307" s="4" t="str">
        <f>HYPERLINK("https://app.crepc.sk/?fn=detailBiblioForm&amp;sid=83298E4B591633891D88B6AF32")</f>
        <v>https://app.crepc.sk/?fn=detailBiblioForm&amp;sid=83298E4B591633891D88B6AF32</v>
      </c>
    </row>
    <row r="3308" spans="3:5" ht="60" x14ac:dyDescent="0.25">
      <c r="C3308" s="15">
        <v>117127</v>
      </c>
      <c r="D3308" s="4" t="s">
        <v>3312</v>
      </c>
      <c r="E3308" s="4" t="str">
        <f>HYPERLINK("https://app.crepc.sk/?fn=detailBiblioForm&amp;sid=6B68A92B6F46FD75E8628F4FE2")</f>
        <v>https://app.crepc.sk/?fn=detailBiblioForm&amp;sid=6B68A92B6F46FD75E8628F4FE2</v>
      </c>
    </row>
    <row r="3309" spans="3:5" ht="75" x14ac:dyDescent="0.25">
      <c r="C3309" s="15">
        <v>316268</v>
      </c>
      <c r="D3309" s="4" t="s">
        <v>3313</v>
      </c>
      <c r="E3309" s="4" t="str">
        <f>HYPERLINK("https://app.crepc.sk/?fn=detailBiblioForm&amp;sid=791E4A260FB3471CCEBCFEBA13")</f>
        <v>https://app.crepc.sk/?fn=detailBiblioForm&amp;sid=791E4A260FB3471CCEBCFEBA13</v>
      </c>
    </row>
    <row r="3310" spans="3:5" ht="60" x14ac:dyDescent="0.25">
      <c r="C3310" s="15">
        <v>201794</v>
      </c>
      <c r="D3310" s="4" t="s">
        <v>3314</v>
      </c>
      <c r="E3310" s="4" t="str">
        <f>HYPERLINK("https://app.crepc.sk/?fn=detailBiblioForm&amp;sid=CFE18BDBA0EFFFD25FA706E0F1")</f>
        <v>https://app.crepc.sk/?fn=detailBiblioForm&amp;sid=CFE18BDBA0EFFFD25FA706E0F1</v>
      </c>
    </row>
    <row r="3311" spans="3:5" ht="45" x14ac:dyDescent="0.25">
      <c r="C3311" s="15">
        <v>308264</v>
      </c>
      <c r="D3311" s="4" t="s">
        <v>3315</v>
      </c>
      <c r="E3311" s="4" t="str">
        <f>HYPERLINK("https://app.crepc.sk/?fn=detailBiblioForm&amp;sid=65F0C0F63AFF658DA1A13F357A")</f>
        <v>https://app.crepc.sk/?fn=detailBiblioForm&amp;sid=65F0C0F63AFF658DA1A13F357A</v>
      </c>
    </row>
    <row r="3312" spans="3:5" ht="45" x14ac:dyDescent="0.25">
      <c r="C3312" s="15">
        <v>196665</v>
      </c>
      <c r="D3312" s="4" t="s">
        <v>3316</v>
      </c>
      <c r="E3312" s="4" t="str">
        <f>HYPERLINK("https://app.crepc.sk/?fn=detailBiblioForm&amp;sid=8A8E655A3835503C41DBDE9D4A")</f>
        <v>https://app.crepc.sk/?fn=detailBiblioForm&amp;sid=8A8E655A3835503C41DBDE9D4A</v>
      </c>
    </row>
    <row r="3313" spans="3:5" ht="60" x14ac:dyDescent="0.25">
      <c r="C3313" s="15">
        <v>211457</v>
      </c>
      <c r="D3313" s="4" t="s">
        <v>3317</v>
      </c>
      <c r="E3313" s="4" t="str">
        <f>HYPERLINK("https://app.crepc.sk/?fn=detailBiblioForm&amp;sid=E68DA448349DA48E373FAC5BDB")</f>
        <v>https://app.crepc.sk/?fn=detailBiblioForm&amp;sid=E68DA448349DA48E373FAC5BDB</v>
      </c>
    </row>
    <row r="3314" spans="3:5" ht="60" x14ac:dyDescent="0.25">
      <c r="C3314" s="15">
        <v>141427</v>
      </c>
      <c r="D3314" s="4" t="s">
        <v>3318</v>
      </c>
      <c r="E3314" s="4" t="str">
        <f>HYPERLINK("https://app.crepc.sk/?fn=detailBiblioForm&amp;sid=FF44C990A7CA883E4D89308485")</f>
        <v>https://app.crepc.sk/?fn=detailBiblioForm&amp;sid=FF44C990A7CA883E4D89308485</v>
      </c>
    </row>
    <row r="3315" spans="3:5" ht="60" x14ac:dyDescent="0.25">
      <c r="C3315" s="15">
        <v>256097</v>
      </c>
      <c r="D3315" s="4" t="s">
        <v>3319</v>
      </c>
      <c r="E3315" s="4" t="str">
        <f>HYPERLINK("https://app.crepc.sk/?fn=detailBiblioForm&amp;sid=E732C8DDBD9775CBEBE3BC2898")</f>
        <v>https://app.crepc.sk/?fn=detailBiblioForm&amp;sid=E732C8DDBD9775CBEBE3BC2898</v>
      </c>
    </row>
    <row r="3316" spans="3:5" ht="60" x14ac:dyDescent="0.25">
      <c r="C3316" s="15">
        <v>431349</v>
      </c>
      <c r="D3316" s="4" t="s">
        <v>3320</v>
      </c>
      <c r="E3316" s="4" t="str">
        <f>HYPERLINK("https://app.crepc.sk/?fn=detailBiblioForm&amp;sid=3B4E0D23E18AC9251B5ACCD577")</f>
        <v>https://app.crepc.sk/?fn=detailBiblioForm&amp;sid=3B4E0D23E18AC9251B5ACCD577</v>
      </c>
    </row>
    <row r="3317" spans="3:5" ht="60" x14ac:dyDescent="0.25">
      <c r="C3317" s="15">
        <v>175854</v>
      </c>
      <c r="D3317" s="4" t="s">
        <v>3321</v>
      </c>
      <c r="E3317" s="4" t="str">
        <f>HYPERLINK("https://app.crepc.sk/?fn=detailBiblioForm&amp;sid=77472A57103095E44F090BB0E4")</f>
        <v>https://app.crepc.sk/?fn=detailBiblioForm&amp;sid=77472A57103095E44F090BB0E4</v>
      </c>
    </row>
    <row r="3318" spans="3:5" ht="45" x14ac:dyDescent="0.25">
      <c r="C3318" s="15">
        <v>96518</v>
      </c>
      <c r="D3318" s="4" t="s">
        <v>3322</v>
      </c>
      <c r="E3318" s="4" t="str">
        <f>HYPERLINK("https://app.crepc.sk/?fn=detailBiblioForm&amp;sid=6B45B9E6744A9FDAC050C6D1")</f>
        <v>https://app.crepc.sk/?fn=detailBiblioForm&amp;sid=6B45B9E6744A9FDAC050C6D1</v>
      </c>
    </row>
    <row r="3319" spans="3:5" ht="45" x14ac:dyDescent="0.25">
      <c r="C3319" s="15">
        <v>212605</v>
      </c>
      <c r="D3319" s="4" t="s">
        <v>3323</v>
      </c>
      <c r="E3319" s="4" t="str">
        <f>HYPERLINK("https://app.crepc.sk/?fn=detailBiblioForm&amp;sid=98C1BC1B72D21E0937A20A25E5")</f>
        <v>https://app.crepc.sk/?fn=detailBiblioForm&amp;sid=98C1BC1B72D21E0937A20A25E5</v>
      </c>
    </row>
    <row r="3320" spans="3:5" ht="45" x14ac:dyDescent="0.25">
      <c r="C3320" s="15">
        <v>256329</v>
      </c>
      <c r="D3320" s="4" t="s">
        <v>3324</v>
      </c>
      <c r="E3320" s="4" t="str">
        <f>HYPERLINK("https://app.crepc.sk/?fn=detailBiblioForm&amp;sid=53338FE5898FBD3D2E966AFB9B")</f>
        <v>https://app.crepc.sk/?fn=detailBiblioForm&amp;sid=53338FE5898FBD3D2E966AFB9B</v>
      </c>
    </row>
    <row r="3321" spans="3:5" ht="60" x14ac:dyDescent="0.25">
      <c r="C3321" s="15">
        <v>164724</v>
      </c>
      <c r="D3321" s="4" t="s">
        <v>3325</v>
      </c>
      <c r="E3321" s="4" t="str">
        <f>HYPERLINK("https://app.crepc.sk/?fn=detailBiblioForm&amp;sid=FD93F7145DB9686268D25BF9A8")</f>
        <v>https://app.crepc.sk/?fn=detailBiblioForm&amp;sid=FD93F7145DB9686268D25BF9A8</v>
      </c>
    </row>
    <row r="3322" spans="3:5" ht="60" x14ac:dyDescent="0.25">
      <c r="C3322" s="15">
        <v>241187</v>
      </c>
      <c r="D3322" s="4" t="s">
        <v>3326</v>
      </c>
      <c r="E3322" s="4" t="str">
        <f>HYPERLINK("https://app.crepc.sk/?fn=detailBiblioForm&amp;sid=65CC8B494803E9B1ECFA404186")</f>
        <v>https://app.crepc.sk/?fn=detailBiblioForm&amp;sid=65CC8B494803E9B1ECFA404186</v>
      </c>
    </row>
    <row r="3323" spans="3:5" ht="60" x14ac:dyDescent="0.25">
      <c r="C3323" s="15">
        <v>192365</v>
      </c>
      <c r="D3323" s="4" t="s">
        <v>3327</v>
      </c>
      <c r="E3323" s="4" t="str">
        <f>HYPERLINK("https://app.crepc.sk/?fn=detailBiblioForm&amp;sid=1D8BE738F5E7AF8C22E774F93C")</f>
        <v>https://app.crepc.sk/?fn=detailBiblioForm&amp;sid=1D8BE738F5E7AF8C22E774F93C</v>
      </c>
    </row>
    <row r="3324" spans="3:5" ht="60" x14ac:dyDescent="0.25">
      <c r="C3324" s="15">
        <v>161677</v>
      </c>
      <c r="D3324" s="4" t="s">
        <v>3328</v>
      </c>
      <c r="E3324" s="4" t="str">
        <f>HYPERLINK("https://app.crepc.sk/?fn=detailBiblioForm&amp;sid=1D69B1A76ABEB527B769BB2E6D")</f>
        <v>https://app.crepc.sk/?fn=detailBiblioForm&amp;sid=1D69B1A76ABEB527B769BB2E6D</v>
      </c>
    </row>
    <row r="3325" spans="3:5" ht="45" x14ac:dyDescent="0.25">
      <c r="C3325" s="15">
        <v>442311</v>
      </c>
      <c r="D3325" s="4" t="s">
        <v>3329</v>
      </c>
      <c r="E3325" s="4" t="str">
        <f>HYPERLINK("https://app.crepc.sk/?fn=detailBiblioForm&amp;sid=F661DE2421DD595D55CC62841D")</f>
        <v>https://app.crepc.sk/?fn=detailBiblioForm&amp;sid=F661DE2421DD595D55CC62841D</v>
      </c>
    </row>
    <row r="3326" spans="3:5" ht="75" x14ac:dyDescent="0.25">
      <c r="C3326" s="15">
        <v>430110</v>
      </c>
      <c r="D3326" s="4" t="s">
        <v>3330</v>
      </c>
      <c r="E3326" s="4" t="str">
        <f>HYPERLINK("https://app.crepc.sk/?fn=detailBiblioForm&amp;sid=D59FFB823ACFE7C7BA8FA00097")</f>
        <v>https://app.crepc.sk/?fn=detailBiblioForm&amp;sid=D59FFB823ACFE7C7BA8FA00097</v>
      </c>
    </row>
    <row r="3327" spans="3:5" ht="45" x14ac:dyDescent="0.25">
      <c r="C3327" s="15">
        <v>221042</v>
      </c>
      <c r="D3327" s="4" t="s">
        <v>3331</v>
      </c>
      <c r="E3327" s="4" t="str">
        <f>HYPERLINK("https://app.crepc.sk/?fn=detailBiblioForm&amp;sid=5ADDE95A25870CB9702B9DE19C")</f>
        <v>https://app.crepc.sk/?fn=detailBiblioForm&amp;sid=5ADDE95A25870CB9702B9DE19C</v>
      </c>
    </row>
    <row r="3328" spans="3:5" ht="60" x14ac:dyDescent="0.25">
      <c r="C3328" s="15">
        <v>430508</v>
      </c>
      <c r="D3328" s="4" t="s">
        <v>3332</v>
      </c>
      <c r="E3328" s="4" t="str">
        <f>HYPERLINK("https://app.crepc.sk/?fn=detailBiblioForm&amp;sid=D833C605E6EC7DAF19764B9A58")</f>
        <v>https://app.crepc.sk/?fn=detailBiblioForm&amp;sid=D833C605E6EC7DAF19764B9A58</v>
      </c>
    </row>
    <row r="3329" spans="3:5" ht="45" x14ac:dyDescent="0.25">
      <c r="C3329" s="15">
        <v>250619</v>
      </c>
      <c r="D3329" s="4" t="s">
        <v>3333</v>
      </c>
      <c r="E3329" s="4" t="str">
        <f>HYPERLINK("https://app.crepc.sk/?fn=detailBiblioForm&amp;sid=16FC383C0A38FF51F12CDD4515")</f>
        <v>https://app.crepc.sk/?fn=detailBiblioForm&amp;sid=16FC383C0A38FF51F12CDD4515</v>
      </c>
    </row>
    <row r="3330" spans="3:5" ht="45" x14ac:dyDescent="0.25">
      <c r="C3330" s="15">
        <v>253838</v>
      </c>
      <c r="D3330" s="4" t="s">
        <v>3334</v>
      </c>
      <c r="E3330" s="4" t="str">
        <f>HYPERLINK("https://app.crepc.sk/?fn=detailBiblioForm&amp;sid=2354EA7DC9CA7BB5D7E5745A60")</f>
        <v>https://app.crepc.sk/?fn=detailBiblioForm&amp;sid=2354EA7DC9CA7BB5D7E5745A60</v>
      </c>
    </row>
    <row r="3331" spans="3:5" ht="75" x14ac:dyDescent="0.25">
      <c r="C3331" s="15">
        <v>155326</v>
      </c>
      <c r="D3331" s="4" t="s">
        <v>3335</v>
      </c>
      <c r="E3331" s="4" t="str">
        <f>HYPERLINK("https://app.crepc.sk/?fn=detailBiblioForm&amp;sid=78AFF12394AFE35F88101C8992")</f>
        <v>https://app.crepc.sk/?fn=detailBiblioForm&amp;sid=78AFF12394AFE35F88101C8992</v>
      </c>
    </row>
    <row r="3332" spans="3:5" ht="60" x14ac:dyDescent="0.25">
      <c r="C3332" s="15">
        <v>310019</v>
      </c>
      <c r="D3332" s="4" t="s">
        <v>3336</v>
      </c>
      <c r="E3332" s="4" t="str">
        <f>HYPERLINK("https://app.crepc.sk/?fn=detailBiblioForm&amp;sid=F566C6E0CB47072BFDE722F69C")</f>
        <v>https://app.crepc.sk/?fn=detailBiblioForm&amp;sid=F566C6E0CB47072BFDE722F69C</v>
      </c>
    </row>
    <row r="3333" spans="3:5" ht="60" x14ac:dyDescent="0.25">
      <c r="C3333" s="15">
        <v>438667</v>
      </c>
      <c r="D3333" s="4" t="s">
        <v>3337</v>
      </c>
      <c r="E3333" s="4" t="str">
        <f>HYPERLINK("https://app.crepc.sk/?fn=detailBiblioForm&amp;sid=C10B51E9E3EF1B1317AFE0F7D6")</f>
        <v>https://app.crepc.sk/?fn=detailBiblioForm&amp;sid=C10B51E9E3EF1B1317AFE0F7D6</v>
      </c>
    </row>
    <row r="3334" spans="3:5" ht="75" x14ac:dyDescent="0.25">
      <c r="C3334" s="15">
        <v>184127</v>
      </c>
      <c r="D3334" s="4" t="s">
        <v>3338</v>
      </c>
      <c r="E3334" s="4" t="str">
        <f>HYPERLINK("https://app.crepc.sk/?fn=detailBiblioForm&amp;sid=68B910E799EADD7B007157DADE")</f>
        <v>https://app.crepc.sk/?fn=detailBiblioForm&amp;sid=68B910E799EADD7B007157DADE</v>
      </c>
    </row>
    <row r="3335" spans="3:5" ht="60" x14ac:dyDescent="0.25">
      <c r="C3335" s="15">
        <v>179575</v>
      </c>
      <c r="D3335" s="4" t="s">
        <v>3339</v>
      </c>
      <c r="E3335" s="4" t="str">
        <f>HYPERLINK("https://app.crepc.sk/?fn=detailBiblioForm&amp;sid=D2CDA85DA56256F277388485A6")</f>
        <v>https://app.crepc.sk/?fn=detailBiblioForm&amp;sid=D2CDA85DA56256F277388485A6</v>
      </c>
    </row>
    <row r="3336" spans="3:5" ht="60" x14ac:dyDescent="0.25">
      <c r="C3336" s="15">
        <v>210129</v>
      </c>
      <c r="D3336" s="4" t="s">
        <v>3340</v>
      </c>
      <c r="E3336" s="4" t="str">
        <f>HYPERLINK("https://app.crepc.sk/?fn=detailBiblioForm&amp;sid=5DB4E0B08DFCD519644DB528AC")</f>
        <v>https://app.crepc.sk/?fn=detailBiblioForm&amp;sid=5DB4E0B08DFCD519644DB528AC</v>
      </c>
    </row>
    <row r="3337" spans="3:5" ht="60" x14ac:dyDescent="0.25">
      <c r="C3337" s="15">
        <v>418025</v>
      </c>
      <c r="D3337" s="4" t="s">
        <v>3341</v>
      </c>
      <c r="E3337" s="4" t="str">
        <f>HYPERLINK("https://app.crepc.sk/?fn=detailBiblioForm&amp;sid=206DD7262FA36D78EC80BAAE0D")</f>
        <v>https://app.crepc.sk/?fn=detailBiblioForm&amp;sid=206DD7262FA36D78EC80BAAE0D</v>
      </c>
    </row>
    <row r="3338" spans="3:5" ht="45" x14ac:dyDescent="0.25">
      <c r="C3338" s="15">
        <v>164842</v>
      </c>
      <c r="D3338" s="4" t="s">
        <v>3342</v>
      </c>
      <c r="E3338" s="4" t="str">
        <f>HYPERLINK("https://app.crepc.sk/?fn=detailBiblioForm&amp;sid=B5E6096D0905A43EEC0C760FCE")</f>
        <v>https://app.crepc.sk/?fn=detailBiblioForm&amp;sid=B5E6096D0905A43EEC0C760FCE</v>
      </c>
    </row>
    <row r="3339" spans="3:5" ht="75" x14ac:dyDescent="0.25">
      <c r="C3339" s="15">
        <v>448661</v>
      </c>
      <c r="D3339" s="4" t="s">
        <v>3343</v>
      </c>
      <c r="E3339" s="4" t="str">
        <f>HYPERLINK("https://app.crepc.sk/?fn=detailBiblioForm&amp;sid=138BCDA9E29FCAB39D81710CCB")</f>
        <v>https://app.crepc.sk/?fn=detailBiblioForm&amp;sid=138BCDA9E29FCAB39D81710CCB</v>
      </c>
    </row>
    <row r="3340" spans="3:5" ht="75" x14ac:dyDescent="0.25">
      <c r="C3340" s="15">
        <v>198126</v>
      </c>
      <c r="D3340" s="4" t="s">
        <v>3344</v>
      </c>
      <c r="E3340" s="4" t="str">
        <f>HYPERLINK("https://app.crepc.sk/?fn=detailBiblioForm&amp;sid=49391CDEA9F4ECCFA3D657CD73")</f>
        <v>https://app.crepc.sk/?fn=detailBiblioForm&amp;sid=49391CDEA9F4ECCFA3D657CD73</v>
      </c>
    </row>
    <row r="3341" spans="3:5" ht="60" x14ac:dyDescent="0.25">
      <c r="C3341" s="15">
        <v>123215</v>
      </c>
      <c r="D3341" s="4" t="s">
        <v>3345</v>
      </c>
      <c r="E3341" s="4" t="str">
        <f>HYPERLINK("https://app.crepc.sk/?fn=detailBiblioForm&amp;sid=84A6561E00D8E3617D2EA633F8")</f>
        <v>https://app.crepc.sk/?fn=detailBiblioForm&amp;sid=84A6561E00D8E3617D2EA633F8</v>
      </c>
    </row>
    <row r="3342" spans="3:5" ht="60" x14ac:dyDescent="0.25">
      <c r="C3342" s="15">
        <v>312141</v>
      </c>
      <c r="D3342" s="4" t="s">
        <v>3346</v>
      </c>
      <c r="E3342" s="4" t="str">
        <f>HYPERLINK("https://app.crepc.sk/?fn=detailBiblioForm&amp;sid=F437EB8E22CB50A25CCDD95AC6")</f>
        <v>https://app.crepc.sk/?fn=detailBiblioForm&amp;sid=F437EB8E22CB50A25CCDD95AC6</v>
      </c>
    </row>
    <row r="3343" spans="3:5" ht="45" x14ac:dyDescent="0.25">
      <c r="C3343" s="15">
        <v>184279</v>
      </c>
      <c r="D3343" s="4" t="s">
        <v>3347</v>
      </c>
      <c r="E3343" s="4" t="str">
        <f>HYPERLINK("https://app.crepc.sk/?fn=detailBiblioForm&amp;sid=51C176E8478ABC8F857E63848B")</f>
        <v>https://app.crepc.sk/?fn=detailBiblioForm&amp;sid=51C176E8478ABC8F857E63848B</v>
      </c>
    </row>
    <row r="3344" spans="3:5" ht="60" x14ac:dyDescent="0.25">
      <c r="C3344" s="15">
        <v>245245</v>
      </c>
      <c r="D3344" s="4" t="s">
        <v>3348</v>
      </c>
      <c r="E3344" s="4" t="str">
        <f>HYPERLINK("https://app.crepc.sk/?fn=detailBiblioForm&amp;sid=BDD02C6927F03517750D5D9292")</f>
        <v>https://app.crepc.sk/?fn=detailBiblioForm&amp;sid=BDD02C6927F03517750D5D9292</v>
      </c>
    </row>
    <row r="3345" spans="3:5" ht="60" x14ac:dyDescent="0.25">
      <c r="C3345" s="15">
        <v>167164</v>
      </c>
      <c r="D3345" s="4" t="s">
        <v>3349</v>
      </c>
      <c r="E3345" s="4" t="str">
        <f>HYPERLINK("https://app.crepc.sk/?fn=detailBiblioForm&amp;sid=780C5DA7522A72A29AF49DC9C0")</f>
        <v>https://app.crepc.sk/?fn=detailBiblioForm&amp;sid=780C5DA7522A72A29AF49DC9C0</v>
      </c>
    </row>
    <row r="3346" spans="3:5" ht="60" x14ac:dyDescent="0.25">
      <c r="C3346" s="15">
        <v>153919</v>
      </c>
      <c r="D3346" s="4" t="s">
        <v>3350</v>
      </c>
      <c r="E3346" s="4" t="str">
        <f>HYPERLINK("https://app.crepc.sk/?fn=detailBiblioForm&amp;sid=F91B27064E1B876826734CEFF1")</f>
        <v>https://app.crepc.sk/?fn=detailBiblioForm&amp;sid=F91B27064E1B876826734CEFF1</v>
      </c>
    </row>
    <row r="3347" spans="3:5" ht="60" x14ac:dyDescent="0.25">
      <c r="C3347" s="15">
        <v>117131</v>
      </c>
      <c r="D3347" s="4" t="s">
        <v>3351</v>
      </c>
      <c r="E3347" s="4" t="str">
        <f>HYPERLINK("https://app.crepc.sk/?fn=detailBiblioForm&amp;sid=6B68A92B6F46FD75E9648F4FE2")</f>
        <v>https://app.crepc.sk/?fn=detailBiblioForm&amp;sid=6B68A92B6F46FD75E9648F4FE2</v>
      </c>
    </row>
    <row r="3348" spans="3:5" ht="45" x14ac:dyDescent="0.25">
      <c r="C3348" s="15">
        <v>200180</v>
      </c>
      <c r="D3348" s="4" t="s">
        <v>3352</v>
      </c>
      <c r="E3348" s="4" t="str">
        <f>HYPERLINK("https://app.crepc.sk/?fn=detailBiblioForm&amp;sid=9097805B3BD10337E46159D914")</f>
        <v>https://app.crepc.sk/?fn=detailBiblioForm&amp;sid=9097805B3BD10337E46159D914</v>
      </c>
    </row>
    <row r="3349" spans="3:5" ht="45" x14ac:dyDescent="0.25">
      <c r="C3349" s="15">
        <v>181821</v>
      </c>
      <c r="D3349" s="4" t="s">
        <v>3353</v>
      </c>
      <c r="E3349" s="4" t="str">
        <f>HYPERLINK("https://app.crepc.sk/?fn=detailBiblioForm&amp;sid=2AE6DDBEFC900DBBA05BC42A90")</f>
        <v>https://app.crepc.sk/?fn=detailBiblioForm&amp;sid=2AE6DDBEFC900DBBA05BC42A90</v>
      </c>
    </row>
    <row r="3350" spans="3:5" ht="60" x14ac:dyDescent="0.25">
      <c r="C3350" s="15">
        <v>145380</v>
      </c>
      <c r="D3350" s="4" t="s">
        <v>3354</v>
      </c>
      <c r="E3350" s="4" t="str">
        <f>HYPERLINK("https://app.crepc.sk/?fn=detailBiblioForm&amp;sid=630E6FB02690F4A579F37CC2B5")</f>
        <v>https://app.crepc.sk/?fn=detailBiblioForm&amp;sid=630E6FB02690F4A579F37CC2B5</v>
      </c>
    </row>
    <row r="3351" spans="3:5" ht="45" x14ac:dyDescent="0.25">
      <c r="C3351" s="15">
        <v>83183</v>
      </c>
      <c r="D3351" s="4" t="s">
        <v>3355</v>
      </c>
      <c r="E3351" s="4" t="str">
        <f>HYPERLINK("https://app.crepc.sk/?fn=detailBiblioForm&amp;sid=00B1942FEEE8EFE5FDFBA393")</f>
        <v>https://app.crepc.sk/?fn=detailBiblioForm&amp;sid=00B1942FEEE8EFE5FDFBA393</v>
      </c>
    </row>
    <row r="3352" spans="3:5" ht="75" x14ac:dyDescent="0.25">
      <c r="C3352" s="15">
        <v>95471</v>
      </c>
      <c r="D3352" s="4" t="s">
        <v>3356</v>
      </c>
      <c r="E3352" s="4" t="str">
        <f>HYPERLINK("https://app.crepc.sk/?fn=detailBiblioForm&amp;sid=2DA96C76E6FD496FD13C41C5")</f>
        <v>https://app.crepc.sk/?fn=detailBiblioForm&amp;sid=2DA96C76E6FD496FD13C41C5</v>
      </c>
    </row>
    <row r="3353" spans="3:5" ht="60" x14ac:dyDescent="0.25">
      <c r="C3353" s="15">
        <v>238615</v>
      </c>
      <c r="D3353" s="4" t="s">
        <v>3357</v>
      </c>
      <c r="E3353" s="4" t="str">
        <f>HYPERLINK("https://app.crepc.sk/?fn=detailBiblioForm&amp;sid=078FC86817C6D21AAD20D25C61")</f>
        <v>https://app.crepc.sk/?fn=detailBiblioForm&amp;sid=078FC86817C6D21AAD20D25C61</v>
      </c>
    </row>
    <row r="3354" spans="3:5" ht="75" x14ac:dyDescent="0.25">
      <c r="C3354" s="15">
        <v>232412</v>
      </c>
      <c r="D3354" s="4" t="s">
        <v>3358</v>
      </c>
      <c r="E3354" s="4" t="str">
        <f>HYPERLINK("https://app.crepc.sk/?fn=detailBiblioForm&amp;sid=1DC25C603E41A09F1064E2CF10")</f>
        <v>https://app.crepc.sk/?fn=detailBiblioForm&amp;sid=1DC25C603E41A09F1064E2CF10</v>
      </c>
    </row>
    <row r="3355" spans="3:5" ht="60" x14ac:dyDescent="0.25">
      <c r="C3355" s="15">
        <v>51039</v>
      </c>
      <c r="D3355" s="4" t="s">
        <v>3359</v>
      </c>
      <c r="E3355" s="4" t="str">
        <f>HYPERLINK("https://app.crepc.sk/?fn=detailBiblioForm&amp;sid=769CE8C4892DDB6220B280DF")</f>
        <v>https://app.crepc.sk/?fn=detailBiblioForm&amp;sid=769CE8C4892DDB6220B280DF</v>
      </c>
    </row>
    <row r="3356" spans="3:5" ht="90" x14ac:dyDescent="0.25">
      <c r="C3356" s="15">
        <v>219464</v>
      </c>
      <c r="D3356" s="4" t="s">
        <v>3360</v>
      </c>
      <c r="E3356" s="4" t="str">
        <f>HYPERLINK("https://app.crepc.sk/?fn=detailBiblioForm&amp;sid=8474A37DD4CFE78510518DE929")</f>
        <v>https://app.crepc.sk/?fn=detailBiblioForm&amp;sid=8474A37DD4CFE78510518DE929</v>
      </c>
    </row>
    <row r="3357" spans="3:5" ht="60" x14ac:dyDescent="0.25">
      <c r="C3357" s="15">
        <v>91841</v>
      </c>
      <c r="D3357" s="4" t="s">
        <v>3361</v>
      </c>
      <c r="E3357" s="4" t="str">
        <f>HYPERLINK("https://app.crepc.sk/?fn=detailBiblioForm&amp;sid=37A1D3D27783581E827A5A80")</f>
        <v>https://app.crepc.sk/?fn=detailBiblioForm&amp;sid=37A1D3D27783581E827A5A80</v>
      </c>
    </row>
    <row r="3358" spans="3:5" ht="60" x14ac:dyDescent="0.25">
      <c r="C3358" s="15">
        <v>432409</v>
      </c>
      <c r="D3358" s="4" t="s">
        <v>3362</v>
      </c>
      <c r="E3358" s="4" t="str">
        <f>HYPERLINK("https://app.crepc.sk/?fn=detailBiblioForm&amp;sid=9C6DDAD5CC83289CB446CA964C")</f>
        <v>https://app.crepc.sk/?fn=detailBiblioForm&amp;sid=9C6DDAD5CC83289CB446CA964C</v>
      </c>
    </row>
    <row r="3359" spans="3:5" ht="75" x14ac:dyDescent="0.25">
      <c r="C3359" s="15">
        <v>310777</v>
      </c>
      <c r="D3359" s="4" t="s">
        <v>3363</v>
      </c>
      <c r="E3359" s="4" t="str">
        <f>HYPERLINK("https://app.crepc.sk/?fn=detailBiblioForm&amp;sid=BA568C50EF7A76E2D4F314E589")</f>
        <v>https://app.crepc.sk/?fn=detailBiblioForm&amp;sid=BA568C50EF7A76E2D4F314E589</v>
      </c>
    </row>
    <row r="3360" spans="3:5" ht="45" x14ac:dyDescent="0.25">
      <c r="C3360" s="15">
        <v>254198</v>
      </c>
      <c r="D3360" s="4" t="s">
        <v>3364</v>
      </c>
      <c r="E3360" s="4" t="str">
        <f>HYPERLINK("https://app.crepc.sk/?fn=detailBiblioForm&amp;sid=5626D67ABF6ED4EEC0685A2CB8")</f>
        <v>https://app.crepc.sk/?fn=detailBiblioForm&amp;sid=5626D67ABF6ED4EEC0685A2CB8</v>
      </c>
    </row>
    <row r="3361" spans="3:5" ht="60" x14ac:dyDescent="0.25">
      <c r="C3361" s="15">
        <v>248533</v>
      </c>
      <c r="D3361" s="4" t="s">
        <v>3365</v>
      </c>
      <c r="E3361" s="4" t="str">
        <f>HYPERLINK("https://app.crepc.sk/?fn=detailBiblioForm&amp;sid=3173F3EBFDDB76EF40DF64397B")</f>
        <v>https://app.crepc.sk/?fn=detailBiblioForm&amp;sid=3173F3EBFDDB76EF40DF64397B</v>
      </c>
    </row>
    <row r="3362" spans="3:5" ht="60" x14ac:dyDescent="0.25">
      <c r="C3362" s="15">
        <v>187841</v>
      </c>
      <c r="D3362" s="4" t="s">
        <v>3366</v>
      </c>
      <c r="E3362" s="4" t="str">
        <f>HYPERLINK("https://app.crepc.sk/?fn=detailBiblioForm&amp;sid=CB4D57913478E3D225C8D6734D")</f>
        <v>https://app.crepc.sk/?fn=detailBiblioForm&amp;sid=CB4D57913478E3D225C8D6734D</v>
      </c>
    </row>
    <row r="3363" spans="3:5" ht="75" x14ac:dyDescent="0.25">
      <c r="C3363" s="15">
        <v>178378</v>
      </c>
      <c r="D3363" s="4" t="s">
        <v>3367</v>
      </c>
      <c r="E3363" s="4" t="str">
        <f>HYPERLINK("https://app.crepc.sk/?fn=detailBiblioForm&amp;sid=A5BC586C45F519526FEC45B98C")</f>
        <v>https://app.crepc.sk/?fn=detailBiblioForm&amp;sid=A5BC586C45F519526FEC45B98C</v>
      </c>
    </row>
    <row r="3364" spans="3:5" ht="75" x14ac:dyDescent="0.25">
      <c r="C3364" s="15">
        <v>314002</v>
      </c>
      <c r="D3364" s="4" t="s">
        <v>3368</v>
      </c>
      <c r="E3364" s="4" t="str">
        <f>HYPERLINK("https://app.crepc.sk/?fn=detailBiblioForm&amp;sid=52CF6327BC03DBAB5C11815F18")</f>
        <v>https://app.crepc.sk/?fn=detailBiblioForm&amp;sid=52CF6327BC03DBAB5C11815F18</v>
      </c>
    </row>
    <row r="3365" spans="3:5" ht="60" x14ac:dyDescent="0.25">
      <c r="C3365" s="15">
        <v>101777</v>
      </c>
      <c r="D3365" s="4" t="s">
        <v>3369</v>
      </c>
      <c r="E3365" s="4" t="str">
        <f>HYPERLINK("https://app.crepc.sk/?fn=detailBiblioForm&amp;sid=D451BFA92DE77BAED5D7E88587")</f>
        <v>https://app.crepc.sk/?fn=detailBiblioForm&amp;sid=D451BFA92DE77BAED5D7E88587</v>
      </c>
    </row>
    <row r="3366" spans="3:5" ht="60" x14ac:dyDescent="0.25">
      <c r="C3366" s="15">
        <v>316278</v>
      </c>
      <c r="D3366" s="4" t="s">
        <v>3370</v>
      </c>
      <c r="E3366" s="4" t="str">
        <f>HYPERLINK("https://app.crepc.sk/?fn=detailBiblioForm&amp;sid=791E4A260FB3471CCFBCFEBA13")</f>
        <v>https://app.crepc.sk/?fn=detailBiblioForm&amp;sid=791E4A260FB3471CCFBCFEBA13</v>
      </c>
    </row>
    <row r="3367" spans="3:5" ht="60" x14ac:dyDescent="0.25">
      <c r="C3367" s="15">
        <v>141431</v>
      </c>
      <c r="D3367" s="4" t="s">
        <v>3371</v>
      </c>
      <c r="E3367" s="4" t="str">
        <f>HYPERLINK("https://app.crepc.sk/?fn=detailBiblioForm&amp;sid=FF44C990A7CA883E4C8F308485")</f>
        <v>https://app.crepc.sk/?fn=detailBiblioForm&amp;sid=FF44C990A7CA883E4C8F308485</v>
      </c>
    </row>
    <row r="3368" spans="3:5" ht="60" x14ac:dyDescent="0.25">
      <c r="C3368" s="15">
        <v>129560</v>
      </c>
      <c r="D3368" s="4" t="s">
        <v>3372</v>
      </c>
      <c r="E3368" s="4" t="str">
        <f>HYPERLINK("https://app.crepc.sk/?fn=detailBiblioForm&amp;sid=D7EC722BA8A89CA215E675C55A")</f>
        <v>https://app.crepc.sk/?fn=detailBiblioForm&amp;sid=D7EC722BA8A89CA215E675C55A</v>
      </c>
    </row>
    <row r="3369" spans="3:5" ht="75" x14ac:dyDescent="0.25">
      <c r="C3369" s="15">
        <v>316202</v>
      </c>
      <c r="D3369" s="4" t="s">
        <v>3373</v>
      </c>
      <c r="E3369" s="4" t="str">
        <f>HYPERLINK("https://app.crepc.sk/?fn=detailBiblioForm&amp;sid=791E4A260FB3471CC8B6FEBA13")</f>
        <v>https://app.crepc.sk/?fn=detailBiblioForm&amp;sid=791E4A260FB3471CC8B6FEBA13</v>
      </c>
    </row>
    <row r="3370" spans="3:5" ht="60" x14ac:dyDescent="0.25">
      <c r="C3370" s="15">
        <v>193587</v>
      </c>
      <c r="D3370" s="4" t="s">
        <v>3374</v>
      </c>
      <c r="E3370" s="4" t="str">
        <f>HYPERLINK("https://app.crepc.sk/?fn=detailBiblioForm&amp;sid=80433203F04DA090BEA5FE3FCE")</f>
        <v>https://app.crepc.sk/?fn=detailBiblioForm&amp;sid=80433203F04DA090BEA5FE3FCE</v>
      </c>
    </row>
    <row r="3371" spans="3:5" ht="75" x14ac:dyDescent="0.25">
      <c r="C3371" s="15">
        <v>161653</v>
      </c>
      <c r="D3371" s="4" t="s">
        <v>3375</v>
      </c>
      <c r="E3371" s="4" t="str">
        <f>HYPERLINK("https://app.crepc.sk/?fn=detailBiblioForm&amp;sid=1D69B1A76ABEB527B56DBB2E6D")</f>
        <v>https://app.crepc.sk/?fn=detailBiblioForm&amp;sid=1D69B1A76ABEB527B56DBB2E6D</v>
      </c>
    </row>
    <row r="3372" spans="3:5" ht="45" x14ac:dyDescent="0.25">
      <c r="C3372" s="15">
        <v>416388</v>
      </c>
      <c r="D3372" s="4" t="s">
        <v>3376</v>
      </c>
      <c r="E3372" s="4" t="str">
        <f>HYPERLINK("https://app.crepc.sk/?fn=detailBiblioForm&amp;sid=02D97EB19DA28A2B9A241F2725")</f>
        <v>https://app.crepc.sk/?fn=detailBiblioForm&amp;sid=02D97EB19DA28A2B9A241F2725</v>
      </c>
    </row>
    <row r="3373" spans="3:5" ht="60" x14ac:dyDescent="0.25">
      <c r="C3373" s="15">
        <v>180964</v>
      </c>
      <c r="D3373" s="4" t="s">
        <v>3377</v>
      </c>
      <c r="E3373" s="4" t="str">
        <f>HYPERLINK("https://app.crepc.sk/?fn=detailBiblioForm&amp;sid=69CB3773D22D595AC085835F18")</f>
        <v>https://app.crepc.sk/?fn=detailBiblioForm&amp;sid=69CB3773D22D595AC085835F18</v>
      </c>
    </row>
    <row r="3374" spans="3:5" ht="60" x14ac:dyDescent="0.25">
      <c r="C3374" s="15">
        <v>308711</v>
      </c>
      <c r="D3374" s="4" t="s">
        <v>3378</v>
      </c>
      <c r="E3374" s="4" t="str">
        <f>HYPERLINK("https://app.crepc.sk/?fn=detailBiblioForm&amp;sid=40966C0F6C16D6F1D11243A0B1")</f>
        <v>https://app.crepc.sk/?fn=detailBiblioForm&amp;sid=40966C0F6C16D6F1D11243A0B1</v>
      </c>
    </row>
    <row r="3375" spans="3:5" ht="60" x14ac:dyDescent="0.25">
      <c r="C3375" s="15">
        <v>100199</v>
      </c>
      <c r="D3375" s="4" t="s">
        <v>3379</v>
      </c>
      <c r="E3375" s="4" t="str">
        <f>HYPERLINK("https://app.crepc.sk/?fn=detailBiblioForm&amp;sid=5BFE66B123F0ED37AF561F9F3C")</f>
        <v>https://app.crepc.sk/?fn=detailBiblioForm&amp;sid=5BFE66B123F0ED37AF561F9F3C</v>
      </c>
    </row>
    <row r="3376" spans="3:5" ht="75" x14ac:dyDescent="0.25">
      <c r="C3376" s="15">
        <v>451847</v>
      </c>
      <c r="D3376" s="4" t="s">
        <v>3380</v>
      </c>
      <c r="E3376" s="4" t="str">
        <f>HYPERLINK("https://app.crepc.sk/?fn=detailBiblioForm&amp;sid=447DFCD5D4F7DE588BF9627DFF")</f>
        <v>https://app.crepc.sk/?fn=detailBiblioForm&amp;sid=447DFCD5D4F7DE588BF9627DFF</v>
      </c>
    </row>
    <row r="3377" spans="1:5" ht="75" x14ac:dyDescent="0.25">
      <c r="C3377" s="15">
        <v>155324</v>
      </c>
      <c r="D3377" s="4" t="s">
        <v>3381</v>
      </c>
      <c r="E3377" s="4" t="str">
        <f>HYPERLINK("https://app.crepc.sk/?fn=detailBiblioForm&amp;sid=78AFF12394AFE35F88121C8992")</f>
        <v>https://app.crepc.sk/?fn=detailBiblioForm&amp;sid=78AFF12394AFE35F88121C8992</v>
      </c>
    </row>
    <row r="3378" spans="1:5" ht="45" x14ac:dyDescent="0.25">
      <c r="C3378" s="15">
        <v>141254</v>
      </c>
      <c r="D3378" s="4" t="s">
        <v>3382</v>
      </c>
      <c r="E3378" s="4" t="str">
        <f>HYPERLINK("https://app.crepc.sk/?fn=detailBiblioForm&amp;sid=A1BE4CBC10A6410E2FD31A9BFE")</f>
        <v>https://app.crepc.sk/?fn=detailBiblioForm&amp;sid=A1BE4CBC10A6410E2FD31A9BFE</v>
      </c>
    </row>
    <row r="3379" spans="1:5" ht="60" x14ac:dyDescent="0.25">
      <c r="C3379" s="15">
        <v>245248</v>
      </c>
      <c r="D3379" s="4" t="s">
        <v>3383</v>
      </c>
      <c r="E3379" s="4" t="str">
        <f>HYPERLINK("https://app.crepc.sk/?fn=detailBiblioForm&amp;sid=BDD02C6927F0351775005D9292")</f>
        <v>https://app.crepc.sk/?fn=detailBiblioForm&amp;sid=BDD02C6927F0351775005D9292</v>
      </c>
    </row>
    <row r="3380" spans="1:5" ht="45" x14ac:dyDescent="0.25">
      <c r="C3380" s="15">
        <v>164813</v>
      </c>
      <c r="D3380" s="4" t="s">
        <v>3384</v>
      </c>
      <c r="E3380" s="4" t="str">
        <f>HYPERLINK("https://app.crepc.sk/?fn=detailBiblioForm&amp;sid=B5E6096D0905A43EE90D760FCE")</f>
        <v>https://app.crepc.sk/?fn=detailBiblioForm&amp;sid=B5E6096D0905A43EE90D760FCE</v>
      </c>
    </row>
    <row r="3381" spans="1:5" ht="60" x14ac:dyDescent="0.25">
      <c r="C3381" s="15">
        <v>100197</v>
      </c>
      <c r="D3381" s="4" t="s">
        <v>3385</v>
      </c>
      <c r="E3381" s="4" t="str">
        <f>HYPERLINK("https://app.crepc.sk/?fn=detailBiblioForm&amp;sid=5BFE66B123F0ED37AF581F9F3C")</f>
        <v>https://app.crepc.sk/?fn=detailBiblioForm&amp;sid=5BFE66B123F0ED37AF581F9F3C</v>
      </c>
    </row>
    <row r="3382" spans="1:5" ht="45" x14ac:dyDescent="0.25">
      <c r="C3382" s="15">
        <v>53013</v>
      </c>
      <c r="D3382" s="4" t="s">
        <v>3386</v>
      </c>
      <c r="E3382" s="4" t="str">
        <f>HYPERLINK("https://app.crepc.sk/?fn=detailBiblioForm&amp;sid=DCCA3817CD122D50CCF7F09F")</f>
        <v>https://app.crepc.sk/?fn=detailBiblioForm&amp;sid=DCCA3817CD122D50CCF7F09F</v>
      </c>
    </row>
    <row r="3383" spans="1:5" ht="90" x14ac:dyDescent="0.25">
      <c r="C3383" s="15">
        <v>83264</v>
      </c>
      <c r="D3383" s="4" t="s">
        <v>3387</v>
      </c>
      <c r="E3383" s="4" t="str">
        <f>HYPERLINK("https://app.crepc.sk/?fn=detailBiblioForm&amp;sid=5282B9C5D433775FFBD2AB6B")</f>
        <v>https://app.crepc.sk/?fn=detailBiblioForm&amp;sid=5282B9C5D433775FFBD2AB6B</v>
      </c>
    </row>
    <row r="3384" spans="1:5" ht="60" x14ac:dyDescent="0.25">
      <c r="C3384" s="15">
        <v>143356</v>
      </c>
      <c r="D3384" s="4" t="s">
        <v>3388</v>
      </c>
      <c r="E3384" s="4" t="str">
        <f>HYPERLINK("https://app.crepc.sk/?fn=detailBiblioForm&amp;sid=20F6D125F7A47F55369ED455D1")</f>
        <v>https://app.crepc.sk/?fn=detailBiblioForm&amp;sid=20F6D125F7A47F55369ED455D1</v>
      </c>
    </row>
    <row r="3385" spans="1:5" ht="75" x14ac:dyDescent="0.25">
      <c r="C3385" s="15">
        <v>435977</v>
      </c>
      <c r="D3385" s="4" t="s">
        <v>3389</v>
      </c>
      <c r="E3385" s="4" t="str">
        <f>HYPERLINK("https://app.crepc.sk/?fn=detailBiblioForm&amp;sid=EA86E0589BCC28B194CB0FA9BF")</f>
        <v>https://app.crepc.sk/?fn=detailBiblioForm&amp;sid=EA86E0589BCC28B194CB0FA9BF</v>
      </c>
    </row>
    <row r="3386" spans="1:5" ht="60" x14ac:dyDescent="0.25">
      <c r="C3386" s="15">
        <v>448060</v>
      </c>
      <c r="D3386" s="4" t="s">
        <v>3390</v>
      </c>
      <c r="E3386" s="4" t="str">
        <f>HYPERLINK("https://app.crepc.sk/?fn=detailBiblioForm&amp;sid=C456FEA07AAA4EFBD2E84E7345")</f>
        <v>https://app.crepc.sk/?fn=detailBiblioForm&amp;sid=C456FEA07AAA4EFBD2E84E7345</v>
      </c>
    </row>
    <row r="3387" spans="1:5" ht="60" x14ac:dyDescent="0.25">
      <c r="C3387" s="15">
        <v>314121</v>
      </c>
      <c r="D3387" s="4" t="s">
        <v>3391</v>
      </c>
      <c r="E3387" s="4" t="str">
        <f>HYPERLINK("https://app.crepc.sk/?fn=detailBiblioForm&amp;sid=C11437276931E1270C3219387C")</f>
        <v>https://app.crepc.sk/?fn=detailBiblioForm&amp;sid=C11437276931E1270C3219387C</v>
      </c>
    </row>
    <row r="3388" spans="1:5" ht="45" x14ac:dyDescent="0.25">
      <c r="C3388" s="15">
        <v>212143</v>
      </c>
      <c r="D3388" s="4" t="s">
        <v>3392</v>
      </c>
      <c r="E3388" s="4" t="str">
        <f>HYPERLINK("https://app.crepc.sk/?fn=detailBiblioForm&amp;sid=A1202DE7B01A324D6CFD87F106")</f>
        <v>https://app.crepc.sk/?fn=detailBiblioForm&amp;sid=A1202DE7B01A324D6CFD87F106</v>
      </c>
    </row>
    <row r="3389" spans="1:5" ht="75" x14ac:dyDescent="0.25">
      <c r="C3389" s="15">
        <v>135144</v>
      </c>
      <c r="D3389" s="4" t="s">
        <v>3393</v>
      </c>
      <c r="E3389" s="4" t="str">
        <f>HYPERLINK("https://app.crepc.sk/?fn=detailBiblioForm&amp;sid=61B9BE2C1A50DA018EE1E3FA5F")</f>
        <v>https://app.crepc.sk/?fn=detailBiblioForm&amp;sid=61B9BE2C1A50DA018EE1E3FA5F</v>
      </c>
    </row>
    <row r="3390" spans="1:5" ht="60" x14ac:dyDescent="0.25">
      <c r="C3390" s="15">
        <v>161552</v>
      </c>
      <c r="D3390" s="4" t="s">
        <v>3394</v>
      </c>
      <c r="E3390" s="4" t="str">
        <f>HYPERLINK("https://app.crepc.sk/?fn=detailBiblioForm&amp;sid=BB60B769A491B65140F153E40D")</f>
        <v>https://app.crepc.sk/?fn=detailBiblioForm&amp;sid=BB60B769A491B65140F153E40D</v>
      </c>
    </row>
    <row r="3391" spans="1:5" ht="75" x14ac:dyDescent="0.25">
      <c r="C3391" s="15">
        <v>448051</v>
      </c>
      <c r="D3391" s="4" t="s">
        <v>3395</v>
      </c>
      <c r="E3391" s="4" t="str">
        <f>HYPERLINK("https://app.crepc.sk/?fn=detailBiblioForm&amp;sid=C456FEA07AAA4EFBD1E94E7345")</f>
        <v>https://app.crepc.sk/?fn=detailBiblioForm&amp;sid=C456FEA07AAA4EFBD1E94E7345</v>
      </c>
    </row>
    <row r="3392" spans="1:5" ht="30" x14ac:dyDescent="0.25">
      <c r="A3392" s="4" t="s">
        <v>3396</v>
      </c>
      <c r="B3392" s="15">
        <v>505</v>
      </c>
    </row>
    <row r="3393" spans="3:5" ht="120" x14ac:dyDescent="0.25">
      <c r="C3393" s="15">
        <v>316336</v>
      </c>
      <c r="D3393" s="4" t="s">
        <v>3397</v>
      </c>
      <c r="E3393" s="4" t="str">
        <f>HYPERLINK("https://app.crepc.sk/?fn=detailBiblioForm&amp;sid=C2E5DDBE113D3DFDD4D5C67146")</f>
        <v>https://app.crepc.sk/?fn=detailBiblioForm&amp;sid=C2E5DDBE113D3DFDD4D5C67146</v>
      </c>
    </row>
    <row r="3394" spans="3:5" ht="75" x14ac:dyDescent="0.25">
      <c r="C3394" s="15">
        <v>138825</v>
      </c>
      <c r="D3394" s="4" t="s">
        <v>3398</v>
      </c>
      <c r="E3394" s="4" t="str">
        <f>HYPERLINK("https://app.crepc.sk/?fn=detailBiblioForm&amp;sid=AA7BC2660C5D798CF2F1F1C62C")</f>
        <v>https://app.crepc.sk/?fn=detailBiblioForm&amp;sid=AA7BC2660C5D798CF2F1F1C62C</v>
      </c>
    </row>
    <row r="3395" spans="3:5" ht="75" x14ac:dyDescent="0.25">
      <c r="C3395" s="15">
        <v>121981</v>
      </c>
      <c r="D3395" s="4" t="s">
        <v>3399</v>
      </c>
      <c r="E3395" s="4" t="str">
        <f>HYPERLINK("https://app.crepc.sk/?fn=detailBiblioForm&amp;sid=BF793C73F52F4090CE97B67F35")</f>
        <v>https://app.crepc.sk/?fn=detailBiblioForm&amp;sid=BF793C73F52F4090CE97B67F35</v>
      </c>
    </row>
    <row r="3396" spans="3:5" ht="60" x14ac:dyDescent="0.25">
      <c r="C3396" s="15">
        <v>56043</v>
      </c>
      <c r="D3396" s="4" t="s">
        <v>3400</v>
      </c>
      <c r="E3396" s="4" t="str">
        <f>HYPERLINK("https://app.crepc.sk/?fn=detailBiblioForm&amp;sid=1E2ECB7333E1523CD7166718")</f>
        <v>https://app.crepc.sk/?fn=detailBiblioForm&amp;sid=1E2ECB7333E1523CD7166718</v>
      </c>
    </row>
    <row r="3397" spans="3:5" ht="75" x14ac:dyDescent="0.25">
      <c r="C3397" s="15">
        <v>205224</v>
      </c>
      <c r="D3397" s="4" t="s">
        <v>3401</v>
      </c>
      <c r="E3397" s="4" t="str">
        <f>HYPERLINK("https://app.crepc.sk/?fn=detailBiblioForm&amp;sid=CF17AC7264020AC9935220B4DF")</f>
        <v>https://app.crepc.sk/?fn=detailBiblioForm&amp;sid=CF17AC7264020AC9935220B4DF</v>
      </c>
    </row>
    <row r="3398" spans="3:5" ht="60" x14ac:dyDescent="0.25">
      <c r="C3398" s="15">
        <v>131949</v>
      </c>
      <c r="D3398" s="4" t="s">
        <v>3402</v>
      </c>
      <c r="E3398" s="4" t="str">
        <f>HYPERLINK("https://app.crepc.sk/?fn=detailBiblioForm&amp;sid=0202559EFCC7E8BF15ADBC9722")</f>
        <v>https://app.crepc.sk/?fn=detailBiblioForm&amp;sid=0202559EFCC7E8BF15ADBC9722</v>
      </c>
    </row>
    <row r="3399" spans="3:5" ht="105" x14ac:dyDescent="0.25">
      <c r="C3399" s="15">
        <v>121721</v>
      </c>
      <c r="D3399" s="4" t="s">
        <v>3403</v>
      </c>
      <c r="E3399" s="4" t="str">
        <f>HYPERLINK("https://app.crepc.sk/?fn=detailBiblioForm&amp;sid=9BA729332E6B4AD3A5896A8CAB")</f>
        <v>https://app.crepc.sk/?fn=detailBiblioForm&amp;sid=9BA729332E6B4AD3A5896A8CAB</v>
      </c>
    </row>
    <row r="3400" spans="3:5" ht="75" x14ac:dyDescent="0.25">
      <c r="C3400" s="15">
        <v>249308</v>
      </c>
      <c r="D3400" s="4" t="s">
        <v>3404</v>
      </c>
      <c r="E3400" s="4" t="str">
        <f>HYPERLINK("https://app.crepc.sk/?fn=detailBiblioForm&amp;sid=923F6DECD2F5E1804477ED03E3")</f>
        <v>https://app.crepc.sk/?fn=detailBiblioForm&amp;sid=923F6DECD2F5E1804477ED03E3</v>
      </c>
    </row>
    <row r="3401" spans="3:5" ht="75" x14ac:dyDescent="0.25">
      <c r="C3401" s="15">
        <v>216558</v>
      </c>
      <c r="D3401" s="4" t="s">
        <v>3405</v>
      </c>
      <c r="E3401" s="4" t="str">
        <f>HYPERLINK("https://app.crepc.sk/?fn=detailBiblioForm&amp;sid=DB4D8F4994840F8431DF054E4E")</f>
        <v>https://app.crepc.sk/?fn=detailBiblioForm&amp;sid=DB4D8F4994840F8431DF054E4E</v>
      </c>
    </row>
    <row r="3402" spans="3:5" ht="90" x14ac:dyDescent="0.25">
      <c r="C3402" s="15">
        <v>81774</v>
      </c>
      <c r="D3402" s="4" t="s">
        <v>3406</v>
      </c>
      <c r="E3402" s="4" t="str">
        <f>HYPERLINK("https://app.crepc.sk/?fn=detailBiblioForm&amp;sid=D825A816DCA73AFE8C702904")</f>
        <v>https://app.crepc.sk/?fn=detailBiblioForm&amp;sid=D825A816DCA73AFE8C702904</v>
      </c>
    </row>
    <row r="3403" spans="3:5" ht="60" x14ac:dyDescent="0.25">
      <c r="C3403" s="15">
        <v>136875</v>
      </c>
      <c r="D3403" s="4" t="s">
        <v>3407</v>
      </c>
      <c r="E3403" s="4" t="str">
        <f>HYPERLINK("https://app.crepc.sk/?fn=detailBiblioForm&amp;sid=A5DD033C69C3F08FCA4E6AFB50")</f>
        <v>https://app.crepc.sk/?fn=detailBiblioForm&amp;sid=A5DD033C69C3F08FCA4E6AFB50</v>
      </c>
    </row>
    <row r="3404" spans="3:5" ht="45" x14ac:dyDescent="0.25">
      <c r="C3404" s="15">
        <v>107015</v>
      </c>
      <c r="D3404" s="4" t="s">
        <v>3408</v>
      </c>
      <c r="E3404" s="4" t="str">
        <f>HYPERLINK("https://app.crepc.sk/?fn=detailBiblioForm&amp;sid=B50A34AFD91B44707042CFF0DE")</f>
        <v>https://app.crepc.sk/?fn=detailBiblioForm&amp;sid=B50A34AFD91B44707042CFF0DE</v>
      </c>
    </row>
    <row r="3405" spans="3:5" ht="60" x14ac:dyDescent="0.25">
      <c r="C3405" s="15">
        <v>75027</v>
      </c>
      <c r="D3405" s="4" t="s">
        <v>3409</v>
      </c>
      <c r="E3405" s="4" t="str">
        <f>HYPERLINK("https://app.crepc.sk/?fn=detailBiblioForm&amp;sid=D4F8FAE86ACC8E463B8E02E5")</f>
        <v>https://app.crepc.sk/?fn=detailBiblioForm&amp;sid=D4F8FAE86ACC8E463B8E02E5</v>
      </c>
    </row>
    <row r="3406" spans="3:5" ht="75" x14ac:dyDescent="0.25">
      <c r="C3406" s="15">
        <v>249305</v>
      </c>
      <c r="D3406" s="4" t="s">
        <v>3410</v>
      </c>
      <c r="E3406" s="4" t="str">
        <f>HYPERLINK("https://app.crepc.sk/?fn=detailBiblioForm&amp;sid=923F6DECD2F5E180447AED03E3")</f>
        <v>https://app.crepc.sk/?fn=detailBiblioForm&amp;sid=923F6DECD2F5E180447AED03E3</v>
      </c>
    </row>
    <row r="3407" spans="3:5" ht="90" x14ac:dyDescent="0.25">
      <c r="C3407" s="15">
        <v>104892</v>
      </c>
      <c r="D3407" s="4" t="s">
        <v>3411</v>
      </c>
      <c r="E3407" s="4" t="str">
        <f>HYPERLINK("https://app.crepc.sk/?fn=detailBiblioForm&amp;sid=3EF72ED7F261AA74B054AD9599")</f>
        <v>https://app.crepc.sk/?fn=detailBiblioForm&amp;sid=3EF72ED7F261AA74B054AD9599</v>
      </c>
    </row>
    <row r="3408" spans="3:5" ht="105" x14ac:dyDescent="0.25">
      <c r="C3408" s="15">
        <v>131394</v>
      </c>
      <c r="D3408" s="4" t="s">
        <v>3412</v>
      </c>
      <c r="E3408" s="4" t="str">
        <f>HYPERLINK("https://app.crepc.sk/?fn=detailBiblioForm&amp;sid=259CE5C64386EF578E79B3ECE9")</f>
        <v>https://app.crepc.sk/?fn=detailBiblioForm&amp;sid=259CE5C64386EF578E79B3ECE9</v>
      </c>
    </row>
    <row r="3409" spans="3:5" ht="75" x14ac:dyDescent="0.25">
      <c r="C3409" s="15">
        <v>211932</v>
      </c>
      <c r="D3409" s="4" t="s">
        <v>3413</v>
      </c>
      <c r="E3409" s="4" t="str">
        <f>HYPERLINK("https://app.crepc.sk/?fn=detailBiblioForm&amp;sid=04E2D599306659661738FFA65D")</f>
        <v>https://app.crepc.sk/?fn=detailBiblioForm&amp;sid=04E2D599306659661738FFA65D</v>
      </c>
    </row>
    <row r="3410" spans="3:5" ht="75" x14ac:dyDescent="0.25">
      <c r="C3410" s="15">
        <v>204002</v>
      </c>
      <c r="D3410" s="4" t="s">
        <v>3414</v>
      </c>
      <c r="E3410" s="4" t="str">
        <f>HYPERLINK("https://app.crepc.sk/?fn=detailBiblioForm&amp;sid=22C33CF28BEFC43A493839B119")</f>
        <v>https://app.crepc.sk/?fn=detailBiblioForm&amp;sid=22C33CF28BEFC43A493839B119</v>
      </c>
    </row>
    <row r="3411" spans="3:5" ht="75" x14ac:dyDescent="0.25">
      <c r="C3411" s="15">
        <v>227459</v>
      </c>
      <c r="D3411" s="4" t="s">
        <v>3415</v>
      </c>
      <c r="E3411" s="4" t="str">
        <f>HYPERLINK("https://app.crepc.sk/?fn=detailBiblioForm&amp;sid=E3F63D99041DBB0FE3C8F3E67C")</f>
        <v>https://app.crepc.sk/?fn=detailBiblioForm&amp;sid=E3F63D99041DBB0FE3C8F3E67C</v>
      </c>
    </row>
    <row r="3412" spans="3:5" ht="60" x14ac:dyDescent="0.25">
      <c r="C3412" s="15">
        <v>130361</v>
      </c>
      <c r="D3412" s="4" t="s">
        <v>3416</v>
      </c>
      <c r="E3412" s="4" t="str">
        <f>HYPERLINK("https://app.crepc.sk/?fn=detailBiblioForm&amp;sid=A3E03CF54F8AB03E889E1E1C70")</f>
        <v>https://app.crepc.sk/?fn=detailBiblioForm&amp;sid=A3E03CF54F8AB03E889E1E1C70</v>
      </c>
    </row>
    <row r="3413" spans="3:5" ht="90" x14ac:dyDescent="0.25">
      <c r="C3413" s="15">
        <v>231304</v>
      </c>
      <c r="D3413" s="4" t="s">
        <v>3417</v>
      </c>
      <c r="E3413" s="4" t="str">
        <f>HYPERLINK("https://app.crepc.sk/?fn=detailBiblioForm&amp;sid=AB2F48E8C57E5DFBAC7D7BA9FC")</f>
        <v>https://app.crepc.sk/?fn=detailBiblioForm&amp;sid=AB2F48E8C57E5DFBAC7D7BA9FC</v>
      </c>
    </row>
    <row r="3414" spans="3:5" ht="105" x14ac:dyDescent="0.25">
      <c r="C3414" s="15">
        <v>78288</v>
      </c>
      <c r="D3414" s="4" t="s">
        <v>3418</v>
      </c>
      <c r="E3414" s="4" t="str">
        <f>HYPERLINK("https://app.crepc.sk/?fn=detailBiblioForm&amp;sid=8338E135B1D7BFA83932CEAB")</f>
        <v>https://app.crepc.sk/?fn=detailBiblioForm&amp;sid=8338E135B1D7BFA83932CEAB</v>
      </c>
    </row>
    <row r="3415" spans="3:5" ht="120" x14ac:dyDescent="0.25">
      <c r="C3415" s="15">
        <v>53524</v>
      </c>
      <c r="D3415" s="4" t="s">
        <v>3419</v>
      </c>
      <c r="E3415" s="4" t="str">
        <f>HYPERLINK("https://app.crepc.sk/?fn=detailBiblioForm&amp;sid=B9B2A6F9680AB9658F5853B6")</f>
        <v>https://app.crepc.sk/?fn=detailBiblioForm&amp;sid=B9B2A6F9680AB9658F5853B6</v>
      </c>
    </row>
    <row r="3416" spans="3:5" ht="120" x14ac:dyDescent="0.25">
      <c r="C3416" s="15">
        <v>234430</v>
      </c>
      <c r="D3416" s="4" t="s">
        <v>3420</v>
      </c>
      <c r="E3416" s="4" t="str">
        <f>HYPERLINK("https://app.crepc.sk/?fn=detailBiblioForm&amp;sid=2B45DDE94BBE08A82BFBF88C29")</f>
        <v>https://app.crepc.sk/?fn=detailBiblioForm&amp;sid=2B45DDE94BBE08A82BFBF88C29</v>
      </c>
    </row>
    <row r="3417" spans="3:5" ht="75" x14ac:dyDescent="0.25">
      <c r="C3417" s="15">
        <v>128806</v>
      </c>
      <c r="D3417" s="4" t="s">
        <v>3421</v>
      </c>
      <c r="E3417" s="4" t="str">
        <f>HYPERLINK("https://app.crepc.sk/?fn=detailBiblioForm&amp;sid=DDB24A884687D2A60694865BB8")</f>
        <v>https://app.crepc.sk/?fn=detailBiblioForm&amp;sid=DDB24A884687D2A60694865BB8</v>
      </c>
    </row>
    <row r="3418" spans="3:5" ht="75" x14ac:dyDescent="0.25">
      <c r="C3418" s="15">
        <v>314832</v>
      </c>
      <c r="D3418" s="4" t="s">
        <v>3422</v>
      </c>
      <c r="E3418" s="4" t="str">
        <f>HYPERLINK("https://app.crepc.sk/?fn=detailBiblioForm&amp;sid=D959D13FBEB7699757D1B04463")</f>
        <v>https://app.crepc.sk/?fn=detailBiblioForm&amp;sid=D959D13FBEB7699757D1B04463</v>
      </c>
    </row>
    <row r="3419" spans="3:5" ht="75" x14ac:dyDescent="0.25">
      <c r="C3419" s="15">
        <v>231166</v>
      </c>
      <c r="D3419" s="4" t="s">
        <v>3423</v>
      </c>
      <c r="E3419" s="4" t="str">
        <f>HYPERLINK("https://app.crepc.sk/?fn=detailBiblioForm&amp;sid=56CD08603B3B2762513F40977B")</f>
        <v>https://app.crepc.sk/?fn=detailBiblioForm&amp;sid=56CD08603B3B2762513F40977B</v>
      </c>
    </row>
    <row r="3420" spans="3:5" ht="90" x14ac:dyDescent="0.25">
      <c r="C3420" s="15">
        <v>150341</v>
      </c>
      <c r="D3420" s="4" t="s">
        <v>3424</v>
      </c>
      <c r="E3420" s="4" t="str">
        <f>HYPERLINK("https://app.crepc.sk/?fn=detailBiblioForm&amp;sid=6D7E2994FB8F4DECAC0B800012")</f>
        <v>https://app.crepc.sk/?fn=detailBiblioForm&amp;sid=6D7E2994FB8F4DECAC0B800012</v>
      </c>
    </row>
    <row r="3421" spans="3:5" ht="60" x14ac:dyDescent="0.25">
      <c r="C3421" s="15">
        <v>71400</v>
      </c>
      <c r="D3421" s="4" t="s">
        <v>3425</v>
      </c>
      <c r="E3421" s="4" t="str">
        <f>HYPERLINK("https://app.crepc.sk/?fn=detailBiblioForm&amp;sid=C3DB74D4C2942DF870691A07")</f>
        <v>https://app.crepc.sk/?fn=detailBiblioForm&amp;sid=C3DB74D4C2942DF870691A07</v>
      </c>
    </row>
    <row r="3422" spans="3:5" ht="45" x14ac:dyDescent="0.25">
      <c r="C3422" s="15">
        <v>73205</v>
      </c>
      <c r="D3422" s="4" t="s">
        <v>3426</v>
      </c>
      <c r="E3422" s="4" t="str">
        <f>HYPERLINK("https://app.crepc.sk/?fn=detailBiblioForm&amp;sid=C7A5DD9631AF9E1E0A7E84D6")</f>
        <v>https://app.crepc.sk/?fn=detailBiblioForm&amp;sid=C7A5DD9631AF9E1E0A7E84D6</v>
      </c>
    </row>
    <row r="3423" spans="3:5" ht="75" x14ac:dyDescent="0.25">
      <c r="C3423" s="15">
        <v>228256</v>
      </c>
      <c r="D3423" s="4" t="s">
        <v>3427</v>
      </c>
      <c r="E3423" s="4" t="str">
        <f>HYPERLINK("https://app.crepc.sk/?fn=detailBiblioForm&amp;sid=AF76E74BF3CFEA1C419E851A00")</f>
        <v>https://app.crepc.sk/?fn=detailBiblioForm&amp;sid=AF76E74BF3CFEA1C419E851A00</v>
      </c>
    </row>
    <row r="3424" spans="3:5" ht="105" x14ac:dyDescent="0.25">
      <c r="C3424" s="15">
        <v>311169</v>
      </c>
      <c r="D3424" s="4" t="s">
        <v>3428</v>
      </c>
      <c r="E3424" s="4" t="str">
        <f>HYPERLINK("https://app.crepc.sk/?fn=detailBiblioForm&amp;sid=EDC641B86B12B5F85F4FD27856")</f>
        <v>https://app.crepc.sk/?fn=detailBiblioForm&amp;sid=EDC641B86B12B5F85F4FD27856</v>
      </c>
    </row>
    <row r="3425" spans="3:5" ht="120" x14ac:dyDescent="0.25">
      <c r="C3425" s="15">
        <v>427456</v>
      </c>
      <c r="D3425" s="4" t="s">
        <v>3429</v>
      </c>
      <c r="E3425" s="4" t="str">
        <f>HYPERLINK("https://app.crepc.sk/?fn=detailBiblioForm&amp;sid=71A2E52503099CD29B02493D59")</f>
        <v>https://app.crepc.sk/?fn=detailBiblioForm&amp;sid=71A2E52503099CD29B02493D59</v>
      </c>
    </row>
    <row r="3426" spans="3:5" ht="90" x14ac:dyDescent="0.25">
      <c r="C3426" s="15">
        <v>238016</v>
      </c>
      <c r="D3426" s="4" t="s">
        <v>3430</v>
      </c>
      <c r="E3426" s="4" t="str">
        <f>HYPERLINK("https://app.crepc.sk/?fn=detailBiblioForm&amp;sid=FCF8BA94449D0FAD64E22B300E")</f>
        <v>https://app.crepc.sk/?fn=detailBiblioForm&amp;sid=FCF8BA94449D0FAD64E22B300E</v>
      </c>
    </row>
    <row r="3427" spans="3:5" ht="75" x14ac:dyDescent="0.25">
      <c r="C3427" s="15">
        <v>127906</v>
      </c>
      <c r="D3427" s="4" t="s">
        <v>3431</v>
      </c>
      <c r="E3427" s="4" t="str">
        <f>HYPERLINK("https://app.crepc.sk/?fn=detailBiblioForm&amp;sid=24C6E28F89ED84B92D6359EEF1")</f>
        <v>https://app.crepc.sk/?fn=detailBiblioForm&amp;sid=24C6E28F89ED84B92D6359EEF1</v>
      </c>
    </row>
    <row r="3428" spans="3:5" ht="105" x14ac:dyDescent="0.25">
      <c r="C3428" s="15">
        <v>131090</v>
      </c>
      <c r="D3428" s="4" t="s">
        <v>3432</v>
      </c>
      <c r="E3428" s="4" t="str">
        <f>HYPERLINK("https://app.crepc.sk/?fn=detailBiblioForm&amp;sid=A8CFFD80ABEAC294B18F4D0AAA")</f>
        <v>https://app.crepc.sk/?fn=detailBiblioForm&amp;sid=A8CFFD80ABEAC294B18F4D0AAA</v>
      </c>
    </row>
    <row r="3429" spans="3:5" ht="45" x14ac:dyDescent="0.25">
      <c r="C3429" s="15">
        <v>311308</v>
      </c>
      <c r="D3429" s="4" t="s">
        <v>3433</v>
      </c>
      <c r="E3429" s="4" t="str">
        <f>HYPERLINK("https://app.crepc.sk/?fn=detailBiblioForm&amp;sid=3CC161ACD26ABD0DAC3134C0BF")</f>
        <v>https://app.crepc.sk/?fn=detailBiblioForm&amp;sid=3CC161ACD26ABD0DAC3134C0BF</v>
      </c>
    </row>
    <row r="3430" spans="3:5" ht="75" x14ac:dyDescent="0.25">
      <c r="C3430" s="15">
        <v>127936</v>
      </c>
      <c r="D3430" s="4" t="s">
        <v>3434</v>
      </c>
      <c r="E3430" s="4" t="str">
        <f>HYPERLINK("https://app.crepc.sk/?fn=detailBiblioForm&amp;sid=24C6E28F89ED84B92E6359EEF1")</f>
        <v>https://app.crepc.sk/?fn=detailBiblioForm&amp;sid=24C6E28F89ED84B92E6359EEF1</v>
      </c>
    </row>
    <row r="3431" spans="3:5" ht="75" x14ac:dyDescent="0.25">
      <c r="C3431" s="15">
        <v>227394</v>
      </c>
      <c r="D3431" s="4" t="s">
        <v>3435</v>
      </c>
      <c r="E3431" s="4" t="str">
        <f>HYPERLINK("https://app.crepc.sk/?fn=detailBiblioForm&amp;sid=6CA30878C8FDE196AA180AE199")</f>
        <v>https://app.crepc.sk/?fn=detailBiblioForm&amp;sid=6CA30878C8FDE196AA180AE199</v>
      </c>
    </row>
    <row r="3432" spans="3:5" ht="75" x14ac:dyDescent="0.25">
      <c r="C3432" s="15">
        <v>138795</v>
      </c>
      <c r="D3432" s="4" t="s">
        <v>3436</v>
      </c>
      <c r="E3432" s="4" t="str">
        <f>HYPERLINK("https://app.crepc.sk/?fn=detailBiblioForm&amp;sid=B05445C3B1156175C9C2E1ECCB")</f>
        <v>https://app.crepc.sk/?fn=detailBiblioForm&amp;sid=B05445C3B1156175C9C2E1ECCB</v>
      </c>
    </row>
    <row r="3433" spans="3:5" ht="75" x14ac:dyDescent="0.25">
      <c r="C3433" s="15">
        <v>108769</v>
      </c>
      <c r="D3433" s="4" t="s">
        <v>3437</v>
      </c>
      <c r="E3433" s="4" t="str">
        <f>HYPERLINK("https://app.crepc.sk/?fn=detailBiblioForm&amp;sid=8A2420159ECD7877EE59831C94")</f>
        <v>https://app.crepc.sk/?fn=detailBiblioForm&amp;sid=8A2420159ECD7877EE59831C94</v>
      </c>
    </row>
    <row r="3434" spans="3:5" ht="105" x14ac:dyDescent="0.25">
      <c r="C3434" s="15">
        <v>314580</v>
      </c>
      <c r="D3434" s="4" t="s">
        <v>3438</v>
      </c>
      <c r="E3434" s="4" t="str">
        <f>HYPERLINK("https://app.crepc.sk/?fn=detailBiblioForm&amp;sid=297DB22E6EC133D816108E8AB5")</f>
        <v>https://app.crepc.sk/?fn=detailBiblioForm&amp;sid=297DB22E6EC133D816108E8AB5</v>
      </c>
    </row>
    <row r="3435" spans="3:5" ht="60" x14ac:dyDescent="0.25">
      <c r="C3435" s="15">
        <v>134422</v>
      </c>
      <c r="D3435" s="4" t="s">
        <v>3439</v>
      </c>
      <c r="E3435" s="4" t="str">
        <f>HYPERLINK("https://app.crepc.sk/?fn=detailBiblioForm&amp;sid=591608704B394480C41FB0D9E4")</f>
        <v>https://app.crepc.sk/?fn=detailBiblioForm&amp;sid=591608704B394480C41FB0D9E4</v>
      </c>
    </row>
    <row r="3436" spans="3:5" ht="75" x14ac:dyDescent="0.25">
      <c r="C3436" s="15">
        <v>307743</v>
      </c>
      <c r="D3436" s="4" t="s">
        <v>3440</v>
      </c>
      <c r="E3436" s="4" t="str">
        <f>HYPERLINK("https://app.crepc.sk/?fn=detailBiblioForm&amp;sid=D300494292311A148E0B9C5B89")</f>
        <v>https://app.crepc.sk/?fn=detailBiblioForm&amp;sid=D300494292311A148E0B9C5B89</v>
      </c>
    </row>
    <row r="3437" spans="3:5" ht="90" x14ac:dyDescent="0.25">
      <c r="C3437" s="15">
        <v>207988</v>
      </c>
      <c r="D3437" s="4" t="s">
        <v>3441</v>
      </c>
      <c r="E3437" s="4" t="str">
        <f>HYPERLINK("https://app.crepc.sk/?fn=detailBiblioForm&amp;sid=06D5204408007CA77FAA4873FD")</f>
        <v>https://app.crepc.sk/?fn=detailBiblioForm&amp;sid=06D5204408007CA77FAA4873FD</v>
      </c>
    </row>
    <row r="3438" spans="3:5" ht="90" x14ac:dyDescent="0.25">
      <c r="C3438" s="15">
        <v>204784</v>
      </c>
      <c r="D3438" s="4" t="s">
        <v>3442</v>
      </c>
      <c r="E3438" s="4" t="str">
        <f>HYPERLINK("https://app.crepc.sk/?fn=detailBiblioForm&amp;sid=EABE3B0E8FC617363A850C7D5F")</f>
        <v>https://app.crepc.sk/?fn=detailBiblioForm&amp;sid=EABE3B0E8FC617363A850C7D5F</v>
      </c>
    </row>
    <row r="3439" spans="3:5" ht="60" x14ac:dyDescent="0.25">
      <c r="C3439" s="15">
        <v>84996</v>
      </c>
      <c r="D3439" s="4" t="s">
        <v>3443</v>
      </c>
      <c r="E3439" s="4" t="str">
        <f>HYPERLINK("https://app.crepc.sk/?fn=detailBiblioForm&amp;sid=0DFF37D736FA4E545D95D8A4")</f>
        <v>https://app.crepc.sk/?fn=detailBiblioForm&amp;sid=0DFF37D736FA4E545D95D8A4</v>
      </c>
    </row>
    <row r="3440" spans="3:5" ht="90" x14ac:dyDescent="0.25">
      <c r="C3440" s="15">
        <v>446958</v>
      </c>
      <c r="D3440" s="4" t="s">
        <v>3444</v>
      </c>
      <c r="E3440" s="4" t="str">
        <f>HYPERLINK("https://app.crepc.sk/?fn=detailBiblioForm&amp;sid=7D0E99783D71B1037C15EB67B7")</f>
        <v>https://app.crepc.sk/?fn=detailBiblioForm&amp;sid=7D0E99783D71B1037C15EB67B7</v>
      </c>
    </row>
    <row r="3441" spans="3:5" ht="75" x14ac:dyDescent="0.25">
      <c r="C3441" s="15">
        <v>128369</v>
      </c>
      <c r="D3441" s="4" t="s">
        <v>3445</v>
      </c>
      <c r="E3441" s="4" t="str">
        <f>HYPERLINK("https://app.crepc.sk/?fn=detailBiblioForm&amp;sid=74191DCBA790A6B781C5426AF5")</f>
        <v>https://app.crepc.sk/?fn=detailBiblioForm&amp;sid=74191DCBA790A6B781C5426AF5</v>
      </c>
    </row>
    <row r="3442" spans="3:5" ht="120" x14ac:dyDescent="0.25">
      <c r="C3442" s="15">
        <v>422394</v>
      </c>
      <c r="D3442" s="4" t="s">
        <v>3446</v>
      </c>
      <c r="E3442" s="4" t="str">
        <f>HYPERLINK("https://app.crepc.sk/?fn=detailBiblioForm&amp;sid=AF946B1BA58D5A544276B317E0")</f>
        <v>https://app.crepc.sk/?fn=detailBiblioForm&amp;sid=AF946B1BA58D5A544276B317E0</v>
      </c>
    </row>
    <row r="3443" spans="3:5" ht="105" x14ac:dyDescent="0.25">
      <c r="C3443" s="15">
        <v>226967</v>
      </c>
      <c r="D3443" s="4" t="s">
        <v>3447</v>
      </c>
      <c r="E3443" s="4" t="str">
        <f>HYPERLINK("https://app.crepc.sk/?fn=detailBiblioForm&amp;sid=E28066AA7FF097E3815F4D3B00")</f>
        <v>https://app.crepc.sk/?fn=detailBiblioForm&amp;sid=E28066AA7FF097E3815F4D3B00</v>
      </c>
    </row>
    <row r="3444" spans="3:5" ht="75" x14ac:dyDescent="0.25">
      <c r="C3444" s="15">
        <v>249306</v>
      </c>
      <c r="D3444" s="4" t="s">
        <v>3448</v>
      </c>
      <c r="E3444" s="4" t="str">
        <f>HYPERLINK("https://app.crepc.sk/?fn=detailBiblioForm&amp;sid=923F6DECD2F5E1804479ED03E3")</f>
        <v>https://app.crepc.sk/?fn=detailBiblioForm&amp;sid=923F6DECD2F5E1804479ED03E3</v>
      </c>
    </row>
    <row r="3445" spans="3:5" ht="90" x14ac:dyDescent="0.25">
      <c r="C3445" s="15">
        <v>178826</v>
      </c>
      <c r="D3445" s="4" t="s">
        <v>3449</v>
      </c>
      <c r="E3445" s="4" t="str">
        <f>HYPERLINK("https://app.crepc.sk/?fn=detailBiblioForm&amp;sid=925BFB95FAA30F229B95A71785")</f>
        <v>https://app.crepc.sk/?fn=detailBiblioForm&amp;sid=925BFB95FAA30F229B95A71785</v>
      </c>
    </row>
    <row r="3446" spans="3:5" ht="75" x14ac:dyDescent="0.25">
      <c r="C3446" s="15">
        <v>207730</v>
      </c>
      <c r="D3446" s="4" t="s">
        <v>3450</v>
      </c>
      <c r="E3446" s="4" t="str">
        <f>HYPERLINK("https://app.crepc.sk/?fn=detailBiblioForm&amp;sid=0615AA3F0AC7184E383168DFA4")</f>
        <v>https://app.crepc.sk/?fn=detailBiblioForm&amp;sid=0615AA3F0AC7184E383168DFA4</v>
      </c>
    </row>
    <row r="3447" spans="3:5" ht="45" x14ac:dyDescent="0.25">
      <c r="C3447" s="15">
        <v>438645</v>
      </c>
      <c r="D3447" s="4" t="s">
        <v>3451</v>
      </c>
      <c r="E3447" s="4" t="str">
        <f>HYPERLINK("https://app.crepc.sk/?fn=detailBiblioForm&amp;sid=C10B51E9E3EF1B1315ADE0F7D6")</f>
        <v>https://app.crepc.sk/?fn=detailBiblioForm&amp;sid=C10B51E9E3EF1B1315ADE0F7D6</v>
      </c>
    </row>
    <row r="3448" spans="3:5" ht="90" x14ac:dyDescent="0.25">
      <c r="C3448" s="15">
        <v>226112</v>
      </c>
      <c r="D3448" s="4" t="s">
        <v>3452</v>
      </c>
      <c r="E3448" s="4" t="str">
        <f>HYPERLINK("https://app.crepc.sk/?fn=detailBiblioForm&amp;sid=A9A50E53C78F5E5218D462DBCC")</f>
        <v>https://app.crepc.sk/?fn=detailBiblioForm&amp;sid=A9A50E53C78F5E5218D462DBCC</v>
      </c>
    </row>
    <row r="3449" spans="3:5" ht="120" x14ac:dyDescent="0.25">
      <c r="C3449" s="15">
        <v>215148</v>
      </c>
      <c r="D3449" s="4" t="s">
        <v>3453</v>
      </c>
      <c r="E3449" s="4" t="str">
        <f>HYPERLINK("https://app.crepc.sk/?fn=detailBiblioForm&amp;sid=4D5574EB40FC4DF07CD2C88A83")</f>
        <v>https://app.crepc.sk/?fn=detailBiblioForm&amp;sid=4D5574EB40FC4DF07CD2C88A83</v>
      </c>
    </row>
    <row r="3450" spans="3:5" ht="75" x14ac:dyDescent="0.25">
      <c r="C3450" s="15">
        <v>242279</v>
      </c>
      <c r="D3450" s="4" t="s">
        <v>3454</v>
      </c>
      <c r="E3450" s="4" t="str">
        <f>HYPERLINK("https://app.crepc.sk/?fn=detailBiblioForm&amp;sid=231E70CAEA5D636BE05CF2C2AB")</f>
        <v>https://app.crepc.sk/?fn=detailBiblioForm&amp;sid=231E70CAEA5D636BE05CF2C2AB</v>
      </c>
    </row>
    <row r="3451" spans="3:5" ht="90" x14ac:dyDescent="0.25">
      <c r="C3451" s="15">
        <v>418635</v>
      </c>
      <c r="D3451" s="4" t="s">
        <v>3455</v>
      </c>
      <c r="E3451" s="4" t="str">
        <f>HYPERLINK("https://app.crepc.sk/?fn=detailBiblioForm&amp;sid=EF9BA79F4EF8CB95B423CE6080")</f>
        <v>https://app.crepc.sk/?fn=detailBiblioForm&amp;sid=EF9BA79F4EF8CB95B423CE6080</v>
      </c>
    </row>
    <row r="3452" spans="3:5" ht="75" x14ac:dyDescent="0.25">
      <c r="C3452" s="15">
        <v>314833</v>
      </c>
      <c r="D3452" s="4" t="s">
        <v>3456</v>
      </c>
      <c r="E3452" s="4" t="str">
        <f>HYPERLINK("https://app.crepc.sk/?fn=detailBiblioForm&amp;sid=D959D13FBEB7699757D0B04463")</f>
        <v>https://app.crepc.sk/?fn=detailBiblioForm&amp;sid=D959D13FBEB7699757D0B04463</v>
      </c>
    </row>
    <row r="3453" spans="3:5" ht="105" x14ac:dyDescent="0.25">
      <c r="C3453" s="15">
        <v>138607</v>
      </c>
      <c r="D3453" s="4" t="s">
        <v>3457</v>
      </c>
      <c r="E3453" s="4" t="str">
        <f>HYPERLINK("https://app.crepc.sk/?fn=detailBiblioForm&amp;sid=6E790697089442F7214830A242")</f>
        <v>https://app.crepc.sk/?fn=detailBiblioForm&amp;sid=6E790697089442F7214830A242</v>
      </c>
    </row>
    <row r="3454" spans="3:5" ht="75" x14ac:dyDescent="0.25">
      <c r="C3454" s="15">
        <v>52498</v>
      </c>
      <c r="D3454" s="4" t="s">
        <v>3458</v>
      </c>
      <c r="E3454" s="4" t="str">
        <f>HYPERLINK("https://app.crepc.sk/?fn=detailBiblioForm&amp;sid=623554388C2D67021D2A9B16")</f>
        <v>https://app.crepc.sk/?fn=detailBiblioForm&amp;sid=623554388C2D67021D2A9B16</v>
      </c>
    </row>
    <row r="3455" spans="3:5" ht="105" x14ac:dyDescent="0.25">
      <c r="C3455" s="15">
        <v>311168</v>
      </c>
      <c r="D3455" s="4" t="s">
        <v>3459</v>
      </c>
      <c r="E3455" s="4" t="str">
        <f>HYPERLINK("https://app.crepc.sk/?fn=detailBiblioForm&amp;sid=EDC641B86B12B5F85F4ED27856")</f>
        <v>https://app.crepc.sk/?fn=detailBiblioForm&amp;sid=EDC641B86B12B5F85F4ED27856</v>
      </c>
    </row>
    <row r="3456" spans="3:5" ht="105" x14ac:dyDescent="0.25">
      <c r="C3456" s="15">
        <v>54010</v>
      </c>
      <c r="D3456" s="4" t="s">
        <v>3460</v>
      </c>
      <c r="E3456" s="4" t="str">
        <f>HYPERLINK("https://app.crepc.sk/?fn=detailBiblioForm&amp;sid=4BAEFCCCF971A347FAABFA1C")</f>
        <v>https://app.crepc.sk/?fn=detailBiblioForm&amp;sid=4BAEFCCCF971A347FAABFA1C</v>
      </c>
    </row>
    <row r="3457" spans="3:5" ht="120" x14ac:dyDescent="0.25">
      <c r="C3457" s="15">
        <v>254213</v>
      </c>
      <c r="D3457" s="4" t="s">
        <v>3461</v>
      </c>
      <c r="E3457" s="4" t="str">
        <f>HYPERLINK("https://app.crepc.sk/?fn=detailBiblioForm&amp;sid=E9679CAB9090E665C1CAB48272")</f>
        <v>https://app.crepc.sk/?fn=detailBiblioForm&amp;sid=E9679CAB9090E665C1CAB48272</v>
      </c>
    </row>
    <row r="3458" spans="3:5" ht="60" x14ac:dyDescent="0.25">
      <c r="C3458" s="15">
        <v>233312</v>
      </c>
      <c r="D3458" s="4" t="s">
        <v>3462</v>
      </c>
      <c r="E3458" s="4" t="str">
        <f>HYPERLINK("https://app.crepc.sk/?fn=detailBiblioForm&amp;sid=D28BB5EE2EC1576342D817335E")</f>
        <v>https://app.crepc.sk/?fn=detailBiblioForm&amp;sid=D28BB5EE2EC1576342D817335E</v>
      </c>
    </row>
    <row r="3459" spans="3:5" ht="60" x14ac:dyDescent="0.25">
      <c r="C3459" s="15">
        <v>110158</v>
      </c>
      <c r="D3459" s="4" t="s">
        <v>3463</v>
      </c>
      <c r="E3459" s="4" t="str">
        <f>HYPERLINK("https://app.crepc.sk/?fn=detailBiblioForm&amp;sid=8A0066A0CA5331690F2D3C6DCB")</f>
        <v>https://app.crepc.sk/?fn=detailBiblioForm&amp;sid=8A0066A0CA5331690F2D3C6DCB</v>
      </c>
    </row>
    <row r="3460" spans="3:5" ht="60" x14ac:dyDescent="0.25">
      <c r="C3460" s="15">
        <v>163436</v>
      </c>
      <c r="D3460" s="4" t="s">
        <v>3464</v>
      </c>
      <c r="E3460" s="4" t="str">
        <f>HYPERLINK("https://app.crepc.sk/?fn=detailBiblioForm&amp;sid=AD651A15AE426CC4BC1DE2CC5D")</f>
        <v>https://app.crepc.sk/?fn=detailBiblioForm&amp;sid=AD651A15AE426CC4BC1DE2CC5D</v>
      </c>
    </row>
    <row r="3461" spans="3:5" ht="75" x14ac:dyDescent="0.25">
      <c r="C3461" s="15">
        <v>180631</v>
      </c>
      <c r="D3461" s="4" t="s">
        <v>3465</v>
      </c>
      <c r="E3461" s="4" t="str">
        <f>HYPERLINK("https://app.crepc.sk/?fn=detailBiblioForm&amp;sid=6B977D197BBEDDBAD079D8DAE5")</f>
        <v>https://app.crepc.sk/?fn=detailBiblioForm&amp;sid=6B977D197BBEDDBAD079D8DAE5</v>
      </c>
    </row>
    <row r="3462" spans="3:5" ht="75" x14ac:dyDescent="0.25">
      <c r="C3462" s="15">
        <v>164489</v>
      </c>
      <c r="D3462" s="4" t="s">
        <v>3466</v>
      </c>
      <c r="E3462" s="4" t="str">
        <f>HYPERLINK("https://app.crepc.sk/?fn=detailBiblioForm&amp;sid=9A7ADD0D299745E45396D1C5C9")</f>
        <v>https://app.crepc.sk/?fn=detailBiblioForm&amp;sid=9A7ADD0D299745E45396D1C5C9</v>
      </c>
    </row>
    <row r="3463" spans="3:5" ht="75" x14ac:dyDescent="0.25">
      <c r="C3463" s="15">
        <v>220022</v>
      </c>
      <c r="D3463" s="4" t="s">
        <v>3467</v>
      </c>
      <c r="E3463" s="4" t="str">
        <f>HYPERLINK("https://app.crepc.sk/?fn=detailBiblioForm&amp;sid=6722ACCCD5DE7D897FE41B3D64")</f>
        <v>https://app.crepc.sk/?fn=detailBiblioForm&amp;sid=6722ACCCD5DE7D897FE41B3D64</v>
      </c>
    </row>
    <row r="3464" spans="3:5" ht="105" x14ac:dyDescent="0.25">
      <c r="C3464" s="15">
        <v>435505</v>
      </c>
      <c r="D3464" s="4" t="s">
        <v>3468</v>
      </c>
      <c r="E3464" s="4" t="str">
        <f>HYPERLINK("https://app.crepc.sk/?fn=detailBiblioForm&amp;sid=CBCC4E2F87C3739922C2CFBB27")</f>
        <v>https://app.crepc.sk/?fn=detailBiblioForm&amp;sid=CBCC4E2F87C3739922C2CFBB27</v>
      </c>
    </row>
    <row r="3465" spans="3:5" ht="90" x14ac:dyDescent="0.25">
      <c r="C3465" s="15">
        <v>214876</v>
      </c>
      <c r="D3465" s="4" t="s">
        <v>3469</v>
      </c>
      <c r="E3465" s="4" t="str">
        <f>HYPERLINK("https://app.crepc.sk/?fn=detailBiblioForm&amp;sid=A06FA5B38568DD1496D9EE68D3")</f>
        <v>https://app.crepc.sk/?fn=detailBiblioForm&amp;sid=A06FA5B38568DD1496D9EE68D3</v>
      </c>
    </row>
    <row r="3466" spans="3:5" ht="60" x14ac:dyDescent="0.25">
      <c r="C3466" s="15">
        <v>97252</v>
      </c>
      <c r="D3466" s="4" t="s">
        <v>3470</v>
      </c>
      <c r="E3466" s="4" t="str">
        <f>HYPERLINK("https://app.crepc.sk/?fn=detailBiblioForm&amp;sid=6BD4B504A669F5CF619CACF9")</f>
        <v>https://app.crepc.sk/?fn=detailBiblioForm&amp;sid=6BD4B504A669F5CF619CACF9</v>
      </c>
    </row>
    <row r="3467" spans="3:5" ht="60" x14ac:dyDescent="0.25">
      <c r="C3467" s="15">
        <v>71486</v>
      </c>
      <c r="D3467" s="4" t="s">
        <v>3471</v>
      </c>
      <c r="E3467" s="4" t="str">
        <f>HYPERLINK("https://app.crepc.sk/?fn=detailBiblioForm&amp;sid=10FDF9455E87503F5A487378")</f>
        <v>https://app.crepc.sk/?fn=detailBiblioForm&amp;sid=10FDF9455E87503F5A487378</v>
      </c>
    </row>
    <row r="3468" spans="3:5" ht="60" x14ac:dyDescent="0.25">
      <c r="C3468" s="15">
        <v>422676</v>
      </c>
      <c r="D3468" s="4" t="s">
        <v>3472</v>
      </c>
      <c r="E3468" s="4" t="str">
        <f>HYPERLINK("https://app.crepc.sk/?fn=detailBiblioForm&amp;sid=595C10E245340136148B7F4B15")</f>
        <v>https://app.crepc.sk/?fn=detailBiblioForm&amp;sid=595C10E245340136148B7F4B15</v>
      </c>
    </row>
    <row r="3469" spans="3:5" ht="120" x14ac:dyDescent="0.25">
      <c r="C3469" s="15">
        <v>171289</v>
      </c>
      <c r="D3469" s="4" t="s">
        <v>3473</v>
      </c>
      <c r="E3469" s="4" t="str">
        <f>HYPERLINK("https://app.crepc.sk/?fn=detailBiblioForm&amp;sid=6BD761ABB9A8FF53E2C561EC46")</f>
        <v>https://app.crepc.sk/?fn=detailBiblioForm&amp;sid=6BD761ABB9A8FF53E2C561EC46</v>
      </c>
    </row>
    <row r="3470" spans="3:5" ht="60" x14ac:dyDescent="0.25">
      <c r="C3470" s="15">
        <v>203999</v>
      </c>
      <c r="D3470" s="4" t="s">
        <v>3474</v>
      </c>
      <c r="E3470" s="4" t="str">
        <f>HYPERLINK("https://app.crepc.sk/?fn=detailBiblioForm&amp;sid=F912B4A50847FB6288B5103CA1")</f>
        <v>https://app.crepc.sk/?fn=detailBiblioForm&amp;sid=F912B4A50847FB6288B5103CA1</v>
      </c>
    </row>
    <row r="3471" spans="3:5" ht="90" x14ac:dyDescent="0.25">
      <c r="C3471" s="15">
        <v>444728</v>
      </c>
      <c r="D3471" s="4" t="s">
        <v>3475</v>
      </c>
      <c r="E3471" s="4" t="str">
        <f>HYPERLINK("https://app.crepc.sk/?fn=detailBiblioForm&amp;sid=FDCC891FB5F03A46827A8A404B")</f>
        <v>https://app.crepc.sk/?fn=detailBiblioForm&amp;sid=FDCC891FB5F03A46827A8A404B</v>
      </c>
    </row>
    <row r="3472" spans="3:5" ht="90" x14ac:dyDescent="0.25">
      <c r="C3472" s="15">
        <v>195221</v>
      </c>
      <c r="D3472" s="4" t="s">
        <v>3476</v>
      </c>
      <c r="E3472" s="4" t="str">
        <f>HYPERLINK("https://app.crepc.sk/?fn=detailBiblioForm&amp;sid=3F949835D0C9BAD8DC1517E56A")</f>
        <v>https://app.crepc.sk/?fn=detailBiblioForm&amp;sid=3F949835D0C9BAD8DC1517E56A</v>
      </c>
    </row>
    <row r="3473" spans="3:5" ht="105" x14ac:dyDescent="0.25">
      <c r="C3473" s="15">
        <v>106491</v>
      </c>
      <c r="D3473" s="4" t="s">
        <v>3477</v>
      </c>
      <c r="E3473" s="4" t="str">
        <f>HYPERLINK("https://app.crepc.sk/?fn=detailBiblioForm&amp;sid=A2BBB5BDBF4DF2E94CBED8FD36")</f>
        <v>https://app.crepc.sk/?fn=detailBiblioForm&amp;sid=A2BBB5BDBF4DF2E94CBED8FD36</v>
      </c>
    </row>
    <row r="3474" spans="3:5" ht="105" x14ac:dyDescent="0.25">
      <c r="C3474" s="15">
        <v>201344</v>
      </c>
      <c r="D3474" s="4" t="s">
        <v>3478</v>
      </c>
      <c r="E3474" s="4" t="str">
        <f>HYPERLINK("https://app.crepc.sk/?fn=detailBiblioForm&amp;sid=656F169D0F9FF3EB09E4C459E1")</f>
        <v>https://app.crepc.sk/?fn=detailBiblioForm&amp;sid=656F169D0F9FF3EB09E4C459E1</v>
      </c>
    </row>
    <row r="3475" spans="3:5" ht="60" x14ac:dyDescent="0.25">
      <c r="C3475" s="15">
        <v>68923</v>
      </c>
      <c r="D3475" s="4" t="s">
        <v>3479</v>
      </c>
      <c r="E3475" s="4" t="str">
        <f>HYPERLINK("https://app.crepc.sk/?fn=detailBiblioForm&amp;sid=F93DDB4C28A4924A46481021")</f>
        <v>https://app.crepc.sk/?fn=detailBiblioForm&amp;sid=F93DDB4C28A4924A46481021</v>
      </c>
    </row>
    <row r="3476" spans="3:5" ht="75" x14ac:dyDescent="0.25">
      <c r="C3476" s="15">
        <v>196642</v>
      </c>
      <c r="D3476" s="4" t="s">
        <v>3480</v>
      </c>
      <c r="E3476" s="4" t="str">
        <f>HYPERLINK("https://app.crepc.sk/?fn=detailBiblioForm&amp;sid=8A8E655A3835503C43DCDE9D4A")</f>
        <v>https://app.crepc.sk/?fn=detailBiblioForm&amp;sid=8A8E655A3835503C43DCDE9D4A</v>
      </c>
    </row>
    <row r="3477" spans="3:5" ht="120" x14ac:dyDescent="0.25">
      <c r="C3477" s="15">
        <v>227939</v>
      </c>
      <c r="D3477" s="4" t="s">
        <v>3481</v>
      </c>
      <c r="E3477" s="4" t="str">
        <f>HYPERLINK("https://app.crepc.sk/?fn=detailBiblioForm&amp;sid=F2D51D583C29E8969AE4D8DA83")</f>
        <v>https://app.crepc.sk/?fn=detailBiblioForm&amp;sid=F2D51D583C29E8969AE4D8DA83</v>
      </c>
    </row>
    <row r="3478" spans="3:5" ht="90" x14ac:dyDescent="0.25">
      <c r="C3478" s="15">
        <v>228732</v>
      </c>
      <c r="D3478" s="4" t="s">
        <v>3482</v>
      </c>
      <c r="E3478" s="4" t="str">
        <f>HYPERLINK("https://app.crepc.sk/?fn=detailBiblioForm&amp;sid=602AF1E64B3DAB01DDBD966368")</f>
        <v>https://app.crepc.sk/?fn=detailBiblioForm&amp;sid=602AF1E64B3DAB01DDBD966368</v>
      </c>
    </row>
    <row r="3479" spans="3:5" ht="75" x14ac:dyDescent="0.25">
      <c r="C3479" s="15">
        <v>63557</v>
      </c>
      <c r="D3479" s="4" t="s">
        <v>3483</v>
      </c>
      <c r="E3479" s="4" t="str">
        <f>HYPERLINK("https://app.crepc.sk/?fn=detailBiblioForm&amp;sid=B2A3331078C3993D4089FF3A")</f>
        <v>https://app.crepc.sk/?fn=detailBiblioForm&amp;sid=B2A3331078C3993D4089FF3A</v>
      </c>
    </row>
    <row r="3480" spans="3:5" ht="60" x14ac:dyDescent="0.25">
      <c r="C3480" s="15">
        <v>74229</v>
      </c>
      <c r="D3480" s="4" t="s">
        <v>3484</v>
      </c>
      <c r="E3480" s="4" t="str">
        <f>HYPERLINK("https://app.crepc.sk/?fn=detailBiblioForm&amp;sid=36F5642DDC49D12F577F85C6")</f>
        <v>https://app.crepc.sk/?fn=detailBiblioForm&amp;sid=36F5642DDC49D12F577F85C6</v>
      </c>
    </row>
    <row r="3481" spans="3:5" ht="75" x14ac:dyDescent="0.25">
      <c r="C3481" s="15">
        <v>222154</v>
      </c>
      <c r="D3481" s="4" t="s">
        <v>3485</v>
      </c>
      <c r="E3481" s="4" t="str">
        <f>HYPERLINK("https://app.crepc.sk/?fn=detailBiblioForm&amp;sid=E8E9ABE8FCE661A05E9E06B5A6")</f>
        <v>https://app.crepc.sk/?fn=detailBiblioForm&amp;sid=E8E9ABE8FCE661A05E9E06B5A6</v>
      </c>
    </row>
    <row r="3482" spans="3:5" ht="60" x14ac:dyDescent="0.25">
      <c r="C3482" s="15">
        <v>316949</v>
      </c>
      <c r="D3482" s="4" t="s">
        <v>3486</v>
      </c>
      <c r="E3482" s="4" t="str">
        <f>HYPERLINK("https://app.crepc.sk/?fn=detailBiblioForm&amp;sid=AF862B856DC48993D4B5EAF2E2")</f>
        <v>https://app.crepc.sk/?fn=detailBiblioForm&amp;sid=AF862B856DC48993D4B5EAF2E2</v>
      </c>
    </row>
    <row r="3483" spans="3:5" ht="75" x14ac:dyDescent="0.25">
      <c r="C3483" s="15">
        <v>128795</v>
      </c>
      <c r="D3483" s="4" t="s">
        <v>3487</v>
      </c>
      <c r="E3483" s="4" t="str">
        <f>HYPERLINK("https://app.crepc.sk/?fn=detailBiblioForm&amp;sid=E17FC85307AF86FA32C3D64547")</f>
        <v>https://app.crepc.sk/?fn=detailBiblioForm&amp;sid=E17FC85307AF86FA32C3D64547</v>
      </c>
    </row>
    <row r="3484" spans="3:5" ht="60" x14ac:dyDescent="0.25">
      <c r="C3484" s="15">
        <v>97264</v>
      </c>
      <c r="D3484" s="4" t="s">
        <v>3488</v>
      </c>
      <c r="E3484" s="4" t="str">
        <f>HYPERLINK("https://app.crepc.sk/?fn=detailBiblioForm&amp;sid=9C42C15E761448ABAE445D22")</f>
        <v>https://app.crepc.sk/?fn=detailBiblioForm&amp;sid=9C42C15E761448ABAE445D22</v>
      </c>
    </row>
    <row r="3485" spans="3:5" ht="105" x14ac:dyDescent="0.25">
      <c r="C3485" s="15">
        <v>75551</v>
      </c>
      <c r="D3485" s="4" t="s">
        <v>3489</v>
      </c>
      <c r="E3485" s="4" t="str">
        <f>HYPERLINK("https://app.crepc.sk/?fn=detailBiblioForm&amp;sid=6DD79341DB712EF40EE59A39")</f>
        <v>https://app.crepc.sk/?fn=detailBiblioForm&amp;sid=6DD79341DB712EF40EE59A39</v>
      </c>
    </row>
    <row r="3486" spans="3:5" ht="75" x14ac:dyDescent="0.25">
      <c r="C3486" s="15">
        <v>142094</v>
      </c>
      <c r="D3486" s="4" t="s">
        <v>3490</v>
      </c>
      <c r="E3486" s="4" t="str">
        <f>HYPERLINK("https://app.crepc.sk/?fn=detailBiblioForm&amp;sid=78283B71680DBAF21546BA0B38")</f>
        <v>https://app.crepc.sk/?fn=detailBiblioForm&amp;sid=78283B71680DBAF21546BA0B38</v>
      </c>
    </row>
    <row r="3487" spans="3:5" ht="60" x14ac:dyDescent="0.25">
      <c r="C3487" s="15">
        <v>216744</v>
      </c>
      <c r="D3487" s="4" t="s">
        <v>3491</v>
      </c>
      <c r="E3487" s="4" t="str">
        <f>HYPERLINK("https://app.crepc.sk/?fn=detailBiblioForm&amp;sid=73B630D0391B7B04CEC733631C")</f>
        <v>https://app.crepc.sk/?fn=detailBiblioForm&amp;sid=73B630D0391B7B04CEC733631C</v>
      </c>
    </row>
    <row r="3488" spans="3:5" ht="90" x14ac:dyDescent="0.25">
      <c r="C3488" s="15">
        <v>198929</v>
      </c>
      <c r="D3488" s="4" t="s">
        <v>3492</v>
      </c>
      <c r="E3488" s="4" t="str">
        <f>HYPERLINK("https://app.crepc.sk/?fn=detailBiblioForm&amp;sid=72F616B01DF8DEC04C4DA0C4CB")</f>
        <v>https://app.crepc.sk/?fn=detailBiblioForm&amp;sid=72F616B01DF8DEC04C4DA0C4CB</v>
      </c>
    </row>
    <row r="3489" spans="3:5" ht="90" x14ac:dyDescent="0.25">
      <c r="C3489" s="15">
        <v>196559</v>
      </c>
      <c r="D3489" s="4" t="s">
        <v>3493</v>
      </c>
      <c r="E3489" s="4" t="str">
        <f>HYPERLINK("https://app.crepc.sk/?fn=detailBiblioForm&amp;sid=D843D49F92241BBFEB3D1A5B09")</f>
        <v>https://app.crepc.sk/?fn=detailBiblioForm&amp;sid=D843D49F92241BBFEB3D1A5B09</v>
      </c>
    </row>
    <row r="3490" spans="3:5" ht="75" x14ac:dyDescent="0.25">
      <c r="C3490" s="15">
        <v>312652</v>
      </c>
      <c r="D3490" s="4" t="s">
        <v>3494</v>
      </c>
      <c r="E3490" s="4" t="str">
        <f>HYPERLINK("https://app.crepc.sk/?fn=detailBiblioForm&amp;sid=E7DC3C2FFE1E43E291196104AF")</f>
        <v>https://app.crepc.sk/?fn=detailBiblioForm&amp;sid=E7DC3C2FFE1E43E291196104AF</v>
      </c>
    </row>
    <row r="3491" spans="3:5" ht="60" x14ac:dyDescent="0.25">
      <c r="C3491" s="15">
        <v>313593</v>
      </c>
      <c r="D3491" s="4" t="s">
        <v>3495</v>
      </c>
      <c r="E3491" s="4" t="str">
        <f>HYPERLINK("https://app.crepc.sk/?fn=detailBiblioForm&amp;sid=84C2C2F763AF22E2C0000E9486")</f>
        <v>https://app.crepc.sk/?fn=detailBiblioForm&amp;sid=84C2C2F763AF22E2C0000E9486</v>
      </c>
    </row>
    <row r="3492" spans="3:5" ht="75" x14ac:dyDescent="0.25">
      <c r="C3492" s="15">
        <v>243945</v>
      </c>
      <c r="D3492" s="4" t="s">
        <v>3496</v>
      </c>
      <c r="E3492" s="4" t="str">
        <f>HYPERLINK("https://app.crepc.sk/?fn=detailBiblioForm&amp;sid=4E0FD8AB6AD170354B543E4C45")</f>
        <v>https://app.crepc.sk/?fn=detailBiblioForm&amp;sid=4E0FD8AB6AD170354B543E4C45</v>
      </c>
    </row>
    <row r="3493" spans="3:5" ht="75" x14ac:dyDescent="0.25">
      <c r="C3493" s="15">
        <v>168996</v>
      </c>
      <c r="D3493" s="4" t="s">
        <v>3497</v>
      </c>
      <c r="E3493" s="4" t="str">
        <f>HYPERLINK("https://app.crepc.sk/?fn=detailBiblioForm&amp;sid=14E8631BC0ED910BFDF5CE25B0")</f>
        <v>https://app.crepc.sk/?fn=detailBiblioForm&amp;sid=14E8631BC0ED910BFDF5CE25B0</v>
      </c>
    </row>
    <row r="3494" spans="3:5" ht="90" x14ac:dyDescent="0.25">
      <c r="C3494" s="15">
        <v>221432</v>
      </c>
      <c r="D3494" s="4" t="s">
        <v>3498</v>
      </c>
      <c r="E3494" s="4" t="str">
        <f>HYPERLINK("https://app.crepc.sk/?fn=detailBiblioForm&amp;sid=BDE1989955220D35E8F44F9FC4")</f>
        <v>https://app.crepc.sk/?fn=detailBiblioForm&amp;sid=BDE1989955220D35E8F44F9FC4</v>
      </c>
    </row>
    <row r="3495" spans="3:5" ht="75" x14ac:dyDescent="0.25">
      <c r="C3495" s="15">
        <v>204126</v>
      </c>
      <c r="D3495" s="4" t="s">
        <v>3499</v>
      </c>
      <c r="E3495" s="4" t="str">
        <f>HYPERLINK("https://app.crepc.sk/?fn=detailBiblioForm&amp;sid=2FD2966D3164FE508C890E18A4")</f>
        <v>https://app.crepc.sk/?fn=detailBiblioForm&amp;sid=2FD2966D3164FE508C890E18A4</v>
      </c>
    </row>
    <row r="3496" spans="3:5" ht="90" x14ac:dyDescent="0.25">
      <c r="C3496" s="15">
        <v>204167</v>
      </c>
      <c r="D3496" s="4" t="s">
        <v>3500</v>
      </c>
      <c r="E3496" s="4" t="str">
        <f>HYPERLINK("https://app.crepc.sk/?fn=detailBiblioForm&amp;sid=2FD2966D3164FE5088880E18A4")</f>
        <v>https://app.crepc.sk/?fn=detailBiblioForm&amp;sid=2FD2966D3164FE5088880E18A4</v>
      </c>
    </row>
    <row r="3497" spans="3:5" ht="75" x14ac:dyDescent="0.25">
      <c r="C3497" s="15">
        <v>173488</v>
      </c>
      <c r="D3497" s="4" t="s">
        <v>3501</v>
      </c>
      <c r="E3497" s="4" t="str">
        <f>HYPERLINK("https://app.crepc.sk/?fn=detailBiblioForm&amp;sid=1F20E14014F543F1430E39B011")</f>
        <v>https://app.crepc.sk/?fn=detailBiblioForm&amp;sid=1F20E14014F543F1430E39B011</v>
      </c>
    </row>
    <row r="3498" spans="3:5" ht="75" x14ac:dyDescent="0.25">
      <c r="C3498" s="15">
        <v>208564</v>
      </c>
      <c r="D3498" s="4" t="s">
        <v>3502</v>
      </c>
      <c r="E3498" s="4" t="str">
        <f>HYPERLINK("https://app.crepc.sk/?fn=detailBiblioForm&amp;sid=9498AC2C2D7C445A867D8E28BD")</f>
        <v>https://app.crepc.sk/?fn=detailBiblioForm&amp;sid=9498AC2C2D7C445A867D8E28BD</v>
      </c>
    </row>
    <row r="3499" spans="3:5" ht="75" x14ac:dyDescent="0.25">
      <c r="C3499" s="15">
        <v>128373</v>
      </c>
      <c r="D3499" s="4" t="s">
        <v>3503</v>
      </c>
      <c r="E3499" s="4" t="str">
        <f>HYPERLINK("https://app.crepc.sk/?fn=detailBiblioForm&amp;sid=74191DCBA790A6B780CF426AF5")</f>
        <v>https://app.crepc.sk/?fn=detailBiblioForm&amp;sid=74191DCBA790A6B780CF426AF5</v>
      </c>
    </row>
    <row r="3500" spans="3:5" ht="90" x14ac:dyDescent="0.25">
      <c r="C3500" s="15">
        <v>55336</v>
      </c>
      <c r="D3500" s="4" t="s">
        <v>3504</v>
      </c>
      <c r="E3500" s="4" t="str">
        <f>HYPERLINK("https://app.crepc.sk/?fn=detailBiblioForm&amp;sid=092EB665B7BA5D50C5576D76")</f>
        <v>https://app.crepc.sk/?fn=detailBiblioForm&amp;sid=092EB665B7BA5D50C5576D76</v>
      </c>
    </row>
    <row r="3501" spans="3:5" ht="60" x14ac:dyDescent="0.25">
      <c r="C3501" s="15">
        <v>437933</v>
      </c>
      <c r="D3501" s="4" t="s">
        <v>3505</v>
      </c>
      <c r="E3501" s="4" t="str">
        <f>HYPERLINK("https://app.crepc.sk/?fn=detailBiblioForm&amp;sid=C250D8BE72838170EACACEA6C9")</f>
        <v>https://app.crepc.sk/?fn=detailBiblioForm&amp;sid=C250D8BE72838170EACACEA6C9</v>
      </c>
    </row>
    <row r="3502" spans="3:5" ht="105" x14ac:dyDescent="0.25">
      <c r="C3502" s="15">
        <v>250783</v>
      </c>
      <c r="D3502" s="4" t="s">
        <v>3506</v>
      </c>
      <c r="E3502" s="4" t="str">
        <f>HYPERLINK("https://app.crepc.sk/?fn=detailBiblioForm&amp;sid=F6E878997955F571DE6C28CAE5")</f>
        <v>https://app.crepc.sk/?fn=detailBiblioForm&amp;sid=F6E878997955F571DE6C28CAE5</v>
      </c>
    </row>
    <row r="3503" spans="3:5" ht="90" x14ac:dyDescent="0.25">
      <c r="C3503" s="15">
        <v>79469</v>
      </c>
      <c r="D3503" s="4" t="s">
        <v>3507</v>
      </c>
      <c r="E3503" s="4" t="str">
        <f>HYPERLINK("https://app.crepc.sk/?fn=detailBiblioForm&amp;sid=F4000B2892B01738ED589370")</f>
        <v>https://app.crepc.sk/?fn=detailBiblioForm&amp;sid=F4000B2892B01738ED589370</v>
      </c>
    </row>
    <row r="3504" spans="3:5" ht="60" x14ac:dyDescent="0.25">
      <c r="C3504" s="15">
        <v>203995</v>
      </c>
      <c r="D3504" s="4" t="s">
        <v>3508</v>
      </c>
      <c r="E3504" s="4" t="str">
        <f>HYPERLINK("https://app.crepc.sk/?fn=detailBiblioForm&amp;sid=F912B4A50847FB6288B9103CA1")</f>
        <v>https://app.crepc.sk/?fn=detailBiblioForm&amp;sid=F912B4A50847FB6288B9103CA1</v>
      </c>
    </row>
    <row r="3505" spans="3:5" ht="75" x14ac:dyDescent="0.25">
      <c r="C3505" s="15">
        <v>249303</v>
      </c>
      <c r="D3505" s="4" t="s">
        <v>3509</v>
      </c>
      <c r="E3505" s="4" t="str">
        <f>HYPERLINK("https://app.crepc.sk/?fn=detailBiblioForm&amp;sid=923F6DECD2F5E180447CED03E3")</f>
        <v>https://app.crepc.sk/?fn=detailBiblioForm&amp;sid=923F6DECD2F5E180447CED03E3</v>
      </c>
    </row>
    <row r="3506" spans="3:5" ht="60" x14ac:dyDescent="0.25">
      <c r="C3506" s="15">
        <v>211656</v>
      </c>
      <c r="D3506" s="4" t="s">
        <v>3510</v>
      </c>
      <c r="E3506" s="4" t="str">
        <f>HYPERLINK("https://app.crepc.sk/?fn=detailBiblioForm&amp;sid=F2AFAD5AEBEB1CE81C79937402")</f>
        <v>https://app.crepc.sk/?fn=detailBiblioForm&amp;sid=F2AFAD5AEBEB1CE81C79937402</v>
      </c>
    </row>
    <row r="3507" spans="3:5" ht="75" x14ac:dyDescent="0.25">
      <c r="C3507" s="15">
        <v>442367</v>
      </c>
      <c r="D3507" s="4" t="s">
        <v>3511</v>
      </c>
      <c r="E3507" s="4" t="str">
        <f>HYPERLINK("https://app.crepc.sk/?fn=detailBiblioForm&amp;sid=F661DE2421DD595D52CA62841D")</f>
        <v>https://app.crepc.sk/?fn=detailBiblioForm&amp;sid=F661DE2421DD595D52CA62841D</v>
      </c>
    </row>
    <row r="3508" spans="3:5" ht="90" x14ac:dyDescent="0.25">
      <c r="C3508" s="15">
        <v>110427</v>
      </c>
      <c r="D3508" s="4" t="s">
        <v>3512</v>
      </c>
      <c r="E3508" s="4" t="str">
        <f>HYPERLINK("https://app.crepc.sk/?fn=detailBiblioForm&amp;sid=2CF8ED5028B5B7F171DE35BB13")</f>
        <v>https://app.crepc.sk/?fn=detailBiblioForm&amp;sid=2CF8ED5028B5B7F171DE35BB13</v>
      </c>
    </row>
    <row r="3509" spans="3:5" ht="135" x14ac:dyDescent="0.25">
      <c r="C3509" s="15">
        <v>72566</v>
      </c>
      <c r="D3509" s="4" t="s">
        <v>3513</v>
      </c>
      <c r="E3509" s="4" t="str">
        <f>HYPERLINK("https://app.crepc.sk/?fn=detailBiblioForm&amp;sid=CE3676B5E375FBA69D861773")</f>
        <v>https://app.crepc.sk/?fn=detailBiblioForm&amp;sid=CE3676B5E375FBA69D861773</v>
      </c>
    </row>
    <row r="3510" spans="3:5" ht="60" x14ac:dyDescent="0.25">
      <c r="C3510" s="15">
        <v>222084</v>
      </c>
      <c r="D3510" s="4" t="s">
        <v>3514</v>
      </c>
      <c r="E3510" s="4" t="str">
        <f>HYPERLINK("https://app.crepc.sk/?fn=detailBiblioForm&amp;sid=AE035A1340B0E94A9C8AAF86E8")</f>
        <v>https://app.crepc.sk/?fn=detailBiblioForm&amp;sid=AE035A1340B0E94A9C8AAF86E8</v>
      </c>
    </row>
    <row r="3511" spans="3:5" ht="75" x14ac:dyDescent="0.25">
      <c r="C3511" s="15">
        <v>102489</v>
      </c>
      <c r="D3511" s="4" t="s">
        <v>3515</v>
      </c>
      <c r="E3511" s="4" t="str">
        <f>HYPERLINK("https://app.crepc.sk/?fn=detailBiblioForm&amp;sid=6869FA06720F1784BBCC76ECD8")</f>
        <v>https://app.crepc.sk/?fn=detailBiblioForm&amp;sid=6869FA06720F1784BBCC76ECD8</v>
      </c>
    </row>
    <row r="3512" spans="3:5" ht="90" x14ac:dyDescent="0.25">
      <c r="C3512" s="15">
        <v>211561</v>
      </c>
      <c r="D3512" s="4" t="s">
        <v>3516</v>
      </c>
      <c r="E3512" s="4" t="str">
        <f>HYPERLINK("https://app.crepc.sk/?fn=detailBiblioForm&amp;sid=D6132714D64CD717D3822C425E")</f>
        <v>https://app.crepc.sk/?fn=detailBiblioForm&amp;sid=D6132714D64CD717D3822C425E</v>
      </c>
    </row>
    <row r="3513" spans="3:5" ht="60" x14ac:dyDescent="0.25">
      <c r="C3513" s="15">
        <v>183090</v>
      </c>
      <c r="D3513" s="4" t="s">
        <v>3517</v>
      </c>
      <c r="E3513" s="4" t="str">
        <f>HYPERLINK("https://app.crepc.sk/?fn=detailBiblioForm&amp;sid=ACFB8EE4E9848345274EDB10BB")</f>
        <v>https://app.crepc.sk/?fn=detailBiblioForm&amp;sid=ACFB8EE4E9848345274EDB10BB</v>
      </c>
    </row>
    <row r="3514" spans="3:5" ht="105" x14ac:dyDescent="0.25">
      <c r="C3514" s="15">
        <v>134301</v>
      </c>
      <c r="D3514" s="4" t="s">
        <v>3518</v>
      </c>
      <c r="E3514" s="4" t="str">
        <f>HYPERLINK("https://app.crepc.sk/?fn=detailBiblioForm&amp;sid=78B84A9CA2FB5201EA7180C3CE")</f>
        <v>https://app.crepc.sk/?fn=detailBiblioForm&amp;sid=78B84A9CA2FB5201EA7180C3CE</v>
      </c>
    </row>
    <row r="3515" spans="3:5" ht="90" x14ac:dyDescent="0.25">
      <c r="C3515" s="15">
        <v>421371</v>
      </c>
      <c r="D3515" s="4" t="s">
        <v>3519</v>
      </c>
      <c r="E3515" s="4" t="str">
        <f>HYPERLINK("https://app.crepc.sk/?fn=detailBiblioForm&amp;sid=1E1EDB1FBA977D622E0FB76B5C")</f>
        <v>https://app.crepc.sk/?fn=detailBiblioForm&amp;sid=1E1EDB1FBA977D622E0FB76B5C</v>
      </c>
    </row>
    <row r="3516" spans="3:5" ht="75" x14ac:dyDescent="0.25">
      <c r="C3516" s="15">
        <v>422662</v>
      </c>
      <c r="D3516" s="4" t="s">
        <v>3520</v>
      </c>
      <c r="E3516" s="4" t="str">
        <f>HYPERLINK("https://app.crepc.sk/?fn=detailBiblioForm&amp;sid=595C10E245340136158F7F4B15")</f>
        <v>https://app.crepc.sk/?fn=detailBiblioForm&amp;sid=595C10E245340136158F7F4B15</v>
      </c>
    </row>
    <row r="3517" spans="3:5" ht="90" x14ac:dyDescent="0.25">
      <c r="C3517" s="15">
        <v>127254</v>
      </c>
      <c r="D3517" s="4" t="s">
        <v>3521</v>
      </c>
      <c r="E3517" s="4" t="str">
        <f>HYPERLINK("https://app.crepc.sk/?fn=detailBiblioForm&amp;sid=5C148BAA13C74FFF386DFF1A72")</f>
        <v>https://app.crepc.sk/?fn=detailBiblioForm&amp;sid=5C148BAA13C74FFF386DFF1A72</v>
      </c>
    </row>
    <row r="3518" spans="3:5" ht="90" x14ac:dyDescent="0.25">
      <c r="C3518" s="15">
        <v>422668</v>
      </c>
      <c r="D3518" s="4" t="s">
        <v>3522</v>
      </c>
      <c r="E3518" s="4" t="str">
        <f>HYPERLINK("https://app.crepc.sk/?fn=detailBiblioForm&amp;sid=595C10E24534013615857F4B15")</f>
        <v>https://app.crepc.sk/?fn=detailBiblioForm&amp;sid=595C10E24534013615857F4B15</v>
      </c>
    </row>
    <row r="3519" spans="3:5" ht="90" x14ac:dyDescent="0.25">
      <c r="C3519" s="15">
        <v>247105</v>
      </c>
      <c r="D3519" s="4" t="s">
        <v>3523</v>
      </c>
      <c r="E3519" s="4" t="str">
        <f>HYPERLINK("https://app.crepc.sk/?fn=detailBiblioForm&amp;sid=20124479BBF29892263979E970")</f>
        <v>https://app.crepc.sk/?fn=detailBiblioForm&amp;sid=20124479BBF29892263979E970</v>
      </c>
    </row>
    <row r="3520" spans="3:5" ht="75" x14ac:dyDescent="0.25">
      <c r="C3520" s="15">
        <v>135995</v>
      </c>
      <c r="D3520" s="4" t="s">
        <v>3524</v>
      </c>
      <c r="E3520" s="4" t="str">
        <f>HYPERLINK("https://app.crepc.sk/?fn=detailBiblioForm&amp;sid=01A6BB7AB96764ED5B4958DFB9")</f>
        <v>https://app.crepc.sk/?fn=detailBiblioForm&amp;sid=01A6BB7AB96764ED5B4958DFB9</v>
      </c>
    </row>
    <row r="3521" spans="3:5" ht="75" x14ac:dyDescent="0.25">
      <c r="C3521" s="15">
        <v>183138</v>
      </c>
      <c r="D3521" s="4" t="s">
        <v>3525</v>
      </c>
      <c r="E3521" s="4" t="str">
        <f>HYPERLINK("https://app.crepc.sk/?fn=detailBiblioForm&amp;sid=38EFE54B98F197D5B81BEA12EF")</f>
        <v>https://app.crepc.sk/?fn=detailBiblioForm&amp;sid=38EFE54B98F197D5B81BEA12EF</v>
      </c>
    </row>
    <row r="3522" spans="3:5" ht="75" x14ac:dyDescent="0.25">
      <c r="C3522" s="15">
        <v>56034</v>
      </c>
      <c r="D3522" s="4" t="s">
        <v>3526</v>
      </c>
      <c r="E3522" s="4" t="str">
        <f>HYPERLINK("https://app.crepc.sk/?fn=detailBiblioForm&amp;sid=4E3CEB1355358AAB2F45ADC8")</f>
        <v>https://app.crepc.sk/?fn=detailBiblioForm&amp;sid=4E3CEB1355358AAB2F45ADC8</v>
      </c>
    </row>
    <row r="3523" spans="3:5" ht="75" x14ac:dyDescent="0.25">
      <c r="C3523" s="15">
        <v>104785</v>
      </c>
      <c r="D3523" s="4" t="s">
        <v>3527</v>
      </c>
      <c r="E3523" s="4" t="str">
        <f>HYPERLINK("https://app.crepc.sk/?fn=detailBiblioForm&amp;sid=60EB4B8819BA475A6331BB6528")</f>
        <v>https://app.crepc.sk/?fn=detailBiblioForm&amp;sid=60EB4B8819BA475A6331BB6528</v>
      </c>
    </row>
    <row r="3524" spans="3:5" ht="90" x14ac:dyDescent="0.25">
      <c r="C3524" s="15">
        <v>68512</v>
      </c>
      <c r="D3524" s="4" t="s">
        <v>3528</v>
      </c>
      <c r="E3524" s="4" t="str">
        <f>HYPERLINK("https://app.crepc.sk/?fn=detailBiblioForm&amp;sid=72FC2C7D9D391973C4CD7F8D")</f>
        <v>https://app.crepc.sk/?fn=detailBiblioForm&amp;sid=72FC2C7D9D391973C4CD7F8D</v>
      </c>
    </row>
    <row r="3525" spans="3:5" ht="90" x14ac:dyDescent="0.25">
      <c r="C3525" s="15">
        <v>307229</v>
      </c>
      <c r="D3525" s="4" t="s">
        <v>3529</v>
      </c>
      <c r="E3525" s="4" t="str">
        <f>HYPERLINK("https://app.crepc.sk/?fn=detailBiblioForm&amp;sid=D6D1207F88D43CD722540D809F")</f>
        <v>https://app.crepc.sk/?fn=detailBiblioForm&amp;sid=D6D1207F88D43CD722540D809F</v>
      </c>
    </row>
    <row r="3526" spans="3:5" ht="75" x14ac:dyDescent="0.25">
      <c r="C3526" s="15">
        <v>447063</v>
      </c>
      <c r="D3526" s="4" t="s">
        <v>3530</v>
      </c>
      <c r="E3526" s="4" t="str">
        <f>HYPERLINK("https://app.crepc.sk/?fn=detailBiblioForm&amp;sid=77832EC032A281ACD302ADADCD")</f>
        <v>https://app.crepc.sk/?fn=detailBiblioForm&amp;sid=77832EC032A281ACD302ADADCD</v>
      </c>
    </row>
    <row r="3527" spans="3:5" ht="60" x14ac:dyDescent="0.25">
      <c r="C3527" s="15">
        <v>221407</v>
      </c>
      <c r="D3527" s="4" t="s">
        <v>3531</v>
      </c>
      <c r="E3527" s="4" t="str">
        <f>HYPERLINK("https://app.crepc.sk/?fn=detailBiblioForm&amp;sid=BDE1989955220D35EBF14F9FC4")</f>
        <v>https://app.crepc.sk/?fn=detailBiblioForm&amp;sid=BDE1989955220D35EBF14F9FC4</v>
      </c>
    </row>
    <row r="3528" spans="3:5" ht="60" x14ac:dyDescent="0.25">
      <c r="C3528" s="15">
        <v>314828</v>
      </c>
      <c r="D3528" s="4" t="s">
        <v>3532</v>
      </c>
      <c r="E3528" s="4" t="str">
        <f>HYPERLINK("https://app.crepc.sk/?fn=detailBiblioForm&amp;sid=D959D13FBEB7699756DBB04463")</f>
        <v>https://app.crepc.sk/?fn=detailBiblioForm&amp;sid=D959D13FBEB7699756DBB04463</v>
      </c>
    </row>
    <row r="3529" spans="3:5" ht="75" x14ac:dyDescent="0.25">
      <c r="C3529" s="15">
        <v>204006</v>
      </c>
      <c r="D3529" s="4" t="s">
        <v>3533</v>
      </c>
      <c r="E3529" s="4" t="str">
        <f>HYPERLINK("https://app.crepc.sk/?fn=detailBiblioForm&amp;sid=22C33CF28BEFC43A493C39B119")</f>
        <v>https://app.crepc.sk/?fn=detailBiblioForm&amp;sid=22C33CF28BEFC43A493C39B119</v>
      </c>
    </row>
    <row r="3530" spans="3:5" ht="165" x14ac:dyDescent="0.25">
      <c r="C3530" s="15">
        <v>437720</v>
      </c>
      <c r="D3530" s="4" t="s">
        <v>3534</v>
      </c>
      <c r="E3530" s="4" t="str">
        <f>HYPERLINK("https://app.crepc.sk/?fn=detailBiblioForm&amp;sid=16B3066BF778562A6D134F7EEC")</f>
        <v>https://app.crepc.sk/?fn=detailBiblioForm&amp;sid=16B3066BF778562A6D134F7EEC</v>
      </c>
    </row>
    <row r="3531" spans="3:5" ht="105" x14ac:dyDescent="0.25">
      <c r="C3531" s="15">
        <v>178356</v>
      </c>
      <c r="D3531" s="4" t="s">
        <v>3535</v>
      </c>
      <c r="E3531" s="4" t="str">
        <f>HYPERLINK("https://app.crepc.sk/?fn=detailBiblioForm&amp;sid=A5BC586C45F519526DE245B98C")</f>
        <v>https://app.crepc.sk/?fn=detailBiblioForm&amp;sid=A5BC586C45F519526DE245B98C</v>
      </c>
    </row>
    <row r="3532" spans="3:5" ht="60" x14ac:dyDescent="0.25">
      <c r="C3532" s="15">
        <v>134277</v>
      </c>
      <c r="D3532" s="4" t="s">
        <v>3536</v>
      </c>
      <c r="E3532" s="4" t="str">
        <f>HYPERLINK("https://app.crepc.sk/?fn=detailBiblioForm&amp;sid=C8C09844F86E8670A6AE0EE84B")</f>
        <v>https://app.crepc.sk/?fn=detailBiblioForm&amp;sid=C8C09844F86E8670A6AE0EE84B</v>
      </c>
    </row>
    <row r="3533" spans="3:5" ht="105" x14ac:dyDescent="0.25">
      <c r="C3533" s="15">
        <v>213372</v>
      </c>
      <c r="D3533" s="4" t="s">
        <v>3537</v>
      </c>
      <c r="E3533" s="4" t="str">
        <f>HYPERLINK("https://app.crepc.sk/?fn=detailBiblioForm&amp;sid=308D10ECDAFDE6B1C5A34E1744")</f>
        <v>https://app.crepc.sk/?fn=detailBiblioForm&amp;sid=308D10ECDAFDE6B1C5A34E1744</v>
      </c>
    </row>
    <row r="3534" spans="3:5" ht="75" x14ac:dyDescent="0.25">
      <c r="C3534" s="15">
        <v>227450</v>
      </c>
      <c r="D3534" s="4" t="s">
        <v>3538</v>
      </c>
      <c r="E3534" s="4" t="str">
        <f>HYPERLINK("https://app.crepc.sk/?fn=detailBiblioForm&amp;sid=E3F63D99041DBB0FE3C1F3E67C")</f>
        <v>https://app.crepc.sk/?fn=detailBiblioForm&amp;sid=E3F63D99041DBB0FE3C1F3E67C</v>
      </c>
    </row>
    <row r="3535" spans="3:5" ht="60" x14ac:dyDescent="0.25">
      <c r="C3535" s="15">
        <v>222070</v>
      </c>
      <c r="D3535" s="4" t="s">
        <v>3539</v>
      </c>
      <c r="E3535" s="4" t="str">
        <f>HYPERLINK("https://app.crepc.sk/?fn=detailBiblioForm&amp;sid=AE035A1340B0E94A938EAF86E8")</f>
        <v>https://app.crepc.sk/?fn=detailBiblioForm&amp;sid=AE035A1340B0E94A938EAF86E8</v>
      </c>
    </row>
    <row r="3536" spans="3:5" ht="90" x14ac:dyDescent="0.25">
      <c r="C3536" s="15">
        <v>63562</v>
      </c>
      <c r="D3536" s="4" t="s">
        <v>3540</v>
      </c>
      <c r="E3536" s="4" t="str">
        <f>HYPERLINK("https://app.crepc.sk/?fn=detailBiblioForm&amp;sid=DCC7383CDAA2E0BA333DAF5C")</f>
        <v>https://app.crepc.sk/?fn=detailBiblioForm&amp;sid=DCC7383CDAA2E0BA333DAF5C</v>
      </c>
    </row>
    <row r="3537" spans="3:5" ht="105" x14ac:dyDescent="0.25">
      <c r="C3537" s="15">
        <v>442575</v>
      </c>
      <c r="D3537" s="4" t="s">
        <v>3541</v>
      </c>
      <c r="E3537" s="4" t="str">
        <f>HYPERLINK("https://app.crepc.sk/?fn=detailBiblioForm&amp;sid=A9CFFDCBD31163D911A9FD67B2")</f>
        <v>https://app.crepc.sk/?fn=detailBiblioForm&amp;sid=A9CFFDCBD31163D911A9FD67B2</v>
      </c>
    </row>
    <row r="3538" spans="3:5" ht="90" x14ac:dyDescent="0.25">
      <c r="C3538" s="15">
        <v>188520</v>
      </c>
      <c r="D3538" s="4" t="s">
        <v>3542</v>
      </c>
      <c r="E3538" s="4" t="str">
        <f>HYPERLINK("https://app.crepc.sk/?fn=detailBiblioForm&amp;sid=CEC4BB8C8D9EFEE35AD3659C47")</f>
        <v>https://app.crepc.sk/?fn=detailBiblioForm&amp;sid=CEC4BB8C8D9EFEE35AD3659C47</v>
      </c>
    </row>
    <row r="3539" spans="3:5" ht="75" x14ac:dyDescent="0.25">
      <c r="C3539" s="15">
        <v>110050</v>
      </c>
      <c r="D3539" s="4" t="s">
        <v>3543</v>
      </c>
      <c r="E3539" s="4" t="str">
        <f>HYPERLINK("https://app.crepc.sk/?fn=detailBiblioForm&amp;sid=CFFE55DE34258604B0451A42A0")</f>
        <v>https://app.crepc.sk/?fn=detailBiblioForm&amp;sid=CFFE55DE34258604B0451A42A0</v>
      </c>
    </row>
    <row r="3540" spans="3:5" ht="105" x14ac:dyDescent="0.25">
      <c r="C3540" s="15">
        <v>183229</v>
      </c>
      <c r="D3540" s="4" t="s">
        <v>3544</v>
      </c>
      <c r="E3540" s="4" t="str">
        <f>HYPERLINK("https://app.crepc.sk/?fn=detailBiblioForm&amp;sid=98506E6D5B5CDF253083E743E8")</f>
        <v>https://app.crepc.sk/?fn=detailBiblioForm&amp;sid=98506E6D5B5CDF253083E743E8</v>
      </c>
    </row>
    <row r="3541" spans="3:5" ht="90" x14ac:dyDescent="0.25">
      <c r="C3541" s="15">
        <v>318227</v>
      </c>
      <c r="D3541" s="4" t="s">
        <v>3545</v>
      </c>
      <c r="E3541" s="4" t="str">
        <f>HYPERLINK("https://app.crepc.sk/?fn=detailBiblioForm&amp;sid=E510A6209591D5DEEF9391A696")</f>
        <v>https://app.crepc.sk/?fn=detailBiblioForm&amp;sid=E510A6209591D5DEEF9391A696</v>
      </c>
    </row>
    <row r="3542" spans="3:5" ht="60" x14ac:dyDescent="0.25">
      <c r="C3542" s="15">
        <v>204015</v>
      </c>
      <c r="D3542" s="4" t="s">
        <v>3546</v>
      </c>
      <c r="E3542" s="4" t="str">
        <f>HYPERLINK("https://app.crepc.sk/?fn=detailBiblioForm&amp;sid=22C33CF28BEFC43A483F39B119")</f>
        <v>https://app.crepc.sk/?fn=detailBiblioForm&amp;sid=22C33CF28BEFC43A483F39B119</v>
      </c>
    </row>
    <row r="3543" spans="3:5" ht="105" x14ac:dyDescent="0.25">
      <c r="C3543" s="15">
        <v>57341</v>
      </c>
      <c r="D3543" s="4" t="s">
        <v>3547</v>
      </c>
      <c r="E3543" s="4" t="str">
        <f>HYPERLINK("https://app.crepc.sk/?fn=detailBiblioForm&amp;sid=E5C27ECF3FB55C689CEF7E3D")</f>
        <v>https://app.crepc.sk/?fn=detailBiblioForm&amp;sid=E5C27ECF3FB55C689CEF7E3D</v>
      </c>
    </row>
    <row r="3544" spans="3:5" ht="75" x14ac:dyDescent="0.25">
      <c r="C3544" s="15">
        <v>214626</v>
      </c>
      <c r="D3544" s="4" t="s">
        <v>3548</v>
      </c>
      <c r="E3544" s="4" t="str">
        <f>HYPERLINK("https://app.crepc.sk/?fn=detailBiblioForm&amp;sid=49B0E8CD88C499975B0FF1C13A")</f>
        <v>https://app.crepc.sk/?fn=detailBiblioForm&amp;sid=49B0E8CD88C499975B0FF1C13A</v>
      </c>
    </row>
    <row r="3545" spans="3:5" ht="75" x14ac:dyDescent="0.25">
      <c r="C3545" s="15">
        <v>234612</v>
      </c>
      <c r="D3545" s="4" t="s">
        <v>3549</v>
      </c>
      <c r="E3545" s="4" t="str">
        <f>HYPERLINK("https://app.crepc.sk/?fn=detailBiblioForm&amp;sid=6770805EFFF594D433F5FBD9F1")</f>
        <v>https://app.crepc.sk/?fn=detailBiblioForm&amp;sid=6770805EFFF594D433F5FBD9F1</v>
      </c>
    </row>
    <row r="3546" spans="3:5" ht="60" x14ac:dyDescent="0.25">
      <c r="C3546" s="15">
        <v>173902</v>
      </c>
      <c r="D3546" s="4" t="s">
        <v>3550</v>
      </c>
      <c r="E3546" s="4" t="str">
        <f>HYPERLINK("https://app.crepc.sk/?fn=detailBiblioForm&amp;sid=228C7CD165D66AC757D221E89F")</f>
        <v>https://app.crepc.sk/?fn=detailBiblioForm&amp;sid=228C7CD165D66AC757D221E89F</v>
      </c>
    </row>
    <row r="3547" spans="3:5" ht="75" x14ac:dyDescent="0.25">
      <c r="C3547" s="15">
        <v>178829</v>
      </c>
      <c r="D3547" s="4" t="s">
        <v>3551</v>
      </c>
      <c r="E3547" s="4" t="str">
        <f>HYPERLINK("https://app.crepc.sk/?fn=detailBiblioForm&amp;sid=925BFB95FAA30F229B9AA71785")</f>
        <v>https://app.crepc.sk/?fn=detailBiblioForm&amp;sid=925BFB95FAA30F229B9AA71785</v>
      </c>
    </row>
    <row r="3548" spans="3:5" ht="60" x14ac:dyDescent="0.25">
      <c r="C3548" s="15">
        <v>207718</v>
      </c>
      <c r="D3548" s="4" t="s">
        <v>3552</v>
      </c>
      <c r="E3548" s="4" t="str">
        <f>HYPERLINK("https://app.crepc.sk/?fn=detailBiblioForm&amp;sid=0615AA3F0AC7184E3A3968DFA4")</f>
        <v>https://app.crepc.sk/?fn=detailBiblioForm&amp;sid=0615AA3F0AC7184E3A3968DFA4</v>
      </c>
    </row>
    <row r="3549" spans="3:5" ht="75" x14ac:dyDescent="0.25">
      <c r="C3549" s="15">
        <v>242277</v>
      </c>
      <c r="D3549" s="4" t="s">
        <v>3553</v>
      </c>
      <c r="E3549" s="4" t="str">
        <f>HYPERLINK("https://app.crepc.sk/?fn=detailBiblioForm&amp;sid=231E70CAEA5D636BE052F2C2AB")</f>
        <v>https://app.crepc.sk/?fn=detailBiblioForm&amp;sid=231E70CAEA5D636BE052F2C2AB</v>
      </c>
    </row>
    <row r="3550" spans="3:5" ht="60" x14ac:dyDescent="0.25">
      <c r="C3550" s="15">
        <v>68510</v>
      </c>
      <c r="D3550" s="4" t="s">
        <v>3554</v>
      </c>
      <c r="E3550" s="4" t="str">
        <f>HYPERLINK("https://app.crepc.sk/?fn=detailBiblioForm&amp;sid=72FC2C7D9D391973C6CD7F8D")</f>
        <v>https://app.crepc.sk/?fn=detailBiblioForm&amp;sid=72FC2C7D9D391973C6CD7F8D</v>
      </c>
    </row>
    <row r="3551" spans="3:5" ht="75" x14ac:dyDescent="0.25">
      <c r="C3551" s="15">
        <v>68339</v>
      </c>
      <c r="D3551" s="4" t="s">
        <v>3555</v>
      </c>
      <c r="E3551" s="4" t="str">
        <f>HYPERLINK("https://app.crepc.sk/?fn=detailBiblioForm&amp;sid=722920F7DB20B1BF62A1BFCF")</f>
        <v>https://app.crepc.sk/?fn=detailBiblioForm&amp;sid=722920F7DB20B1BF62A1BFCF</v>
      </c>
    </row>
    <row r="3552" spans="3:5" ht="60" x14ac:dyDescent="0.25">
      <c r="C3552" s="15">
        <v>442294</v>
      </c>
      <c r="D3552" s="4" t="s">
        <v>3556</v>
      </c>
      <c r="E3552" s="4" t="str">
        <f>HYPERLINK("https://app.crepc.sk/?fn=detailBiblioForm&amp;sid=449A78BFE483A8EAF4F349C553")</f>
        <v>https://app.crepc.sk/?fn=detailBiblioForm&amp;sid=449A78BFE483A8EAF4F349C553</v>
      </c>
    </row>
    <row r="3553" spans="3:5" ht="105" x14ac:dyDescent="0.25">
      <c r="C3553" s="15">
        <v>442285</v>
      </c>
      <c r="D3553" s="4" t="s">
        <v>3557</v>
      </c>
      <c r="E3553" s="4" t="str">
        <f>HYPERLINK("https://app.crepc.sk/?fn=detailBiblioForm&amp;sid=449A78BFE483A8EAF5F249C553")</f>
        <v>https://app.crepc.sk/?fn=detailBiblioForm&amp;sid=449A78BFE483A8EAF5F249C553</v>
      </c>
    </row>
    <row r="3554" spans="3:5" ht="45" x14ac:dyDescent="0.25">
      <c r="C3554" s="15">
        <v>186900</v>
      </c>
      <c r="D3554" s="4" t="s">
        <v>3558</v>
      </c>
      <c r="E3554" s="4" t="str">
        <f>HYPERLINK("https://app.crepc.sk/?fn=detailBiblioForm&amp;sid=9EB7DDC054CB7EBFE372B5FCE5")</f>
        <v>https://app.crepc.sk/?fn=detailBiblioForm&amp;sid=9EB7DDC054CB7EBFE372B5FCE5</v>
      </c>
    </row>
    <row r="3555" spans="3:5" ht="75" x14ac:dyDescent="0.25">
      <c r="C3555" s="15">
        <v>72758</v>
      </c>
      <c r="D3555" s="4" t="s">
        <v>3559</v>
      </c>
      <c r="E3555" s="4" t="str">
        <f>HYPERLINK("https://app.crepc.sk/?fn=detailBiblioForm&amp;sid=A0DE4988D1CFA25396C67319")</f>
        <v>https://app.crepc.sk/?fn=detailBiblioForm&amp;sid=A0DE4988D1CFA25396C67319</v>
      </c>
    </row>
    <row r="3556" spans="3:5" ht="105" x14ac:dyDescent="0.25">
      <c r="C3556" s="15">
        <v>435133</v>
      </c>
      <c r="D3556" s="4" t="s">
        <v>3560</v>
      </c>
      <c r="E3556" s="4" t="str">
        <f>HYPERLINK("https://app.crepc.sk/?fn=detailBiblioForm&amp;sid=AD8868FB556EBD592C39BB48EF")</f>
        <v>https://app.crepc.sk/?fn=detailBiblioForm&amp;sid=AD8868FB556EBD592C39BB48EF</v>
      </c>
    </row>
    <row r="3557" spans="3:5" ht="75" x14ac:dyDescent="0.25">
      <c r="C3557" s="15">
        <v>252960</v>
      </c>
      <c r="D3557" s="4" t="s">
        <v>3561</v>
      </c>
      <c r="E3557" s="4" t="str">
        <f>HYPERLINK("https://app.crepc.sk/?fn=detailBiblioForm&amp;sid=01E8CD42BC45550200A0A10B6D")</f>
        <v>https://app.crepc.sk/?fn=detailBiblioForm&amp;sid=01E8CD42BC45550200A0A10B6D</v>
      </c>
    </row>
    <row r="3558" spans="3:5" ht="60" x14ac:dyDescent="0.25">
      <c r="C3558" s="15">
        <v>227446</v>
      </c>
      <c r="D3558" s="4" t="s">
        <v>3562</v>
      </c>
      <c r="E3558" s="4" t="str">
        <f>HYPERLINK("https://app.crepc.sk/?fn=detailBiblioForm&amp;sid=E3F63D99041DBB0FE2C7F3E67C")</f>
        <v>https://app.crepc.sk/?fn=detailBiblioForm&amp;sid=E3F63D99041DBB0FE2C7F3E67C</v>
      </c>
    </row>
    <row r="3559" spans="3:5" ht="60" x14ac:dyDescent="0.25">
      <c r="C3559" s="15">
        <v>314834</v>
      </c>
      <c r="D3559" s="4" t="s">
        <v>3563</v>
      </c>
      <c r="E3559" s="4" t="str">
        <f>HYPERLINK("https://app.crepc.sk/?fn=detailBiblioForm&amp;sid=D959D13FBEB7699757D7B04463")</f>
        <v>https://app.crepc.sk/?fn=detailBiblioForm&amp;sid=D959D13FBEB7699757D7B04463</v>
      </c>
    </row>
    <row r="3560" spans="3:5" ht="60" x14ac:dyDescent="0.25">
      <c r="C3560" s="15">
        <v>173872</v>
      </c>
      <c r="D3560" s="4" t="s">
        <v>3564</v>
      </c>
      <c r="E3560" s="4" t="str">
        <f>HYPERLINK("https://app.crepc.sk/?fn=detailBiblioForm&amp;sid=A8C5898CD77493B3E0FB565F0F")</f>
        <v>https://app.crepc.sk/?fn=detailBiblioForm&amp;sid=A8C5898CD77493B3E0FB565F0F</v>
      </c>
    </row>
    <row r="3561" spans="3:5" ht="60" x14ac:dyDescent="0.25">
      <c r="C3561" s="15">
        <v>314829</v>
      </c>
      <c r="D3561" s="4" t="s">
        <v>3565</v>
      </c>
      <c r="E3561" s="4" t="str">
        <f>HYPERLINK("https://app.crepc.sk/?fn=detailBiblioForm&amp;sid=D959D13FBEB7699756DAB04463")</f>
        <v>https://app.crepc.sk/?fn=detailBiblioForm&amp;sid=D959D13FBEB7699756DAB04463</v>
      </c>
    </row>
    <row r="3562" spans="3:5" ht="75" x14ac:dyDescent="0.25">
      <c r="C3562" s="15">
        <v>197284</v>
      </c>
      <c r="D3562" s="4" t="s">
        <v>3566</v>
      </c>
      <c r="E3562" s="4" t="str">
        <f>HYPERLINK("https://app.crepc.sk/?fn=detailBiblioForm&amp;sid=DD548C8F9E86EAB08D03BC14DD")</f>
        <v>https://app.crepc.sk/?fn=detailBiblioForm&amp;sid=DD548C8F9E86EAB08D03BC14DD</v>
      </c>
    </row>
    <row r="3563" spans="3:5" ht="75" x14ac:dyDescent="0.25">
      <c r="C3563" s="15">
        <v>175008</v>
      </c>
      <c r="D3563" s="4" t="s">
        <v>3567</v>
      </c>
      <c r="E3563" s="4" t="str">
        <f>HYPERLINK("https://app.crepc.sk/?fn=detailBiblioForm&amp;sid=378281AEB05FBF71713CA4B0F1")</f>
        <v>https://app.crepc.sk/?fn=detailBiblioForm&amp;sid=378281AEB05FBF71713CA4B0F1</v>
      </c>
    </row>
    <row r="3564" spans="3:5" ht="105" x14ac:dyDescent="0.25">
      <c r="C3564" s="15">
        <v>248802</v>
      </c>
      <c r="D3564" s="4" t="s">
        <v>3568</v>
      </c>
      <c r="E3564" s="4" t="str">
        <f>HYPERLINK("https://app.crepc.sk/?fn=detailBiblioForm&amp;sid=5228D5716807430FB81B401FCD")</f>
        <v>https://app.crepc.sk/?fn=detailBiblioForm&amp;sid=5228D5716807430FB81B401FCD</v>
      </c>
    </row>
    <row r="3565" spans="3:5" ht="105" x14ac:dyDescent="0.25">
      <c r="C3565" s="15">
        <v>228921</v>
      </c>
      <c r="D3565" s="4" t="s">
        <v>3569</v>
      </c>
      <c r="E3565" s="4" t="str">
        <f>HYPERLINK("https://app.crepc.sk/?fn=detailBiblioForm&amp;sid=A7DFDA93880351E5807EED50F0")</f>
        <v>https://app.crepc.sk/?fn=detailBiblioForm&amp;sid=A7DFDA93880351E5807EED50F0</v>
      </c>
    </row>
    <row r="3566" spans="3:5" ht="90" x14ac:dyDescent="0.25">
      <c r="C3566" s="15">
        <v>62058</v>
      </c>
      <c r="D3566" s="4" t="s">
        <v>3570</v>
      </c>
      <c r="E3566" s="4" t="str">
        <f>HYPERLINK("https://app.crepc.sk/?fn=detailBiblioForm&amp;sid=7B3E0A792ECEEC21D827EB35")</f>
        <v>https://app.crepc.sk/?fn=detailBiblioForm&amp;sid=7B3E0A792ECEEC21D827EB35</v>
      </c>
    </row>
    <row r="3567" spans="3:5" ht="60" x14ac:dyDescent="0.25">
      <c r="C3567" s="15">
        <v>83795</v>
      </c>
      <c r="D3567" s="4" t="s">
        <v>3571</v>
      </c>
      <c r="E3567" s="4" t="str">
        <f>HYPERLINK("https://app.crepc.sk/?fn=detailBiblioForm&amp;sid=B4D48EDB2B303FFB2DBAE0E7")</f>
        <v>https://app.crepc.sk/?fn=detailBiblioForm&amp;sid=B4D48EDB2B303FFB2DBAE0E7</v>
      </c>
    </row>
    <row r="3568" spans="3:5" ht="105" x14ac:dyDescent="0.25">
      <c r="C3568" s="15">
        <v>427847</v>
      </c>
      <c r="D3568" s="4" t="s">
        <v>3572</v>
      </c>
      <c r="E3568" s="4" t="str">
        <f>HYPERLINK("https://app.crepc.sk/?fn=detailBiblioForm&amp;sid=A3FE647AA373B7382C831C7CC3")</f>
        <v>https://app.crepc.sk/?fn=detailBiblioForm&amp;sid=A3FE647AA373B7382C831C7CC3</v>
      </c>
    </row>
    <row r="3569" spans="3:5" ht="75" x14ac:dyDescent="0.25">
      <c r="C3569" s="15">
        <v>195212</v>
      </c>
      <c r="D3569" s="4" t="s">
        <v>3573</v>
      </c>
      <c r="E3569" s="4" t="str">
        <f>HYPERLINK("https://app.crepc.sk/?fn=detailBiblioForm&amp;sid=3F949835D0C9BAD8DF1617E56A")</f>
        <v>https://app.crepc.sk/?fn=detailBiblioForm&amp;sid=3F949835D0C9BAD8DF1617E56A</v>
      </c>
    </row>
    <row r="3570" spans="3:5" ht="75" x14ac:dyDescent="0.25">
      <c r="C3570" s="15">
        <v>104050</v>
      </c>
      <c r="D3570" s="4" t="s">
        <v>3574</v>
      </c>
      <c r="E3570" s="4" t="str">
        <f>HYPERLINK("https://app.crepc.sk/?fn=detailBiblioForm&amp;sid=B3E4DED1CE64EF1DB59D52C196")</f>
        <v>https://app.crepc.sk/?fn=detailBiblioForm&amp;sid=B3E4DED1CE64EF1DB59D52C196</v>
      </c>
    </row>
    <row r="3571" spans="3:5" ht="60" x14ac:dyDescent="0.25">
      <c r="C3571" s="15">
        <v>189157</v>
      </c>
      <c r="D3571" s="4" t="s">
        <v>3575</v>
      </c>
      <c r="E3571" s="4" t="str">
        <f>HYPERLINK("https://app.crepc.sk/?fn=detailBiblioForm&amp;sid=5F8A474E6167CAF514C3F143D7")</f>
        <v>https://app.crepc.sk/?fn=detailBiblioForm&amp;sid=5F8A474E6167CAF514C3F143D7</v>
      </c>
    </row>
    <row r="3572" spans="3:5" ht="60" x14ac:dyDescent="0.25">
      <c r="C3572" s="15">
        <v>227477</v>
      </c>
      <c r="D3572" s="4" t="s">
        <v>3576</v>
      </c>
      <c r="E3572" s="4" t="str">
        <f>HYPERLINK("https://app.crepc.sk/?fn=detailBiblioForm&amp;sid=E3F63D99041DBB0FE1C6F3E67C")</f>
        <v>https://app.crepc.sk/?fn=detailBiblioForm&amp;sid=E3F63D99041DBB0FE1C6F3E67C</v>
      </c>
    </row>
    <row r="3573" spans="3:5" ht="105" x14ac:dyDescent="0.25">
      <c r="C3573" s="15">
        <v>251989</v>
      </c>
      <c r="D3573" s="4" t="s">
        <v>3577</v>
      </c>
      <c r="E3573" s="4" t="str">
        <f>HYPERLINK("https://app.crepc.sk/?fn=detailBiblioForm&amp;sid=58BE50AAF33655A10314B158A7")</f>
        <v>https://app.crepc.sk/?fn=detailBiblioForm&amp;sid=58BE50AAF33655A10314B158A7</v>
      </c>
    </row>
    <row r="3574" spans="3:5" ht="105" x14ac:dyDescent="0.25">
      <c r="C3574" s="15">
        <v>69321</v>
      </c>
      <c r="D3574" s="4" t="s">
        <v>3578</v>
      </c>
      <c r="E3574" s="4" t="str">
        <f>HYPERLINK("https://app.crepc.sk/?fn=detailBiblioForm&amp;sid=483F1D19AE1BAC75B4EE9073")</f>
        <v>https://app.crepc.sk/?fn=detailBiblioForm&amp;sid=483F1D19AE1BAC75B4EE9073</v>
      </c>
    </row>
    <row r="3575" spans="3:5" ht="60" x14ac:dyDescent="0.25">
      <c r="C3575" s="15">
        <v>58621</v>
      </c>
      <c r="D3575" s="4" t="s">
        <v>3579</v>
      </c>
      <c r="E3575" s="4" t="str">
        <f>HYPERLINK("https://app.crepc.sk/?fn=detailBiblioForm&amp;sid=B4AE1B887C644B771A0935C5")</f>
        <v>https://app.crepc.sk/?fn=detailBiblioForm&amp;sid=B4AE1B887C644B771A0935C5</v>
      </c>
    </row>
    <row r="3576" spans="3:5" ht="60" x14ac:dyDescent="0.25">
      <c r="C3576" s="15">
        <v>421556</v>
      </c>
      <c r="D3576" s="4" t="s">
        <v>3580</v>
      </c>
      <c r="E3576" s="4" t="str">
        <f>HYPERLINK("https://app.crepc.sk/?fn=detailBiblioForm&amp;sid=336A6FAB9BB8BEE45F18092CE8")</f>
        <v>https://app.crepc.sk/?fn=detailBiblioForm&amp;sid=336A6FAB9BB8BEE45F18092CE8</v>
      </c>
    </row>
    <row r="3577" spans="3:5" ht="90" x14ac:dyDescent="0.25">
      <c r="C3577" s="15">
        <v>146306</v>
      </c>
      <c r="D3577" s="4" t="s">
        <v>3581</v>
      </c>
      <c r="E3577" s="4" t="str">
        <f>HYPERLINK("https://app.crepc.sk/?fn=detailBiblioForm&amp;sid=58E56B393942DD456BF849DAF8")</f>
        <v>https://app.crepc.sk/?fn=detailBiblioForm&amp;sid=58E56B393942DD456BF849DAF8</v>
      </c>
    </row>
    <row r="3578" spans="3:5" ht="90" x14ac:dyDescent="0.25">
      <c r="C3578" s="15">
        <v>205629</v>
      </c>
      <c r="D3578" s="4" t="s">
        <v>3582</v>
      </c>
      <c r="E3578" s="4" t="str">
        <f>HYPERLINK("https://app.crepc.sk/?fn=detailBiblioForm&amp;sid=8AEF86397ABC7DED8422D94C37")</f>
        <v>https://app.crepc.sk/?fn=detailBiblioForm&amp;sid=8AEF86397ABC7DED8422D94C37</v>
      </c>
    </row>
    <row r="3579" spans="3:5" ht="105" x14ac:dyDescent="0.25">
      <c r="C3579" s="15">
        <v>438588</v>
      </c>
      <c r="D3579" s="4" t="s">
        <v>3583</v>
      </c>
      <c r="E3579" s="4" t="str">
        <f>HYPERLINK("https://app.crepc.sk/?fn=detailBiblioForm&amp;sid=A8368C59A2CFCB618612928036")</f>
        <v>https://app.crepc.sk/?fn=detailBiblioForm&amp;sid=A8368C59A2CFCB618612928036</v>
      </c>
    </row>
    <row r="3580" spans="3:5" ht="60" x14ac:dyDescent="0.25">
      <c r="C3580" s="15">
        <v>218272</v>
      </c>
      <c r="D3580" s="4" t="s">
        <v>3584</v>
      </c>
      <c r="E3580" s="4" t="str">
        <f>HYPERLINK("https://app.crepc.sk/?fn=detailBiblioForm&amp;sid=2506B099E56293C87F4B8BEA9E")</f>
        <v>https://app.crepc.sk/?fn=detailBiblioForm&amp;sid=2506B099E56293C87F4B8BEA9E</v>
      </c>
    </row>
    <row r="3581" spans="3:5" ht="105" x14ac:dyDescent="0.25">
      <c r="C3581" s="15">
        <v>204727</v>
      </c>
      <c r="D3581" s="4" t="s">
        <v>3585</v>
      </c>
      <c r="E3581" s="4" t="str">
        <f>HYPERLINK("https://app.crepc.sk/?fn=detailBiblioForm&amp;sid=EABE3B0E8FC6173630860C7D5F")</f>
        <v>https://app.crepc.sk/?fn=detailBiblioForm&amp;sid=EABE3B0E8FC6173630860C7D5F</v>
      </c>
    </row>
    <row r="3582" spans="3:5" ht="60" x14ac:dyDescent="0.25">
      <c r="C3582" s="15">
        <v>52755</v>
      </c>
      <c r="D3582" s="4" t="s">
        <v>3586</v>
      </c>
      <c r="E3582" s="4" t="str">
        <f>HYPERLINK("https://app.crepc.sk/?fn=detailBiblioForm&amp;sid=748B640AF24D82A1C22D1134")</f>
        <v>https://app.crepc.sk/?fn=detailBiblioForm&amp;sid=748B640AF24D82A1C22D1134</v>
      </c>
    </row>
    <row r="3583" spans="3:5" ht="75" x14ac:dyDescent="0.25">
      <c r="C3583" s="15">
        <v>204055</v>
      </c>
      <c r="D3583" s="4" t="s">
        <v>3587</v>
      </c>
      <c r="E3583" s="4" t="str">
        <f>HYPERLINK("https://app.crepc.sk/?fn=detailBiblioForm&amp;sid=22C33CF28BEFC43A4C3F39B119")</f>
        <v>https://app.crepc.sk/?fn=detailBiblioForm&amp;sid=22C33CF28BEFC43A4C3F39B119</v>
      </c>
    </row>
    <row r="3584" spans="3:5" ht="120" x14ac:dyDescent="0.25">
      <c r="C3584" s="15">
        <v>427687</v>
      </c>
      <c r="D3584" s="4" t="s">
        <v>3588</v>
      </c>
      <c r="E3584" s="4" t="str">
        <f>HYPERLINK("https://app.crepc.sk/?fn=detailBiblioForm&amp;sid=0FAF893153EE6C29F75E7E32D2")</f>
        <v>https://app.crepc.sk/?fn=detailBiblioForm&amp;sid=0FAF893153EE6C29F75E7E32D2</v>
      </c>
    </row>
    <row r="3585" spans="3:5" ht="105" x14ac:dyDescent="0.25">
      <c r="C3585" s="15">
        <v>204736</v>
      </c>
      <c r="D3585" s="4" t="s">
        <v>3589</v>
      </c>
      <c r="E3585" s="4" t="str">
        <f>HYPERLINK("https://app.crepc.sk/?fn=detailBiblioForm&amp;sid=EABE3B0E8FC6173631870C7D5F")</f>
        <v>https://app.crepc.sk/?fn=detailBiblioForm&amp;sid=EABE3B0E8FC6173631870C7D5F</v>
      </c>
    </row>
    <row r="3586" spans="3:5" ht="90" x14ac:dyDescent="0.25">
      <c r="C3586" s="15">
        <v>70220</v>
      </c>
      <c r="D3586" s="4" t="s">
        <v>3590</v>
      </c>
      <c r="E3586" s="4" t="str">
        <f>HYPERLINK("https://app.crepc.sk/?fn=detailBiblioForm&amp;sid=7FF4C15D6B404C7DBB0D3F62")</f>
        <v>https://app.crepc.sk/?fn=detailBiblioForm&amp;sid=7FF4C15D6B404C7DBB0D3F62</v>
      </c>
    </row>
    <row r="3587" spans="3:5" ht="120" x14ac:dyDescent="0.25">
      <c r="C3587" s="15">
        <v>442326</v>
      </c>
      <c r="D3587" s="4" t="s">
        <v>3591</v>
      </c>
      <c r="E3587" s="4" t="str">
        <f>HYPERLINK("https://app.crepc.sk/?fn=detailBiblioForm&amp;sid=F661DE2421DD595D56CB62841D")</f>
        <v>https://app.crepc.sk/?fn=detailBiblioForm&amp;sid=F661DE2421DD595D56CB62841D</v>
      </c>
    </row>
    <row r="3588" spans="3:5" ht="105" x14ac:dyDescent="0.25">
      <c r="C3588" s="15">
        <v>58772</v>
      </c>
      <c r="D3588" s="4" t="s">
        <v>3592</v>
      </c>
      <c r="E3588" s="4" t="str">
        <f>HYPERLINK("https://app.crepc.sk/?fn=detailBiblioForm&amp;sid=A477954B95B5C006219309DA")</f>
        <v>https://app.crepc.sk/?fn=detailBiblioForm&amp;sid=A477954B95B5C006219309DA</v>
      </c>
    </row>
    <row r="3589" spans="3:5" ht="60" x14ac:dyDescent="0.25">
      <c r="C3589" s="15">
        <v>53126</v>
      </c>
      <c r="D3589" s="4" t="s">
        <v>3593</v>
      </c>
      <c r="E3589" s="4" t="str">
        <f>HYPERLINK("https://app.crepc.sk/?fn=detailBiblioForm&amp;sid=BE031EDF18EEF633E9E72C3D")</f>
        <v>https://app.crepc.sk/?fn=detailBiblioForm&amp;sid=BE031EDF18EEF633E9E72C3D</v>
      </c>
    </row>
    <row r="3590" spans="3:5" ht="60" x14ac:dyDescent="0.25">
      <c r="C3590" s="15">
        <v>163435</v>
      </c>
      <c r="D3590" s="4" t="s">
        <v>3594</v>
      </c>
      <c r="E3590" s="4" t="str">
        <f>HYPERLINK("https://app.crepc.sk/?fn=detailBiblioForm&amp;sid=AD651A15AE426CC4BC1EE2CC5D")</f>
        <v>https://app.crepc.sk/?fn=detailBiblioForm&amp;sid=AD651A15AE426CC4BC1EE2CC5D</v>
      </c>
    </row>
    <row r="3591" spans="3:5" ht="60" x14ac:dyDescent="0.25">
      <c r="C3591" s="15">
        <v>132978</v>
      </c>
      <c r="D3591" s="4" t="s">
        <v>3595</v>
      </c>
      <c r="E3591" s="4" t="str">
        <f>HYPERLINK("https://app.crepc.sk/?fn=detailBiblioForm&amp;sid=CE85B6FED79D163DB8D42F183A")</f>
        <v>https://app.crepc.sk/?fn=detailBiblioForm&amp;sid=CE85B6FED79D163DB8D42F183A</v>
      </c>
    </row>
    <row r="3592" spans="3:5" ht="75" x14ac:dyDescent="0.25">
      <c r="C3592" s="15">
        <v>68412</v>
      </c>
      <c r="D3592" s="4" t="s">
        <v>3596</v>
      </c>
      <c r="E3592" s="4" t="str">
        <f>HYPERLINK("https://app.crepc.sk/?fn=detailBiblioForm&amp;sid=FF7CD673AAEB5DDE46D5C74A")</f>
        <v>https://app.crepc.sk/?fn=detailBiblioForm&amp;sid=FF7CD673AAEB5DDE46D5C74A</v>
      </c>
    </row>
    <row r="3593" spans="3:5" ht="75" x14ac:dyDescent="0.25">
      <c r="C3593" s="15">
        <v>236727</v>
      </c>
      <c r="D3593" s="4" t="s">
        <v>3597</v>
      </c>
      <c r="E3593" s="4" t="str">
        <f>HYPERLINK("https://app.crepc.sk/?fn=detailBiblioForm&amp;sid=1ADBB3F597371F1744645905CB")</f>
        <v>https://app.crepc.sk/?fn=detailBiblioForm&amp;sid=1ADBB3F597371F1744645905CB</v>
      </c>
    </row>
    <row r="3594" spans="3:5" ht="75" x14ac:dyDescent="0.25">
      <c r="C3594" s="15">
        <v>115867</v>
      </c>
      <c r="D3594" s="4" t="s">
        <v>3598</v>
      </c>
      <c r="E3594" s="4" t="str">
        <f>HYPERLINK("https://app.crepc.sk/?fn=detailBiblioForm&amp;sid=A7BFAA61F5172B9FE1BB79FA0D")</f>
        <v>https://app.crepc.sk/?fn=detailBiblioForm&amp;sid=A7BFAA61F5172B9FE1BB79FA0D</v>
      </c>
    </row>
    <row r="3595" spans="3:5" ht="90" x14ac:dyDescent="0.25">
      <c r="C3595" s="15">
        <v>198659</v>
      </c>
      <c r="D3595" s="4" t="s">
        <v>3599</v>
      </c>
      <c r="E3595" s="4" t="str">
        <f>HYPERLINK("https://app.crepc.sk/?fn=detailBiblioForm&amp;sid=401135A7AF766B14FC17A652F8")</f>
        <v>https://app.crepc.sk/?fn=detailBiblioForm&amp;sid=401135A7AF766B14FC17A652F8</v>
      </c>
    </row>
    <row r="3596" spans="3:5" ht="120" x14ac:dyDescent="0.25">
      <c r="C3596" s="15">
        <v>207237</v>
      </c>
      <c r="D3596" s="4" t="s">
        <v>3600</v>
      </c>
      <c r="E3596" s="4" t="str">
        <f>HYPERLINK("https://app.crepc.sk/?fn=detailBiblioForm&amp;sid=B966C56B1475474CB5D21FE2E1")</f>
        <v>https://app.crepc.sk/?fn=detailBiblioForm&amp;sid=B966C56B1475474CB5D21FE2E1</v>
      </c>
    </row>
    <row r="3597" spans="3:5" ht="60" x14ac:dyDescent="0.25">
      <c r="C3597" s="15">
        <v>112236</v>
      </c>
      <c r="D3597" s="4" t="s">
        <v>3601</v>
      </c>
      <c r="E3597" s="4" t="str">
        <f>HYPERLINK("https://app.crepc.sk/?fn=detailBiblioForm&amp;sid=7CA613A94B8F9B6E99C7E5F3EF")</f>
        <v>https://app.crepc.sk/?fn=detailBiblioForm&amp;sid=7CA613A94B8F9B6E99C7E5F3EF</v>
      </c>
    </row>
    <row r="3598" spans="3:5" ht="120" x14ac:dyDescent="0.25">
      <c r="C3598" s="15">
        <v>204747</v>
      </c>
      <c r="D3598" s="4" t="s">
        <v>3602</v>
      </c>
      <c r="E3598" s="4" t="str">
        <f>HYPERLINK("https://app.crepc.sk/?fn=detailBiblioForm&amp;sid=EABE3B0E8FC6173636860C7D5F")</f>
        <v>https://app.crepc.sk/?fn=detailBiblioForm&amp;sid=EABE3B0E8FC6173636860C7D5F</v>
      </c>
    </row>
    <row r="3599" spans="3:5" ht="90" x14ac:dyDescent="0.25">
      <c r="C3599" s="15">
        <v>142177</v>
      </c>
      <c r="D3599" s="4" t="s">
        <v>3603</v>
      </c>
      <c r="E3599" s="4" t="str">
        <f>HYPERLINK("https://app.crepc.sk/?fn=detailBiblioForm&amp;sid=C2BA1884BE5254848B979A5F46")</f>
        <v>https://app.crepc.sk/?fn=detailBiblioForm&amp;sid=C2BA1884BE5254848B979A5F46</v>
      </c>
    </row>
    <row r="3600" spans="3:5" ht="105" x14ac:dyDescent="0.25">
      <c r="C3600" s="15">
        <v>161432</v>
      </c>
      <c r="D3600" s="4" t="s">
        <v>3604</v>
      </c>
      <c r="E3600" s="4" t="str">
        <f>HYPERLINK("https://app.crepc.sk/?fn=detailBiblioForm&amp;sid=72994EA9AD52E4DE489421105F")</f>
        <v>https://app.crepc.sk/?fn=detailBiblioForm&amp;sid=72994EA9AD52E4DE489421105F</v>
      </c>
    </row>
    <row r="3601" spans="3:5" ht="90" x14ac:dyDescent="0.25">
      <c r="C3601" s="15">
        <v>117335</v>
      </c>
      <c r="D3601" s="4" t="s">
        <v>3605</v>
      </c>
      <c r="E3601" s="4" t="str">
        <f>HYPERLINK("https://app.crepc.sk/?fn=detailBiblioForm&amp;sid=CCDF67E7FC0AADE0BCBE9FDF23")</f>
        <v>https://app.crepc.sk/?fn=detailBiblioForm&amp;sid=CCDF67E7FC0AADE0BCBE9FDF23</v>
      </c>
    </row>
    <row r="3602" spans="3:5" ht="75" x14ac:dyDescent="0.25">
      <c r="C3602" s="15">
        <v>231041</v>
      </c>
      <c r="D3602" s="4" t="s">
        <v>3606</v>
      </c>
      <c r="E3602" s="4" t="str">
        <f>HYPERLINK("https://app.crepc.sk/?fn=detailBiblioForm&amp;sid=9930497010029B5A2528FCA920")</f>
        <v>https://app.crepc.sk/?fn=detailBiblioForm&amp;sid=9930497010029B5A2528FCA920</v>
      </c>
    </row>
    <row r="3603" spans="3:5" ht="75" x14ac:dyDescent="0.25">
      <c r="C3603" s="15">
        <v>314748</v>
      </c>
      <c r="D3603" s="4" t="s">
        <v>3607</v>
      </c>
      <c r="E3603" s="4" t="str">
        <f>HYPERLINK("https://app.crepc.sk/?fn=detailBiblioForm&amp;sid=26E19CB57E1984FE7AAAEE77E2")</f>
        <v>https://app.crepc.sk/?fn=detailBiblioForm&amp;sid=26E19CB57E1984FE7AAAEE77E2</v>
      </c>
    </row>
    <row r="3604" spans="3:5" ht="75" x14ac:dyDescent="0.25">
      <c r="C3604" s="15">
        <v>445280</v>
      </c>
      <c r="D3604" s="4" t="s">
        <v>3608</v>
      </c>
      <c r="E3604" s="4" t="str">
        <f>HYPERLINK("https://app.crepc.sk/?fn=detailBiblioForm&amp;sid=87E26BDA1F34FFA65D5346AB7E")</f>
        <v>https://app.crepc.sk/?fn=detailBiblioForm&amp;sid=87E26BDA1F34FFA65D5346AB7E</v>
      </c>
    </row>
    <row r="3605" spans="3:5" ht="90" x14ac:dyDescent="0.25">
      <c r="C3605" s="15">
        <v>205520</v>
      </c>
      <c r="D3605" s="4" t="s">
        <v>3609</v>
      </c>
      <c r="E3605" s="4" t="str">
        <f>HYPERLINK("https://app.crepc.sk/?fn=detailBiblioForm&amp;sid=1B1E3C1E1F334B1A4001FA7123")</f>
        <v>https://app.crepc.sk/?fn=detailBiblioForm&amp;sid=1B1E3C1E1F334B1A4001FA7123</v>
      </c>
    </row>
    <row r="3606" spans="3:5" ht="105" x14ac:dyDescent="0.25">
      <c r="C3606" s="15">
        <v>136722</v>
      </c>
      <c r="D3606" s="4" t="s">
        <v>3610</v>
      </c>
      <c r="E3606" s="4" t="str">
        <f>HYPERLINK("https://app.crepc.sk/?fn=detailBiblioForm&amp;sid=C26A5876FDF2D209D4F58ED9D4")</f>
        <v>https://app.crepc.sk/?fn=detailBiblioForm&amp;sid=C26A5876FDF2D209D4F58ED9D4</v>
      </c>
    </row>
    <row r="3607" spans="3:5" ht="60" x14ac:dyDescent="0.25">
      <c r="C3607" s="15">
        <v>315709</v>
      </c>
      <c r="D3607" s="4" t="s">
        <v>3611</v>
      </c>
      <c r="E3607" s="4" t="str">
        <f>HYPERLINK("https://app.crepc.sk/?fn=detailBiblioForm&amp;sid=CDD02CFDD1BF044BB218112FEA")</f>
        <v>https://app.crepc.sk/?fn=detailBiblioForm&amp;sid=CDD02CFDD1BF044BB218112FEA</v>
      </c>
    </row>
    <row r="3608" spans="3:5" ht="90" x14ac:dyDescent="0.25">
      <c r="C3608" s="15">
        <v>51814</v>
      </c>
      <c r="D3608" s="4" t="s">
        <v>3612</v>
      </c>
      <c r="E3608" s="4" t="str">
        <f>HYPERLINK("https://app.crepc.sk/?fn=detailBiblioForm&amp;sid=74B0108D96DB0DB3C711ACFD")</f>
        <v>https://app.crepc.sk/?fn=detailBiblioForm&amp;sid=74B0108D96DB0DB3C711ACFD</v>
      </c>
    </row>
    <row r="3609" spans="3:5" ht="90" x14ac:dyDescent="0.25">
      <c r="C3609" s="15">
        <v>305555</v>
      </c>
      <c r="D3609" s="4" t="s">
        <v>3613</v>
      </c>
      <c r="E3609" s="4" t="str">
        <f>HYPERLINK("https://app.crepc.sk/?fn=detailBiblioForm&amp;sid=8CF101330A0FECECEBF8944C8F")</f>
        <v>https://app.crepc.sk/?fn=detailBiblioForm&amp;sid=8CF101330A0FECECEBF8944C8F</v>
      </c>
    </row>
    <row r="3610" spans="3:5" ht="75" x14ac:dyDescent="0.25">
      <c r="C3610" s="15">
        <v>180634</v>
      </c>
      <c r="D3610" s="4" t="s">
        <v>3614</v>
      </c>
      <c r="E3610" s="4" t="str">
        <f>HYPERLINK("https://app.crepc.sk/?fn=detailBiblioForm&amp;sid=6B977D197BBEDDBAD07CD8DAE5")</f>
        <v>https://app.crepc.sk/?fn=detailBiblioForm&amp;sid=6B977D197BBEDDBAD07CD8DAE5</v>
      </c>
    </row>
    <row r="3611" spans="3:5" ht="60" x14ac:dyDescent="0.25">
      <c r="C3611" s="15">
        <v>419713</v>
      </c>
      <c r="D3611" s="4" t="s">
        <v>3615</v>
      </c>
      <c r="E3611" s="4" t="str">
        <f>HYPERLINK("https://app.crepc.sk/?fn=detailBiblioForm&amp;sid=34FEC835150D74D98B659766AF")</f>
        <v>https://app.crepc.sk/?fn=detailBiblioForm&amp;sid=34FEC835150D74D98B659766AF</v>
      </c>
    </row>
    <row r="3612" spans="3:5" ht="90" x14ac:dyDescent="0.25">
      <c r="C3612" s="15">
        <v>73222</v>
      </c>
      <c r="D3612" s="4" t="s">
        <v>3616</v>
      </c>
      <c r="E3612" s="4" t="str">
        <f>HYPERLINK("https://app.crepc.sk/?fn=detailBiblioForm&amp;sid=7B537834402C272766BE9C5C")</f>
        <v>https://app.crepc.sk/?fn=detailBiblioForm&amp;sid=7B537834402C272766BE9C5C</v>
      </c>
    </row>
    <row r="3613" spans="3:5" ht="105" x14ac:dyDescent="0.25">
      <c r="C3613" s="15">
        <v>58294</v>
      </c>
      <c r="D3613" s="4" t="s">
        <v>3617</v>
      </c>
      <c r="E3613" s="4" t="str">
        <f>HYPERLINK("https://app.crepc.sk/?fn=detailBiblioForm&amp;sid=6CB175BCF526B6FEE5C2CFEA")</f>
        <v>https://app.crepc.sk/?fn=detailBiblioForm&amp;sid=6CB175BCF526B6FEE5C2CFEA</v>
      </c>
    </row>
    <row r="3614" spans="3:5" ht="60" x14ac:dyDescent="0.25">
      <c r="C3614" s="15">
        <v>239789</v>
      </c>
      <c r="D3614" s="4" t="s">
        <v>3618</v>
      </c>
      <c r="E3614" s="4" t="str">
        <f>HYPERLINK("https://app.crepc.sk/?fn=detailBiblioForm&amp;sid=A4F1A10991D589A5FFBB74EC38")</f>
        <v>https://app.crepc.sk/?fn=detailBiblioForm&amp;sid=A4F1A10991D589A5FFBB74EC38</v>
      </c>
    </row>
    <row r="3615" spans="3:5" ht="75" x14ac:dyDescent="0.25">
      <c r="C3615" s="15">
        <v>227434</v>
      </c>
      <c r="D3615" s="4" t="s">
        <v>3619</v>
      </c>
      <c r="E3615" s="4" t="str">
        <f>HYPERLINK("https://app.crepc.sk/?fn=detailBiblioForm&amp;sid=E3F63D99041DBB0FE5C5F3E67C")</f>
        <v>https://app.crepc.sk/?fn=detailBiblioForm&amp;sid=E3F63D99041DBB0FE5C5F3E67C</v>
      </c>
    </row>
    <row r="3616" spans="3:5" ht="75" x14ac:dyDescent="0.25">
      <c r="C3616" s="15">
        <v>51172</v>
      </c>
      <c r="D3616" s="4" t="s">
        <v>3620</v>
      </c>
      <c r="E3616" s="4" t="str">
        <f>HYPERLINK("https://app.crepc.sk/?fn=detailBiblioForm&amp;sid=C332B262FCFDB6420744917C")</f>
        <v>https://app.crepc.sk/?fn=detailBiblioForm&amp;sid=C332B262FCFDB6420744917C</v>
      </c>
    </row>
    <row r="3617" spans="3:5" ht="60" x14ac:dyDescent="0.25">
      <c r="C3617" s="15">
        <v>316950</v>
      </c>
      <c r="D3617" s="4" t="s">
        <v>3621</v>
      </c>
      <c r="E3617" s="4" t="str">
        <f>HYPERLINK("https://app.crepc.sk/?fn=detailBiblioForm&amp;sid=AF862B856DC48993D5BCEAF2E2")</f>
        <v>https://app.crepc.sk/?fn=detailBiblioForm&amp;sid=AF862B856DC48993D5BCEAF2E2</v>
      </c>
    </row>
    <row r="3618" spans="3:5" ht="75" x14ac:dyDescent="0.25">
      <c r="C3618" s="15">
        <v>232038</v>
      </c>
      <c r="D3618" s="4" t="s">
        <v>3622</v>
      </c>
      <c r="E3618" s="4" t="str">
        <f>HYPERLINK("https://app.crepc.sk/?fn=detailBiblioForm&amp;sid=C65CC4D34354C627FBEA9B975D")</f>
        <v>https://app.crepc.sk/?fn=detailBiblioForm&amp;sid=C65CC4D34354C627FBEA9B975D</v>
      </c>
    </row>
    <row r="3619" spans="3:5" ht="60" x14ac:dyDescent="0.25">
      <c r="C3619" s="15">
        <v>97161</v>
      </c>
      <c r="D3619" s="4" t="s">
        <v>3623</v>
      </c>
      <c r="E3619" s="4" t="str">
        <f>HYPERLINK("https://app.crepc.sk/?fn=detailBiblioForm&amp;sid=3B8965C926D66D47C584906C")</f>
        <v>https://app.crepc.sk/?fn=detailBiblioForm&amp;sid=3B8965C926D66D47C584906C</v>
      </c>
    </row>
    <row r="3620" spans="3:5" ht="120" x14ac:dyDescent="0.25">
      <c r="C3620" s="15">
        <v>243058</v>
      </c>
      <c r="D3620" s="4" t="s">
        <v>3624</v>
      </c>
      <c r="E3620" s="4" t="str">
        <f>HYPERLINK("https://app.crepc.sk/?fn=detailBiblioForm&amp;sid=41B37CF66CA869D03952AEF79C")</f>
        <v>https://app.crepc.sk/?fn=detailBiblioForm&amp;sid=41B37CF66CA869D03952AEF79C</v>
      </c>
    </row>
    <row r="3621" spans="3:5" ht="60" x14ac:dyDescent="0.25">
      <c r="C3621" s="15">
        <v>173427</v>
      </c>
      <c r="D3621" s="4" t="s">
        <v>3625</v>
      </c>
      <c r="E3621" s="4" t="str">
        <f>HYPERLINK("https://app.crepc.sk/?fn=detailBiblioForm&amp;sid=1F20E14014F543F1490139B011")</f>
        <v>https://app.crepc.sk/?fn=detailBiblioForm&amp;sid=1F20E14014F543F1490139B011</v>
      </c>
    </row>
    <row r="3622" spans="3:5" ht="90" x14ac:dyDescent="0.25">
      <c r="C3622" s="15">
        <v>215715</v>
      </c>
      <c r="D3622" s="4" t="s">
        <v>3626</v>
      </c>
      <c r="E3622" s="4" t="str">
        <f>HYPERLINK("https://app.crepc.sk/?fn=detailBiblioForm&amp;sid=8D210FFAAFF670BF496374A2B3")</f>
        <v>https://app.crepc.sk/?fn=detailBiblioForm&amp;sid=8D210FFAAFF670BF496374A2B3</v>
      </c>
    </row>
    <row r="3623" spans="3:5" ht="60" x14ac:dyDescent="0.25">
      <c r="C3623" s="15">
        <v>59128</v>
      </c>
      <c r="D3623" s="4" t="s">
        <v>3627</v>
      </c>
      <c r="E3623" s="4" t="str">
        <f>HYPERLINK("https://app.crepc.sk/?fn=detailBiblioForm&amp;sid=0EE69C7A1DE6C351CFE45678")</f>
        <v>https://app.crepc.sk/?fn=detailBiblioForm&amp;sid=0EE69C7A1DE6C351CFE45678</v>
      </c>
    </row>
    <row r="3624" spans="3:5" ht="90" x14ac:dyDescent="0.25">
      <c r="C3624" s="15">
        <v>164474</v>
      </c>
      <c r="D3624" s="4" t="s">
        <v>3628</v>
      </c>
      <c r="E3624" s="4" t="str">
        <f>HYPERLINK("https://app.crepc.sk/?fn=detailBiblioForm&amp;sid=9A7ADD0D299745E45C9BD1C5C9")</f>
        <v>https://app.crepc.sk/?fn=detailBiblioForm&amp;sid=9A7ADD0D299745E45C9BD1C5C9</v>
      </c>
    </row>
    <row r="3625" spans="3:5" ht="60" x14ac:dyDescent="0.25">
      <c r="C3625" s="15">
        <v>160485</v>
      </c>
      <c r="D3625" s="4" t="s">
        <v>3629</v>
      </c>
      <c r="E3625" s="4" t="str">
        <f>HYPERLINK("https://app.crepc.sk/?fn=detailBiblioForm&amp;sid=84DA70B0936AC250139174C413")</f>
        <v>https://app.crepc.sk/?fn=detailBiblioForm&amp;sid=84DA70B0936AC250139174C413</v>
      </c>
    </row>
    <row r="3626" spans="3:5" ht="75" x14ac:dyDescent="0.25">
      <c r="C3626" s="15">
        <v>179676</v>
      </c>
      <c r="D3626" s="4" t="s">
        <v>3630</v>
      </c>
      <c r="E3626" s="4" t="str">
        <f>HYPERLINK("https://app.crepc.sk/?fn=detailBiblioForm&amp;sid=E800E35B75A4A8F9300E2F3FB2")</f>
        <v>https://app.crepc.sk/?fn=detailBiblioForm&amp;sid=E800E35B75A4A8F9300E2F3FB2</v>
      </c>
    </row>
    <row r="3627" spans="3:5" ht="135" x14ac:dyDescent="0.25">
      <c r="C3627" s="15">
        <v>165243</v>
      </c>
      <c r="D3627" s="4" t="s">
        <v>3631</v>
      </c>
      <c r="E3627" s="4" t="str">
        <f>HYPERLINK("https://app.crepc.sk/?fn=detailBiblioForm&amp;sid=F5195A1FF5FC85745640C1C9BF")</f>
        <v>https://app.crepc.sk/?fn=detailBiblioForm&amp;sid=F5195A1FF5FC85745640C1C9BF</v>
      </c>
    </row>
    <row r="3628" spans="3:5" ht="75" x14ac:dyDescent="0.25">
      <c r="C3628" s="15">
        <v>97151</v>
      </c>
      <c r="D3628" s="4" t="s">
        <v>3632</v>
      </c>
      <c r="E3628" s="4" t="str">
        <f>HYPERLINK("https://app.crepc.sk/?fn=detailBiblioForm&amp;sid=435C0888393F58B855E26FD1")</f>
        <v>https://app.crepc.sk/?fn=detailBiblioForm&amp;sid=435C0888393F58B855E26FD1</v>
      </c>
    </row>
    <row r="3629" spans="3:5" ht="105" x14ac:dyDescent="0.25">
      <c r="C3629" s="15">
        <v>188533</v>
      </c>
      <c r="D3629" s="4" t="s">
        <v>3633</v>
      </c>
      <c r="E3629" s="4" t="str">
        <f>HYPERLINK("https://app.crepc.sk/?fn=detailBiblioForm&amp;sid=CEC4BB8C8D9EFEE35BD0659C47")</f>
        <v>https://app.crepc.sk/?fn=detailBiblioForm&amp;sid=CEC4BB8C8D9EFEE35BD0659C47</v>
      </c>
    </row>
    <row r="3630" spans="3:5" ht="60" x14ac:dyDescent="0.25">
      <c r="C3630" s="15">
        <v>314762</v>
      </c>
      <c r="D3630" s="4" t="s">
        <v>3634</v>
      </c>
      <c r="E3630" s="4" t="str">
        <f>HYPERLINK("https://app.crepc.sk/?fn=detailBiblioForm&amp;sid=26E19CB57E1984FE78A0EE77E2")</f>
        <v>https://app.crepc.sk/?fn=detailBiblioForm&amp;sid=26E19CB57E1984FE78A0EE77E2</v>
      </c>
    </row>
    <row r="3631" spans="3:5" ht="75" x14ac:dyDescent="0.25">
      <c r="C3631" s="15">
        <v>444331</v>
      </c>
      <c r="D3631" s="4" t="s">
        <v>3635</v>
      </c>
      <c r="E3631" s="4" t="str">
        <f>HYPERLINK("https://app.crepc.sk/?fn=detailBiblioForm&amp;sid=9843E4A87430F0CA4EAF095120")</f>
        <v>https://app.crepc.sk/?fn=detailBiblioForm&amp;sid=9843E4A87430F0CA4EAF095120</v>
      </c>
    </row>
    <row r="3632" spans="3:5" ht="105" x14ac:dyDescent="0.25">
      <c r="C3632" s="15">
        <v>118239</v>
      </c>
      <c r="D3632" s="4" t="s">
        <v>3636</v>
      </c>
      <c r="E3632" s="4" t="str">
        <f>HYPERLINK("https://app.crepc.sk/?fn=detailBiblioForm&amp;sid=069BD78221CDCAB10EA8F3E570")</f>
        <v>https://app.crepc.sk/?fn=detailBiblioForm&amp;sid=069BD78221CDCAB10EA8F3E570</v>
      </c>
    </row>
    <row r="3633" spans="3:5" ht="75" x14ac:dyDescent="0.25">
      <c r="C3633" s="15">
        <v>247654</v>
      </c>
      <c r="D3633" s="4" t="s">
        <v>3637</v>
      </c>
      <c r="E3633" s="4" t="str">
        <f>HYPERLINK("https://app.crepc.sk/?fn=detailBiblioForm&amp;sid=AB98CB13CFC33B327E887E7078")</f>
        <v>https://app.crepc.sk/?fn=detailBiblioForm&amp;sid=AB98CB13CFC33B327E887E7078</v>
      </c>
    </row>
    <row r="3634" spans="3:5" ht="75" x14ac:dyDescent="0.25">
      <c r="C3634" s="15">
        <v>199982</v>
      </c>
      <c r="D3634" s="4" t="s">
        <v>3638</v>
      </c>
      <c r="E3634" s="4" t="str">
        <f>HYPERLINK("https://app.crepc.sk/?fn=detailBiblioForm&amp;sid=79CE4EFB7063335D698FA6F482")</f>
        <v>https://app.crepc.sk/?fn=detailBiblioForm&amp;sid=79CE4EFB7063335D698FA6F482</v>
      </c>
    </row>
    <row r="3635" spans="3:5" ht="105" x14ac:dyDescent="0.25">
      <c r="C3635" s="15">
        <v>183123</v>
      </c>
      <c r="D3635" s="4" t="s">
        <v>3639</v>
      </c>
      <c r="E3635" s="4" t="str">
        <f>HYPERLINK("https://app.crepc.sk/?fn=detailBiblioForm&amp;sid=38EFE54B98F197D5B910EA12EF")</f>
        <v>https://app.crepc.sk/?fn=detailBiblioForm&amp;sid=38EFE54B98F197D5B910EA12EF</v>
      </c>
    </row>
    <row r="3636" spans="3:5" ht="75" x14ac:dyDescent="0.25">
      <c r="C3636" s="15">
        <v>154337</v>
      </c>
      <c r="D3636" s="4" t="s">
        <v>3640</v>
      </c>
      <c r="E3636" s="4" t="str">
        <f>HYPERLINK("https://app.crepc.sk/?fn=detailBiblioForm&amp;sid=7398A5BA986E0C649ECBEA7E4D")</f>
        <v>https://app.crepc.sk/?fn=detailBiblioForm&amp;sid=7398A5BA986E0C649ECBEA7E4D</v>
      </c>
    </row>
    <row r="3637" spans="3:5" ht="105" x14ac:dyDescent="0.25">
      <c r="C3637" s="15">
        <v>192236</v>
      </c>
      <c r="D3637" s="4" t="s">
        <v>3641</v>
      </c>
      <c r="E3637" s="4" t="str">
        <f>HYPERLINK("https://app.crepc.sk/?fn=detailBiblioForm&amp;sid=464329E216A3DEA45691B01BBE")</f>
        <v>https://app.crepc.sk/?fn=detailBiblioForm&amp;sid=464329E216A3DEA45691B01BBE</v>
      </c>
    </row>
    <row r="3638" spans="3:5" ht="60" x14ac:dyDescent="0.25">
      <c r="C3638" s="15">
        <v>425469</v>
      </c>
      <c r="D3638" s="4" t="s">
        <v>3642</v>
      </c>
      <c r="E3638" s="4" t="str">
        <f>HYPERLINK("https://app.crepc.sk/?fn=detailBiblioForm&amp;sid=397948A370E721DAF6CAE83A15")</f>
        <v>https://app.crepc.sk/?fn=detailBiblioForm&amp;sid=397948A370E721DAF6CAE83A15</v>
      </c>
    </row>
    <row r="3639" spans="3:5" ht="105" x14ac:dyDescent="0.25">
      <c r="C3639" s="15">
        <v>419336</v>
      </c>
      <c r="D3639" s="4" t="s">
        <v>3643</v>
      </c>
      <c r="E3639" s="4" t="str">
        <f>HYPERLINK("https://app.crepc.sk/?fn=detailBiblioForm&amp;sid=D0B86A6C889D400A9EB666C23A")</f>
        <v>https://app.crepc.sk/?fn=detailBiblioForm&amp;sid=D0B86A6C889D400A9EB666C23A</v>
      </c>
    </row>
    <row r="3640" spans="3:5" ht="120" x14ac:dyDescent="0.25">
      <c r="C3640" s="15">
        <v>53398</v>
      </c>
      <c r="D3640" s="4" t="s">
        <v>3644</v>
      </c>
      <c r="E3640" s="4" t="str">
        <f>HYPERLINK("https://app.crepc.sk/?fn=detailBiblioForm&amp;sid=3A8AEED6364CF483F2FD538C")</f>
        <v>https://app.crepc.sk/?fn=detailBiblioForm&amp;sid=3A8AEED6364CF483F2FD538C</v>
      </c>
    </row>
    <row r="3641" spans="3:5" ht="60" x14ac:dyDescent="0.25">
      <c r="C3641" s="15">
        <v>187668</v>
      </c>
      <c r="D3641" s="4" t="s">
        <v>3645</v>
      </c>
      <c r="E3641" s="4" t="str">
        <f>HYPERLINK("https://app.crepc.sk/?fn=detailBiblioForm&amp;sid=F921CFC32F39CED90C1DEA791A")</f>
        <v>https://app.crepc.sk/?fn=detailBiblioForm&amp;sid=F921CFC32F39CED90C1DEA791A</v>
      </c>
    </row>
    <row r="3642" spans="3:5" ht="60" x14ac:dyDescent="0.25">
      <c r="C3642" s="15">
        <v>231355</v>
      </c>
      <c r="D3642" s="4" t="s">
        <v>3646</v>
      </c>
      <c r="E3642" s="4" t="str">
        <f>HYPERLINK("https://app.crepc.sk/?fn=detailBiblioForm&amp;sid=AB2F48E8C57E5DFBA97C7BA9FC")</f>
        <v>https://app.crepc.sk/?fn=detailBiblioForm&amp;sid=AB2F48E8C57E5DFBA97C7BA9FC</v>
      </c>
    </row>
    <row r="3643" spans="3:5" ht="60" x14ac:dyDescent="0.25">
      <c r="C3643" s="15">
        <v>80164</v>
      </c>
      <c r="D3643" s="4" t="s">
        <v>3647</v>
      </c>
      <c r="E3643" s="4" t="str">
        <f>HYPERLINK("https://app.crepc.sk/?fn=detailBiblioForm&amp;sid=793BA175DDD4D6E9D62207F0")</f>
        <v>https://app.crepc.sk/?fn=detailBiblioForm&amp;sid=793BA175DDD4D6E9D62207F0</v>
      </c>
    </row>
    <row r="3644" spans="3:5" ht="75" x14ac:dyDescent="0.25">
      <c r="C3644" s="15">
        <v>316874</v>
      </c>
      <c r="D3644" s="4" t="s">
        <v>3648</v>
      </c>
      <c r="E3644" s="4" t="str">
        <f>HYPERLINK("https://app.crepc.sk/?fn=detailBiblioForm&amp;sid=9B7EDFED3FF96897409154B66B")</f>
        <v>https://app.crepc.sk/?fn=detailBiblioForm&amp;sid=9B7EDFED3FF96897409154B66B</v>
      </c>
    </row>
    <row r="3645" spans="3:5" ht="60" x14ac:dyDescent="0.25">
      <c r="C3645" s="15">
        <v>212953</v>
      </c>
      <c r="D3645" s="4" t="s">
        <v>3649</v>
      </c>
      <c r="E3645" s="4" t="str">
        <f>HYPERLINK("https://app.crepc.sk/?fn=detailBiblioForm&amp;sid=393B45DF84C5274BD51AD974B9")</f>
        <v>https://app.crepc.sk/?fn=detailBiblioForm&amp;sid=393B45DF84C5274BD51AD974B9</v>
      </c>
    </row>
    <row r="3646" spans="3:5" ht="75" x14ac:dyDescent="0.25">
      <c r="C3646" s="15">
        <v>137609</v>
      </c>
      <c r="D3646" s="4" t="s">
        <v>3650</v>
      </c>
      <c r="E3646" s="4" t="str">
        <f>HYPERLINK("https://app.crepc.sk/?fn=detailBiblioForm&amp;sid=2EA0EB8F50B4443AD9E2BFBE4C")</f>
        <v>https://app.crepc.sk/?fn=detailBiblioForm&amp;sid=2EA0EB8F50B4443AD9E2BFBE4C</v>
      </c>
    </row>
    <row r="3647" spans="3:5" ht="75" x14ac:dyDescent="0.25">
      <c r="C3647" s="15">
        <v>227400</v>
      </c>
      <c r="D3647" s="4" t="s">
        <v>3651</v>
      </c>
      <c r="E3647" s="4" t="str">
        <f>HYPERLINK("https://app.crepc.sk/?fn=detailBiblioForm&amp;sid=E3F63D99041DBB0FE6C1F3E67C")</f>
        <v>https://app.crepc.sk/?fn=detailBiblioForm&amp;sid=E3F63D99041DBB0FE6C1F3E67C</v>
      </c>
    </row>
    <row r="3648" spans="3:5" ht="75" x14ac:dyDescent="0.25">
      <c r="C3648" s="15">
        <v>137875</v>
      </c>
      <c r="D3648" s="4" t="s">
        <v>3652</v>
      </c>
      <c r="E3648" s="4" t="str">
        <f>HYPERLINK("https://app.crepc.sk/?fn=detailBiblioForm&amp;sid=F320CFF4C740E4EF2B967BB26E")</f>
        <v>https://app.crepc.sk/?fn=detailBiblioForm&amp;sid=F320CFF4C740E4EF2B967BB26E</v>
      </c>
    </row>
    <row r="3649" spans="3:5" ht="75" x14ac:dyDescent="0.25">
      <c r="C3649" s="15">
        <v>110622</v>
      </c>
      <c r="D3649" s="4" t="s">
        <v>3653</v>
      </c>
      <c r="E3649" s="4" t="str">
        <f>HYPERLINK("https://app.crepc.sk/?fn=detailBiblioForm&amp;sid=2ADD962B14F411C3F04A0BA4EF")</f>
        <v>https://app.crepc.sk/?fn=detailBiblioForm&amp;sid=2ADD962B14F411C3F04A0BA4EF</v>
      </c>
    </row>
    <row r="3650" spans="3:5" ht="90" x14ac:dyDescent="0.25">
      <c r="C3650" s="15">
        <v>233303</v>
      </c>
      <c r="D3650" s="4" t="s">
        <v>3654</v>
      </c>
      <c r="E3650" s="4" t="str">
        <f>HYPERLINK("https://app.crepc.sk/?fn=detailBiblioForm&amp;sid=D28BB5EE2EC1576343D917335E")</f>
        <v>https://app.crepc.sk/?fn=detailBiblioForm&amp;sid=D28BB5EE2EC1576343D917335E</v>
      </c>
    </row>
    <row r="3651" spans="3:5" ht="75" x14ac:dyDescent="0.25">
      <c r="C3651" s="15">
        <v>94856</v>
      </c>
      <c r="D3651" s="4" t="s">
        <v>3655</v>
      </c>
      <c r="E3651" s="4" t="str">
        <f>HYPERLINK("https://app.crepc.sk/?fn=detailBiblioForm&amp;sid=70C3E0AC3933732D2A646B4D")</f>
        <v>https://app.crepc.sk/?fn=detailBiblioForm&amp;sid=70C3E0AC3933732D2A646B4D</v>
      </c>
    </row>
    <row r="3652" spans="3:5" ht="60" x14ac:dyDescent="0.25">
      <c r="C3652" s="15">
        <v>197777</v>
      </c>
      <c r="D3652" s="4" t="s">
        <v>3656</v>
      </c>
      <c r="E3652" s="4" t="str">
        <f>HYPERLINK("https://app.crepc.sk/?fn=detailBiblioForm&amp;sid=621FF53B02ADFC9EF55C9AD910")</f>
        <v>https://app.crepc.sk/?fn=detailBiblioForm&amp;sid=621FF53B02ADFC9EF55C9AD910</v>
      </c>
    </row>
    <row r="3653" spans="3:5" ht="75" x14ac:dyDescent="0.25">
      <c r="C3653" s="15">
        <v>173877</v>
      </c>
      <c r="D3653" s="4" t="s">
        <v>3657</v>
      </c>
      <c r="E3653" s="4" t="str">
        <f>HYPERLINK("https://app.crepc.sk/?fn=detailBiblioForm&amp;sid=A8C5898CD77493B3E0FE565F0F")</f>
        <v>https://app.crepc.sk/?fn=detailBiblioForm&amp;sid=A8C5898CD77493B3E0FE565F0F</v>
      </c>
    </row>
    <row r="3654" spans="3:5" ht="60" x14ac:dyDescent="0.25">
      <c r="C3654" s="15">
        <v>237581</v>
      </c>
      <c r="D3654" s="4" t="s">
        <v>3658</v>
      </c>
      <c r="E3654" s="4" t="str">
        <f>HYPERLINK("https://app.crepc.sk/?fn=detailBiblioForm&amp;sid=3D8967D221FB1E16E851E06EA2")</f>
        <v>https://app.crepc.sk/?fn=detailBiblioForm&amp;sid=3D8967D221FB1E16E851E06EA2</v>
      </c>
    </row>
    <row r="3655" spans="3:5" ht="75" x14ac:dyDescent="0.25">
      <c r="C3655" s="15">
        <v>51601</v>
      </c>
      <c r="D3655" s="4" t="s">
        <v>3659</v>
      </c>
      <c r="E3655" s="4" t="str">
        <f>HYPERLINK("https://app.crepc.sk/?fn=detailBiblioForm&amp;sid=48DA8DFE6606DDBBC46DCD9F")</f>
        <v>https://app.crepc.sk/?fn=detailBiblioForm&amp;sid=48DA8DFE6606DDBBC46DCD9F</v>
      </c>
    </row>
    <row r="3656" spans="3:5" ht="105" x14ac:dyDescent="0.25">
      <c r="C3656" s="15">
        <v>187982</v>
      </c>
      <c r="D3656" s="4" t="s">
        <v>3660</v>
      </c>
      <c r="E3656" s="4" t="str">
        <f>HYPERLINK("https://app.crepc.sk/?fn=detailBiblioForm&amp;sid=29837531D12ABA4A46A7D7A980")</f>
        <v>https://app.crepc.sk/?fn=detailBiblioForm&amp;sid=29837531D12ABA4A46A7D7A980</v>
      </c>
    </row>
    <row r="3657" spans="3:5" ht="105" x14ac:dyDescent="0.25">
      <c r="C3657" s="15">
        <v>58600</v>
      </c>
      <c r="D3657" s="4" t="s">
        <v>3661</v>
      </c>
      <c r="E3657" s="4" t="str">
        <f>HYPERLINK("https://app.crepc.sk/?fn=detailBiblioForm&amp;sid=843FEDAA2FCEA789941FFAD9")</f>
        <v>https://app.crepc.sk/?fn=detailBiblioForm&amp;sid=843FEDAA2FCEA789941FFAD9</v>
      </c>
    </row>
    <row r="3658" spans="3:5" ht="60" x14ac:dyDescent="0.25">
      <c r="C3658" s="15">
        <v>438676</v>
      </c>
      <c r="D3658" s="4" t="s">
        <v>3662</v>
      </c>
      <c r="E3658" s="4" t="str">
        <f>HYPERLINK("https://app.crepc.sk/?fn=detailBiblioForm&amp;sid=C10B51E9E3EF1B1316AEE0F7D6")</f>
        <v>https://app.crepc.sk/?fn=detailBiblioForm&amp;sid=C10B51E9E3EF1B1316AEE0F7D6</v>
      </c>
    </row>
    <row r="3659" spans="3:5" ht="135" x14ac:dyDescent="0.25">
      <c r="C3659" s="15">
        <v>225714</v>
      </c>
      <c r="D3659" s="4" t="s">
        <v>3663</v>
      </c>
      <c r="E3659" s="4" t="str">
        <f>HYPERLINK("https://app.crepc.sk/?fn=detailBiblioForm&amp;sid=A02FDD97A14D5247056A018373")</f>
        <v>https://app.crepc.sk/?fn=detailBiblioForm&amp;sid=A02FDD97A14D5247056A018373</v>
      </c>
    </row>
    <row r="3660" spans="3:5" ht="120" x14ac:dyDescent="0.25">
      <c r="C3660" s="15">
        <v>224968</v>
      </c>
      <c r="D3660" s="4" t="s">
        <v>3664</v>
      </c>
      <c r="E3660" s="4" t="str">
        <f>HYPERLINK("https://app.crepc.sk/?fn=detailBiblioForm&amp;sid=A17FDCE096B34C5169525AEA85")</f>
        <v>https://app.crepc.sk/?fn=detailBiblioForm&amp;sid=A17FDCE096B34C5169525AEA85</v>
      </c>
    </row>
    <row r="3661" spans="3:5" ht="75" x14ac:dyDescent="0.25">
      <c r="C3661" s="15">
        <v>423461</v>
      </c>
      <c r="D3661" s="4" t="s">
        <v>3665</v>
      </c>
      <c r="E3661" s="4" t="str">
        <f>HYPERLINK("https://app.crepc.sk/?fn=detailBiblioForm&amp;sid=FA3B7316EF32B7DB82E73C238D")</f>
        <v>https://app.crepc.sk/?fn=detailBiblioForm&amp;sid=FA3B7316EF32B7DB82E73C238D</v>
      </c>
    </row>
    <row r="3662" spans="3:5" ht="75" x14ac:dyDescent="0.25">
      <c r="C3662" s="15">
        <v>227510</v>
      </c>
      <c r="D3662" s="4" t="s">
        <v>3666</v>
      </c>
      <c r="E3662" s="4" t="str">
        <f>HYPERLINK("https://app.crepc.sk/?fn=detailBiblioForm&amp;sid=926AF887F7FF3761052B8D7293")</f>
        <v>https://app.crepc.sk/?fn=detailBiblioForm&amp;sid=926AF887F7FF3761052B8D7293</v>
      </c>
    </row>
    <row r="3663" spans="3:5" ht="90" x14ac:dyDescent="0.25">
      <c r="C3663" s="15">
        <v>77079</v>
      </c>
      <c r="D3663" s="4" t="s">
        <v>3667</v>
      </c>
      <c r="E3663" s="4" t="str">
        <f>HYPERLINK("https://app.crepc.sk/?fn=detailBiblioForm&amp;sid=534BC008F21BD2A539175B34")</f>
        <v>https://app.crepc.sk/?fn=detailBiblioForm&amp;sid=534BC008F21BD2A539175B34</v>
      </c>
    </row>
    <row r="3664" spans="3:5" ht="90" x14ac:dyDescent="0.25">
      <c r="C3664" s="15">
        <v>183140</v>
      </c>
      <c r="D3664" s="4" t="s">
        <v>3668</v>
      </c>
      <c r="E3664" s="4" t="str">
        <f>HYPERLINK("https://app.crepc.sk/?fn=detailBiblioForm&amp;sid=38EFE54B98F197D5BF13EA12EF")</f>
        <v>https://app.crepc.sk/?fn=detailBiblioForm&amp;sid=38EFE54B98F197D5BF13EA12EF</v>
      </c>
    </row>
    <row r="3665" spans="3:5" ht="105" x14ac:dyDescent="0.25">
      <c r="C3665" s="15">
        <v>207284</v>
      </c>
      <c r="D3665" s="4" t="s">
        <v>3669</v>
      </c>
      <c r="E3665" s="4" t="str">
        <f>HYPERLINK("https://app.crepc.sk/?fn=detailBiblioForm&amp;sid=B966C56B1475474CBED11FE2E1")</f>
        <v>https://app.crepc.sk/?fn=detailBiblioForm&amp;sid=B966C56B1475474CBED11FE2E1</v>
      </c>
    </row>
    <row r="3666" spans="3:5" ht="90" x14ac:dyDescent="0.25">
      <c r="C3666" s="15">
        <v>419527</v>
      </c>
      <c r="D3666" s="4" t="s">
        <v>3670</v>
      </c>
      <c r="E3666" s="4" t="str">
        <f>HYPERLINK("https://app.crepc.sk/?fn=detailBiblioForm&amp;sid=147DE4E58F33913E2F84DCEAD2")</f>
        <v>https://app.crepc.sk/?fn=detailBiblioForm&amp;sid=147DE4E58F33913E2F84DCEAD2</v>
      </c>
    </row>
    <row r="3667" spans="3:5" ht="60" x14ac:dyDescent="0.25">
      <c r="C3667" s="15">
        <v>423465</v>
      </c>
      <c r="D3667" s="4" t="s">
        <v>3671</v>
      </c>
      <c r="E3667" s="4" t="str">
        <f>HYPERLINK("https://app.crepc.sk/?fn=detailBiblioForm&amp;sid=FA3B7316EF32B7DB82E33C238D")</f>
        <v>https://app.crepc.sk/?fn=detailBiblioForm&amp;sid=FA3B7316EF32B7DB82E33C238D</v>
      </c>
    </row>
    <row r="3668" spans="3:5" ht="75" x14ac:dyDescent="0.25">
      <c r="C3668" s="15">
        <v>432181</v>
      </c>
      <c r="D3668" s="4" t="s">
        <v>3672</v>
      </c>
      <c r="E3668" s="4" t="str">
        <f>HYPERLINK("https://app.crepc.sk/?fn=detailBiblioForm&amp;sid=36F9E267D0DFCA06FA9E599993")</f>
        <v>https://app.crepc.sk/?fn=detailBiblioForm&amp;sid=36F9E267D0DFCA06FA9E599993</v>
      </c>
    </row>
    <row r="3669" spans="3:5" ht="75" x14ac:dyDescent="0.25">
      <c r="C3669" s="15">
        <v>249310</v>
      </c>
      <c r="D3669" s="4" t="s">
        <v>3673</v>
      </c>
      <c r="E3669" s="4" t="str">
        <f>HYPERLINK("https://app.crepc.sk/?fn=detailBiblioForm&amp;sid=923F6DECD2F5E180457FED03E3")</f>
        <v>https://app.crepc.sk/?fn=detailBiblioForm&amp;sid=923F6DECD2F5E180457FED03E3</v>
      </c>
    </row>
    <row r="3670" spans="3:5" ht="60" x14ac:dyDescent="0.25">
      <c r="C3670" s="15">
        <v>65145</v>
      </c>
      <c r="D3670" s="4" t="s">
        <v>3674</v>
      </c>
      <c r="E3670" s="4" t="str">
        <f>HYPERLINK("https://app.crepc.sk/?fn=detailBiblioForm&amp;sid=928627C0B3A5ADF8520BAF19")</f>
        <v>https://app.crepc.sk/?fn=detailBiblioForm&amp;sid=928627C0B3A5ADF8520BAF19</v>
      </c>
    </row>
    <row r="3671" spans="3:5" ht="75" x14ac:dyDescent="0.25">
      <c r="C3671" s="15">
        <v>139278</v>
      </c>
      <c r="D3671" s="4" t="s">
        <v>3675</v>
      </c>
      <c r="E3671" s="4" t="str">
        <f>HYPERLINK("https://app.crepc.sk/?fn=detailBiblioForm&amp;sid=8BD1446F13339F660FBB2674A9")</f>
        <v>https://app.crepc.sk/?fn=detailBiblioForm&amp;sid=8BD1446F13339F660FBB2674A9</v>
      </c>
    </row>
    <row r="3672" spans="3:5" ht="90" x14ac:dyDescent="0.25">
      <c r="C3672" s="15">
        <v>94855</v>
      </c>
      <c r="D3672" s="4" t="s">
        <v>3676</v>
      </c>
      <c r="E3672" s="4" t="str">
        <f>HYPERLINK("https://app.crepc.sk/?fn=detailBiblioForm&amp;sid=70C3E0AC3933732D29646B4D")</f>
        <v>https://app.crepc.sk/?fn=detailBiblioForm&amp;sid=70C3E0AC3933732D29646B4D</v>
      </c>
    </row>
    <row r="3673" spans="3:5" ht="105" x14ac:dyDescent="0.25">
      <c r="C3673" s="15">
        <v>249343</v>
      </c>
      <c r="D3673" s="4" t="s">
        <v>3677</v>
      </c>
      <c r="E3673" s="4" t="str">
        <f>HYPERLINK("https://app.crepc.sk/?fn=detailBiblioForm&amp;sid=923F6DECD2F5E180407CED03E3")</f>
        <v>https://app.crepc.sk/?fn=detailBiblioForm&amp;sid=923F6DECD2F5E180407CED03E3</v>
      </c>
    </row>
    <row r="3674" spans="3:5" ht="105" x14ac:dyDescent="0.25">
      <c r="C3674" s="15">
        <v>103800</v>
      </c>
      <c r="D3674" s="4" t="s">
        <v>3678</v>
      </c>
      <c r="E3674" s="4" t="str">
        <f>HYPERLINK("https://app.crepc.sk/?fn=detailBiblioForm&amp;sid=976EC5A525C85ECF5CC03BFA52")</f>
        <v>https://app.crepc.sk/?fn=detailBiblioForm&amp;sid=976EC5A525C85ECF5CC03BFA52</v>
      </c>
    </row>
    <row r="3675" spans="3:5" ht="105" x14ac:dyDescent="0.25">
      <c r="C3675" s="15">
        <v>85142</v>
      </c>
      <c r="D3675" s="4" t="s">
        <v>3679</v>
      </c>
      <c r="E3675" s="4" t="str">
        <f>HYPERLINK("https://app.crepc.sk/?fn=detailBiblioForm&amp;sid=7459BF6F840C8CDA89E5FBDA")</f>
        <v>https://app.crepc.sk/?fn=detailBiblioForm&amp;sid=7459BF6F840C8CDA89E5FBDA</v>
      </c>
    </row>
    <row r="3676" spans="3:5" ht="105" x14ac:dyDescent="0.25">
      <c r="C3676" s="15">
        <v>124010</v>
      </c>
      <c r="D3676" s="4" t="s">
        <v>3680</v>
      </c>
      <c r="E3676" s="4" t="str">
        <f>HYPERLINK("https://app.crepc.sk/?fn=detailBiblioForm&amp;sid=111DEF23A8694C1DD4D0413CE8")</f>
        <v>https://app.crepc.sk/?fn=detailBiblioForm&amp;sid=111DEF23A8694C1DD4D0413CE8</v>
      </c>
    </row>
    <row r="3677" spans="3:5" ht="90" x14ac:dyDescent="0.25">
      <c r="C3677" s="15">
        <v>455986</v>
      </c>
      <c r="D3677" s="4" t="s">
        <v>3681</v>
      </c>
      <c r="E3677" s="4" t="str">
        <f>HYPERLINK("https://app.crepc.sk/?fn=detailBiblioForm&amp;sid=F8E041F7343F91A798621A8B80")</f>
        <v>https://app.crepc.sk/?fn=detailBiblioForm&amp;sid=F8E041F7343F91A798621A8B80</v>
      </c>
    </row>
    <row r="3678" spans="3:5" ht="75" x14ac:dyDescent="0.25">
      <c r="C3678" s="15">
        <v>58374</v>
      </c>
      <c r="D3678" s="4" t="s">
        <v>3682</v>
      </c>
      <c r="E3678" s="4" t="str">
        <f>HYPERLINK("https://app.crepc.sk/?fn=detailBiblioForm&amp;sid=D7466C6E0EA470C8724AF420")</f>
        <v>https://app.crepc.sk/?fn=detailBiblioForm&amp;sid=D7466C6E0EA470C8724AF420</v>
      </c>
    </row>
    <row r="3679" spans="3:5" ht="105" x14ac:dyDescent="0.25">
      <c r="C3679" s="15">
        <v>213696</v>
      </c>
      <c r="D3679" s="4" t="s">
        <v>3683</v>
      </c>
      <c r="E3679" s="4" t="str">
        <f>HYPERLINK("https://app.crepc.sk/?fn=detailBiblioForm&amp;sid=8E6409459947D973147ABC023D")</f>
        <v>https://app.crepc.sk/?fn=detailBiblioForm&amp;sid=8E6409459947D973147ABC023D</v>
      </c>
    </row>
    <row r="3680" spans="3:5" ht="105" x14ac:dyDescent="0.25">
      <c r="C3680" s="15">
        <v>205148</v>
      </c>
      <c r="D3680" s="4" t="s">
        <v>3684</v>
      </c>
      <c r="E3680" s="4" t="str">
        <f>HYPERLINK("https://app.crepc.sk/?fn=detailBiblioForm&amp;sid=87F6E5AB1B6D9B8B4565DC61F9")</f>
        <v>https://app.crepc.sk/?fn=detailBiblioForm&amp;sid=87F6E5AB1B6D9B8B4565DC61F9</v>
      </c>
    </row>
    <row r="3681" spans="3:5" ht="150" x14ac:dyDescent="0.25">
      <c r="C3681" s="15">
        <v>214121</v>
      </c>
      <c r="D3681" s="4" t="s">
        <v>3685</v>
      </c>
      <c r="E3681" s="4" t="str">
        <f>HYPERLINK("https://app.crepc.sk/?fn=detailBiblioForm&amp;sid=0BE591AD4FD969D74A5BDA6597")</f>
        <v>https://app.crepc.sk/?fn=detailBiblioForm&amp;sid=0BE591AD4FD969D74A5BDA6597</v>
      </c>
    </row>
    <row r="3682" spans="3:5" ht="60" x14ac:dyDescent="0.25">
      <c r="C3682" s="15">
        <v>227482</v>
      </c>
      <c r="D3682" s="4" t="s">
        <v>3686</v>
      </c>
      <c r="E3682" s="4" t="str">
        <f>HYPERLINK("https://app.crepc.sk/?fn=detailBiblioForm&amp;sid=E3F63D99041DBB0FEEC3F3E67C")</f>
        <v>https://app.crepc.sk/?fn=detailBiblioForm&amp;sid=E3F63D99041DBB0FEEC3F3E67C</v>
      </c>
    </row>
    <row r="3683" spans="3:5" ht="60" x14ac:dyDescent="0.25">
      <c r="C3683" s="15">
        <v>421399</v>
      </c>
      <c r="D3683" s="4" t="s">
        <v>3687</v>
      </c>
      <c r="E3683" s="4" t="str">
        <f>HYPERLINK("https://app.crepc.sk/?fn=detailBiblioForm&amp;sid=1E1EDB1FBA977D622007B76B5C")</f>
        <v>https://app.crepc.sk/?fn=detailBiblioForm&amp;sid=1E1EDB1FBA977D622007B76B5C</v>
      </c>
    </row>
    <row r="3684" spans="3:5" ht="105" x14ac:dyDescent="0.25">
      <c r="C3684" s="15">
        <v>243562</v>
      </c>
      <c r="D3684" s="4" t="s">
        <v>3688</v>
      </c>
      <c r="E3684" s="4" t="str">
        <f>HYPERLINK("https://app.crepc.sk/?fn=detailBiblioForm&amp;sid=137A7FA19A49BE0FB39236B665")</f>
        <v>https://app.crepc.sk/?fn=detailBiblioForm&amp;sid=137A7FA19A49BE0FB39236B665</v>
      </c>
    </row>
    <row r="3685" spans="3:5" ht="120" x14ac:dyDescent="0.25">
      <c r="C3685" s="15">
        <v>223349</v>
      </c>
      <c r="D3685" s="4" t="s">
        <v>3689</v>
      </c>
      <c r="E3685" s="4" t="str">
        <f>HYPERLINK("https://app.crepc.sk/?fn=detailBiblioForm&amp;sid=2A013C86CB599495C12DA03776")</f>
        <v>https://app.crepc.sk/?fn=detailBiblioForm&amp;sid=2A013C86CB599495C12DA03776</v>
      </c>
    </row>
    <row r="3686" spans="3:5" ht="120" x14ac:dyDescent="0.25">
      <c r="C3686" s="15">
        <v>418337</v>
      </c>
      <c r="D3686" s="4" t="s">
        <v>3690</v>
      </c>
      <c r="E3686" s="4" t="str">
        <f>HYPERLINK("https://app.crepc.sk/?fn=detailBiblioForm&amp;sid=00CAA88B7203ECA178BC59EEAC")</f>
        <v>https://app.crepc.sk/?fn=detailBiblioForm&amp;sid=00CAA88B7203ECA178BC59EEAC</v>
      </c>
    </row>
    <row r="3687" spans="3:5" ht="90" x14ac:dyDescent="0.25">
      <c r="C3687" s="15">
        <v>56244</v>
      </c>
      <c r="D3687" s="4" t="s">
        <v>3691</v>
      </c>
      <c r="E3687" s="4" t="str">
        <f>HYPERLINK("https://app.crepc.sk/?fn=detailBiblioForm&amp;sid=EFF8144264B3830C9FD46190")</f>
        <v>https://app.crepc.sk/?fn=detailBiblioForm&amp;sid=EFF8144264B3830C9FD46190</v>
      </c>
    </row>
    <row r="3688" spans="3:5" ht="75" x14ac:dyDescent="0.25">
      <c r="C3688" s="15">
        <v>249299</v>
      </c>
      <c r="D3688" s="4" t="s">
        <v>3692</v>
      </c>
      <c r="E3688" s="4" t="str">
        <f>HYPERLINK("https://app.crepc.sk/?fn=detailBiblioForm&amp;sid=5AB076CE062B26C898AAC04917")</f>
        <v>https://app.crepc.sk/?fn=detailBiblioForm&amp;sid=5AB076CE062B26C898AAC04917</v>
      </c>
    </row>
    <row r="3689" spans="3:5" ht="105" x14ac:dyDescent="0.25">
      <c r="C3689" s="15">
        <v>245945</v>
      </c>
      <c r="D3689" s="4" t="s">
        <v>3693</v>
      </c>
      <c r="E3689" s="4" t="str">
        <f>HYPERLINK("https://app.crepc.sk/?fn=detailBiblioForm&amp;sid=B4074A4D7573537BC375B46E05")</f>
        <v>https://app.crepc.sk/?fn=detailBiblioForm&amp;sid=B4074A4D7573537BC375B46E05</v>
      </c>
    </row>
    <row r="3690" spans="3:5" ht="75" x14ac:dyDescent="0.25">
      <c r="C3690" s="15">
        <v>118149</v>
      </c>
      <c r="D3690" s="4" t="s">
        <v>3694</v>
      </c>
      <c r="E3690" s="4" t="str">
        <f>HYPERLINK("https://app.crepc.sk/?fn=detailBiblioForm&amp;sid=F5F9E12263A2DE4870021B6A59")</f>
        <v>https://app.crepc.sk/?fn=detailBiblioForm&amp;sid=F5F9E12263A2DE4870021B6A59</v>
      </c>
    </row>
    <row r="3691" spans="3:5" ht="105" x14ac:dyDescent="0.25">
      <c r="C3691" s="15">
        <v>192230</v>
      </c>
      <c r="D3691" s="4" t="s">
        <v>3695</v>
      </c>
      <c r="E3691" s="4" t="str">
        <f>HYPERLINK("https://app.crepc.sk/?fn=detailBiblioForm&amp;sid=464329E216A3DEA45697B01BBE")</f>
        <v>https://app.crepc.sk/?fn=detailBiblioForm&amp;sid=464329E216A3DEA45697B01BBE</v>
      </c>
    </row>
    <row r="3692" spans="3:5" ht="75" x14ac:dyDescent="0.25">
      <c r="C3692" s="15">
        <v>97174</v>
      </c>
      <c r="D3692" s="4" t="s">
        <v>3696</v>
      </c>
      <c r="E3692" s="4" t="str">
        <f>HYPERLINK("https://app.crepc.sk/?fn=detailBiblioForm&amp;sid=CB2AB02F564174256BECE9A0")</f>
        <v>https://app.crepc.sk/?fn=detailBiblioForm&amp;sid=CB2AB02F564174256BECE9A0</v>
      </c>
    </row>
    <row r="3693" spans="3:5" ht="60" x14ac:dyDescent="0.25">
      <c r="C3693" s="15">
        <v>183135</v>
      </c>
      <c r="D3693" s="4" t="s">
        <v>3697</v>
      </c>
      <c r="E3693" s="4" t="str">
        <f>HYPERLINK("https://app.crepc.sk/?fn=detailBiblioForm&amp;sid=38EFE54B98F197D5B816EA12EF")</f>
        <v>https://app.crepc.sk/?fn=detailBiblioForm&amp;sid=38EFE54B98F197D5B816EA12EF</v>
      </c>
    </row>
    <row r="3694" spans="3:5" ht="60" x14ac:dyDescent="0.25">
      <c r="C3694" s="15">
        <v>207717</v>
      </c>
      <c r="D3694" s="4" t="s">
        <v>3698</v>
      </c>
      <c r="E3694" s="4" t="str">
        <f>HYPERLINK("https://app.crepc.sk/?fn=detailBiblioForm&amp;sid=0615AA3F0AC7184E3A3668DFA4")</f>
        <v>https://app.crepc.sk/?fn=detailBiblioForm&amp;sid=0615AA3F0AC7184E3A3668DFA4</v>
      </c>
    </row>
    <row r="3695" spans="3:5" ht="60" x14ac:dyDescent="0.25">
      <c r="C3695" s="15">
        <v>421863</v>
      </c>
      <c r="D3695" s="4" t="s">
        <v>3699</v>
      </c>
      <c r="E3695" s="4" t="str">
        <f>HYPERLINK("https://app.crepc.sk/?fn=detailBiblioForm&amp;sid=EE09CE23445DA698B2F98833E1")</f>
        <v>https://app.crepc.sk/?fn=detailBiblioForm&amp;sid=EE09CE23445DA698B2F98833E1</v>
      </c>
    </row>
    <row r="3696" spans="3:5" ht="150" x14ac:dyDescent="0.25">
      <c r="C3696" s="15">
        <v>247056</v>
      </c>
      <c r="D3696" s="4" t="s">
        <v>3700</v>
      </c>
      <c r="E3696" s="4" t="str">
        <f>HYPERLINK("https://app.crepc.sk/?fn=detailBiblioForm&amp;sid=EBEA61057054222A0B907935A3")</f>
        <v>https://app.crepc.sk/?fn=detailBiblioForm&amp;sid=EBEA61057054222A0B907935A3</v>
      </c>
    </row>
    <row r="3697" spans="3:5" ht="45" x14ac:dyDescent="0.25">
      <c r="C3697" s="15">
        <v>112240</v>
      </c>
      <c r="D3697" s="4" t="s">
        <v>3701</v>
      </c>
      <c r="E3697" s="4" t="str">
        <f>HYPERLINK("https://app.crepc.sk/?fn=detailBiblioForm&amp;sid=7CA613A94B8F9B6E9EC1E5F3EF")</f>
        <v>https://app.crepc.sk/?fn=detailBiblioForm&amp;sid=7CA613A94B8F9B6E9EC1E5F3EF</v>
      </c>
    </row>
    <row r="3698" spans="3:5" ht="60" x14ac:dyDescent="0.25">
      <c r="C3698" s="15">
        <v>310027</v>
      </c>
      <c r="D3698" s="4" t="s">
        <v>3702</v>
      </c>
      <c r="E3698" s="4" t="str">
        <f>HYPERLINK("https://app.crepc.sk/?fn=detailBiblioForm&amp;sid=F566C6E0CB47072BFEE922F69C")</f>
        <v>https://app.crepc.sk/?fn=detailBiblioForm&amp;sid=F566C6E0CB47072BFEE922F69C</v>
      </c>
    </row>
    <row r="3699" spans="3:5" ht="60" x14ac:dyDescent="0.25">
      <c r="C3699" s="15">
        <v>62258</v>
      </c>
      <c r="D3699" s="4" t="s">
        <v>3703</v>
      </c>
      <c r="E3699" s="4" t="str">
        <f>HYPERLINK("https://app.crepc.sk/?fn=detailBiblioForm&amp;sid=F04A42872EE3EF6B22A06055")</f>
        <v>https://app.crepc.sk/?fn=detailBiblioForm&amp;sid=F04A42872EE3EF6B22A06055</v>
      </c>
    </row>
    <row r="3700" spans="3:5" ht="45" x14ac:dyDescent="0.25">
      <c r="C3700" s="15">
        <v>123212</v>
      </c>
      <c r="D3700" s="4" t="s">
        <v>3704</v>
      </c>
      <c r="E3700" s="4" t="str">
        <f>HYPERLINK("https://app.crepc.sk/?fn=detailBiblioForm&amp;sid=84A6561E00D8E3617D29A633F8")</f>
        <v>https://app.crepc.sk/?fn=detailBiblioForm&amp;sid=84A6561E00D8E3617D29A633F8</v>
      </c>
    </row>
    <row r="3701" spans="3:5" ht="90" x14ac:dyDescent="0.25">
      <c r="C3701" s="15">
        <v>145664</v>
      </c>
      <c r="D3701" s="4" t="s">
        <v>3705</v>
      </c>
      <c r="E3701" s="4" t="str">
        <f>HYPERLINK("https://app.crepc.sk/?fn=detailBiblioForm&amp;sid=78BAD52BF05C0FB58F499BA10D")</f>
        <v>https://app.crepc.sk/?fn=detailBiblioForm&amp;sid=78BAD52BF05C0FB58F499BA10D</v>
      </c>
    </row>
    <row r="3702" spans="3:5" ht="120" x14ac:dyDescent="0.25">
      <c r="C3702" s="15">
        <v>104789</v>
      </c>
      <c r="D3702" s="4" t="s">
        <v>3706</v>
      </c>
      <c r="E3702" s="4" t="str">
        <f>HYPERLINK("https://app.crepc.sk/?fn=detailBiblioForm&amp;sid=60EB4B8819BA475A633DBB6528")</f>
        <v>https://app.crepc.sk/?fn=detailBiblioForm&amp;sid=60EB4B8819BA475A633DBB6528</v>
      </c>
    </row>
    <row r="3703" spans="3:5" ht="60" x14ac:dyDescent="0.25">
      <c r="C3703" s="15">
        <v>415852</v>
      </c>
      <c r="D3703" s="4" t="s">
        <v>3707</v>
      </c>
      <c r="E3703" s="4" t="str">
        <f>HYPERLINK("https://app.crepc.sk/?fn=detailBiblioForm&amp;sid=891DCCC3F171D8A710BCE1DB34")</f>
        <v>https://app.crepc.sk/?fn=detailBiblioForm&amp;sid=891DCCC3F171D8A710BCE1DB34</v>
      </c>
    </row>
    <row r="3704" spans="3:5" ht="60" x14ac:dyDescent="0.25">
      <c r="C3704" s="15">
        <v>97260</v>
      </c>
      <c r="D3704" s="4" t="s">
        <v>3708</v>
      </c>
      <c r="E3704" s="4" t="str">
        <f>HYPERLINK("https://app.crepc.sk/?fn=detailBiblioForm&amp;sid=9C42C15E761448ABAA445D22")</f>
        <v>https://app.crepc.sk/?fn=detailBiblioForm&amp;sid=9C42C15E761448ABAA445D22</v>
      </c>
    </row>
    <row r="3705" spans="3:5" ht="75" x14ac:dyDescent="0.25">
      <c r="C3705" s="15">
        <v>125254</v>
      </c>
      <c r="D3705" s="4" t="s">
        <v>3709</v>
      </c>
      <c r="E3705" s="4" t="str">
        <f>HYPERLINK("https://app.crepc.sk/?fn=detailBiblioForm&amp;sid=3D0298BADCCD9F5ECB370399EB")</f>
        <v>https://app.crepc.sk/?fn=detailBiblioForm&amp;sid=3D0298BADCCD9F5ECB370399EB</v>
      </c>
    </row>
    <row r="3706" spans="3:5" ht="60" x14ac:dyDescent="0.25">
      <c r="C3706" s="15">
        <v>204078</v>
      </c>
      <c r="D3706" s="4" t="s">
        <v>3710</v>
      </c>
      <c r="E3706" s="4" t="str">
        <f>HYPERLINK("https://app.crepc.sk/?fn=detailBiblioForm&amp;sid=22C33CF28BEFC43A4E3239B119")</f>
        <v>https://app.crepc.sk/?fn=detailBiblioForm&amp;sid=22C33CF28BEFC43A4E3239B119</v>
      </c>
    </row>
    <row r="3707" spans="3:5" ht="60" x14ac:dyDescent="0.25">
      <c r="C3707" s="15">
        <v>118255</v>
      </c>
      <c r="D3707" s="4" t="s">
        <v>3711</v>
      </c>
      <c r="E3707" s="4" t="str">
        <f>HYPERLINK("https://app.crepc.sk/?fn=detailBiblioForm&amp;sid=069BD78221CDCAB108A4F3E570")</f>
        <v>https://app.crepc.sk/?fn=detailBiblioForm&amp;sid=069BD78221CDCAB108A4F3E570</v>
      </c>
    </row>
    <row r="3708" spans="3:5" ht="75" x14ac:dyDescent="0.25">
      <c r="C3708" s="15">
        <v>71398</v>
      </c>
      <c r="D3708" s="4" t="s">
        <v>3712</v>
      </c>
      <c r="E3708" s="4" t="str">
        <f>HYPERLINK("https://app.crepc.sk/?fn=detailBiblioForm&amp;sid=473CF12726A9C61FF2CC1600")</f>
        <v>https://app.crepc.sk/?fn=detailBiblioForm&amp;sid=473CF12726A9C61FF2CC1600</v>
      </c>
    </row>
    <row r="3709" spans="3:5" ht="45" x14ac:dyDescent="0.25">
      <c r="C3709" s="15">
        <v>445231</v>
      </c>
      <c r="D3709" s="4" t="s">
        <v>3713</v>
      </c>
      <c r="E3709" s="4" t="str">
        <f>HYPERLINK("https://app.crepc.sk/?fn=detailBiblioForm&amp;sid=87E26BDA1F34FFA6565246AB7E")</f>
        <v>https://app.crepc.sk/?fn=detailBiblioForm&amp;sid=87E26BDA1F34FFA6565246AB7E</v>
      </c>
    </row>
    <row r="3710" spans="3:5" ht="60" x14ac:dyDescent="0.25">
      <c r="C3710" s="15">
        <v>174566</v>
      </c>
      <c r="D3710" s="4" t="s">
        <v>3714</v>
      </c>
      <c r="E3710" s="4" t="str">
        <f>HYPERLINK("https://app.crepc.sk/?fn=detailBiblioForm&amp;sid=72A4E145D65F5DA0B049551D33")</f>
        <v>https://app.crepc.sk/?fn=detailBiblioForm&amp;sid=72A4E145D65F5DA0B049551D33</v>
      </c>
    </row>
    <row r="3711" spans="3:5" ht="75" x14ac:dyDescent="0.25">
      <c r="C3711" s="15">
        <v>118284</v>
      </c>
      <c r="D3711" s="4" t="s">
        <v>3715</v>
      </c>
      <c r="E3711" s="4" t="str">
        <f>HYPERLINK("https://app.crepc.sk/?fn=detailBiblioForm&amp;sid=069BD78221CDCAB105A5F3E570")</f>
        <v>https://app.crepc.sk/?fn=detailBiblioForm&amp;sid=069BD78221CDCAB105A5F3E570</v>
      </c>
    </row>
    <row r="3712" spans="3:5" ht="90" x14ac:dyDescent="0.25">
      <c r="C3712" s="15">
        <v>430395</v>
      </c>
      <c r="D3712" s="4" t="s">
        <v>3716</v>
      </c>
      <c r="E3712" s="4" t="str">
        <f>HYPERLINK("https://app.crepc.sk/?fn=detailBiblioForm&amp;sid=616D3C10A867F51612C99774E4")</f>
        <v>https://app.crepc.sk/?fn=detailBiblioForm&amp;sid=616D3C10A867F51612C99774E4</v>
      </c>
    </row>
    <row r="3713" spans="3:5" ht="75" x14ac:dyDescent="0.25">
      <c r="C3713" s="15">
        <v>204086</v>
      </c>
      <c r="D3713" s="4" t="s">
        <v>3717</v>
      </c>
      <c r="E3713" s="4" t="str">
        <f>HYPERLINK("https://app.crepc.sk/?fn=detailBiblioForm&amp;sid=22C33CF28BEFC43A413C39B119")</f>
        <v>https://app.crepc.sk/?fn=detailBiblioForm&amp;sid=22C33CF28BEFC43A413C39B119</v>
      </c>
    </row>
    <row r="3714" spans="3:5" ht="105" x14ac:dyDescent="0.25">
      <c r="C3714" s="15">
        <v>79474</v>
      </c>
      <c r="D3714" s="4" t="s">
        <v>3718</v>
      </c>
      <c r="E3714" s="4" t="str">
        <f>HYPERLINK("https://app.crepc.sk/?fn=detailBiblioForm&amp;sid=D9345FDD888B3E288F52A4BB")</f>
        <v>https://app.crepc.sk/?fn=detailBiblioForm&amp;sid=D9345FDD888B3E288F52A4BB</v>
      </c>
    </row>
    <row r="3715" spans="3:5" ht="75" x14ac:dyDescent="0.25">
      <c r="C3715" s="15">
        <v>243943</v>
      </c>
      <c r="D3715" s="4" t="s">
        <v>3719</v>
      </c>
      <c r="E3715" s="4" t="str">
        <f>HYPERLINK("https://app.crepc.sk/?fn=detailBiblioForm&amp;sid=4E0FD8AB6AD170354B523E4C45")</f>
        <v>https://app.crepc.sk/?fn=detailBiblioForm&amp;sid=4E0FD8AB6AD170354B523E4C45</v>
      </c>
    </row>
    <row r="3716" spans="3:5" ht="90" x14ac:dyDescent="0.25">
      <c r="C3716" s="15">
        <v>210845</v>
      </c>
      <c r="D3716" s="4" t="s">
        <v>3720</v>
      </c>
      <c r="E3716" s="4" t="str">
        <f>HYPERLINK("https://app.crepc.sk/?fn=detailBiblioForm&amp;sid=4D550CDB8728D918FBB1BCD38F")</f>
        <v>https://app.crepc.sk/?fn=detailBiblioForm&amp;sid=4D550CDB8728D918FBB1BCD38F</v>
      </c>
    </row>
    <row r="3717" spans="3:5" ht="75" x14ac:dyDescent="0.25">
      <c r="C3717" s="15">
        <v>249304</v>
      </c>
      <c r="D3717" s="4" t="s">
        <v>3721</v>
      </c>
      <c r="E3717" s="4" t="str">
        <f>HYPERLINK("https://app.crepc.sk/?fn=detailBiblioForm&amp;sid=923F6DECD2F5E180447BED03E3")</f>
        <v>https://app.crepc.sk/?fn=detailBiblioForm&amp;sid=923F6DECD2F5E180447BED03E3</v>
      </c>
    </row>
    <row r="3718" spans="3:5" ht="60" x14ac:dyDescent="0.25">
      <c r="C3718" s="15">
        <v>241202</v>
      </c>
      <c r="D3718" s="4" t="s">
        <v>3722</v>
      </c>
      <c r="E3718" s="4" t="str">
        <f>HYPERLINK("https://app.crepc.sk/?fn=detailBiblioForm&amp;sid=219D60F26EF95CE108562B998E")</f>
        <v>https://app.crepc.sk/?fn=detailBiblioForm&amp;sid=219D60F26EF95CE108562B998E</v>
      </c>
    </row>
    <row r="3719" spans="3:5" ht="90" x14ac:dyDescent="0.25">
      <c r="C3719" s="15">
        <v>425875</v>
      </c>
      <c r="D3719" s="4" t="s">
        <v>3723</v>
      </c>
      <c r="E3719" s="4" t="str">
        <f>HYPERLINK("https://app.crepc.sk/?fn=detailBiblioForm&amp;sid=8DE77488E7939B18C99C344B3D")</f>
        <v>https://app.crepc.sk/?fn=detailBiblioForm&amp;sid=8DE77488E7939B18C99C344B3D</v>
      </c>
    </row>
    <row r="3720" spans="3:5" ht="45" x14ac:dyDescent="0.25">
      <c r="C3720" s="15">
        <v>221411</v>
      </c>
      <c r="D3720" s="4" t="s">
        <v>3724</v>
      </c>
      <c r="E3720" s="4" t="str">
        <f>HYPERLINK("https://app.crepc.sk/?fn=detailBiblioForm&amp;sid=BDE1989955220D35EAF74F9FC4")</f>
        <v>https://app.crepc.sk/?fn=detailBiblioForm&amp;sid=BDE1989955220D35EAF74F9FC4</v>
      </c>
    </row>
    <row r="3721" spans="3:5" ht="75" x14ac:dyDescent="0.25">
      <c r="C3721" s="15">
        <v>96284</v>
      </c>
      <c r="D3721" s="4" t="s">
        <v>3725</v>
      </c>
      <c r="E3721" s="4" t="str">
        <f>HYPERLINK("https://app.crepc.sk/?fn=detailBiblioForm&amp;sid=D93EFFE3370F9E2676644B43")</f>
        <v>https://app.crepc.sk/?fn=detailBiblioForm&amp;sid=D93EFFE3370F9E2676644B43</v>
      </c>
    </row>
    <row r="3722" spans="3:5" ht="75" x14ac:dyDescent="0.25">
      <c r="C3722" s="15">
        <v>227441</v>
      </c>
      <c r="D3722" s="4" t="s">
        <v>3726</v>
      </c>
      <c r="E3722" s="4" t="str">
        <f>HYPERLINK("https://app.crepc.sk/?fn=detailBiblioForm&amp;sid=E3F63D99041DBB0FE2C0F3E67C")</f>
        <v>https://app.crepc.sk/?fn=detailBiblioForm&amp;sid=E3F63D99041DBB0FE2C0F3E67C</v>
      </c>
    </row>
    <row r="3723" spans="3:5" ht="120" x14ac:dyDescent="0.25">
      <c r="C3723" s="15">
        <v>180624</v>
      </c>
      <c r="D3723" s="4" t="s">
        <v>3727</v>
      </c>
      <c r="E3723" s="4" t="str">
        <f>HYPERLINK("https://app.crepc.sk/?fn=detailBiblioForm&amp;sid=6B977D197BBEDDBAD17CD8DAE5")</f>
        <v>https://app.crepc.sk/?fn=detailBiblioForm&amp;sid=6B977D197BBEDDBAD17CD8DAE5</v>
      </c>
    </row>
    <row r="3724" spans="3:5" ht="75" x14ac:dyDescent="0.25">
      <c r="C3724" s="15">
        <v>314838</v>
      </c>
      <c r="D3724" s="4" t="s">
        <v>3728</v>
      </c>
      <c r="E3724" s="4" t="str">
        <f>HYPERLINK("https://app.crepc.sk/?fn=detailBiblioForm&amp;sid=D959D13FBEB7699757DBB04463")</f>
        <v>https://app.crepc.sk/?fn=detailBiblioForm&amp;sid=D959D13FBEB7699757DBB04463</v>
      </c>
    </row>
    <row r="3725" spans="3:5" ht="60" x14ac:dyDescent="0.25">
      <c r="C3725" s="15">
        <v>174094</v>
      </c>
      <c r="D3725" s="4" t="s">
        <v>3729</v>
      </c>
      <c r="E3725" s="4" t="str">
        <f>HYPERLINK("https://app.crepc.sk/?fn=detailBiblioForm&amp;sid=2990E1F3D3E255467081594FF3")</f>
        <v>https://app.crepc.sk/?fn=detailBiblioForm&amp;sid=2990E1F3D3E255467081594FF3</v>
      </c>
    </row>
    <row r="3726" spans="3:5" ht="90" x14ac:dyDescent="0.25">
      <c r="C3726" s="15">
        <v>427387</v>
      </c>
      <c r="D3726" s="4" t="s">
        <v>3730</v>
      </c>
      <c r="E3726" s="4" t="str">
        <f>HYPERLINK("https://app.crepc.sk/?fn=detailBiblioForm&amp;sid=906D2E96787915844F35D0E9D8")</f>
        <v>https://app.crepc.sk/?fn=detailBiblioForm&amp;sid=906D2E96787915844F35D0E9D8</v>
      </c>
    </row>
    <row r="3727" spans="3:5" ht="75" x14ac:dyDescent="0.25">
      <c r="C3727" s="15">
        <v>316665</v>
      </c>
      <c r="D3727" s="4" t="s">
        <v>3731</v>
      </c>
      <c r="E3727" s="4" t="str">
        <f>HYPERLINK("https://app.crepc.sk/?fn=detailBiblioForm&amp;sid=D102289ED89A4A14AC19573231")</f>
        <v>https://app.crepc.sk/?fn=detailBiblioForm&amp;sid=D102289ED89A4A14AC19573231</v>
      </c>
    </row>
    <row r="3728" spans="3:5" ht="90" x14ac:dyDescent="0.25">
      <c r="C3728" s="15">
        <v>316326</v>
      </c>
      <c r="D3728" s="4" t="s">
        <v>3732</v>
      </c>
      <c r="E3728" s="4" t="str">
        <f>HYPERLINK("https://app.crepc.sk/?fn=detailBiblioForm&amp;sid=C2E5DDBE113D3DFDD5D5C67146")</f>
        <v>https://app.crepc.sk/?fn=detailBiblioForm&amp;sid=C2E5DDBE113D3DFDD5D5C67146</v>
      </c>
    </row>
    <row r="3729" spans="3:5" ht="90" x14ac:dyDescent="0.25">
      <c r="C3729" s="15">
        <v>173886</v>
      </c>
      <c r="D3729" s="4" t="s">
        <v>3733</v>
      </c>
      <c r="E3729" s="4" t="str">
        <f>HYPERLINK("https://app.crepc.sk/?fn=detailBiblioForm&amp;sid=A8C5898CD77493B3EFFF565F0F")</f>
        <v>https://app.crepc.sk/?fn=detailBiblioForm&amp;sid=A8C5898CD77493B3EFFF565F0F</v>
      </c>
    </row>
    <row r="3730" spans="3:5" ht="75" x14ac:dyDescent="0.25">
      <c r="C3730" s="15">
        <v>73875</v>
      </c>
      <c r="D3730" s="4" t="s">
        <v>3734</v>
      </c>
      <c r="E3730" s="4" t="str">
        <f>HYPERLINK("https://app.crepc.sk/?fn=detailBiblioForm&amp;sid=85D7362BB59154DECA8B414D")</f>
        <v>https://app.crepc.sk/?fn=detailBiblioForm&amp;sid=85D7362BB59154DECA8B414D</v>
      </c>
    </row>
    <row r="3731" spans="3:5" ht="105" x14ac:dyDescent="0.25">
      <c r="C3731" s="15">
        <v>311442</v>
      </c>
      <c r="D3731" s="4" t="s">
        <v>3735</v>
      </c>
      <c r="E3731" s="4" t="str">
        <f>HYPERLINK("https://app.crepc.sk/?fn=detailBiblioForm&amp;sid=0ECF837769D87CF04C1FD0BD57")</f>
        <v>https://app.crepc.sk/?fn=detailBiblioForm&amp;sid=0ECF837769D87CF04C1FD0BD57</v>
      </c>
    </row>
    <row r="3732" spans="3:5" ht="60" x14ac:dyDescent="0.25">
      <c r="C3732" s="15">
        <v>138819</v>
      </c>
      <c r="D3732" s="4" t="s">
        <v>3736</v>
      </c>
      <c r="E3732" s="4" t="str">
        <f>HYPERLINK("https://app.crepc.sk/?fn=detailBiblioForm&amp;sid=AA7BC2660C5D798CF1FDF1C62C")</f>
        <v>https://app.crepc.sk/?fn=detailBiblioForm&amp;sid=AA7BC2660C5D798CF1FDF1C62C</v>
      </c>
    </row>
    <row r="3733" spans="3:5" ht="90" x14ac:dyDescent="0.25">
      <c r="C3733" s="15">
        <v>162532</v>
      </c>
      <c r="D3733" s="4" t="s">
        <v>3737</v>
      </c>
      <c r="E3733" s="4" t="str">
        <f>HYPERLINK("https://app.crepc.sk/?fn=detailBiblioForm&amp;sid=2D0B46080A5AC858A113D90CF3")</f>
        <v>https://app.crepc.sk/?fn=detailBiblioForm&amp;sid=2D0B46080A5AC858A113D90CF3</v>
      </c>
    </row>
    <row r="3734" spans="3:5" ht="105" x14ac:dyDescent="0.25">
      <c r="C3734" s="15">
        <v>94854</v>
      </c>
      <c r="D3734" s="4" t="s">
        <v>3738</v>
      </c>
      <c r="E3734" s="4" t="str">
        <f>HYPERLINK("https://app.crepc.sk/?fn=detailBiblioForm&amp;sid=70C3E0AC3933732D28646B4D")</f>
        <v>https://app.crepc.sk/?fn=detailBiblioForm&amp;sid=70C3E0AC3933732D28646B4D</v>
      </c>
    </row>
    <row r="3735" spans="3:5" ht="75" x14ac:dyDescent="0.25">
      <c r="C3735" s="15">
        <v>55429</v>
      </c>
      <c r="D3735" s="4" t="s">
        <v>3739</v>
      </c>
      <c r="E3735" s="4" t="str">
        <f>HYPERLINK("https://app.crepc.sk/?fn=detailBiblioForm&amp;sid=98C7E501BC0063B912F007F2")</f>
        <v>https://app.crepc.sk/?fn=detailBiblioForm&amp;sid=98C7E501BC0063B912F007F2</v>
      </c>
    </row>
    <row r="3736" spans="3:5" ht="60" x14ac:dyDescent="0.25">
      <c r="C3736" s="15">
        <v>131426</v>
      </c>
      <c r="D3736" s="4" t="s">
        <v>3740</v>
      </c>
      <c r="E3736" s="4" t="str">
        <f>HYPERLINK("https://app.crepc.sk/?fn=detailBiblioForm&amp;sid=EAA72B33C8E68BF1A0AAA23E30")</f>
        <v>https://app.crepc.sk/?fn=detailBiblioForm&amp;sid=EAA72B33C8E68BF1A0AAA23E30</v>
      </c>
    </row>
    <row r="3737" spans="3:5" ht="90" x14ac:dyDescent="0.25">
      <c r="C3737" s="15">
        <v>419781</v>
      </c>
      <c r="D3737" s="4" t="s">
        <v>3741</v>
      </c>
      <c r="E3737" s="4" t="str">
        <f>HYPERLINK("https://app.crepc.sk/?fn=detailBiblioForm&amp;sid=34FEC835150D74D982679766AF")</f>
        <v>https://app.crepc.sk/?fn=detailBiblioForm&amp;sid=34FEC835150D74D982679766AF</v>
      </c>
    </row>
    <row r="3738" spans="3:5" ht="60" x14ac:dyDescent="0.25">
      <c r="C3738" s="15">
        <v>57941</v>
      </c>
      <c r="D3738" s="4" t="s">
        <v>3742</v>
      </c>
      <c r="E3738" s="4" t="str">
        <f>HYPERLINK("https://app.crepc.sk/?fn=detailBiblioForm&amp;sid=949A419DE8ED3ADFBC249EFD")</f>
        <v>https://app.crepc.sk/?fn=detailBiblioForm&amp;sid=949A419DE8ED3ADFBC249EFD</v>
      </c>
    </row>
    <row r="3739" spans="3:5" ht="75" x14ac:dyDescent="0.25">
      <c r="C3739" s="15">
        <v>136459</v>
      </c>
      <c r="D3739" s="4" t="s">
        <v>3743</v>
      </c>
      <c r="E3739" s="4" t="str">
        <f>HYPERLINK("https://app.crepc.sk/?fn=detailBiblioForm&amp;sid=B6A4D7332C46D305BD4517FF25")</f>
        <v>https://app.crepc.sk/?fn=detailBiblioForm&amp;sid=B6A4D7332C46D305BD4517FF25</v>
      </c>
    </row>
    <row r="3740" spans="3:5" ht="90" x14ac:dyDescent="0.25">
      <c r="C3740" s="15">
        <v>204106</v>
      </c>
      <c r="D3740" s="4" t="s">
        <v>3744</v>
      </c>
      <c r="E3740" s="4" t="str">
        <f>HYPERLINK("https://app.crepc.sk/?fn=detailBiblioForm&amp;sid=2FD2966D3164FE508E890E18A4")</f>
        <v>https://app.crepc.sk/?fn=detailBiblioForm&amp;sid=2FD2966D3164FE508E890E18A4</v>
      </c>
    </row>
    <row r="3741" spans="3:5" ht="75" x14ac:dyDescent="0.25">
      <c r="C3741" s="15">
        <v>227496</v>
      </c>
      <c r="D3741" s="4" t="s">
        <v>3745</v>
      </c>
      <c r="E3741" s="4" t="str">
        <f>HYPERLINK("https://app.crepc.sk/?fn=detailBiblioForm&amp;sid=E3F63D99041DBB0FEFC7F3E67C")</f>
        <v>https://app.crepc.sk/?fn=detailBiblioForm&amp;sid=E3F63D99041DBB0FEFC7F3E67C</v>
      </c>
    </row>
    <row r="3742" spans="3:5" ht="105" x14ac:dyDescent="0.25">
      <c r="C3742" s="15">
        <v>234611</v>
      </c>
      <c r="D3742" s="4" t="s">
        <v>3746</v>
      </c>
      <c r="E3742" s="4" t="str">
        <f>HYPERLINK("https://app.crepc.sk/?fn=detailBiblioForm&amp;sid=6770805EFFF594D433F6FBD9F1")</f>
        <v>https://app.crepc.sk/?fn=detailBiblioForm&amp;sid=6770805EFFF594D433F6FBD9F1</v>
      </c>
    </row>
    <row r="3743" spans="3:5" ht="90" x14ac:dyDescent="0.25">
      <c r="C3743" s="15">
        <v>446956</v>
      </c>
      <c r="D3743" s="4" t="s">
        <v>3747</v>
      </c>
      <c r="E3743" s="4" t="str">
        <f>HYPERLINK("https://app.crepc.sk/?fn=detailBiblioForm&amp;sid=7D0E99783D71B1037C1BEB67B7")</f>
        <v>https://app.crepc.sk/?fn=detailBiblioForm&amp;sid=7D0E99783D71B1037C1BEB67B7</v>
      </c>
    </row>
    <row r="3744" spans="3:5" ht="75" x14ac:dyDescent="0.25">
      <c r="C3744" s="15">
        <v>141172</v>
      </c>
      <c r="D3744" s="4" t="s">
        <v>3748</v>
      </c>
      <c r="E3744" s="4" t="str">
        <f>HYPERLINK("https://app.crepc.sk/?fn=detailBiblioForm&amp;sid=FB902EF68EDF2E2F0E01D7DAE0")</f>
        <v>https://app.crepc.sk/?fn=detailBiblioForm&amp;sid=FB902EF68EDF2E2F0E01D7DAE0</v>
      </c>
    </row>
    <row r="3745" spans="3:5" ht="60" x14ac:dyDescent="0.25">
      <c r="C3745" s="15">
        <v>64936</v>
      </c>
      <c r="D3745" s="4" t="s">
        <v>3749</v>
      </c>
      <c r="E3745" s="4" t="str">
        <f>HYPERLINK("https://app.crepc.sk/?fn=detailBiblioForm&amp;sid=35D309216F5400A3B56533D7")</f>
        <v>https://app.crepc.sk/?fn=detailBiblioForm&amp;sid=35D309216F5400A3B56533D7</v>
      </c>
    </row>
    <row r="3746" spans="3:5" ht="105" x14ac:dyDescent="0.25">
      <c r="C3746" s="15">
        <v>121832</v>
      </c>
      <c r="D3746" s="4" t="s">
        <v>3750</v>
      </c>
      <c r="E3746" s="4" t="str">
        <f>HYPERLINK("https://app.crepc.sk/?fn=detailBiblioForm&amp;sid=FB227A2458B7F9F413652D5E19")</f>
        <v>https://app.crepc.sk/?fn=detailBiblioForm&amp;sid=FB227A2458B7F9F413652D5E19</v>
      </c>
    </row>
    <row r="3747" spans="3:5" ht="90" x14ac:dyDescent="0.25">
      <c r="C3747" s="15">
        <v>197485</v>
      </c>
      <c r="D3747" s="4" t="s">
        <v>3751</v>
      </c>
      <c r="E3747" s="4" t="str">
        <f>HYPERLINK("https://app.crepc.sk/?fn=detailBiblioForm&amp;sid=7D593A42AB22E1ECF1FA9C38E8")</f>
        <v>https://app.crepc.sk/?fn=detailBiblioForm&amp;sid=7D593A42AB22E1ECF1FA9C38E8</v>
      </c>
    </row>
    <row r="3748" spans="3:5" ht="75" x14ac:dyDescent="0.25">
      <c r="C3748" s="15">
        <v>249307</v>
      </c>
      <c r="D3748" s="4" t="s">
        <v>3752</v>
      </c>
      <c r="E3748" s="4" t="str">
        <f>HYPERLINK("https://app.crepc.sk/?fn=detailBiblioForm&amp;sid=923F6DECD2F5E1804478ED03E3")</f>
        <v>https://app.crepc.sk/?fn=detailBiblioForm&amp;sid=923F6DECD2F5E1804478ED03E3</v>
      </c>
    </row>
    <row r="3749" spans="3:5" ht="120" x14ac:dyDescent="0.25">
      <c r="C3749" s="15">
        <v>314625</v>
      </c>
      <c r="D3749" s="4" t="s">
        <v>3753</v>
      </c>
      <c r="E3749" s="4" t="str">
        <f>HYPERLINK("https://app.crepc.sk/?fn=detailBiblioForm&amp;sid=0D699139B41EFD4761550CC574")</f>
        <v>https://app.crepc.sk/?fn=detailBiblioForm&amp;sid=0D699139B41EFD4761550CC574</v>
      </c>
    </row>
    <row r="3750" spans="3:5" ht="75" x14ac:dyDescent="0.25">
      <c r="C3750" s="15">
        <v>227321</v>
      </c>
      <c r="D3750" s="4" t="s">
        <v>3754</v>
      </c>
      <c r="E3750" s="4" t="str">
        <f>HYPERLINK("https://app.crepc.sk/?fn=detailBiblioForm&amp;sid=6CA30878C8FDE196A11D0AE199")</f>
        <v>https://app.crepc.sk/?fn=detailBiblioForm&amp;sid=6CA30878C8FDE196A11D0AE199</v>
      </c>
    </row>
    <row r="3751" spans="3:5" ht="60" x14ac:dyDescent="0.25">
      <c r="C3751" s="15">
        <v>240673</v>
      </c>
      <c r="D3751" s="4" t="s">
        <v>3755</v>
      </c>
      <c r="E3751" s="4" t="str">
        <f>HYPERLINK("https://app.crepc.sk/?fn=detailBiblioForm&amp;sid=376FCAEA43ECD92AE36EE3DC06")</f>
        <v>https://app.crepc.sk/?fn=detailBiblioForm&amp;sid=376FCAEA43ECD92AE36EE3DC06</v>
      </c>
    </row>
    <row r="3752" spans="3:5" ht="135" x14ac:dyDescent="0.25">
      <c r="C3752" s="15">
        <v>192790</v>
      </c>
      <c r="D3752" s="4" t="s">
        <v>3756</v>
      </c>
      <c r="E3752" s="4" t="str">
        <f>HYPERLINK("https://app.crepc.sk/?fn=detailBiblioForm&amp;sid=3354009E5CAE23384615FB5E60")</f>
        <v>https://app.crepc.sk/?fn=detailBiblioForm&amp;sid=3354009E5CAE23384615FB5E60</v>
      </c>
    </row>
    <row r="3753" spans="3:5" ht="60" x14ac:dyDescent="0.25">
      <c r="C3753" s="15">
        <v>248093</v>
      </c>
      <c r="D3753" s="4" t="s">
        <v>3757</v>
      </c>
      <c r="E3753" s="4" t="str">
        <f>HYPERLINK("https://app.crepc.sk/?fn=detailBiblioForm&amp;sid=F22808E3AE206758D4F1065EA2")</f>
        <v>https://app.crepc.sk/?fn=detailBiblioForm&amp;sid=F22808E3AE206758D4F1065EA2</v>
      </c>
    </row>
    <row r="3754" spans="3:5" ht="75" x14ac:dyDescent="0.25">
      <c r="C3754" s="15">
        <v>183139</v>
      </c>
      <c r="D3754" s="4" t="s">
        <v>3758</v>
      </c>
      <c r="E3754" s="4" t="str">
        <f>HYPERLINK("https://app.crepc.sk/?fn=detailBiblioForm&amp;sid=38EFE54B98F197D5B81AEA12EF")</f>
        <v>https://app.crepc.sk/?fn=detailBiblioForm&amp;sid=38EFE54B98F197D5B81AEA12EF</v>
      </c>
    </row>
    <row r="3755" spans="3:5" ht="60" x14ac:dyDescent="0.25">
      <c r="C3755" s="15">
        <v>97238</v>
      </c>
      <c r="D3755" s="4" t="s">
        <v>3759</v>
      </c>
      <c r="E3755" s="4" t="str">
        <f>HYPERLINK("https://app.crepc.sk/?fn=detailBiblioForm&amp;sid=CCF33AF082A362D41D79535D")</f>
        <v>https://app.crepc.sk/?fn=detailBiblioForm&amp;sid=CCF33AF082A362D41D79535D</v>
      </c>
    </row>
    <row r="3756" spans="3:5" ht="75" x14ac:dyDescent="0.25">
      <c r="C3756" s="15">
        <v>130360</v>
      </c>
      <c r="D3756" s="4" t="s">
        <v>3760</v>
      </c>
      <c r="E3756" s="4" t="str">
        <f>HYPERLINK("https://app.crepc.sk/?fn=detailBiblioForm&amp;sid=A3E03CF54F8AB03E889F1E1C70")</f>
        <v>https://app.crepc.sk/?fn=detailBiblioForm&amp;sid=A3E03CF54F8AB03E889F1E1C70</v>
      </c>
    </row>
    <row r="3757" spans="3:5" ht="75" x14ac:dyDescent="0.25">
      <c r="C3757" s="15">
        <v>442298</v>
      </c>
      <c r="D3757" s="4" t="s">
        <v>3761</v>
      </c>
      <c r="E3757" s="4" t="str">
        <f>HYPERLINK("https://app.crepc.sk/?fn=detailBiblioForm&amp;sid=449A78BFE483A8EAF4FF49C553")</f>
        <v>https://app.crepc.sk/?fn=detailBiblioForm&amp;sid=449A78BFE483A8EAF4FF49C553</v>
      </c>
    </row>
    <row r="3758" spans="3:5" ht="75" x14ac:dyDescent="0.25">
      <c r="C3758" s="15">
        <v>131441</v>
      </c>
      <c r="D3758" s="4" t="s">
        <v>3762</v>
      </c>
      <c r="E3758" s="4" t="str">
        <f>HYPERLINK("https://app.crepc.sk/?fn=detailBiblioForm&amp;sid=EAA72B33C8E68BF1A6ADA23E30")</f>
        <v>https://app.crepc.sk/?fn=detailBiblioForm&amp;sid=EAA72B33C8E68BF1A6ADA23E30</v>
      </c>
    </row>
    <row r="3759" spans="3:5" ht="90" x14ac:dyDescent="0.25">
      <c r="C3759" s="15">
        <v>415357</v>
      </c>
      <c r="D3759" s="4" t="s">
        <v>3763</v>
      </c>
      <c r="E3759" s="4" t="str">
        <f>HYPERLINK("https://app.crepc.sk/?fn=detailBiblioForm&amp;sid=9AF7CC010D05DDDC6B3580073E")</f>
        <v>https://app.crepc.sk/?fn=detailBiblioForm&amp;sid=9AF7CC010D05DDDC6B3580073E</v>
      </c>
    </row>
    <row r="3760" spans="3:5" ht="75" x14ac:dyDescent="0.25">
      <c r="C3760" s="15">
        <v>236605</v>
      </c>
      <c r="D3760" s="4" t="s">
        <v>3764</v>
      </c>
      <c r="E3760" s="4" t="str">
        <f>HYPERLINK("https://app.crepc.sk/?fn=detailBiblioForm&amp;sid=9AE306768CCE2E94CBE4A3921D")</f>
        <v>https://app.crepc.sk/?fn=detailBiblioForm&amp;sid=9AE306768CCE2E94CBE4A3921D</v>
      </c>
    </row>
    <row r="3761" spans="3:5" ht="75" x14ac:dyDescent="0.25">
      <c r="C3761" s="15">
        <v>128811</v>
      </c>
      <c r="D3761" s="4" t="s">
        <v>3765</v>
      </c>
      <c r="E3761" s="4" t="str">
        <f>HYPERLINK("https://app.crepc.sk/?fn=detailBiblioForm&amp;sid=DDB24A884687D2A60793865BB8")</f>
        <v>https://app.crepc.sk/?fn=detailBiblioForm&amp;sid=DDB24A884687D2A60793865BB8</v>
      </c>
    </row>
    <row r="3762" spans="3:5" ht="90" x14ac:dyDescent="0.25">
      <c r="C3762" s="15">
        <v>205883</v>
      </c>
      <c r="D3762" s="4" t="s">
        <v>3766</v>
      </c>
      <c r="E3762" s="4" t="str">
        <f>HYPERLINK("https://app.crepc.sk/?fn=detailBiblioForm&amp;sid=10C5C367CF7707BA1B1646D40B")</f>
        <v>https://app.crepc.sk/?fn=detailBiblioForm&amp;sid=10C5C367CF7707BA1B1646D40B</v>
      </c>
    </row>
    <row r="3763" spans="3:5" ht="75" x14ac:dyDescent="0.25">
      <c r="C3763" s="15">
        <v>137318</v>
      </c>
      <c r="D3763" s="4" t="s">
        <v>3767</v>
      </c>
      <c r="E3763" s="4" t="str">
        <f>HYPERLINK("https://app.crepc.sk/?fn=detailBiblioForm&amp;sid=CD0F3DD308605F9675E17B5CB6")</f>
        <v>https://app.crepc.sk/?fn=detailBiblioForm&amp;sid=CD0F3DD308605F9675E17B5CB6</v>
      </c>
    </row>
    <row r="3764" spans="3:5" ht="60" x14ac:dyDescent="0.25">
      <c r="C3764" s="15">
        <v>97189</v>
      </c>
      <c r="D3764" s="4" t="s">
        <v>3768</v>
      </c>
      <c r="E3764" s="4" t="str">
        <f>HYPERLINK("https://app.crepc.sk/?fn=detailBiblioForm&amp;sid=DF58C33ACFDA9B8457FE4AA2")</f>
        <v>https://app.crepc.sk/?fn=detailBiblioForm&amp;sid=DF58C33ACFDA9B8457FE4AA2</v>
      </c>
    </row>
    <row r="3765" spans="3:5" ht="75" x14ac:dyDescent="0.25">
      <c r="C3765" s="15">
        <v>174081</v>
      </c>
      <c r="D3765" s="4" t="s">
        <v>3769</v>
      </c>
      <c r="E3765" s="4" t="str">
        <f>HYPERLINK("https://app.crepc.sk/?fn=detailBiblioForm&amp;sid=2990E1F3D3E255467184594FF3")</f>
        <v>https://app.crepc.sk/?fn=detailBiblioForm&amp;sid=2990E1F3D3E255467184594FF3</v>
      </c>
    </row>
    <row r="3766" spans="3:5" ht="60" x14ac:dyDescent="0.25">
      <c r="C3766" s="15">
        <v>68405</v>
      </c>
      <c r="D3766" s="4" t="s">
        <v>3770</v>
      </c>
      <c r="E3766" s="4" t="str">
        <f>HYPERLINK("https://app.crepc.sk/?fn=detailBiblioForm&amp;sid=D5DF466BCB966B97CF2D9A83")</f>
        <v>https://app.crepc.sk/?fn=detailBiblioForm&amp;sid=D5DF466BCB966B97CF2D9A83</v>
      </c>
    </row>
    <row r="3767" spans="3:5" ht="75" x14ac:dyDescent="0.25">
      <c r="C3767" s="15">
        <v>204090</v>
      </c>
      <c r="D3767" s="4" t="s">
        <v>3771</v>
      </c>
      <c r="E3767" s="4" t="str">
        <f>HYPERLINK("https://app.crepc.sk/?fn=detailBiblioForm&amp;sid=22C33CF28BEFC43A403A39B119")</f>
        <v>https://app.crepc.sk/?fn=detailBiblioForm&amp;sid=22C33CF28BEFC43A403A39B119</v>
      </c>
    </row>
    <row r="3768" spans="3:5" ht="135" x14ac:dyDescent="0.25">
      <c r="C3768" s="15">
        <v>316951</v>
      </c>
      <c r="D3768" s="4" t="s">
        <v>3772</v>
      </c>
      <c r="E3768" s="4" t="str">
        <f>HYPERLINK("https://app.crepc.sk/?fn=detailBiblioForm&amp;sid=AF862B856DC48993D5BDEAF2E2")</f>
        <v>https://app.crepc.sk/?fn=detailBiblioForm&amp;sid=AF862B856DC48993D5BDEAF2E2</v>
      </c>
    </row>
    <row r="3769" spans="3:5" ht="135" x14ac:dyDescent="0.25">
      <c r="C3769" s="15">
        <v>316952</v>
      </c>
      <c r="D3769" s="4" t="s">
        <v>3773</v>
      </c>
      <c r="E3769" s="4" t="str">
        <f>HYPERLINK("https://app.crepc.sk/?fn=detailBiblioForm&amp;sid=AF862B856DC48993D5BEEAF2E2")</f>
        <v>https://app.crepc.sk/?fn=detailBiblioForm&amp;sid=AF862B856DC48993D5BEEAF2E2</v>
      </c>
    </row>
    <row r="3770" spans="3:5" ht="150" x14ac:dyDescent="0.25">
      <c r="C3770" s="15">
        <v>210825</v>
      </c>
      <c r="D3770" s="4" t="s">
        <v>3774</v>
      </c>
      <c r="E3770" s="4" t="str">
        <f>HYPERLINK("https://app.crepc.sk/?fn=detailBiblioForm&amp;sid=4D550CDB8728D918FDB1BCD38F")</f>
        <v>https://app.crepc.sk/?fn=detailBiblioForm&amp;sid=4D550CDB8728D918FDB1BCD38F</v>
      </c>
    </row>
    <row r="3771" spans="3:5" ht="135" x14ac:dyDescent="0.25">
      <c r="C3771" s="15">
        <v>204745</v>
      </c>
      <c r="D3771" s="4" t="s">
        <v>3775</v>
      </c>
      <c r="E3771" s="4" t="str">
        <f>HYPERLINK("https://app.crepc.sk/?fn=detailBiblioForm&amp;sid=EABE3B0E8FC6173636840C7D5F")</f>
        <v>https://app.crepc.sk/?fn=detailBiblioForm&amp;sid=EABE3B0E8FC6173636840C7D5F</v>
      </c>
    </row>
    <row r="3772" spans="3:5" ht="135" x14ac:dyDescent="0.25">
      <c r="C3772" s="15">
        <v>204753</v>
      </c>
      <c r="D3772" s="4" t="s">
        <v>3776</v>
      </c>
      <c r="E3772" s="4" t="str">
        <f>HYPERLINK("https://app.crepc.sk/?fn=detailBiblioForm&amp;sid=EABE3B0E8FC6173637820C7D5F")</f>
        <v>https://app.crepc.sk/?fn=detailBiblioForm&amp;sid=EABE3B0E8FC6173637820C7D5F</v>
      </c>
    </row>
    <row r="3773" spans="3:5" ht="60" x14ac:dyDescent="0.25">
      <c r="C3773" s="15">
        <v>132262</v>
      </c>
      <c r="D3773" s="4" t="s">
        <v>3777</v>
      </c>
      <c r="E3773" s="4" t="str">
        <f>HYPERLINK("https://app.crepc.sk/?fn=detailBiblioForm&amp;sid=D50C3B9973047BD9911F50B270")</f>
        <v>https://app.crepc.sk/?fn=detailBiblioForm&amp;sid=D50C3B9973047BD9911F50B270</v>
      </c>
    </row>
    <row r="3774" spans="3:5" ht="75" x14ac:dyDescent="0.25">
      <c r="C3774" s="15">
        <v>227491</v>
      </c>
      <c r="D3774" s="4" t="s">
        <v>3778</v>
      </c>
      <c r="E3774" s="4" t="str">
        <f>HYPERLINK("https://app.crepc.sk/?fn=detailBiblioForm&amp;sid=E3F63D99041DBB0FEFC0F3E67C")</f>
        <v>https://app.crepc.sk/?fn=detailBiblioForm&amp;sid=E3F63D99041DBB0FEFC0F3E67C</v>
      </c>
    </row>
    <row r="3775" spans="3:5" ht="60" x14ac:dyDescent="0.25">
      <c r="C3775" s="15">
        <v>97253</v>
      </c>
      <c r="D3775" s="4" t="s">
        <v>3779</v>
      </c>
      <c r="E3775" s="4" t="str">
        <f>HYPERLINK("https://app.crepc.sk/?fn=detailBiblioForm&amp;sid=6BD4B504A669F5CF609CACF9")</f>
        <v>https://app.crepc.sk/?fn=detailBiblioForm&amp;sid=6BD4B504A669F5CF609CACF9</v>
      </c>
    </row>
    <row r="3776" spans="3:5" ht="90" x14ac:dyDescent="0.25">
      <c r="C3776" s="15">
        <v>222295</v>
      </c>
      <c r="D3776" s="4" t="s">
        <v>3780</v>
      </c>
      <c r="E3776" s="4" t="str">
        <f>HYPERLINK("https://app.crepc.sk/?fn=detailBiblioForm&amp;sid=0E7E8A9A760ECCDBD3134D8EE6")</f>
        <v>https://app.crepc.sk/?fn=detailBiblioForm&amp;sid=0E7E8A9A760ECCDBD3134D8EE6</v>
      </c>
    </row>
    <row r="3777" spans="3:5" ht="120" x14ac:dyDescent="0.25">
      <c r="C3777" s="15">
        <v>248536</v>
      </c>
      <c r="D3777" s="4" t="s">
        <v>3781</v>
      </c>
      <c r="E3777" s="4" t="str">
        <f>HYPERLINK("https://app.crepc.sk/?fn=detailBiblioForm&amp;sid=3173F3EBFDDB76EF40DA64397B")</f>
        <v>https://app.crepc.sk/?fn=detailBiblioForm&amp;sid=3173F3EBFDDB76EF40DA64397B</v>
      </c>
    </row>
    <row r="3778" spans="3:5" ht="60" x14ac:dyDescent="0.25">
      <c r="C3778" s="15">
        <v>73287</v>
      </c>
      <c r="D3778" s="4" t="s">
        <v>3782</v>
      </c>
      <c r="E3778" s="4" t="str">
        <f>HYPERLINK("https://app.crepc.sk/?fn=detailBiblioForm&amp;sid=ECC5291209DAF804246506AF")</f>
        <v>https://app.crepc.sk/?fn=detailBiblioForm&amp;sid=ECC5291209DAF804246506AF</v>
      </c>
    </row>
    <row r="3779" spans="3:5" ht="75" x14ac:dyDescent="0.25">
      <c r="C3779" s="15">
        <v>56975</v>
      </c>
      <c r="D3779" s="4" t="s">
        <v>3783</v>
      </c>
      <c r="E3779" s="4" t="str">
        <f>HYPERLINK("https://app.crepc.sk/?fn=detailBiblioForm&amp;sid=34D68005B3FCA20C409AC363")</f>
        <v>https://app.crepc.sk/?fn=detailBiblioForm&amp;sid=34D68005B3FCA20C409AC363</v>
      </c>
    </row>
    <row r="3780" spans="3:5" ht="105" x14ac:dyDescent="0.25">
      <c r="C3780" s="15">
        <v>51648</v>
      </c>
      <c r="D3780" s="4" t="s">
        <v>3784</v>
      </c>
      <c r="E3780" s="4" t="str">
        <f>HYPERLINK("https://app.crepc.sk/?fn=detailBiblioForm&amp;sid=161F9540D2A407F8E03305E2")</f>
        <v>https://app.crepc.sk/?fn=detailBiblioForm&amp;sid=161F9540D2A407F8E03305E2</v>
      </c>
    </row>
    <row r="3781" spans="3:5" ht="75" x14ac:dyDescent="0.25">
      <c r="C3781" s="15">
        <v>169005</v>
      </c>
      <c r="D3781" s="4" t="s">
        <v>3785</v>
      </c>
      <c r="E3781" s="4" t="str">
        <f>HYPERLINK("https://app.crepc.sk/?fn=detailBiblioForm&amp;sid=ECC3D3F0B3159C4F3012821461")</f>
        <v>https://app.crepc.sk/?fn=detailBiblioForm&amp;sid=ECC3D3F0B3159C4F3012821461</v>
      </c>
    </row>
    <row r="3782" spans="3:5" ht="105" x14ac:dyDescent="0.25">
      <c r="C3782" s="15">
        <v>128676</v>
      </c>
      <c r="D3782" s="4" t="s">
        <v>3786</v>
      </c>
      <c r="E3782" s="4" t="str">
        <f>HYPERLINK("https://app.crepc.sk/?fn=detailBiblioForm&amp;sid=B4445163FE48F42C565487536D")</f>
        <v>https://app.crepc.sk/?fn=detailBiblioForm&amp;sid=B4445163FE48F42C565487536D</v>
      </c>
    </row>
    <row r="3783" spans="3:5" ht="75" x14ac:dyDescent="0.25">
      <c r="C3783" s="15">
        <v>316850</v>
      </c>
      <c r="D3783" s="4" t="s">
        <v>3787</v>
      </c>
      <c r="E3783" s="4" t="str">
        <f>HYPERLINK("https://app.crepc.sk/?fn=detailBiblioForm&amp;sid=9B7EDFED3FF96897429554B66B")</f>
        <v>https://app.crepc.sk/?fn=detailBiblioForm&amp;sid=9B7EDFED3FF96897429554B66B</v>
      </c>
    </row>
    <row r="3784" spans="3:5" ht="75" x14ac:dyDescent="0.25">
      <c r="C3784" s="15">
        <v>104854</v>
      </c>
      <c r="D3784" s="4" t="s">
        <v>3788</v>
      </c>
      <c r="E3784" s="4" t="str">
        <f>HYPERLINK("https://app.crepc.sk/?fn=detailBiblioForm&amp;sid=3EF72ED7F261AA74BC52AD9599")</f>
        <v>https://app.crepc.sk/?fn=detailBiblioForm&amp;sid=3EF72ED7F261AA74BC52AD9599</v>
      </c>
    </row>
    <row r="3785" spans="3:5" ht="75" x14ac:dyDescent="0.25">
      <c r="C3785" s="15">
        <v>314826</v>
      </c>
      <c r="D3785" s="4" t="s">
        <v>3789</v>
      </c>
      <c r="E3785" s="4" t="str">
        <f>HYPERLINK("https://app.crepc.sk/?fn=detailBiblioForm&amp;sid=D959D13FBEB7699756D5B04463")</f>
        <v>https://app.crepc.sk/?fn=detailBiblioForm&amp;sid=D959D13FBEB7699756D5B04463</v>
      </c>
    </row>
    <row r="3786" spans="3:5" ht="60" x14ac:dyDescent="0.25">
      <c r="C3786" s="15">
        <v>63568</v>
      </c>
      <c r="D3786" s="4" t="s">
        <v>3790</v>
      </c>
      <c r="E3786" s="4" t="str">
        <f>HYPERLINK("https://app.crepc.sk/?fn=detailBiblioForm&amp;sid=DCC7383CDAA2E0BA393DAF5C")</f>
        <v>https://app.crepc.sk/?fn=detailBiblioForm&amp;sid=DCC7383CDAA2E0BA393DAF5C</v>
      </c>
    </row>
    <row r="3787" spans="3:5" ht="90" x14ac:dyDescent="0.25">
      <c r="C3787" s="15">
        <v>226753</v>
      </c>
      <c r="D3787" s="4" t="s">
        <v>3791</v>
      </c>
      <c r="E3787" s="4" t="str">
        <f>HYPERLINK("https://app.crepc.sk/?fn=detailBiblioForm&amp;sid=DE97830A346A9BF5C9BB5C27D0")</f>
        <v>https://app.crepc.sk/?fn=detailBiblioForm&amp;sid=DE97830A346A9BF5C9BB5C27D0</v>
      </c>
    </row>
    <row r="3788" spans="3:5" ht="60" x14ac:dyDescent="0.25">
      <c r="C3788" s="15">
        <v>97125</v>
      </c>
      <c r="D3788" s="4" t="s">
        <v>3792</v>
      </c>
      <c r="E3788" s="4" t="str">
        <f>HYPERLINK("https://app.crepc.sk/?fn=detailBiblioForm&amp;sid=67A57022BB084C07DE439B34")</f>
        <v>https://app.crepc.sk/?fn=detailBiblioForm&amp;sid=67A57022BB084C07DE439B34</v>
      </c>
    </row>
    <row r="3789" spans="3:5" ht="60" x14ac:dyDescent="0.25">
      <c r="C3789" s="15">
        <v>421201</v>
      </c>
      <c r="D3789" s="4" t="s">
        <v>3793</v>
      </c>
      <c r="E3789" s="4" t="str">
        <f>HYPERLINK("https://app.crepc.sk/?fn=detailBiblioForm&amp;sid=A5F7E993007418193F227F3086")</f>
        <v>https://app.crepc.sk/?fn=detailBiblioForm&amp;sid=A5F7E993007418193F227F3086</v>
      </c>
    </row>
    <row r="3790" spans="3:5" ht="75" x14ac:dyDescent="0.25">
      <c r="C3790" s="15">
        <v>448134</v>
      </c>
      <c r="D3790" s="4" t="s">
        <v>3794</v>
      </c>
      <c r="E3790" s="4" t="str">
        <f>HYPERLINK("https://app.crepc.sk/?fn=detailBiblioForm&amp;sid=70C8654F4D297524167FE509EC")</f>
        <v>https://app.crepc.sk/?fn=detailBiblioForm&amp;sid=70C8654F4D297524167FE509EC</v>
      </c>
    </row>
    <row r="3791" spans="3:5" ht="60" x14ac:dyDescent="0.25">
      <c r="C3791" s="15">
        <v>112838</v>
      </c>
      <c r="D3791" s="4" t="s">
        <v>3795</v>
      </c>
      <c r="E3791" s="4" t="str">
        <f>HYPERLINK("https://app.crepc.sk/?fn=detailBiblioForm&amp;sid=B13AEFF39C4E73C41A8C9A9761")</f>
        <v>https://app.crepc.sk/?fn=detailBiblioForm&amp;sid=B13AEFF39C4E73C41A8C9A9761</v>
      </c>
    </row>
    <row r="3792" spans="3:5" ht="90" x14ac:dyDescent="0.25">
      <c r="C3792" s="15">
        <v>75546</v>
      </c>
      <c r="D3792" s="4" t="s">
        <v>3796</v>
      </c>
      <c r="E3792" s="4" t="str">
        <f>HYPERLINK("https://app.crepc.sk/?fn=detailBiblioForm&amp;sid=0C24EE9126FE13E51D82B2E8")</f>
        <v>https://app.crepc.sk/?fn=detailBiblioForm&amp;sid=0C24EE9126FE13E51D82B2E8</v>
      </c>
    </row>
    <row r="3793" spans="3:5" ht="75" x14ac:dyDescent="0.25">
      <c r="C3793" s="15">
        <v>168989</v>
      </c>
      <c r="D3793" s="4" t="s">
        <v>3797</v>
      </c>
      <c r="E3793" s="4" t="str">
        <f>HYPERLINK("https://app.crepc.sk/?fn=detailBiblioForm&amp;sid=14E8631BC0ED910BFCFACE25B0")</f>
        <v>https://app.crepc.sk/?fn=detailBiblioForm&amp;sid=14E8631BC0ED910BFCFACE25B0</v>
      </c>
    </row>
    <row r="3794" spans="3:5" ht="90" x14ac:dyDescent="0.25">
      <c r="C3794" s="15">
        <v>179251</v>
      </c>
      <c r="D3794" s="4" t="s">
        <v>3798</v>
      </c>
      <c r="E3794" s="4" t="str">
        <f>HYPERLINK("https://app.crepc.sk/?fn=detailBiblioForm&amp;sid=4B1C4D75B6D4960DF8A669EC63")</f>
        <v>https://app.crepc.sk/?fn=detailBiblioForm&amp;sid=4B1C4D75B6D4960DF8A669EC63</v>
      </c>
    </row>
    <row r="3795" spans="3:5" ht="75" x14ac:dyDescent="0.25">
      <c r="C3795" s="15">
        <v>97202</v>
      </c>
      <c r="D3795" s="4" t="s">
        <v>3799</v>
      </c>
      <c r="E3795" s="4" t="str">
        <f>HYPERLINK("https://app.crepc.sk/?fn=detailBiblioForm&amp;sid=294D287671AFFFC3DD41E00E")</f>
        <v>https://app.crepc.sk/?fn=detailBiblioForm&amp;sid=294D287671AFFFC3DD41E00E</v>
      </c>
    </row>
    <row r="3796" spans="3:5" ht="75" x14ac:dyDescent="0.25">
      <c r="C3796" s="15">
        <v>444689</v>
      </c>
      <c r="D3796" s="4" t="s">
        <v>3800</v>
      </c>
      <c r="E3796" s="4" t="str">
        <f>HYPERLINK("https://app.crepc.sk/?fn=detailBiblioForm&amp;sid=A022A41D6D193BB221E62A8B60")</f>
        <v>https://app.crepc.sk/?fn=detailBiblioForm&amp;sid=A022A41D6D193BB221E62A8B60</v>
      </c>
    </row>
    <row r="3797" spans="3:5" ht="75" x14ac:dyDescent="0.25">
      <c r="C3797" s="15">
        <v>166549</v>
      </c>
      <c r="D3797" s="4" t="s">
        <v>3801</v>
      </c>
      <c r="E3797" s="4" t="str">
        <f>HYPERLINK("https://app.crepc.sk/?fn=detailBiblioForm&amp;sid=CBF19E20E3617CA9F348E89637")</f>
        <v>https://app.crepc.sk/?fn=detailBiblioForm&amp;sid=CBF19E20E3617CA9F348E89637</v>
      </c>
    </row>
    <row r="3798" spans="3:5" ht="105" x14ac:dyDescent="0.25">
      <c r="C3798" s="15">
        <v>126330</v>
      </c>
      <c r="D3798" s="4" t="s">
        <v>3802</v>
      </c>
      <c r="E3798" s="4" t="str">
        <f>HYPERLINK("https://app.crepc.sk/?fn=detailBiblioForm&amp;sid=728DDAFCA0C23A4502F90D4373")</f>
        <v>https://app.crepc.sk/?fn=detailBiblioForm&amp;sid=728DDAFCA0C23A4502F90D4373</v>
      </c>
    </row>
    <row r="3799" spans="3:5" ht="105" x14ac:dyDescent="0.25">
      <c r="C3799" s="15">
        <v>226716</v>
      </c>
      <c r="D3799" s="4" t="s">
        <v>3803</v>
      </c>
      <c r="E3799" s="4" t="str">
        <f>HYPERLINK("https://app.crepc.sk/?fn=detailBiblioForm&amp;sid=DE97830A346A9BF5CDBE5C27D0")</f>
        <v>https://app.crepc.sk/?fn=detailBiblioForm&amp;sid=DE97830A346A9BF5CDBE5C27D0</v>
      </c>
    </row>
    <row r="3800" spans="3:5" ht="90" x14ac:dyDescent="0.25">
      <c r="C3800" s="15">
        <v>178367</v>
      </c>
      <c r="D3800" s="4" t="s">
        <v>3804</v>
      </c>
      <c r="E3800" s="4" t="str">
        <f>HYPERLINK("https://app.crepc.sk/?fn=detailBiblioForm&amp;sid=A5BC586C45F519526EE345B98C")</f>
        <v>https://app.crepc.sk/?fn=detailBiblioForm&amp;sid=A5BC586C45F519526EE345B98C</v>
      </c>
    </row>
    <row r="3801" spans="3:5" ht="90" x14ac:dyDescent="0.25">
      <c r="C3801" s="15">
        <v>131431</v>
      </c>
      <c r="D3801" s="4" t="s">
        <v>3805</v>
      </c>
      <c r="E3801" s="4" t="str">
        <f>HYPERLINK("https://app.crepc.sk/?fn=detailBiblioForm&amp;sid=EAA72B33C8E68BF1A1ADA23E30")</f>
        <v>https://app.crepc.sk/?fn=detailBiblioForm&amp;sid=EAA72B33C8E68BF1A1ADA23E30</v>
      </c>
    </row>
    <row r="3802" spans="3:5" ht="105" x14ac:dyDescent="0.25">
      <c r="C3802" s="15">
        <v>160478</v>
      </c>
      <c r="D3802" s="4" t="s">
        <v>3806</v>
      </c>
      <c r="E3802" s="4" t="str">
        <f>HYPERLINK("https://app.crepc.sk/?fn=detailBiblioForm&amp;sid=84DA70B0936AC2501C9C74C413")</f>
        <v>https://app.crepc.sk/?fn=detailBiblioForm&amp;sid=84DA70B0936AC2501C9C74C413</v>
      </c>
    </row>
    <row r="3803" spans="3:5" ht="75" x14ac:dyDescent="0.25">
      <c r="C3803" s="15">
        <v>198893</v>
      </c>
      <c r="D3803" s="4" t="s">
        <v>3807</v>
      </c>
      <c r="E3803" s="4" t="str">
        <f>HYPERLINK("https://app.crepc.sk/?fn=detailBiblioForm&amp;sid=18DD23044A020D16F61DB595B9")</f>
        <v>https://app.crepc.sk/?fn=detailBiblioForm&amp;sid=18DD23044A020D16F61DB595B9</v>
      </c>
    </row>
    <row r="3804" spans="3:5" ht="60" x14ac:dyDescent="0.25">
      <c r="C3804" s="15">
        <v>132896</v>
      </c>
      <c r="D3804" s="4" t="s">
        <v>3808</v>
      </c>
      <c r="E3804" s="4" t="str">
        <f>HYPERLINK("https://app.crepc.sk/?fn=detailBiblioForm&amp;sid=657CC2697EDCD86418B3072705")</f>
        <v>https://app.crepc.sk/?fn=detailBiblioForm&amp;sid=657CC2697EDCD86418B3072705</v>
      </c>
    </row>
    <row r="3805" spans="3:5" ht="105" x14ac:dyDescent="0.25">
      <c r="C3805" s="15">
        <v>138644</v>
      </c>
      <c r="D3805" s="4" t="s">
        <v>3809</v>
      </c>
      <c r="E3805" s="4" t="str">
        <f>HYPERLINK("https://app.crepc.sk/?fn=detailBiblioForm&amp;sid=6E790697089442F7254B30A242")</f>
        <v>https://app.crepc.sk/?fn=detailBiblioForm&amp;sid=6E790697089442F7254B30A242</v>
      </c>
    </row>
    <row r="3806" spans="3:5" ht="75" x14ac:dyDescent="0.25">
      <c r="C3806" s="15">
        <v>138228</v>
      </c>
      <c r="D3806" s="4" t="s">
        <v>3810</v>
      </c>
      <c r="E3806" s="4" t="str">
        <f>HYPERLINK("https://app.crepc.sk/?fn=detailBiblioForm&amp;sid=145E94B5E4A069A606F73DD195")</f>
        <v>https://app.crepc.sk/?fn=detailBiblioForm&amp;sid=145E94B5E4A069A606F73DD195</v>
      </c>
    </row>
    <row r="3807" spans="3:5" ht="60" x14ac:dyDescent="0.25">
      <c r="C3807" s="15">
        <v>198919</v>
      </c>
      <c r="D3807" s="4" t="s">
        <v>3811</v>
      </c>
      <c r="E3807" s="4" t="str">
        <f>HYPERLINK("https://app.crepc.sk/?fn=detailBiblioForm&amp;sid=72F616B01DF8DEC04F4DA0C4CB")</f>
        <v>https://app.crepc.sk/?fn=detailBiblioForm&amp;sid=72F616B01DF8DEC04F4DA0C4CB</v>
      </c>
    </row>
    <row r="3808" spans="3:5" ht="60" x14ac:dyDescent="0.25">
      <c r="C3808" s="15">
        <v>73200</v>
      </c>
      <c r="D3808" s="4" t="s">
        <v>3812</v>
      </c>
      <c r="E3808" s="4" t="str">
        <f>HYPERLINK("https://app.crepc.sk/?fn=detailBiblioForm&amp;sid=C7A5DD9631AF9E1E0F7E84D6")</f>
        <v>https://app.crepc.sk/?fn=detailBiblioForm&amp;sid=C7A5DD9631AF9E1E0F7E84D6</v>
      </c>
    </row>
    <row r="3809" spans="3:5" ht="60" x14ac:dyDescent="0.25">
      <c r="C3809" s="15">
        <v>122445</v>
      </c>
      <c r="D3809" s="4" t="s">
        <v>3813</v>
      </c>
      <c r="E3809" s="4" t="str">
        <f>HYPERLINK("https://app.crepc.sk/?fn=detailBiblioForm&amp;sid=BA98F1178B40464E51E3C111D8")</f>
        <v>https://app.crepc.sk/?fn=detailBiblioForm&amp;sid=BA98F1178B40464E51E3C111D8</v>
      </c>
    </row>
    <row r="3810" spans="3:5" ht="105" x14ac:dyDescent="0.25">
      <c r="C3810" s="15">
        <v>71402</v>
      </c>
      <c r="D3810" s="4" t="s">
        <v>3814</v>
      </c>
      <c r="E3810" s="4" t="str">
        <f>HYPERLINK("https://app.crepc.sk/?fn=detailBiblioForm&amp;sid=C3DB74D4C2942DF872691A07")</f>
        <v>https://app.crepc.sk/?fn=detailBiblioForm&amp;sid=C3DB74D4C2942DF872691A07</v>
      </c>
    </row>
    <row r="3811" spans="3:5" ht="75" x14ac:dyDescent="0.25">
      <c r="C3811" s="15">
        <v>227465</v>
      </c>
      <c r="D3811" s="4" t="s">
        <v>3815</v>
      </c>
      <c r="E3811" s="4" t="str">
        <f>HYPERLINK("https://app.crepc.sk/?fn=detailBiblioForm&amp;sid=E3F63D99041DBB0FE0C4F3E67C")</f>
        <v>https://app.crepc.sk/?fn=detailBiblioForm&amp;sid=E3F63D99041DBB0FE0C4F3E67C</v>
      </c>
    </row>
    <row r="3812" spans="3:5" ht="75" x14ac:dyDescent="0.25">
      <c r="C3812" s="15">
        <v>152232</v>
      </c>
      <c r="D3812" s="4" t="s">
        <v>3816</v>
      </c>
      <c r="E3812" s="4" t="str">
        <f>HYPERLINK("https://app.crepc.sk/?fn=detailBiblioForm&amp;sid=C3244647CD7CB0B77A726FBDAB")</f>
        <v>https://app.crepc.sk/?fn=detailBiblioForm&amp;sid=C3244647CD7CB0B77A726FBDAB</v>
      </c>
    </row>
    <row r="3813" spans="3:5" ht="90" x14ac:dyDescent="0.25">
      <c r="C3813" s="15">
        <v>421197</v>
      </c>
      <c r="D3813" s="4" t="s">
        <v>3817</v>
      </c>
      <c r="E3813" s="4" t="str">
        <f>HYPERLINK("https://app.crepc.sk/?fn=detailBiblioForm&amp;sid=2309F398A92FFEE7F60F746638")</f>
        <v>https://app.crepc.sk/?fn=detailBiblioForm&amp;sid=2309F398A92FFEE7F60F746638</v>
      </c>
    </row>
    <row r="3814" spans="3:5" ht="75" x14ac:dyDescent="0.25">
      <c r="C3814" s="15">
        <v>314840</v>
      </c>
      <c r="D3814" s="4" t="s">
        <v>3818</v>
      </c>
      <c r="E3814" s="4" t="str">
        <f>HYPERLINK("https://app.crepc.sk/?fn=detailBiblioForm&amp;sid=D959D13FBEB7699750D3B04463")</f>
        <v>https://app.crepc.sk/?fn=detailBiblioForm&amp;sid=D959D13FBEB7699750D3B04463</v>
      </c>
    </row>
    <row r="3815" spans="3:5" ht="105" x14ac:dyDescent="0.25">
      <c r="C3815" s="15">
        <v>305445</v>
      </c>
      <c r="D3815" s="4" t="s">
        <v>3819</v>
      </c>
      <c r="E3815" s="4" t="str">
        <f>HYPERLINK("https://app.crepc.sk/?fn=detailBiblioForm&amp;sid=50A9D3A2C12B17EA341B40BDE0")</f>
        <v>https://app.crepc.sk/?fn=detailBiblioForm&amp;sid=50A9D3A2C12B17EA341B40BDE0</v>
      </c>
    </row>
    <row r="3816" spans="3:5" ht="60" x14ac:dyDescent="0.25">
      <c r="C3816" s="15">
        <v>214813</v>
      </c>
      <c r="D3816" s="4" t="s">
        <v>3820</v>
      </c>
      <c r="E3816" s="4" t="str">
        <f>HYPERLINK("https://app.crepc.sk/?fn=detailBiblioForm&amp;sid=A06FA5B38568DD1490DCEE68D3")</f>
        <v>https://app.crepc.sk/?fn=detailBiblioForm&amp;sid=A06FA5B38568DD1490DCEE68D3</v>
      </c>
    </row>
    <row r="3817" spans="3:5" ht="75" x14ac:dyDescent="0.25">
      <c r="C3817" s="15">
        <v>249312</v>
      </c>
      <c r="D3817" s="4" t="s">
        <v>3821</v>
      </c>
      <c r="E3817" s="4" t="str">
        <f>HYPERLINK("https://app.crepc.sk/?fn=detailBiblioForm&amp;sid=923F6DECD2F5E180457DED03E3")</f>
        <v>https://app.crepc.sk/?fn=detailBiblioForm&amp;sid=923F6DECD2F5E180457DED03E3</v>
      </c>
    </row>
    <row r="3818" spans="3:5" ht="120" x14ac:dyDescent="0.25">
      <c r="C3818" s="15">
        <v>198899</v>
      </c>
      <c r="D3818" s="4" t="s">
        <v>3822</v>
      </c>
      <c r="E3818" s="4" t="str">
        <f>HYPERLINK("https://app.crepc.sk/?fn=detailBiblioForm&amp;sid=18DD23044A020D16F617B595B9")</f>
        <v>https://app.crepc.sk/?fn=detailBiblioForm&amp;sid=18DD23044A020D16F617B595B9</v>
      </c>
    </row>
    <row r="3819" spans="3:5" ht="60" x14ac:dyDescent="0.25">
      <c r="C3819" s="15">
        <v>97167</v>
      </c>
      <c r="D3819" s="4" t="s">
        <v>3823</v>
      </c>
      <c r="E3819" s="4" t="str">
        <f>HYPERLINK("https://app.crepc.sk/?fn=detailBiblioForm&amp;sid=3B8965C926D66D47C384906C")</f>
        <v>https://app.crepc.sk/?fn=detailBiblioForm&amp;sid=3B8965C926D66D47C384906C</v>
      </c>
    </row>
    <row r="3820" spans="3:5" ht="75" x14ac:dyDescent="0.25">
      <c r="C3820" s="15">
        <v>79935</v>
      </c>
      <c r="D3820" s="4" t="s">
        <v>3824</v>
      </c>
      <c r="E3820" s="4" t="str">
        <f>HYPERLINK("https://app.crepc.sk/?fn=detailBiblioForm&amp;sid=BAD4371DC1A8FDA320B7A8AE")</f>
        <v>https://app.crepc.sk/?fn=detailBiblioForm&amp;sid=BAD4371DC1A8FDA320B7A8AE</v>
      </c>
    </row>
    <row r="3821" spans="3:5" ht="60" x14ac:dyDescent="0.25">
      <c r="C3821" s="15">
        <v>129824</v>
      </c>
      <c r="D3821" s="4" t="s">
        <v>3825</v>
      </c>
      <c r="E3821" s="4" t="str">
        <f>HYPERLINK("https://app.crepc.sk/?fn=detailBiblioForm&amp;sid=52338B61C0045FC8DB5D54DEB2")</f>
        <v>https://app.crepc.sk/?fn=detailBiblioForm&amp;sid=52338B61C0045FC8DB5D54DEB2</v>
      </c>
    </row>
    <row r="3822" spans="3:5" ht="60" x14ac:dyDescent="0.25">
      <c r="C3822" s="15">
        <v>97244</v>
      </c>
      <c r="D3822" s="4" t="s">
        <v>3826</v>
      </c>
      <c r="E3822" s="4" t="str">
        <f>HYPERLINK("https://app.crepc.sk/?fn=detailBiblioForm&amp;sid=ADF4306554BA7D0D1954C8CE")</f>
        <v>https://app.crepc.sk/?fn=detailBiblioForm&amp;sid=ADF4306554BA7D0D1954C8CE</v>
      </c>
    </row>
    <row r="3823" spans="3:5" ht="90" x14ac:dyDescent="0.25">
      <c r="C3823" s="15">
        <v>206774</v>
      </c>
      <c r="D3823" s="4" t="s">
        <v>3827</v>
      </c>
      <c r="E3823" s="4" t="str">
        <f>HYPERLINK("https://app.crepc.sk/?fn=detailBiblioForm&amp;sid=DF29B71B83315C1234996F6198")</f>
        <v>https://app.crepc.sk/?fn=detailBiblioForm&amp;sid=DF29B71B83315C1234996F6198</v>
      </c>
    </row>
    <row r="3824" spans="3:5" ht="105" x14ac:dyDescent="0.25">
      <c r="C3824" s="15">
        <v>165220</v>
      </c>
      <c r="D3824" s="4" t="s">
        <v>3828</v>
      </c>
      <c r="E3824" s="4" t="str">
        <f>HYPERLINK("https://app.crepc.sk/?fn=detailBiblioForm&amp;sid=F5195A1FF5FC85745043C1C9BF")</f>
        <v>https://app.crepc.sk/?fn=detailBiblioForm&amp;sid=F5195A1FF5FC85745043C1C9BF</v>
      </c>
    </row>
    <row r="3825" spans="3:5" ht="105" x14ac:dyDescent="0.25">
      <c r="C3825" s="15">
        <v>257025</v>
      </c>
      <c r="D3825" s="4" t="s">
        <v>3829</v>
      </c>
      <c r="E3825" s="4" t="str">
        <f>HYPERLINK("https://app.crepc.sk/?fn=detailBiblioForm&amp;sid=C7ED7FF9E36E0CD4153E41A151")</f>
        <v>https://app.crepc.sk/?fn=detailBiblioForm&amp;sid=C7ED7FF9E36E0CD4153E41A151</v>
      </c>
    </row>
    <row r="3826" spans="3:5" ht="75" x14ac:dyDescent="0.25">
      <c r="C3826" s="15">
        <v>78787</v>
      </c>
      <c r="D3826" s="4" t="s">
        <v>3830</v>
      </c>
      <c r="E3826" s="4" t="str">
        <f>HYPERLINK("https://app.crepc.sk/?fn=detailBiblioForm&amp;sid=638F14B9F44BFDC28A765E51")</f>
        <v>https://app.crepc.sk/?fn=detailBiblioForm&amp;sid=638F14B9F44BFDC28A765E51</v>
      </c>
    </row>
    <row r="3827" spans="3:5" ht="60" x14ac:dyDescent="0.25">
      <c r="C3827" s="15">
        <v>249870</v>
      </c>
      <c r="D3827" s="4" t="s">
        <v>3831</v>
      </c>
      <c r="E3827" s="4" t="str">
        <f>HYPERLINK("https://app.crepc.sk/?fn=detailBiblioForm&amp;sid=1B34BF6143476B6713098EFAB0")</f>
        <v>https://app.crepc.sk/?fn=detailBiblioForm&amp;sid=1B34BF6143476B6713098EFAB0</v>
      </c>
    </row>
    <row r="3828" spans="3:5" ht="75" x14ac:dyDescent="0.25">
      <c r="C3828" s="15">
        <v>203451</v>
      </c>
      <c r="D3828" s="4" t="s">
        <v>3832</v>
      </c>
      <c r="E3828" s="4" t="str">
        <f>HYPERLINK("https://app.crepc.sk/?fn=detailBiblioForm&amp;sid=7BEB1638C0BCEFCF24F612B925")</f>
        <v>https://app.crepc.sk/?fn=detailBiblioForm&amp;sid=7BEB1638C0BCEFCF24F612B925</v>
      </c>
    </row>
    <row r="3829" spans="3:5" ht="90" x14ac:dyDescent="0.25">
      <c r="C3829" s="15">
        <v>63314</v>
      </c>
      <c r="D3829" s="4" t="s">
        <v>3833</v>
      </c>
      <c r="E3829" s="4" t="str">
        <f>HYPERLINK("https://app.crepc.sk/?fn=detailBiblioForm&amp;sid=1A8783FF3283E5CF1CF956E5")</f>
        <v>https://app.crepc.sk/?fn=detailBiblioForm&amp;sid=1A8783FF3283E5CF1CF956E5</v>
      </c>
    </row>
    <row r="3830" spans="3:5" ht="60" x14ac:dyDescent="0.25">
      <c r="C3830" s="15">
        <v>199976</v>
      </c>
      <c r="D3830" s="4" t="s">
        <v>3834</v>
      </c>
      <c r="E3830" s="4" t="str">
        <f>HYPERLINK("https://app.crepc.sk/?fn=detailBiblioForm&amp;sid=79CE4EFB7063335D668BA6F482")</f>
        <v>https://app.crepc.sk/?fn=detailBiblioForm&amp;sid=79CE4EFB7063335D668BA6F482</v>
      </c>
    </row>
    <row r="3831" spans="3:5" ht="75" x14ac:dyDescent="0.25">
      <c r="C3831" s="15">
        <v>314843</v>
      </c>
      <c r="D3831" s="4" t="s">
        <v>3835</v>
      </c>
      <c r="E3831" s="4" t="str">
        <f>HYPERLINK("https://app.crepc.sk/?fn=detailBiblioForm&amp;sid=D959D13FBEB7699750D0B04463")</f>
        <v>https://app.crepc.sk/?fn=detailBiblioForm&amp;sid=D959D13FBEB7699750D0B04463</v>
      </c>
    </row>
    <row r="3832" spans="3:5" ht="60" x14ac:dyDescent="0.25">
      <c r="C3832" s="15">
        <v>227377</v>
      </c>
      <c r="D3832" s="4" t="s">
        <v>3836</v>
      </c>
      <c r="E3832" s="4" t="str">
        <f>HYPERLINK("https://app.crepc.sk/?fn=detailBiblioForm&amp;sid=6CA30878C8FDE196A41B0AE199")</f>
        <v>https://app.crepc.sk/?fn=detailBiblioForm&amp;sid=6CA30878C8FDE196A41B0AE199</v>
      </c>
    </row>
    <row r="3833" spans="3:5" ht="75" x14ac:dyDescent="0.25">
      <c r="C3833" s="15">
        <v>130739</v>
      </c>
      <c r="D3833" s="4" t="s">
        <v>3837</v>
      </c>
      <c r="E3833" s="4" t="str">
        <f>HYPERLINK("https://app.crepc.sk/?fn=detailBiblioForm&amp;sid=3113E0813724FF863C7F17A861")</f>
        <v>https://app.crepc.sk/?fn=detailBiblioForm&amp;sid=3113E0813724FF863C7F17A861</v>
      </c>
    </row>
    <row r="3834" spans="3:5" ht="90" x14ac:dyDescent="0.25">
      <c r="C3834" s="15">
        <v>316329</v>
      </c>
      <c r="D3834" s="4" t="s">
        <v>3838</v>
      </c>
      <c r="E3834" s="4" t="str">
        <f>HYPERLINK("https://app.crepc.sk/?fn=detailBiblioForm&amp;sid=C2E5DDBE113D3DFDD5DAC67146")</f>
        <v>https://app.crepc.sk/?fn=detailBiblioForm&amp;sid=C2E5DDBE113D3DFDD5DAC67146</v>
      </c>
    </row>
    <row r="3835" spans="3:5" ht="120" x14ac:dyDescent="0.25">
      <c r="C3835" s="15">
        <v>206418</v>
      </c>
      <c r="D3835" s="4" t="s">
        <v>3839</v>
      </c>
      <c r="E3835" s="4" t="str">
        <f>HYPERLINK("https://app.crepc.sk/?fn=detailBiblioForm&amp;sid=9EADD462503AFBCA265C1F908F")</f>
        <v>https://app.crepc.sk/?fn=detailBiblioForm&amp;sid=9EADD462503AFBCA265C1F908F</v>
      </c>
    </row>
    <row r="3836" spans="3:5" ht="90" x14ac:dyDescent="0.25">
      <c r="C3836" s="15">
        <v>200278</v>
      </c>
      <c r="D3836" s="4" t="s">
        <v>3840</v>
      </c>
      <c r="E3836" s="4" t="str">
        <f>HYPERLINK("https://app.crepc.sk/?fn=detailBiblioForm&amp;sid=4912AD8FE6D583415CCC7896D7")</f>
        <v>https://app.crepc.sk/?fn=detailBiblioForm&amp;sid=4912AD8FE6D583415CCC7896D7</v>
      </c>
    </row>
    <row r="3837" spans="3:5" ht="75" x14ac:dyDescent="0.25">
      <c r="C3837" s="15">
        <v>133014</v>
      </c>
      <c r="D3837" s="4" t="s">
        <v>3841</v>
      </c>
      <c r="E3837" s="4" t="str">
        <f>HYPERLINK("https://app.crepc.sk/?fn=detailBiblioForm&amp;sid=CACC2D03630BC76540E797FA4B")</f>
        <v>https://app.crepc.sk/?fn=detailBiblioForm&amp;sid=CACC2D03630BC76540E797FA4B</v>
      </c>
    </row>
    <row r="3838" spans="3:5" ht="75" x14ac:dyDescent="0.25">
      <c r="C3838" s="15">
        <v>189236</v>
      </c>
      <c r="D3838" s="4" t="s">
        <v>3842</v>
      </c>
      <c r="E3838" s="4" t="str">
        <f>HYPERLINK("https://app.crepc.sk/?fn=detailBiblioForm&amp;sid=D17E3E605121C09211C1086E62")</f>
        <v>https://app.crepc.sk/?fn=detailBiblioForm&amp;sid=D17E3E605121C09211C1086E62</v>
      </c>
    </row>
    <row r="3839" spans="3:5" ht="75" x14ac:dyDescent="0.25">
      <c r="C3839" s="15">
        <v>173875</v>
      </c>
      <c r="D3839" s="4" t="s">
        <v>3843</v>
      </c>
      <c r="E3839" s="4" t="str">
        <f>HYPERLINK("https://app.crepc.sk/?fn=detailBiblioForm&amp;sid=A8C5898CD77493B3E0FC565F0F")</f>
        <v>https://app.crepc.sk/?fn=detailBiblioForm&amp;sid=A8C5898CD77493B3E0FC565F0F</v>
      </c>
    </row>
    <row r="3840" spans="3:5" ht="90" x14ac:dyDescent="0.25">
      <c r="C3840" s="15">
        <v>53127</v>
      </c>
      <c r="D3840" s="4" t="s">
        <v>3844</v>
      </c>
      <c r="E3840" s="4" t="str">
        <f>HYPERLINK("https://app.crepc.sk/?fn=detailBiblioForm&amp;sid=BE031EDF18EEF633E8E72C3D")</f>
        <v>https://app.crepc.sk/?fn=detailBiblioForm&amp;sid=BE031EDF18EEF633E8E72C3D</v>
      </c>
    </row>
    <row r="3841" spans="3:5" ht="105" x14ac:dyDescent="0.25">
      <c r="C3841" s="15">
        <v>198905</v>
      </c>
      <c r="D3841" s="4" t="s">
        <v>3845</v>
      </c>
      <c r="E3841" s="4" t="str">
        <f>HYPERLINK("https://app.crepc.sk/?fn=detailBiblioForm&amp;sid=72F616B01DF8DEC04E41A0C4CB")</f>
        <v>https://app.crepc.sk/?fn=detailBiblioForm&amp;sid=72F616B01DF8DEC04E41A0C4CB</v>
      </c>
    </row>
    <row r="3842" spans="3:5" ht="90" x14ac:dyDescent="0.25">
      <c r="C3842" s="15">
        <v>183861</v>
      </c>
      <c r="D3842" s="4" t="s">
        <v>3846</v>
      </c>
      <c r="E3842" s="4" t="str">
        <f>HYPERLINK("https://app.crepc.sk/?fn=detailBiblioForm&amp;sid=E9A819C3F6DCFD1BCCC5B8F136")</f>
        <v>https://app.crepc.sk/?fn=detailBiblioForm&amp;sid=E9A819C3F6DCFD1BCCC5B8F136</v>
      </c>
    </row>
    <row r="3843" spans="3:5" ht="105" x14ac:dyDescent="0.25">
      <c r="C3843" s="15">
        <v>313787</v>
      </c>
      <c r="D3843" s="4" t="s">
        <v>3847</v>
      </c>
      <c r="E3843" s="4" t="str">
        <f>HYPERLINK("https://app.crepc.sk/?fn=detailBiblioForm&amp;sid=54D25A27962CDFF2CDC5F50D21")</f>
        <v>https://app.crepc.sk/?fn=detailBiblioForm&amp;sid=54D25A27962CDFF2CDC5F50D21</v>
      </c>
    </row>
    <row r="3844" spans="3:5" ht="120" x14ac:dyDescent="0.25">
      <c r="C3844" s="15">
        <v>417074</v>
      </c>
      <c r="D3844" s="4" t="s">
        <v>3848</v>
      </c>
      <c r="E3844" s="4" t="str">
        <f>HYPERLINK("https://app.crepc.sk/?fn=detailBiblioForm&amp;sid=77C933E32258083448C6404EDF")</f>
        <v>https://app.crepc.sk/?fn=detailBiblioForm&amp;sid=77C933E32258083448C6404EDF</v>
      </c>
    </row>
    <row r="3845" spans="3:5" ht="90" x14ac:dyDescent="0.25">
      <c r="C3845" s="15">
        <v>50972</v>
      </c>
      <c r="D3845" s="4" t="s">
        <v>3849</v>
      </c>
      <c r="E3845" s="4" t="str">
        <f>HYPERLINK("https://app.crepc.sk/?fn=detailBiblioForm&amp;sid=B22556AEEF21B837E5BB89A4")</f>
        <v>https://app.crepc.sk/?fn=detailBiblioForm&amp;sid=B22556AEEF21B837E5BB89A4</v>
      </c>
    </row>
    <row r="3846" spans="3:5" ht="75" x14ac:dyDescent="0.25">
      <c r="C3846" s="15">
        <v>50969</v>
      </c>
      <c r="D3846" s="4" t="s">
        <v>3850</v>
      </c>
      <c r="E3846" s="4" t="str">
        <f>HYPERLINK("https://app.crepc.sk/?fn=detailBiblioForm&amp;sid=8459A812E3F731A384EAFBAF")</f>
        <v>https://app.crepc.sk/?fn=detailBiblioForm&amp;sid=8459A812E3F731A384EAFBAF</v>
      </c>
    </row>
    <row r="3847" spans="3:5" ht="75" x14ac:dyDescent="0.25">
      <c r="C3847" s="15">
        <v>446957</v>
      </c>
      <c r="D3847" s="4" t="s">
        <v>3851</v>
      </c>
      <c r="E3847" s="4" t="str">
        <f>HYPERLINK("https://app.crepc.sk/?fn=detailBiblioForm&amp;sid=7D0E99783D71B1037C1AEB67B7")</f>
        <v>https://app.crepc.sk/?fn=detailBiblioForm&amp;sid=7D0E99783D71B1037C1AEB67B7</v>
      </c>
    </row>
    <row r="3848" spans="3:5" ht="75" x14ac:dyDescent="0.25">
      <c r="C3848" s="15">
        <v>421193</v>
      </c>
      <c r="D3848" s="4" t="s">
        <v>3852</v>
      </c>
      <c r="E3848" s="4" t="str">
        <f>HYPERLINK("https://app.crepc.sk/?fn=detailBiblioForm&amp;sid=2309F398A92FFEE7F60B746638")</f>
        <v>https://app.crepc.sk/?fn=detailBiblioForm&amp;sid=2309F398A92FFEE7F60B746638</v>
      </c>
    </row>
    <row r="3849" spans="3:5" ht="60" x14ac:dyDescent="0.25">
      <c r="C3849" s="15">
        <v>430818</v>
      </c>
      <c r="D3849" s="4" t="s">
        <v>3853</v>
      </c>
      <c r="E3849" s="4" t="str">
        <f>HYPERLINK("https://app.crepc.sk/?fn=detailBiblioForm&amp;sid=A283D7FE65670969D2D89D9DD5")</f>
        <v>https://app.crepc.sk/?fn=detailBiblioForm&amp;sid=A283D7FE65670969D2D89D9DD5</v>
      </c>
    </row>
    <row r="3850" spans="3:5" ht="90" x14ac:dyDescent="0.25">
      <c r="C3850" s="15">
        <v>226966</v>
      </c>
      <c r="D3850" s="4" t="s">
        <v>3854</v>
      </c>
      <c r="E3850" s="4" t="str">
        <f>HYPERLINK("https://app.crepc.sk/?fn=detailBiblioForm&amp;sid=E28066AA7FF097E3815E4D3B00")</f>
        <v>https://app.crepc.sk/?fn=detailBiblioForm&amp;sid=E28066AA7FF097E3815E4D3B00</v>
      </c>
    </row>
    <row r="3851" spans="3:5" ht="75" x14ac:dyDescent="0.25">
      <c r="C3851" s="15">
        <v>168961</v>
      </c>
      <c r="D3851" s="4" t="s">
        <v>3855</v>
      </c>
      <c r="E3851" s="4" t="str">
        <f>HYPERLINK("https://app.crepc.sk/?fn=detailBiblioForm&amp;sid=14E8631BC0ED910BF2F2CE25B0")</f>
        <v>https://app.crepc.sk/?fn=detailBiblioForm&amp;sid=14E8631BC0ED910BF2F2CE25B0</v>
      </c>
    </row>
    <row r="3852" spans="3:5" ht="75" x14ac:dyDescent="0.25">
      <c r="C3852" s="15">
        <v>137608</v>
      </c>
      <c r="D3852" s="4" t="s">
        <v>3856</v>
      </c>
      <c r="E3852" s="4" t="str">
        <f>HYPERLINK("https://app.crepc.sk/?fn=detailBiblioForm&amp;sid=2EA0EB8F50B4443AD9E3BFBE4C")</f>
        <v>https://app.crepc.sk/?fn=detailBiblioForm&amp;sid=2EA0EB8F50B4443AD9E3BFBE4C</v>
      </c>
    </row>
    <row r="3853" spans="3:5" ht="60" x14ac:dyDescent="0.25">
      <c r="C3853" s="15">
        <v>64937</v>
      </c>
      <c r="D3853" s="4" t="s">
        <v>3857</v>
      </c>
      <c r="E3853" s="4" t="str">
        <f>HYPERLINK("https://app.crepc.sk/?fn=detailBiblioForm&amp;sid=35D309216F5400A3B46533D7")</f>
        <v>https://app.crepc.sk/?fn=detailBiblioForm&amp;sid=35D309216F5400A3B46533D7</v>
      </c>
    </row>
    <row r="3854" spans="3:5" ht="90" x14ac:dyDescent="0.25">
      <c r="C3854" s="15">
        <v>246948</v>
      </c>
      <c r="D3854" s="4" t="s">
        <v>3858</v>
      </c>
      <c r="E3854" s="4" t="str">
        <f>HYPERLINK("https://app.crepc.sk/?fn=detailBiblioForm&amp;sid=513EA57B92CAC7225B3C972BAF")</f>
        <v>https://app.crepc.sk/?fn=detailBiblioForm&amp;sid=513EA57B92CAC7225B3C972BAF</v>
      </c>
    </row>
    <row r="3855" spans="3:5" ht="75" x14ac:dyDescent="0.25">
      <c r="C3855" s="15">
        <v>76183</v>
      </c>
      <c r="D3855" s="4" t="s">
        <v>3859</v>
      </c>
      <c r="E3855" s="4" t="str">
        <f>HYPERLINK("https://app.crepc.sk/?fn=detailBiblioForm&amp;sid=73278310333F3693405B1E3B")</f>
        <v>https://app.crepc.sk/?fn=detailBiblioForm&amp;sid=73278310333F3693405B1E3B</v>
      </c>
    </row>
    <row r="3856" spans="3:5" ht="105" x14ac:dyDescent="0.25">
      <c r="C3856" s="15">
        <v>225365</v>
      </c>
      <c r="D3856" s="4" t="s">
        <v>3860</v>
      </c>
      <c r="E3856" s="4" t="str">
        <f>HYPERLINK("https://app.crepc.sk/?fn=detailBiblioForm&amp;sid=B821F9E3E81A9BB89C1BCA5D86")</f>
        <v>https://app.crepc.sk/?fn=detailBiblioForm&amp;sid=B821F9E3E81A9BB89C1BCA5D86</v>
      </c>
    </row>
    <row r="3857" spans="3:5" ht="75" x14ac:dyDescent="0.25">
      <c r="C3857" s="15">
        <v>249311</v>
      </c>
      <c r="D3857" s="4" t="s">
        <v>3861</v>
      </c>
      <c r="E3857" s="4" t="str">
        <f>HYPERLINK("https://app.crepc.sk/?fn=detailBiblioForm&amp;sid=923F6DECD2F5E180457EED03E3")</f>
        <v>https://app.crepc.sk/?fn=detailBiblioForm&amp;sid=923F6DECD2F5E180457EED03E3</v>
      </c>
    </row>
    <row r="3858" spans="3:5" ht="90" x14ac:dyDescent="0.25">
      <c r="C3858" s="15">
        <v>180783</v>
      </c>
      <c r="D3858" s="4" t="s">
        <v>3862</v>
      </c>
      <c r="E3858" s="4" t="str">
        <f>HYPERLINK("https://app.crepc.sk/?fn=detailBiblioForm&amp;sid=46F337D26E70386BC6360607C3")</f>
        <v>https://app.crepc.sk/?fn=detailBiblioForm&amp;sid=46F337D26E70386BC6360607C3</v>
      </c>
    </row>
    <row r="3859" spans="3:5" ht="75" x14ac:dyDescent="0.25">
      <c r="C3859" s="15">
        <v>54067</v>
      </c>
      <c r="D3859" s="4" t="s">
        <v>3863</v>
      </c>
      <c r="E3859" s="4" t="str">
        <f>HYPERLINK("https://app.crepc.sk/?fn=detailBiblioForm&amp;sid=A69D8EC2E9C3AE79A10D6D2C")</f>
        <v>https://app.crepc.sk/?fn=detailBiblioForm&amp;sid=A69D8EC2E9C3AE79A10D6D2C</v>
      </c>
    </row>
    <row r="3860" spans="3:5" ht="90" x14ac:dyDescent="0.25">
      <c r="C3860" s="15">
        <v>112523</v>
      </c>
      <c r="D3860" s="4" t="s">
        <v>3864</v>
      </c>
      <c r="E3860" s="4" t="str">
        <f>HYPERLINK("https://app.crepc.sk/?fn=detailBiblioForm&amp;sid=3BDBB36CA09E1926FA8ECA96F8")</f>
        <v>https://app.crepc.sk/?fn=detailBiblioForm&amp;sid=3BDBB36CA09E1926FA8ECA96F8</v>
      </c>
    </row>
    <row r="3861" spans="3:5" ht="75" x14ac:dyDescent="0.25">
      <c r="C3861" s="15">
        <v>53838</v>
      </c>
      <c r="D3861" s="4" t="s">
        <v>3865</v>
      </c>
      <c r="E3861" s="4" t="str">
        <f>HYPERLINK("https://app.crepc.sk/?fn=detailBiblioForm&amp;sid=0036857B98EF7E34D48ED50D")</f>
        <v>https://app.crepc.sk/?fn=detailBiblioForm&amp;sid=0036857B98EF7E34D48ED50D</v>
      </c>
    </row>
    <row r="3862" spans="3:5" ht="60" x14ac:dyDescent="0.25">
      <c r="C3862" s="15">
        <v>102476</v>
      </c>
      <c r="D3862" s="4" t="s">
        <v>3866</v>
      </c>
      <c r="E3862" s="4" t="str">
        <f>HYPERLINK("https://app.crepc.sk/?fn=detailBiblioForm&amp;sid=6869FA06720F1784B4C376ECD8")</f>
        <v>https://app.crepc.sk/?fn=detailBiblioForm&amp;sid=6869FA06720F1784B4C376ECD8</v>
      </c>
    </row>
    <row r="3863" spans="3:5" ht="60" x14ac:dyDescent="0.25">
      <c r="C3863" s="15">
        <v>209424</v>
      </c>
      <c r="D3863" s="4" t="s">
        <v>3867</v>
      </c>
      <c r="E3863" s="4" t="str">
        <f>HYPERLINK("https://app.crepc.sk/?fn=detailBiblioForm&amp;sid=C700BBDD7432265F2B99B16113")</f>
        <v>https://app.crepc.sk/?fn=detailBiblioForm&amp;sid=C700BBDD7432265F2B99B16113</v>
      </c>
    </row>
    <row r="3864" spans="3:5" ht="60" x14ac:dyDescent="0.25">
      <c r="C3864" s="15">
        <v>97192</v>
      </c>
      <c r="D3864" s="4" t="s">
        <v>3868</v>
      </c>
      <c r="E3864" s="4" t="str">
        <f>HYPERLINK("https://app.crepc.sk/?fn=detailBiblioForm&amp;sid=26240298BC14557E8F61BFA0")</f>
        <v>https://app.crepc.sk/?fn=detailBiblioForm&amp;sid=26240298BC14557E8F61BFA0</v>
      </c>
    </row>
    <row r="3865" spans="3:5" ht="60" x14ac:dyDescent="0.25">
      <c r="C3865" s="15">
        <v>231825</v>
      </c>
      <c r="D3865" s="4" t="s">
        <v>3869</v>
      </c>
      <c r="E3865" s="4" t="str">
        <f>HYPERLINK("https://app.crepc.sk/?fn=detailBiblioForm&amp;sid=5B061BA8CDFDB05EE819B55804")</f>
        <v>https://app.crepc.sk/?fn=detailBiblioForm&amp;sid=5B061BA8CDFDB05EE819B55804</v>
      </c>
    </row>
    <row r="3866" spans="3:5" ht="105" x14ac:dyDescent="0.25">
      <c r="C3866" s="15">
        <v>222691</v>
      </c>
      <c r="D3866" s="4" t="s">
        <v>3870</v>
      </c>
      <c r="E3866" s="4" t="str">
        <f>HYPERLINK("https://app.crepc.sk/?fn=detailBiblioForm&amp;sid=3F01FB0C07942354A062F95480")</f>
        <v>https://app.crepc.sk/?fn=detailBiblioForm&amp;sid=3F01FB0C07942354A062F95480</v>
      </c>
    </row>
    <row r="3867" spans="3:5" ht="75" x14ac:dyDescent="0.25">
      <c r="C3867" s="15">
        <v>161709</v>
      </c>
      <c r="D3867" s="4" t="s">
        <v>3871</v>
      </c>
      <c r="E3867" s="4" t="str">
        <f>HYPERLINK("https://app.crepc.sk/?fn=detailBiblioForm&amp;sid=BCA102CB6C4CA54D4CE6C863D9")</f>
        <v>https://app.crepc.sk/?fn=detailBiblioForm&amp;sid=BCA102CB6C4CA54D4CE6C863D9</v>
      </c>
    </row>
    <row r="3868" spans="3:5" ht="60" x14ac:dyDescent="0.25">
      <c r="C3868" s="15">
        <v>160361</v>
      </c>
      <c r="D3868" s="4" t="s">
        <v>3872</v>
      </c>
      <c r="E3868" s="4" t="str">
        <f>HYPERLINK("https://app.crepc.sk/?fn=detailBiblioForm&amp;sid=AE9ECE62FB99CFC2C9D48D8A88")</f>
        <v>https://app.crepc.sk/?fn=detailBiblioForm&amp;sid=AE9ECE62FB99CFC2C9D48D8A88</v>
      </c>
    </row>
    <row r="3869" spans="3:5" ht="75" x14ac:dyDescent="0.25">
      <c r="C3869" s="15">
        <v>178295</v>
      </c>
      <c r="D3869" s="4" t="s">
        <v>3873</v>
      </c>
      <c r="E3869" s="4" t="str">
        <f>HYPERLINK("https://app.crepc.sk/?fn=detailBiblioForm&amp;sid=B9F89BDF2FCAC70859203A5D3E")</f>
        <v>https://app.crepc.sk/?fn=detailBiblioForm&amp;sid=B9F89BDF2FCAC70859203A5D3E</v>
      </c>
    </row>
    <row r="3870" spans="3:5" ht="75" x14ac:dyDescent="0.25">
      <c r="C3870" s="15">
        <v>163514</v>
      </c>
      <c r="D3870" s="4" t="s">
        <v>3874</v>
      </c>
      <c r="E3870" s="4" t="str">
        <f>HYPERLINK("https://app.crepc.sk/?fn=detailBiblioForm&amp;sid=702847CDD3538CD48D31C67511")</f>
        <v>https://app.crepc.sk/?fn=detailBiblioForm&amp;sid=702847CDD3538CD48D31C67511</v>
      </c>
    </row>
    <row r="3871" spans="3:5" ht="120" x14ac:dyDescent="0.25">
      <c r="C3871" s="15">
        <v>104480</v>
      </c>
      <c r="D3871" s="4" t="s">
        <v>3875</v>
      </c>
      <c r="E3871" s="4" t="str">
        <f>HYPERLINK("https://app.crepc.sk/?fn=detailBiblioForm&amp;sid=700937AB85C3474ABBED026B2D")</f>
        <v>https://app.crepc.sk/?fn=detailBiblioForm&amp;sid=700937AB85C3474ABBED026B2D</v>
      </c>
    </row>
    <row r="3872" spans="3:5" ht="60" x14ac:dyDescent="0.25">
      <c r="C3872" s="15">
        <v>112454</v>
      </c>
      <c r="D3872" s="4" t="s">
        <v>3876</v>
      </c>
      <c r="E3872" s="4" t="str">
        <f>HYPERLINK("https://app.crepc.sk/?fn=detailBiblioForm&amp;sid=6B00E789183A492A934BB14C71")</f>
        <v>https://app.crepc.sk/?fn=detailBiblioForm&amp;sid=6B00E789183A492A934BB14C71</v>
      </c>
    </row>
    <row r="3873" spans="3:5" ht="75" x14ac:dyDescent="0.25">
      <c r="C3873" s="15">
        <v>249309</v>
      </c>
      <c r="D3873" s="4" t="s">
        <v>3877</v>
      </c>
      <c r="E3873" s="4" t="str">
        <f>HYPERLINK("https://app.crepc.sk/?fn=detailBiblioForm&amp;sid=923F6DECD2F5E1804476ED03E3")</f>
        <v>https://app.crepc.sk/?fn=detailBiblioForm&amp;sid=923F6DECD2F5E1804476ED03E3</v>
      </c>
    </row>
    <row r="3874" spans="3:5" ht="60" x14ac:dyDescent="0.25">
      <c r="C3874" s="15">
        <v>112407</v>
      </c>
      <c r="D3874" s="4" t="s">
        <v>3878</v>
      </c>
      <c r="E3874" s="4" t="str">
        <f>HYPERLINK("https://app.crepc.sk/?fn=detailBiblioForm&amp;sid=6B00E789183A492A9648B14C71")</f>
        <v>https://app.crepc.sk/?fn=detailBiblioForm&amp;sid=6B00E789183A492A9648B14C71</v>
      </c>
    </row>
    <row r="3875" spans="3:5" ht="75" x14ac:dyDescent="0.25">
      <c r="C3875" s="15">
        <v>227436</v>
      </c>
      <c r="D3875" s="4" t="s">
        <v>3879</v>
      </c>
      <c r="E3875" s="4" t="str">
        <f>HYPERLINK("https://app.crepc.sk/?fn=detailBiblioForm&amp;sid=E3F63D99041DBB0FE5C7F3E67C")</f>
        <v>https://app.crepc.sk/?fn=detailBiblioForm&amp;sid=E3F63D99041DBB0FE5C7F3E67C</v>
      </c>
    </row>
    <row r="3876" spans="3:5" ht="90" x14ac:dyDescent="0.25">
      <c r="C3876" s="15">
        <v>102028</v>
      </c>
      <c r="D3876" s="4" t="s">
        <v>3880</v>
      </c>
      <c r="E3876" s="4" t="str">
        <f>HYPERLINK("https://app.crepc.sk/?fn=detailBiblioForm&amp;sid=BDA81A6FAD770F76AAF234EE65")</f>
        <v>https://app.crepc.sk/?fn=detailBiblioForm&amp;sid=BDA81A6FAD770F76AAF234EE65</v>
      </c>
    </row>
    <row r="3877" spans="3:5" ht="75" x14ac:dyDescent="0.25">
      <c r="C3877" s="15">
        <v>204123</v>
      </c>
      <c r="D3877" s="4" t="s">
        <v>3881</v>
      </c>
      <c r="E3877" s="4" t="str">
        <f>HYPERLINK("https://app.crepc.sk/?fn=detailBiblioForm&amp;sid=2FD2966D3164FE508C8C0E18A4")</f>
        <v>https://app.crepc.sk/?fn=detailBiblioForm&amp;sid=2FD2966D3164FE508C8C0E18A4</v>
      </c>
    </row>
    <row r="3878" spans="3:5" ht="90" x14ac:dyDescent="0.25">
      <c r="C3878" s="15">
        <v>120871</v>
      </c>
      <c r="D3878" s="4" t="s">
        <v>3882</v>
      </c>
      <c r="E3878" s="4" t="str">
        <f>HYPERLINK("https://app.crepc.sk/?fn=detailBiblioForm&amp;sid=0A8AE641E757DE606FB779B0B3")</f>
        <v>https://app.crepc.sk/?fn=detailBiblioForm&amp;sid=0A8AE641E757DE606FB779B0B3</v>
      </c>
    </row>
    <row r="3879" spans="3:5" ht="90" x14ac:dyDescent="0.25">
      <c r="C3879" s="15">
        <v>78996</v>
      </c>
      <c r="D3879" s="4" t="s">
        <v>3883</v>
      </c>
      <c r="E3879" s="4" t="str">
        <f>HYPERLINK("https://app.crepc.sk/?fn=detailBiblioForm&amp;sid=B1DDB964025E3D2A6154C4B3")</f>
        <v>https://app.crepc.sk/?fn=detailBiblioForm&amp;sid=B1DDB964025E3D2A6154C4B3</v>
      </c>
    </row>
    <row r="3880" spans="3:5" ht="60" x14ac:dyDescent="0.25">
      <c r="C3880" s="15">
        <v>180633</v>
      </c>
      <c r="D3880" s="4" t="s">
        <v>3884</v>
      </c>
      <c r="E3880" s="4" t="str">
        <f>HYPERLINK("https://app.crepc.sk/?fn=detailBiblioForm&amp;sid=6B977D197BBEDDBAD07BD8DAE5")</f>
        <v>https://app.crepc.sk/?fn=detailBiblioForm&amp;sid=6B977D197BBEDDBAD07BD8DAE5</v>
      </c>
    </row>
    <row r="3881" spans="3:5" ht="120" x14ac:dyDescent="0.25">
      <c r="C3881" s="15">
        <v>53489</v>
      </c>
      <c r="D3881" s="4" t="s">
        <v>3885</v>
      </c>
      <c r="E3881" s="4" t="str">
        <f>HYPERLINK("https://app.crepc.sk/?fn=detailBiblioForm&amp;sid=37BEA6F3020AE6768EFDBCCD")</f>
        <v>https://app.crepc.sk/?fn=detailBiblioForm&amp;sid=37BEA6F3020AE6768EFDBCCD</v>
      </c>
    </row>
    <row r="3882" spans="3:5" ht="75" x14ac:dyDescent="0.25">
      <c r="C3882" s="15">
        <v>227391</v>
      </c>
      <c r="D3882" s="4" t="s">
        <v>3886</v>
      </c>
      <c r="E3882" s="4" t="str">
        <f>HYPERLINK("https://app.crepc.sk/?fn=detailBiblioForm&amp;sid=6CA30878C8FDE196AA1D0AE199")</f>
        <v>https://app.crepc.sk/?fn=detailBiblioForm&amp;sid=6CA30878C8FDE196AA1D0AE199</v>
      </c>
    </row>
    <row r="3883" spans="3:5" ht="45" x14ac:dyDescent="0.25">
      <c r="C3883" s="15">
        <v>165289</v>
      </c>
      <c r="D3883" s="4" t="s">
        <v>3887</v>
      </c>
      <c r="E3883" s="4" t="str">
        <f>HYPERLINK("https://app.crepc.sk/?fn=detailBiblioForm&amp;sid=F5195A1FF5FC85745A4AC1C9BF")</f>
        <v>https://app.crepc.sk/?fn=detailBiblioForm&amp;sid=F5195A1FF5FC85745A4AC1C9BF</v>
      </c>
    </row>
    <row r="3884" spans="3:5" ht="75" x14ac:dyDescent="0.25">
      <c r="C3884" s="15">
        <v>117852</v>
      </c>
      <c r="D3884" s="4" t="s">
        <v>3888</v>
      </c>
      <c r="E3884" s="4" t="str">
        <f>HYPERLINK("https://app.crepc.sk/?fn=detailBiblioForm&amp;sid=CABE63230C4296FD1D6B41B36E")</f>
        <v>https://app.crepc.sk/?fn=detailBiblioForm&amp;sid=CABE63230C4296FD1D6B41B36E</v>
      </c>
    </row>
    <row r="3885" spans="3:5" ht="75" x14ac:dyDescent="0.25">
      <c r="C3885" s="15">
        <v>418373</v>
      </c>
      <c r="D3885" s="4" t="s">
        <v>3889</v>
      </c>
      <c r="E3885" s="4" t="str">
        <f>HYPERLINK("https://app.crepc.sk/?fn=detailBiblioForm&amp;sid=00CAA88B7203ECA17CB859EEAC")</f>
        <v>https://app.crepc.sk/?fn=detailBiblioForm&amp;sid=00CAA88B7203ECA17CB859EEAC</v>
      </c>
    </row>
    <row r="3886" spans="3:5" ht="105" x14ac:dyDescent="0.25">
      <c r="C3886" s="15">
        <v>110589</v>
      </c>
      <c r="D3886" s="4" t="s">
        <v>3890</v>
      </c>
      <c r="E3886" s="4" t="str">
        <f>HYPERLINK("https://app.crepc.sk/?fn=detailBiblioForm&amp;sid=81F62E49FBBAAFB0678FFD4D2B")</f>
        <v>https://app.crepc.sk/?fn=detailBiblioForm&amp;sid=81F62E49FBBAAFB0678FFD4D2B</v>
      </c>
    </row>
    <row r="3887" spans="3:5" ht="75" x14ac:dyDescent="0.25">
      <c r="C3887" s="15">
        <v>314835</v>
      </c>
      <c r="D3887" s="4" t="s">
        <v>3891</v>
      </c>
      <c r="E3887" s="4" t="str">
        <f>HYPERLINK("https://app.crepc.sk/?fn=detailBiblioForm&amp;sid=D959D13FBEB7699757D6B04463")</f>
        <v>https://app.crepc.sk/?fn=detailBiblioForm&amp;sid=D959D13FBEB7699757D6B04463</v>
      </c>
    </row>
    <row r="3888" spans="3:5" ht="105" x14ac:dyDescent="0.25">
      <c r="C3888" s="15">
        <v>309385</v>
      </c>
      <c r="D3888" s="4" t="s">
        <v>3892</v>
      </c>
      <c r="E3888" s="4" t="str">
        <f>HYPERLINK("https://app.crepc.sk/?fn=detailBiblioForm&amp;sid=3106B7E81CE24AA360DCECAD02")</f>
        <v>https://app.crepc.sk/?fn=detailBiblioForm&amp;sid=3106B7E81CE24AA360DCECAD02</v>
      </c>
    </row>
    <row r="3889" spans="1:5" ht="105" x14ac:dyDescent="0.25">
      <c r="C3889" s="15">
        <v>457670</v>
      </c>
      <c r="D3889" s="4" t="s">
        <v>3893</v>
      </c>
      <c r="E3889" s="4" t="str">
        <f>HYPERLINK("https://app.crepc.sk/?fn=detailBiblioForm&amp;sid=E988956DCF5BB2E00F21C7336A")</f>
        <v>https://app.crepc.sk/?fn=detailBiblioForm&amp;sid=E988956DCF5BB2E00F21C7336A</v>
      </c>
    </row>
    <row r="3890" spans="1:5" ht="105" x14ac:dyDescent="0.25">
      <c r="C3890" s="15">
        <v>187986</v>
      </c>
      <c r="D3890" s="4" t="s">
        <v>3894</v>
      </c>
      <c r="E3890" s="4" t="str">
        <f>HYPERLINK("https://app.crepc.sk/?fn=detailBiblioForm&amp;sid=29837531D12ABA4A46A3D7A980")</f>
        <v>https://app.crepc.sk/?fn=detailBiblioForm&amp;sid=29837531D12ABA4A46A3D7A980</v>
      </c>
    </row>
    <row r="3891" spans="1:5" ht="60" x14ac:dyDescent="0.25">
      <c r="C3891" s="15">
        <v>227504</v>
      </c>
      <c r="D3891" s="4" t="s">
        <v>3895</v>
      </c>
      <c r="E3891" s="4" t="str">
        <f>HYPERLINK("https://app.crepc.sk/?fn=detailBiblioForm&amp;sid=926AF887F7FF3761042F8D7293")</f>
        <v>https://app.crepc.sk/?fn=detailBiblioForm&amp;sid=926AF887F7FF3761042F8D7293</v>
      </c>
    </row>
    <row r="3892" spans="1:5" ht="90" x14ac:dyDescent="0.25">
      <c r="C3892" s="15">
        <v>83496</v>
      </c>
      <c r="D3892" s="4" t="s">
        <v>3896</v>
      </c>
      <c r="E3892" s="4" t="str">
        <f>HYPERLINK("https://app.crepc.sk/?fn=detailBiblioForm&amp;sid=F351624C1DE9DD9F55D58572")</f>
        <v>https://app.crepc.sk/?fn=detailBiblioForm&amp;sid=F351624C1DE9DD9F55D58572</v>
      </c>
    </row>
    <row r="3893" spans="1:5" ht="75" x14ac:dyDescent="0.25">
      <c r="C3893" s="15">
        <v>438624</v>
      </c>
      <c r="D3893" s="4" t="s">
        <v>3897</v>
      </c>
      <c r="E3893" s="4" t="str">
        <f>HYPERLINK("https://app.crepc.sk/?fn=detailBiblioForm&amp;sid=C10B51E9E3EF1B1313ACE0F7D6")</f>
        <v>https://app.crepc.sk/?fn=detailBiblioForm&amp;sid=C10B51E9E3EF1B1313ACE0F7D6</v>
      </c>
    </row>
    <row r="3894" spans="1:5" ht="90" x14ac:dyDescent="0.25">
      <c r="C3894" s="15">
        <v>118172</v>
      </c>
      <c r="D3894" s="4" t="s">
        <v>3898</v>
      </c>
      <c r="E3894" s="4" t="str">
        <f>HYPERLINK("https://app.crepc.sk/?fn=detailBiblioForm&amp;sid=F5F9E12263A2DE4873091B6A59")</f>
        <v>https://app.crepc.sk/?fn=detailBiblioForm&amp;sid=F5F9E12263A2DE4873091B6A59</v>
      </c>
    </row>
    <row r="3895" spans="1:5" ht="90" x14ac:dyDescent="0.25">
      <c r="C3895" s="15">
        <v>246191</v>
      </c>
      <c r="D3895" s="4" t="s">
        <v>3899</v>
      </c>
      <c r="E3895" s="4" t="str">
        <f>HYPERLINK("https://app.crepc.sk/?fn=detailBiblioForm&amp;sid=ADE6DDC5AF9A0C0694613768C6")</f>
        <v>https://app.crepc.sk/?fn=detailBiblioForm&amp;sid=ADE6DDC5AF9A0C0694613768C6</v>
      </c>
    </row>
    <row r="3896" spans="1:5" ht="75" x14ac:dyDescent="0.25">
      <c r="C3896" s="15">
        <v>421306</v>
      </c>
      <c r="D3896" s="4" t="s">
        <v>3900</v>
      </c>
      <c r="E3896" s="4" t="str">
        <f>HYPERLINK("https://app.crepc.sk/?fn=detailBiblioForm&amp;sid=1E1EDB1FBA977D622908B76B5C")</f>
        <v>https://app.crepc.sk/?fn=detailBiblioForm&amp;sid=1E1EDB1FBA977D622908B76B5C</v>
      </c>
    </row>
    <row r="3897" spans="1:5" ht="105" x14ac:dyDescent="0.25">
      <c r="C3897" s="15">
        <v>132469</v>
      </c>
      <c r="D3897" s="4" t="s">
        <v>3901</v>
      </c>
      <c r="E3897" s="4" t="str">
        <f>HYPERLINK("https://app.crepc.sk/?fn=detailBiblioForm&amp;sid=5CA03D74BE9D7FDDA3C6721DC3")</f>
        <v>https://app.crepc.sk/?fn=detailBiblioForm&amp;sid=5CA03D74BE9D7FDDA3C6721DC3</v>
      </c>
    </row>
    <row r="3898" spans="1:5" ht="30" x14ac:dyDescent="0.25">
      <c r="A3898" s="4" t="s">
        <v>3902</v>
      </c>
      <c r="B3898" s="15">
        <v>303</v>
      </c>
    </row>
    <row r="3899" spans="1:5" ht="60" x14ac:dyDescent="0.25">
      <c r="C3899" s="15">
        <v>133016</v>
      </c>
      <c r="D3899" s="4" t="s">
        <v>3903</v>
      </c>
      <c r="E3899" s="4" t="str">
        <f>HYPERLINK("https://app.crepc.sk/?fn=detailBiblioForm&amp;sid=CACC2D03630BC76540E597FA4B")</f>
        <v>https://app.crepc.sk/?fn=detailBiblioForm&amp;sid=CACC2D03630BC76540E597FA4B</v>
      </c>
    </row>
    <row r="3900" spans="1:5" ht="75" x14ac:dyDescent="0.25">
      <c r="C3900" s="15">
        <v>254145</v>
      </c>
      <c r="D3900" s="4" t="s">
        <v>3904</v>
      </c>
      <c r="E3900" s="4" t="str">
        <f>HYPERLINK("https://app.crepc.sk/?fn=detailBiblioForm&amp;sid=5626D67ABF6ED4EECD655A2CB8")</f>
        <v>https://app.crepc.sk/?fn=detailBiblioForm&amp;sid=5626D67ABF6ED4EECD655A2CB8</v>
      </c>
    </row>
    <row r="3901" spans="1:5" ht="75" x14ac:dyDescent="0.25">
      <c r="C3901" s="15">
        <v>125200</v>
      </c>
      <c r="D3901" s="4" t="s">
        <v>3905</v>
      </c>
      <c r="E3901" s="4" t="str">
        <f>HYPERLINK("https://app.crepc.sk/?fn=detailBiblioForm&amp;sid=3D0298BADCCD9F5ECE330399EB")</f>
        <v>https://app.crepc.sk/?fn=detailBiblioForm&amp;sid=3D0298BADCCD9F5ECE330399EB</v>
      </c>
    </row>
    <row r="3902" spans="1:5" ht="105" x14ac:dyDescent="0.25">
      <c r="C3902" s="15">
        <v>205895</v>
      </c>
      <c r="D3902" s="4" t="s">
        <v>3906</v>
      </c>
      <c r="E3902" s="4" t="str">
        <f>HYPERLINK("https://app.crepc.sk/?fn=detailBiblioForm&amp;sid=10C5C367CF7707BA1A1046D40B")</f>
        <v>https://app.crepc.sk/?fn=detailBiblioForm&amp;sid=10C5C367CF7707BA1A1046D40B</v>
      </c>
    </row>
    <row r="3903" spans="1:5" ht="90" x14ac:dyDescent="0.25">
      <c r="C3903" s="15">
        <v>51271</v>
      </c>
      <c r="D3903" s="4" t="s">
        <v>3907</v>
      </c>
      <c r="E3903" s="4" t="str">
        <f>HYPERLINK("https://app.crepc.sk/?fn=detailBiblioForm&amp;sid=AB90D1484F35CB78669503B3")</f>
        <v>https://app.crepc.sk/?fn=detailBiblioForm&amp;sid=AB90D1484F35CB78669503B3</v>
      </c>
    </row>
    <row r="3904" spans="1:5" ht="60" x14ac:dyDescent="0.25">
      <c r="C3904" s="15">
        <v>132900</v>
      </c>
      <c r="D3904" s="4" t="s">
        <v>3908</v>
      </c>
      <c r="E3904" s="4" t="str">
        <f>HYPERLINK("https://app.crepc.sk/?fn=detailBiblioForm&amp;sid=CE85B6FED79D163DBFDC2F183A")</f>
        <v>https://app.crepc.sk/?fn=detailBiblioForm&amp;sid=CE85B6FED79D163DBFDC2F183A</v>
      </c>
    </row>
    <row r="3905" spans="3:5" ht="75" x14ac:dyDescent="0.25">
      <c r="C3905" s="15">
        <v>444408</v>
      </c>
      <c r="D3905" s="4" t="s">
        <v>3909</v>
      </c>
      <c r="E3905" s="4" t="str">
        <f>HYPERLINK("https://app.crepc.sk/?fn=detailBiblioForm&amp;sid=0583E286FC1D2C0F916C8AA816")</f>
        <v>https://app.crepc.sk/?fn=detailBiblioForm&amp;sid=0583E286FC1D2C0F916C8AA816</v>
      </c>
    </row>
    <row r="3906" spans="3:5" ht="75" x14ac:dyDescent="0.25">
      <c r="C3906" s="15">
        <v>129826</v>
      </c>
      <c r="D3906" s="4" t="s">
        <v>3910</v>
      </c>
      <c r="E3906" s="4" t="str">
        <f>HYPERLINK("https://app.crepc.sk/?fn=detailBiblioForm&amp;sid=52338B61C0045FC8DB5F54DEB2")</f>
        <v>https://app.crepc.sk/?fn=detailBiblioForm&amp;sid=52338B61C0045FC8DB5F54DEB2</v>
      </c>
    </row>
    <row r="3907" spans="3:5" ht="105" x14ac:dyDescent="0.25">
      <c r="C3907" s="15">
        <v>53402</v>
      </c>
      <c r="D3907" s="4" t="s">
        <v>3911</v>
      </c>
      <c r="E3907" s="4" t="str">
        <f>HYPERLINK("https://app.crepc.sk/?fn=detailBiblioForm&amp;sid=E2F548087131438DD7739241")</f>
        <v>https://app.crepc.sk/?fn=detailBiblioForm&amp;sid=E2F548087131438DD7739241</v>
      </c>
    </row>
    <row r="3908" spans="3:5" ht="75" x14ac:dyDescent="0.25">
      <c r="C3908" s="15">
        <v>119305</v>
      </c>
      <c r="D3908" s="4" t="s">
        <v>3912</v>
      </c>
      <c r="E3908" s="4" t="str">
        <f>HYPERLINK("https://app.crepc.sk/?fn=detailBiblioForm&amp;sid=C87B0DC5E3BB964116EAB0979F")</f>
        <v>https://app.crepc.sk/?fn=detailBiblioForm&amp;sid=C87B0DC5E3BB964116EAB0979F</v>
      </c>
    </row>
    <row r="3909" spans="3:5" ht="75" x14ac:dyDescent="0.25">
      <c r="C3909" s="15">
        <v>130539</v>
      </c>
      <c r="D3909" s="4" t="s">
        <v>3913</v>
      </c>
      <c r="E3909" s="4" t="str">
        <f>HYPERLINK("https://app.crepc.sk/?fn=detailBiblioForm&amp;sid=6539865EA4643753B23C42CDC7")</f>
        <v>https://app.crepc.sk/?fn=detailBiblioForm&amp;sid=6539865EA4643753B23C42CDC7</v>
      </c>
    </row>
    <row r="3910" spans="3:5" ht="75" x14ac:dyDescent="0.25">
      <c r="C3910" s="15">
        <v>54068</v>
      </c>
      <c r="D3910" s="4" t="s">
        <v>3914</v>
      </c>
      <c r="E3910" s="4" t="str">
        <f>HYPERLINK("https://app.crepc.sk/?fn=detailBiblioForm&amp;sid=A69D8EC2E9C3AE79AE0D6D2C")</f>
        <v>https://app.crepc.sk/?fn=detailBiblioForm&amp;sid=A69D8EC2E9C3AE79AE0D6D2C</v>
      </c>
    </row>
    <row r="3911" spans="3:5" ht="75" x14ac:dyDescent="0.25">
      <c r="C3911" s="15">
        <v>150607</v>
      </c>
      <c r="D3911" s="4" t="s">
        <v>3915</v>
      </c>
      <c r="E3911" s="4" t="str">
        <f>HYPERLINK("https://app.crepc.sk/?fn=detailBiblioForm&amp;sid=E06C6FAF64E52D017C4FEB472B")</f>
        <v>https://app.crepc.sk/?fn=detailBiblioForm&amp;sid=E06C6FAF64E52D017C4FEB472B</v>
      </c>
    </row>
    <row r="3912" spans="3:5" ht="75" x14ac:dyDescent="0.25">
      <c r="C3912" s="15">
        <v>227819</v>
      </c>
      <c r="D3912" s="4" t="s">
        <v>3916</v>
      </c>
      <c r="E3912" s="4" t="str">
        <f>HYPERLINK("https://app.crepc.sk/?fn=detailBiblioForm&amp;sid=D57B83470BBFCEC2268F3FD33C")</f>
        <v>https://app.crepc.sk/?fn=detailBiblioForm&amp;sid=D57B83470BBFCEC2268F3FD33C</v>
      </c>
    </row>
    <row r="3913" spans="3:5" ht="90" x14ac:dyDescent="0.25">
      <c r="C3913" s="15">
        <v>75084</v>
      </c>
      <c r="D3913" s="4" t="s">
        <v>3917</v>
      </c>
      <c r="E3913" s="4" t="str">
        <f>HYPERLINK("https://app.crepc.sk/?fn=detailBiblioForm&amp;sid=CF26533969AC8982505A3B9B")</f>
        <v>https://app.crepc.sk/?fn=detailBiblioForm&amp;sid=CF26533969AC8982505A3B9B</v>
      </c>
    </row>
    <row r="3914" spans="3:5" ht="90" x14ac:dyDescent="0.25">
      <c r="C3914" s="15">
        <v>232396</v>
      </c>
      <c r="D3914" s="4" t="s">
        <v>3918</v>
      </c>
      <c r="E3914" s="4" t="str">
        <f>HYPERLINK("https://app.crepc.sk/?fn=detailBiblioForm&amp;sid=B7329D4C467B4AA55D20654F8D")</f>
        <v>https://app.crepc.sk/?fn=detailBiblioForm&amp;sid=B7329D4C467B4AA55D20654F8D</v>
      </c>
    </row>
    <row r="3915" spans="3:5" ht="75" x14ac:dyDescent="0.25">
      <c r="C3915" s="15">
        <v>69015</v>
      </c>
      <c r="D3915" s="4" t="s">
        <v>3919</v>
      </c>
      <c r="E3915" s="4" t="str">
        <f>HYPERLINK("https://app.crepc.sk/?fn=detailBiblioForm&amp;sid=9FE489502560902DDF07811B")</f>
        <v>https://app.crepc.sk/?fn=detailBiblioForm&amp;sid=9FE489502560902DDF07811B</v>
      </c>
    </row>
    <row r="3916" spans="3:5" ht="75" x14ac:dyDescent="0.25">
      <c r="C3916" s="15">
        <v>133887</v>
      </c>
      <c r="D3916" s="4" t="s">
        <v>3920</v>
      </c>
      <c r="E3916" s="4" t="str">
        <f>HYPERLINK("https://app.crepc.sk/?fn=detailBiblioForm&amp;sid=C6384B4AD84FDE7B34C75272DC")</f>
        <v>https://app.crepc.sk/?fn=detailBiblioForm&amp;sid=C6384B4AD84FDE7B34C75272DC</v>
      </c>
    </row>
    <row r="3917" spans="3:5" ht="90" x14ac:dyDescent="0.25">
      <c r="C3917" s="15">
        <v>249351</v>
      </c>
      <c r="D3917" s="4" t="s">
        <v>3921</v>
      </c>
      <c r="E3917" s="4" t="str">
        <f>HYPERLINK("https://app.crepc.sk/?fn=detailBiblioForm&amp;sid=923F6DECD2F5E180417EED03E3")</f>
        <v>https://app.crepc.sk/?fn=detailBiblioForm&amp;sid=923F6DECD2F5E180417EED03E3</v>
      </c>
    </row>
    <row r="3918" spans="3:5" ht="60" x14ac:dyDescent="0.25">
      <c r="C3918" s="15">
        <v>100453</v>
      </c>
      <c r="D3918" s="4" t="s">
        <v>3922</v>
      </c>
      <c r="E3918" s="4" t="str">
        <f>HYPERLINK("https://app.crepc.sk/?fn=detailBiblioForm&amp;sid=3695A652D9372D379F4011B948")</f>
        <v>https://app.crepc.sk/?fn=detailBiblioForm&amp;sid=3695A652D9372D379F4011B948</v>
      </c>
    </row>
    <row r="3919" spans="3:5" ht="60" x14ac:dyDescent="0.25">
      <c r="C3919" s="15">
        <v>452564</v>
      </c>
      <c r="D3919" s="4" t="s">
        <v>3923</v>
      </c>
      <c r="E3919" s="4" t="str">
        <f>HYPERLINK("https://app.crepc.sk/?fn=detailBiblioForm&amp;sid=C2230EC1641BA99A1DC903A93C")</f>
        <v>https://app.crepc.sk/?fn=detailBiblioForm&amp;sid=C2230EC1641BA99A1DC903A93C</v>
      </c>
    </row>
    <row r="3920" spans="3:5" ht="60" x14ac:dyDescent="0.25">
      <c r="C3920" s="15">
        <v>104346</v>
      </c>
      <c r="D3920" s="4" t="s">
        <v>3924</v>
      </c>
      <c r="E3920" s="4" t="str">
        <f>HYPERLINK("https://app.crepc.sk/?fn=detailBiblioForm&amp;sid=DD6DC1ACF31F8CDC5C9538F016")</f>
        <v>https://app.crepc.sk/?fn=detailBiblioForm&amp;sid=DD6DC1ACF31F8CDC5C9538F016</v>
      </c>
    </row>
    <row r="3921" spans="3:5" ht="90" x14ac:dyDescent="0.25">
      <c r="C3921" s="15">
        <v>87946</v>
      </c>
      <c r="D3921" s="4" t="s">
        <v>3925</v>
      </c>
      <c r="E3921" s="4" t="str">
        <f>HYPERLINK("https://app.crepc.sk/?fn=detailBiblioForm&amp;sid=52E278B0DE3372C488167FEE")</f>
        <v>https://app.crepc.sk/?fn=detailBiblioForm&amp;sid=52E278B0DE3372C488167FEE</v>
      </c>
    </row>
    <row r="3922" spans="3:5" ht="75" x14ac:dyDescent="0.25">
      <c r="C3922" s="15">
        <v>429906</v>
      </c>
      <c r="D3922" s="4" t="s">
        <v>3926</v>
      </c>
      <c r="E3922" s="4" t="str">
        <f>HYPERLINK("https://app.crepc.sk/?fn=detailBiblioForm&amp;sid=F2CB1DB272C88107ECDA8E3AD3")</f>
        <v>https://app.crepc.sk/?fn=detailBiblioForm&amp;sid=F2CB1DB272C88107ECDA8E3AD3</v>
      </c>
    </row>
    <row r="3923" spans="3:5" ht="90" x14ac:dyDescent="0.25">
      <c r="C3923" s="15">
        <v>249352</v>
      </c>
      <c r="D3923" s="4" t="s">
        <v>3927</v>
      </c>
      <c r="E3923" s="4" t="str">
        <f>HYPERLINK("https://app.crepc.sk/?fn=detailBiblioForm&amp;sid=923F6DECD2F5E180417DED03E3")</f>
        <v>https://app.crepc.sk/?fn=detailBiblioForm&amp;sid=923F6DECD2F5E180417DED03E3</v>
      </c>
    </row>
    <row r="3924" spans="3:5" ht="75" x14ac:dyDescent="0.25">
      <c r="C3924" s="15">
        <v>51603</v>
      </c>
      <c r="D3924" s="4" t="s">
        <v>3928</v>
      </c>
      <c r="E3924" s="4" t="str">
        <f>HYPERLINK("https://app.crepc.sk/?fn=detailBiblioForm&amp;sid=48DA8DFE6606DDBBC66DCD9F")</f>
        <v>https://app.crepc.sk/?fn=detailBiblioForm&amp;sid=48DA8DFE6606DDBBC66DCD9F</v>
      </c>
    </row>
    <row r="3925" spans="3:5" ht="75" x14ac:dyDescent="0.25">
      <c r="C3925" s="15">
        <v>255318</v>
      </c>
      <c r="D3925" s="4" t="s">
        <v>3929</v>
      </c>
      <c r="E3925" s="4" t="str">
        <f>HYPERLINK("https://app.crepc.sk/?fn=detailBiblioForm&amp;sid=240D82286EC66312FF4F4ACBFC")</f>
        <v>https://app.crepc.sk/?fn=detailBiblioForm&amp;sid=240D82286EC66312FF4F4ACBFC</v>
      </c>
    </row>
    <row r="3926" spans="3:5" ht="75" x14ac:dyDescent="0.25">
      <c r="C3926" s="15">
        <v>194676</v>
      </c>
      <c r="D3926" s="4" t="s">
        <v>3930</v>
      </c>
      <c r="E3926" s="4" t="str">
        <f>HYPERLINK("https://app.crepc.sk/?fn=detailBiblioForm&amp;sid=66A2E0F335B24CBD41B6435B98")</f>
        <v>https://app.crepc.sk/?fn=detailBiblioForm&amp;sid=66A2E0F335B24CBD41B6435B98</v>
      </c>
    </row>
    <row r="3927" spans="3:5" ht="105" x14ac:dyDescent="0.25">
      <c r="C3927" s="15">
        <v>247107</v>
      </c>
      <c r="D3927" s="4" t="s">
        <v>3931</v>
      </c>
      <c r="E3927" s="4" t="str">
        <f>HYPERLINK("https://app.crepc.sk/?fn=detailBiblioForm&amp;sid=20124479BBF29892263B79E970")</f>
        <v>https://app.crepc.sk/?fn=detailBiblioForm&amp;sid=20124479BBF29892263B79E970</v>
      </c>
    </row>
    <row r="3928" spans="3:5" ht="105" x14ac:dyDescent="0.25">
      <c r="C3928" s="15">
        <v>211210</v>
      </c>
      <c r="D3928" s="4" t="s">
        <v>3932</v>
      </c>
      <c r="E3928" s="4" t="str">
        <f>HYPERLINK("https://app.crepc.sk/?fn=detailBiblioForm&amp;sid=12D43A2BF2357AAE36051CCE89")</f>
        <v>https://app.crepc.sk/?fn=detailBiblioForm&amp;sid=12D43A2BF2357AAE36051CCE89</v>
      </c>
    </row>
    <row r="3929" spans="3:5" ht="90" x14ac:dyDescent="0.25">
      <c r="C3929" s="15">
        <v>316852</v>
      </c>
      <c r="D3929" s="4" t="s">
        <v>3933</v>
      </c>
      <c r="E3929" s="4" t="str">
        <f>HYPERLINK("https://app.crepc.sk/?fn=detailBiblioForm&amp;sid=9B7EDFED3FF96897429754B66B")</f>
        <v>https://app.crepc.sk/?fn=detailBiblioForm&amp;sid=9B7EDFED3FF96897429754B66B</v>
      </c>
    </row>
    <row r="3930" spans="3:5" ht="60" x14ac:dyDescent="0.25">
      <c r="C3930" s="15">
        <v>443249</v>
      </c>
      <c r="D3930" s="4" t="s">
        <v>3934</v>
      </c>
      <c r="E3930" s="4" t="str">
        <f>HYPERLINK("https://app.crepc.sk/?fn=detailBiblioForm&amp;sid=05DFDDD0691F0F03207C107290")</f>
        <v>https://app.crepc.sk/?fn=detailBiblioForm&amp;sid=05DFDDD0691F0F03207C107290</v>
      </c>
    </row>
    <row r="3931" spans="3:5" ht="105" x14ac:dyDescent="0.25">
      <c r="C3931" s="15">
        <v>424306</v>
      </c>
      <c r="D3931" s="4" t="s">
        <v>3935</v>
      </c>
      <c r="E3931" s="4" t="str">
        <f>HYPERLINK("https://app.crepc.sk/?fn=detailBiblioForm&amp;sid=948B46149DB3F1AF924743C564")</f>
        <v>https://app.crepc.sk/?fn=detailBiblioForm&amp;sid=948B46149DB3F1AF924743C564</v>
      </c>
    </row>
    <row r="3932" spans="3:5" ht="75" x14ac:dyDescent="0.25">
      <c r="C3932" s="15">
        <v>58348</v>
      </c>
      <c r="D3932" s="4" t="s">
        <v>3936</v>
      </c>
      <c r="E3932" s="4" t="str">
        <f>HYPERLINK("https://app.crepc.sk/?fn=detailBiblioForm&amp;sid=C763E3A098F31B650AF64C28")</f>
        <v>https://app.crepc.sk/?fn=detailBiblioForm&amp;sid=C763E3A098F31B650AF64C28</v>
      </c>
    </row>
    <row r="3933" spans="3:5" ht="75" x14ac:dyDescent="0.25">
      <c r="C3933" s="15">
        <v>207554</v>
      </c>
      <c r="D3933" s="4" t="s">
        <v>3937</v>
      </c>
      <c r="E3933" s="4" t="str">
        <f>HYPERLINK("https://app.crepc.sk/?fn=detailBiblioForm&amp;sid=D6FCED7F84B4E5B710DA874076")</f>
        <v>https://app.crepc.sk/?fn=detailBiblioForm&amp;sid=D6FCED7F84B4E5B710DA874076</v>
      </c>
    </row>
    <row r="3934" spans="3:5" ht="105" x14ac:dyDescent="0.25">
      <c r="C3934" s="15">
        <v>210989</v>
      </c>
      <c r="D3934" s="4" t="s">
        <v>3938</v>
      </c>
      <c r="E3934" s="4" t="str">
        <f>HYPERLINK("https://app.crepc.sk/?fn=detailBiblioForm&amp;sid=8E8B9FDD7AFEE75C13460D5756")</f>
        <v>https://app.crepc.sk/?fn=detailBiblioForm&amp;sid=8E8B9FDD7AFEE75C13460D5756</v>
      </c>
    </row>
    <row r="3935" spans="3:5" ht="75" x14ac:dyDescent="0.25">
      <c r="C3935" s="15">
        <v>127984</v>
      </c>
      <c r="D3935" s="4" t="s">
        <v>3939</v>
      </c>
      <c r="E3935" s="4" t="str">
        <f>HYPERLINK("https://app.crepc.sk/?fn=detailBiblioForm&amp;sid=24C6E28F89ED84B9256159EEF1")</f>
        <v>https://app.crepc.sk/?fn=detailBiblioForm&amp;sid=24C6E28F89ED84B9256159EEF1</v>
      </c>
    </row>
    <row r="3936" spans="3:5" ht="60" x14ac:dyDescent="0.25">
      <c r="C3936" s="15">
        <v>174678</v>
      </c>
      <c r="D3936" s="4" t="s">
        <v>3940</v>
      </c>
      <c r="E3936" s="4" t="str">
        <f>HYPERLINK("https://app.crepc.sk/?fn=detailBiblioForm&amp;sid=62A48EA6D8C294D55BC8DA423D")</f>
        <v>https://app.crepc.sk/?fn=detailBiblioForm&amp;sid=62A48EA6D8C294D55BC8DA423D</v>
      </c>
    </row>
    <row r="3937" spans="3:5" ht="75" x14ac:dyDescent="0.25">
      <c r="C3937" s="15">
        <v>132910</v>
      </c>
      <c r="D3937" s="4" t="s">
        <v>3941</v>
      </c>
      <c r="E3937" s="4" t="str">
        <f>HYPERLINK("https://app.crepc.sk/?fn=detailBiblioForm&amp;sid=CE85B6FED79D163DBEDC2F183A")</f>
        <v>https://app.crepc.sk/?fn=detailBiblioForm&amp;sid=CE85B6FED79D163DBEDC2F183A</v>
      </c>
    </row>
    <row r="3938" spans="3:5" ht="75" x14ac:dyDescent="0.25">
      <c r="C3938" s="15">
        <v>189222</v>
      </c>
      <c r="D3938" s="4" t="s">
        <v>3942</v>
      </c>
      <c r="E3938" s="4" t="str">
        <f>HYPERLINK("https://app.crepc.sk/?fn=detailBiblioForm&amp;sid=D17E3E605121C09210C5086E62")</f>
        <v>https://app.crepc.sk/?fn=detailBiblioForm&amp;sid=D17E3E605121C09210C5086E62</v>
      </c>
    </row>
    <row r="3939" spans="3:5" ht="105" x14ac:dyDescent="0.25">
      <c r="C3939" s="15">
        <v>116628</v>
      </c>
      <c r="D3939" s="4" t="s">
        <v>3943</v>
      </c>
      <c r="E3939" s="4" t="str">
        <f>HYPERLINK("https://app.crepc.sk/?fn=detailBiblioForm&amp;sid=C7058B2E53B5EC4D921F0DAE3B")</f>
        <v>https://app.crepc.sk/?fn=detailBiblioForm&amp;sid=C7058B2E53B5EC4D921F0DAE3B</v>
      </c>
    </row>
    <row r="3940" spans="3:5" ht="105" x14ac:dyDescent="0.25">
      <c r="C3940" s="15">
        <v>102096</v>
      </c>
      <c r="D3940" s="4" t="s">
        <v>3944</v>
      </c>
      <c r="E3940" s="4" t="str">
        <f>HYPERLINK("https://app.crepc.sk/?fn=detailBiblioForm&amp;sid=BDA81A6FAD770F76A1FC34EE65")</f>
        <v>https://app.crepc.sk/?fn=detailBiblioForm&amp;sid=BDA81A6FAD770F76A1FC34EE65</v>
      </c>
    </row>
    <row r="3941" spans="3:5" ht="60" x14ac:dyDescent="0.25">
      <c r="C3941" s="15">
        <v>187297</v>
      </c>
      <c r="D3941" s="4" t="s">
        <v>3945</v>
      </c>
      <c r="E3941" s="4" t="str">
        <f>HYPERLINK("https://app.crepc.sk/?fn=detailBiblioForm&amp;sid=8D80AD18777FCC7F65B3DC5BD8")</f>
        <v>https://app.crepc.sk/?fn=detailBiblioForm&amp;sid=8D80AD18777FCC7F65B3DC5BD8</v>
      </c>
    </row>
    <row r="3942" spans="3:5" ht="90" x14ac:dyDescent="0.25">
      <c r="C3942" s="15">
        <v>149023</v>
      </c>
      <c r="D3942" s="4" t="s">
        <v>3946</v>
      </c>
      <c r="E3942" s="4" t="str">
        <f>HYPERLINK("https://app.crepc.sk/?fn=detailBiblioForm&amp;sid=394581B55BAE63AC63AED47953")</f>
        <v>https://app.crepc.sk/?fn=detailBiblioForm&amp;sid=394581B55BAE63AC63AED47953</v>
      </c>
    </row>
    <row r="3943" spans="3:5" ht="90" x14ac:dyDescent="0.25">
      <c r="C3943" s="15">
        <v>59170</v>
      </c>
      <c r="D3943" s="4" t="s">
        <v>3947</v>
      </c>
      <c r="E3943" s="4" t="str">
        <f>HYPERLINK("https://app.crepc.sk/?fn=detailBiblioForm&amp;sid=71F8B8E055999770D009B23B")</f>
        <v>https://app.crepc.sk/?fn=detailBiblioForm&amp;sid=71F8B8E055999770D009B23B</v>
      </c>
    </row>
    <row r="3944" spans="3:5" ht="60" x14ac:dyDescent="0.25">
      <c r="C3944" s="15">
        <v>73079</v>
      </c>
      <c r="D3944" s="4" t="s">
        <v>3948</v>
      </c>
      <c r="E3944" s="4" t="str">
        <f>HYPERLINK("https://app.crepc.sk/?fn=detailBiblioForm&amp;sid=35ACE40A5B62F3D6955BB961")</f>
        <v>https://app.crepc.sk/?fn=detailBiblioForm&amp;sid=35ACE40A5B62F3D6955BB961</v>
      </c>
    </row>
    <row r="3945" spans="3:5" ht="90" x14ac:dyDescent="0.25">
      <c r="C3945" s="15">
        <v>312721</v>
      </c>
      <c r="D3945" s="4" t="s">
        <v>3949</v>
      </c>
      <c r="E3945" s="4" t="str">
        <f>HYPERLINK("https://app.crepc.sk/?fn=detailBiblioForm&amp;sid=80E4BE4F2EDF3A918AD9FDE53D")</f>
        <v>https://app.crepc.sk/?fn=detailBiblioForm&amp;sid=80E4BE4F2EDF3A918AD9FDE53D</v>
      </c>
    </row>
    <row r="3946" spans="3:5" ht="75" x14ac:dyDescent="0.25">
      <c r="C3946" s="15">
        <v>115725</v>
      </c>
      <c r="D3946" s="4" t="s">
        <v>3950</v>
      </c>
      <c r="E3946" s="4" t="str">
        <f>HYPERLINK("https://app.crepc.sk/?fn=detailBiblioForm&amp;sid=D6D3FA1F9AF5FFB8A365CC7F52")</f>
        <v>https://app.crepc.sk/?fn=detailBiblioForm&amp;sid=D6D3FA1F9AF5FFB8A365CC7F52</v>
      </c>
    </row>
    <row r="3947" spans="3:5" ht="75" x14ac:dyDescent="0.25">
      <c r="C3947" s="15">
        <v>167069</v>
      </c>
      <c r="D3947" s="4" t="s">
        <v>3951</v>
      </c>
      <c r="E3947" s="4" t="str">
        <f>HYPERLINK("https://app.crepc.sk/?fn=detailBiblioForm&amp;sid=D51B19479514986188F61F45CE")</f>
        <v>https://app.crepc.sk/?fn=detailBiblioForm&amp;sid=D51B19479514986188F61F45CE</v>
      </c>
    </row>
    <row r="3948" spans="3:5" ht="90" x14ac:dyDescent="0.25">
      <c r="C3948" s="15">
        <v>194673</v>
      </c>
      <c r="D3948" s="4" t="s">
        <v>3952</v>
      </c>
      <c r="E3948" s="4" t="str">
        <f>HYPERLINK("https://app.crepc.sk/?fn=detailBiblioForm&amp;sid=66A2E0F335B24CBD41B3435B98")</f>
        <v>https://app.crepc.sk/?fn=detailBiblioForm&amp;sid=66A2E0F335B24CBD41B3435B98</v>
      </c>
    </row>
    <row r="3949" spans="3:5" ht="105" x14ac:dyDescent="0.25">
      <c r="C3949" s="15">
        <v>195749</v>
      </c>
      <c r="D3949" s="4" t="s">
        <v>3953</v>
      </c>
      <c r="E3949" s="4" t="str">
        <f>HYPERLINK("https://app.crepc.sk/?fn=detailBiblioForm&amp;sid=295815C2A9E117C139B3A4E4D3")</f>
        <v>https://app.crepc.sk/?fn=detailBiblioForm&amp;sid=295815C2A9E117C139B3A4E4D3</v>
      </c>
    </row>
    <row r="3950" spans="3:5" ht="90" x14ac:dyDescent="0.25">
      <c r="C3950" s="15">
        <v>226723</v>
      </c>
      <c r="D3950" s="4" t="s">
        <v>3954</v>
      </c>
      <c r="E3950" s="4" t="str">
        <f>HYPERLINK("https://app.crepc.sk/?fn=detailBiblioForm&amp;sid=DE97830A346A9BF5CEBB5C27D0")</f>
        <v>https://app.crepc.sk/?fn=detailBiblioForm&amp;sid=DE97830A346A9BF5CEBB5C27D0</v>
      </c>
    </row>
    <row r="3951" spans="3:5" ht="75" x14ac:dyDescent="0.25">
      <c r="C3951" s="15">
        <v>129757</v>
      </c>
      <c r="D3951" s="4" t="s">
        <v>3955</v>
      </c>
      <c r="E3951" s="4" t="str">
        <f>HYPERLINK("https://app.crepc.sk/?fn=detailBiblioForm&amp;sid=C9465A2E9A0301984BD70E3F37")</f>
        <v>https://app.crepc.sk/?fn=detailBiblioForm&amp;sid=C9465A2E9A0301984BD70E3F37</v>
      </c>
    </row>
    <row r="3952" spans="3:5" ht="75" x14ac:dyDescent="0.25">
      <c r="C3952" s="15">
        <v>173882</v>
      </c>
      <c r="D3952" s="4" t="s">
        <v>3956</v>
      </c>
      <c r="E3952" s="4" t="str">
        <f>HYPERLINK("https://app.crepc.sk/?fn=detailBiblioForm&amp;sid=A8C5898CD77493B3EFFB565F0F")</f>
        <v>https://app.crepc.sk/?fn=detailBiblioForm&amp;sid=A8C5898CD77493B3EFFB565F0F</v>
      </c>
    </row>
    <row r="3953" spans="3:5" ht="90" x14ac:dyDescent="0.25">
      <c r="C3953" s="15">
        <v>317021</v>
      </c>
      <c r="D3953" s="4" t="s">
        <v>3957</v>
      </c>
      <c r="E3953" s="4" t="str">
        <f>HYPERLINK("https://app.crepc.sk/?fn=detailBiblioForm&amp;sid=9E980E46FB2294B724D22803F1")</f>
        <v>https://app.crepc.sk/?fn=detailBiblioForm&amp;sid=9E980E46FB2294B724D22803F1</v>
      </c>
    </row>
    <row r="3954" spans="3:5" ht="105" x14ac:dyDescent="0.25">
      <c r="C3954" s="15">
        <v>315633</v>
      </c>
      <c r="D3954" s="4" t="s">
        <v>3958</v>
      </c>
      <c r="E3954" s="4" t="str">
        <f>HYPERLINK("https://app.crepc.sk/?fn=detailBiblioForm&amp;sid=529BAC41B3BEAAB5892A1F4001")</f>
        <v>https://app.crepc.sk/?fn=detailBiblioForm&amp;sid=529BAC41B3BEAAB5892A1F4001</v>
      </c>
    </row>
    <row r="3955" spans="3:5" ht="75" x14ac:dyDescent="0.25">
      <c r="C3955" s="15">
        <v>173891</v>
      </c>
      <c r="D3955" s="4" t="s">
        <v>3959</v>
      </c>
      <c r="E3955" s="4" t="str">
        <f>HYPERLINK("https://app.crepc.sk/?fn=detailBiblioForm&amp;sid=A8C5898CD77493B3EEF8565F0F")</f>
        <v>https://app.crepc.sk/?fn=detailBiblioForm&amp;sid=A8C5898CD77493B3EEF8565F0F</v>
      </c>
    </row>
    <row r="3956" spans="3:5" ht="75" x14ac:dyDescent="0.25">
      <c r="C3956" s="15">
        <v>130741</v>
      </c>
      <c r="D3956" s="4" t="s">
        <v>3960</v>
      </c>
      <c r="E3956" s="4" t="str">
        <f>HYPERLINK("https://app.crepc.sk/?fn=detailBiblioForm&amp;sid=3113E0813724FF863B7717A861")</f>
        <v>https://app.crepc.sk/?fn=detailBiblioForm&amp;sid=3113E0813724FF863B7717A861</v>
      </c>
    </row>
    <row r="3957" spans="3:5" ht="90" x14ac:dyDescent="0.25">
      <c r="C3957" s="15">
        <v>432843</v>
      </c>
      <c r="D3957" s="4" t="s">
        <v>3961</v>
      </c>
      <c r="E3957" s="4" t="str">
        <f>HYPERLINK("https://app.crepc.sk/?fn=detailBiblioForm&amp;sid=60947673AC094B86B4695A089E")</f>
        <v>https://app.crepc.sk/?fn=detailBiblioForm&amp;sid=60947673AC094B86B4695A089E</v>
      </c>
    </row>
    <row r="3958" spans="3:5" ht="120" x14ac:dyDescent="0.25">
      <c r="C3958" s="15">
        <v>418067</v>
      </c>
      <c r="D3958" s="4" t="s">
        <v>3962</v>
      </c>
      <c r="E3958" s="4" t="str">
        <f>HYPERLINK("https://app.crepc.sk/?fn=detailBiblioForm&amp;sid=206DD7262FA36D78E882BAAE0D")</f>
        <v>https://app.crepc.sk/?fn=detailBiblioForm&amp;sid=206DD7262FA36D78E882BAAE0D</v>
      </c>
    </row>
    <row r="3959" spans="3:5" ht="90" x14ac:dyDescent="0.25">
      <c r="C3959" s="15">
        <v>117261</v>
      </c>
      <c r="D3959" s="4" t="s">
        <v>3963</v>
      </c>
      <c r="E3959" s="4" t="str">
        <f>HYPERLINK("https://app.crepc.sk/?fn=detailBiblioForm&amp;sid=4152576857568BE6FF13899DC6")</f>
        <v>https://app.crepc.sk/?fn=detailBiblioForm&amp;sid=4152576857568BE6FF13899DC6</v>
      </c>
    </row>
    <row r="3960" spans="3:5" ht="75" x14ac:dyDescent="0.25">
      <c r="C3960" s="15">
        <v>154878</v>
      </c>
      <c r="D3960" s="4" t="s">
        <v>3964</v>
      </c>
      <c r="E3960" s="4" t="str">
        <f>HYPERLINK("https://app.crepc.sk/?fn=detailBiblioForm&amp;sid=2025E333BF3D880577E278778C")</f>
        <v>https://app.crepc.sk/?fn=detailBiblioForm&amp;sid=2025E333BF3D880577E278778C</v>
      </c>
    </row>
    <row r="3961" spans="3:5" ht="90" x14ac:dyDescent="0.25">
      <c r="C3961" s="15">
        <v>420203</v>
      </c>
      <c r="D3961" s="4" t="s">
        <v>3965</v>
      </c>
      <c r="E3961" s="4" t="str">
        <f>HYPERLINK("https://app.crepc.sk/?fn=detailBiblioForm&amp;sid=50D168C6DED1E9D8DBC96C1ABF")</f>
        <v>https://app.crepc.sk/?fn=detailBiblioForm&amp;sid=50D168C6DED1E9D8DBC96C1ABF</v>
      </c>
    </row>
    <row r="3962" spans="3:5" ht="90" x14ac:dyDescent="0.25">
      <c r="C3962" s="15">
        <v>313788</v>
      </c>
      <c r="D3962" s="4" t="s">
        <v>3966</v>
      </c>
      <c r="E3962" s="4" t="str">
        <f>HYPERLINK("https://app.crepc.sk/?fn=detailBiblioForm&amp;sid=54D25A27962CDFF2CDCAF50D21")</f>
        <v>https://app.crepc.sk/?fn=detailBiblioForm&amp;sid=54D25A27962CDFF2CDCAF50D21</v>
      </c>
    </row>
    <row r="3963" spans="3:5" ht="60" x14ac:dyDescent="0.25">
      <c r="C3963" s="15">
        <v>131277</v>
      </c>
      <c r="D3963" s="4" t="s">
        <v>3967</v>
      </c>
      <c r="E3963" s="4" t="str">
        <f>HYPERLINK("https://app.crepc.sk/?fn=detailBiblioForm&amp;sid=286591CBAF51C2F031FC894B8A")</f>
        <v>https://app.crepc.sk/?fn=detailBiblioForm&amp;sid=286591CBAF51C2F031FC894B8A</v>
      </c>
    </row>
    <row r="3964" spans="3:5" ht="90" x14ac:dyDescent="0.25">
      <c r="C3964" s="15">
        <v>149031</v>
      </c>
      <c r="D3964" s="4" t="s">
        <v>3968</v>
      </c>
      <c r="E3964" s="4" t="str">
        <f>HYPERLINK("https://app.crepc.sk/?fn=detailBiblioForm&amp;sid=394581B55BAE63AC62ACD47953")</f>
        <v>https://app.crepc.sk/?fn=detailBiblioForm&amp;sid=394581B55BAE63AC62ACD47953</v>
      </c>
    </row>
    <row r="3965" spans="3:5" ht="90" x14ac:dyDescent="0.25">
      <c r="C3965" s="15">
        <v>126036</v>
      </c>
      <c r="D3965" s="4" t="s">
        <v>3969</v>
      </c>
      <c r="E3965" s="4" t="str">
        <f>HYPERLINK("https://app.crepc.sk/?fn=detailBiblioForm&amp;sid=A620642252F04BC5EF1EC59018")</f>
        <v>https://app.crepc.sk/?fn=detailBiblioForm&amp;sid=A620642252F04BC5EF1EC59018</v>
      </c>
    </row>
    <row r="3966" spans="3:5" ht="75" x14ac:dyDescent="0.25">
      <c r="C3966" s="15">
        <v>210812</v>
      </c>
      <c r="D3966" s="4" t="s">
        <v>3970</v>
      </c>
      <c r="E3966" s="4" t="str">
        <f>HYPERLINK("https://app.crepc.sk/?fn=detailBiblioForm&amp;sid=4D550CDB8728D918FEB6BCD38F")</f>
        <v>https://app.crepc.sk/?fn=detailBiblioForm&amp;sid=4D550CDB8728D918FEB6BCD38F</v>
      </c>
    </row>
    <row r="3967" spans="3:5" ht="60" x14ac:dyDescent="0.25">
      <c r="C3967" s="15">
        <v>82284</v>
      </c>
      <c r="D3967" s="4" t="s">
        <v>3971</v>
      </c>
      <c r="E3967" s="4" t="str">
        <f>HYPERLINK("https://app.crepc.sk/?fn=detailBiblioForm&amp;sid=3E6D1C27765D4A7C126FD699")</f>
        <v>https://app.crepc.sk/?fn=detailBiblioForm&amp;sid=3E6D1C27765D4A7C126FD699</v>
      </c>
    </row>
    <row r="3968" spans="3:5" ht="60" x14ac:dyDescent="0.25">
      <c r="C3968" s="15">
        <v>74510</v>
      </c>
      <c r="D3968" s="4" t="s">
        <v>3972</v>
      </c>
      <c r="E3968" s="4" t="str">
        <f>HYPERLINK("https://app.crepc.sk/?fn=detailBiblioForm&amp;sid=53225396D09D1E689EEA741D")</f>
        <v>https://app.crepc.sk/?fn=detailBiblioForm&amp;sid=53225396D09D1E689EEA741D</v>
      </c>
    </row>
    <row r="3969" spans="3:5" ht="75" x14ac:dyDescent="0.25">
      <c r="C3969" s="15">
        <v>234028</v>
      </c>
      <c r="D3969" s="4" t="s">
        <v>3973</v>
      </c>
      <c r="E3969" s="4" t="str">
        <f>HYPERLINK("https://app.crepc.sk/?fn=detailBiblioForm&amp;sid=5D1E02039DFFCDD1E328212CFA")</f>
        <v>https://app.crepc.sk/?fn=detailBiblioForm&amp;sid=5D1E02039DFFCDD1E328212CFA</v>
      </c>
    </row>
    <row r="3970" spans="3:5" ht="75" x14ac:dyDescent="0.25">
      <c r="C3970" s="15">
        <v>62742</v>
      </c>
      <c r="D3970" s="4" t="s">
        <v>3974</v>
      </c>
      <c r="E3970" s="4" t="str">
        <f>HYPERLINK("https://app.crepc.sk/?fn=detailBiblioForm&amp;sid=00015E8330467217BE291E0C")</f>
        <v>https://app.crepc.sk/?fn=detailBiblioForm&amp;sid=00015E8330467217BE291E0C</v>
      </c>
    </row>
    <row r="3971" spans="3:5" ht="75" x14ac:dyDescent="0.25">
      <c r="C3971" s="15">
        <v>238984</v>
      </c>
      <c r="D3971" s="4" t="s">
        <v>3975</v>
      </c>
      <c r="E3971" s="4" t="str">
        <f>HYPERLINK("https://app.crepc.sk/?fn=detailBiblioForm&amp;sid=E88DC80D55C4E5682B46B52F35")</f>
        <v>https://app.crepc.sk/?fn=detailBiblioForm&amp;sid=E88DC80D55C4E5682B46B52F35</v>
      </c>
    </row>
    <row r="3972" spans="3:5" ht="75" x14ac:dyDescent="0.25">
      <c r="C3972" s="15">
        <v>210849</v>
      </c>
      <c r="D3972" s="4" t="s">
        <v>3976</v>
      </c>
      <c r="E3972" s="4" t="str">
        <f>HYPERLINK("https://app.crepc.sk/?fn=detailBiblioForm&amp;sid=4D550CDB8728D918FBBDBCD38F")</f>
        <v>https://app.crepc.sk/?fn=detailBiblioForm&amp;sid=4D550CDB8728D918FBBDBCD38F</v>
      </c>
    </row>
    <row r="3973" spans="3:5" ht="90" x14ac:dyDescent="0.25">
      <c r="C3973" s="15">
        <v>111469</v>
      </c>
      <c r="D3973" s="4" t="s">
        <v>3977</v>
      </c>
      <c r="E3973" s="4" t="str">
        <f>HYPERLINK("https://app.crepc.sk/?fn=detailBiblioForm&amp;sid=75A6713661D1AFA3C7867DEA73")</f>
        <v>https://app.crepc.sk/?fn=detailBiblioForm&amp;sid=75A6713661D1AFA3C7867DEA73</v>
      </c>
    </row>
    <row r="3974" spans="3:5" ht="90" x14ac:dyDescent="0.25">
      <c r="C3974" s="15">
        <v>231398</v>
      </c>
      <c r="D3974" s="4" t="s">
        <v>3978</v>
      </c>
      <c r="E3974" s="4" t="str">
        <f>HYPERLINK("https://app.crepc.sk/?fn=detailBiblioForm&amp;sid=AB2F48E8C57E5DFBA5717BA9FC")</f>
        <v>https://app.crepc.sk/?fn=detailBiblioForm&amp;sid=AB2F48E8C57E5DFBA5717BA9FC</v>
      </c>
    </row>
    <row r="3975" spans="3:5" ht="75" x14ac:dyDescent="0.25">
      <c r="C3975" s="15">
        <v>94858</v>
      </c>
      <c r="D3975" s="4" t="s">
        <v>3979</v>
      </c>
      <c r="E3975" s="4" t="str">
        <f>HYPERLINK("https://app.crepc.sk/?fn=detailBiblioForm&amp;sid=70C3E0AC3933732D24646B4D")</f>
        <v>https://app.crepc.sk/?fn=detailBiblioForm&amp;sid=70C3E0AC3933732D24646B4D</v>
      </c>
    </row>
    <row r="3976" spans="3:5" ht="90" x14ac:dyDescent="0.25">
      <c r="C3976" s="15">
        <v>311180</v>
      </c>
      <c r="D3976" s="4" t="s">
        <v>3980</v>
      </c>
      <c r="E3976" s="4" t="str">
        <f>HYPERLINK("https://app.crepc.sk/?fn=detailBiblioForm&amp;sid=EDC641B86B12B5F85146D27856")</f>
        <v>https://app.crepc.sk/?fn=detailBiblioForm&amp;sid=EDC641B86B12B5F85146D27856</v>
      </c>
    </row>
    <row r="3977" spans="3:5" ht="90" x14ac:dyDescent="0.25">
      <c r="C3977" s="15">
        <v>188477</v>
      </c>
      <c r="D3977" s="4" t="s">
        <v>3981</v>
      </c>
      <c r="E3977" s="4" t="str">
        <f>HYPERLINK("https://app.crepc.sk/?fn=detailBiblioForm&amp;sid=C5E7B622C4D9F5D418026EDC3D")</f>
        <v>https://app.crepc.sk/?fn=detailBiblioForm&amp;sid=C5E7B622C4D9F5D418026EDC3D</v>
      </c>
    </row>
    <row r="3978" spans="3:5" ht="75" x14ac:dyDescent="0.25">
      <c r="C3978" s="15">
        <v>132898</v>
      </c>
      <c r="D3978" s="4" t="s">
        <v>3982</v>
      </c>
      <c r="E3978" s="4" t="str">
        <f>HYPERLINK("https://app.crepc.sk/?fn=detailBiblioForm&amp;sid=657CC2697EDCD86418BD072705")</f>
        <v>https://app.crepc.sk/?fn=detailBiblioForm&amp;sid=657CC2697EDCD86418BD072705</v>
      </c>
    </row>
    <row r="3979" spans="3:5" ht="90" x14ac:dyDescent="0.25">
      <c r="C3979" s="15">
        <v>218965</v>
      </c>
      <c r="D3979" s="4" t="s">
        <v>3983</v>
      </c>
      <c r="E3979" s="4" t="str">
        <f>HYPERLINK("https://app.crepc.sk/?fn=detailBiblioForm&amp;sid=26870146E1F58F019E296F5660")</f>
        <v>https://app.crepc.sk/?fn=detailBiblioForm&amp;sid=26870146E1F58F019E296F5660</v>
      </c>
    </row>
    <row r="3980" spans="3:5" ht="105" x14ac:dyDescent="0.25">
      <c r="C3980" s="15">
        <v>211224</v>
      </c>
      <c r="D3980" s="4" t="s">
        <v>3984</v>
      </c>
      <c r="E3980" s="4" t="str">
        <f>HYPERLINK("https://app.crepc.sk/?fn=detailBiblioForm&amp;sid=12D43A2BF2357AAE35011CCE89")</f>
        <v>https://app.crepc.sk/?fn=detailBiblioForm&amp;sid=12D43A2BF2357AAE35011CCE89</v>
      </c>
    </row>
    <row r="3981" spans="3:5" ht="75" x14ac:dyDescent="0.25">
      <c r="C3981" s="15">
        <v>118188</v>
      </c>
      <c r="D3981" s="4" t="s">
        <v>3985</v>
      </c>
      <c r="E3981" s="4" t="str">
        <f>HYPERLINK("https://app.crepc.sk/?fn=detailBiblioForm&amp;sid=F5F9E12263A2DE487C031B6A59")</f>
        <v>https://app.crepc.sk/?fn=detailBiblioForm&amp;sid=F5F9E12263A2DE487C031B6A59</v>
      </c>
    </row>
    <row r="3982" spans="3:5" ht="90" x14ac:dyDescent="0.25">
      <c r="C3982" s="15">
        <v>312717</v>
      </c>
      <c r="D3982" s="4" t="s">
        <v>3986</v>
      </c>
      <c r="E3982" s="4" t="str">
        <f>HYPERLINK("https://app.crepc.sk/?fn=detailBiblioForm&amp;sid=80E4BE4F2EDF3A9189DFFDE53D")</f>
        <v>https://app.crepc.sk/?fn=detailBiblioForm&amp;sid=80E4BE4F2EDF3A9189DFFDE53D</v>
      </c>
    </row>
    <row r="3983" spans="3:5" ht="75" x14ac:dyDescent="0.25">
      <c r="C3983" s="15">
        <v>202364</v>
      </c>
      <c r="D3983" s="4" t="s">
        <v>3987</v>
      </c>
      <c r="E3983" s="4" t="str">
        <f>HYPERLINK("https://app.crepc.sk/?fn=detailBiblioForm&amp;sid=09F11333B93EC607F5BE54F6A7")</f>
        <v>https://app.crepc.sk/?fn=detailBiblioForm&amp;sid=09F11333B93EC607F5BE54F6A7</v>
      </c>
    </row>
    <row r="3984" spans="3:5" ht="60" x14ac:dyDescent="0.25">
      <c r="C3984" s="15">
        <v>226009</v>
      </c>
      <c r="D3984" s="4" t="s">
        <v>3988</v>
      </c>
      <c r="E3984" s="4" t="str">
        <f>HYPERLINK("https://app.crepc.sk/?fn=detailBiblioForm&amp;sid=7241E0F0A68FF7150953AE2810")</f>
        <v>https://app.crepc.sk/?fn=detailBiblioForm&amp;sid=7241E0F0A68FF7150953AE2810</v>
      </c>
    </row>
    <row r="3985" spans="3:5" ht="105" x14ac:dyDescent="0.25">
      <c r="C3985" s="15">
        <v>194667</v>
      </c>
      <c r="D3985" s="4" t="s">
        <v>3989</v>
      </c>
      <c r="E3985" s="4" t="str">
        <f>HYPERLINK("https://app.crepc.sk/?fn=detailBiblioForm&amp;sid=66A2E0F335B24CBD40B7435B98")</f>
        <v>https://app.crepc.sk/?fn=detailBiblioForm&amp;sid=66A2E0F335B24CBD40B7435B98</v>
      </c>
    </row>
    <row r="3986" spans="3:5" ht="60" x14ac:dyDescent="0.25">
      <c r="C3986" s="15">
        <v>178365</v>
      </c>
      <c r="D3986" s="4" t="s">
        <v>3990</v>
      </c>
      <c r="E3986" s="4" t="str">
        <f>HYPERLINK("https://app.crepc.sk/?fn=detailBiblioForm&amp;sid=A5BC586C45F519526EE145B98C")</f>
        <v>https://app.crepc.sk/?fn=detailBiblioForm&amp;sid=A5BC586C45F519526EE145B98C</v>
      </c>
    </row>
    <row r="3987" spans="3:5" ht="75" x14ac:dyDescent="0.25">
      <c r="C3987" s="15">
        <v>415356</v>
      </c>
      <c r="D3987" s="4" t="s">
        <v>3991</v>
      </c>
      <c r="E3987" s="4" t="str">
        <f>HYPERLINK("https://app.crepc.sk/?fn=detailBiblioForm&amp;sid=9AF7CC010D05DDDC6B3480073E")</f>
        <v>https://app.crepc.sk/?fn=detailBiblioForm&amp;sid=9AF7CC010D05DDDC6B3480073E</v>
      </c>
    </row>
    <row r="3988" spans="3:5" ht="75" x14ac:dyDescent="0.25">
      <c r="C3988" s="15">
        <v>189318</v>
      </c>
      <c r="D3988" s="4" t="s">
        <v>3992</v>
      </c>
      <c r="E3988" s="4" t="str">
        <f>HYPERLINK("https://app.crepc.sk/?fn=detailBiblioForm&amp;sid=81706160F8CD7D6D7119CBB3A7")</f>
        <v>https://app.crepc.sk/?fn=detailBiblioForm&amp;sid=81706160F8CD7D6D7119CBB3A7</v>
      </c>
    </row>
    <row r="3989" spans="3:5" ht="105" x14ac:dyDescent="0.25">
      <c r="C3989" s="15">
        <v>432575</v>
      </c>
      <c r="D3989" s="4" t="s">
        <v>3993</v>
      </c>
      <c r="E3989" s="4" t="str">
        <f>HYPERLINK("https://app.crepc.sk/?fn=detailBiblioForm&amp;sid=04748B9B3F6E966D353CB36E5B")</f>
        <v>https://app.crepc.sk/?fn=detailBiblioForm&amp;sid=04748B9B3F6E966D353CB36E5B</v>
      </c>
    </row>
    <row r="3990" spans="3:5" ht="60" x14ac:dyDescent="0.25">
      <c r="C3990" s="15">
        <v>243773</v>
      </c>
      <c r="D3990" s="4" t="s">
        <v>3994</v>
      </c>
      <c r="E3990" s="4" t="str">
        <f>HYPERLINK("https://app.crepc.sk/?fn=detailBiblioForm&amp;sid=2C1FA4E865DFB01835FFB86F85")</f>
        <v>https://app.crepc.sk/?fn=detailBiblioForm&amp;sid=2C1FA4E865DFB01835FFB86F85</v>
      </c>
    </row>
    <row r="3991" spans="3:5" ht="75" x14ac:dyDescent="0.25">
      <c r="C3991" s="15">
        <v>312680</v>
      </c>
      <c r="D3991" s="4" t="s">
        <v>3995</v>
      </c>
      <c r="E3991" s="4" t="str">
        <f>HYPERLINK("https://app.crepc.sk/?fn=detailBiblioForm&amp;sid=E7DC3C2FFE1E43E29C1B6104AF")</f>
        <v>https://app.crepc.sk/?fn=detailBiblioForm&amp;sid=E7DC3C2FFE1E43E29C1B6104AF</v>
      </c>
    </row>
    <row r="3992" spans="3:5" ht="90" x14ac:dyDescent="0.25">
      <c r="C3992" s="15">
        <v>194675</v>
      </c>
      <c r="D3992" s="4" t="s">
        <v>3996</v>
      </c>
      <c r="E3992" s="4" t="str">
        <f>HYPERLINK("https://app.crepc.sk/?fn=detailBiblioForm&amp;sid=66A2E0F335B24CBD41B5435B98")</f>
        <v>https://app.crepc.sk/?fn=detailBiblioForm&amp;sid=66A2E0F335B24CBD41B5435B98</v>
      </c>
    </row>
    <row r="3993" spans="3:5" ht="90" x14ac:dyDescent="0.25">
      <c r="C3993" s="15">
        <v>97272</v>
      </c>
      <c r="D3993" s="4" t="s">
        <v>3997</v>
      </c>
      <c r="E3993" s="4" t="str">
        <f>HYPERLINK("https://app.crepc.sk/?fn=detailBiblioForm&amp;sid=0A0F9CB267E6F87BAA6D86D7")</f>
        <v>https://app.crepc.sk/?fn=detailBiblioForm&amp;sid=0A0F9CB267E6F87BAA6D86D7</v>
      </c>
    </row>
    <row r="3994" spans="3:5" ht="105" x14ac:dyDescent="0.25">
      <c r="C3994" s="15">
        <v>452568</v>
      </c>
      <c r="D3994" s="4" t="s">
        <v>3998</v>
      </c>
      <c r="E3994" s="4" t="str">
        <f>HYPERLINK("https://app.crepc.sk/?fn=detailBiblioForm&amp;sid=C2230EC1641BA99A1DC503A93C")</f>
        <v>https://app.crepc.sk/?fn=detailBiblioForm&amp;sid=C2230EC1641BA99A1DC503A93C</v>
      </c>
    </row>
    <row r="3995" spans="3:5" ht="90" x14ac:dyDescent="0.25">
      <c r="C3995" s="15">
        <v>162746</v>
      </c>
      <c r="D3995" s="4" t="s">
        <v>3999</v>
      </c>
      <c r="E3995" s="4" t="str">
        <f>HYPERLINK("https://app.crepc.sk/?fn=detailBiblioForm&amp;sid=56521031C266C9A2AA386C1603")</f>
        <v>https://app.crepc.sk/?fn=detailBiblioForm&amp;sid=56521031C266C9A2AA386C1603</v>
      </c>
    </row>
    <row r="3996" spans="3:5" ht="75" x14ac:dyDescent="0.25">
      <c r="C3996" s="15">
        <v>195174</v>
      </c>
      <c r="D3996" s="4" t="s">
        <v>4000</v>
      </c>
      <c r="E3996" s="4" t="str">
        <f>HYPERLINK("https://app.crepc.sk/?fn=detailBiblioForm&amp;sid=2AEBF607EAD1F9A0108D225A25")</f>
        <v>https://app.crepc.sk/?fn=detailBiblioForm&amp;sid=2AEBF607EAD1F9A0108D225A25</v>
      </c>
    </row>
    <row r="3997" spans="3:5" ht="60" x14ac:dyDescent="0.25">
      <c r="C3997" s="15">
        <v>68187</v>
      </c>
      <c r="D3997" s="4" t="s">
        <v>4001</v>
      </c>
      <c r="E3997" s="4" t="str">
        <f>HYPERLINK("https://app.crepc.sk/?fn=detailBiblioForm&amp;sid=A40872BCA980A70937E089DD")</f>
        <v>https://app.crepc.sk/?fn=detailBiblioForm&amp;sid=A40872BCA980A70937E089DD</v>
      </c>
    </row>
    <row r="3998" spans="3:5" ht="105" x14ac:dyDescent="0.25">
      <c r="C3998" s="15">
        <v>222623</v>
      </c>
      <c r="D3998" s="4" t="s">
        <v>4002</v>
      </c>
      <c r="E3998" s="4" t="str">
        <f>HYPERLINK("https://app.crepc.sk/?fn=detailBiblioForm&amp;sid=3F01FB0C07942354AB60F95480")</f>
        <v>https://app.crepc.sk/?fn=detailBiblioForm&amp;sid=3F01FB0C07942354AB60F95480</v>
      </c>
    </row>
    <row r="3999" spans="3:5" ht="105" x14ac:dyDescent="0.25">
      <c r="C3999" s="15">
        <v>425540</v>
      </c>
      <c r="D3999" s="4" t="s">
        <v>4003</v>
      </c>
      <c r="E3999" s="4" t="str">
        <f>HYPERLINK("https://app.crepc.sk/?fn=detailBiblioForm&amp;sid=75308F1F8FBF0EB7B130052DA5")</f>
        <v>https://app.crepc.sk/?fn=detailBiblioForm&amp;sid=75308F1F8FBF0EB7B130052DA5</v>
      </c>
    </row>
    <row r="4000" spans="3:5" ht="90" x14ac:dyDescent="0.25">
      <c r="C4000" s="15">
        <v>315146</v>
      </c>
      <c r="D4000" s="4" t="s">
        <v>4004</v>
      </c>
      <c r="E4000" s="4" t="str">
        <f>HYPERLINK("https://app.crepc.sk/?fn=detailBiblioForm&amp;sid=2CBBD6A91A6AE0D758D2F7CD5B")</f>
        <v>https://app.crepc.sk/?fn=detailBiblioForm&amp;sid=2CBBD6A91A6AE0D758D2F7CD5B</v>
      </c>
    </row>
    <row r="4001" spans="3:5" ht="105" x14ac:dyDescent="0.25">
      <c r="C4001" s="15">
        <v>94454</v>
      </c>
      <c r="D4001" s="4" t="s">
        <v>4005</v>
      </c>
      <c r="E4001" s="4" t="str">
        <f>HYPERLINK("https://app.crepc.sk/?fn=detailBiblioForm&amp;sid=0255315A1DE3F23382F59D80")</f>
        <v>https://app.crepc.sk/?fn=detailBiblioForm&amp;sid=0255315A1DE3F23382F59D80</v>
      </c>
    </row>
    <row r="4002" spans="3:5" ht="90" x14ac:dyDescent="0.25">
      <c r="C4002" s="15">
        <v>210991</v>
      </c>
      <c r="D4002" s="4" t="s">
        <v>4006</v>
      </c>
      <c r="E4002" s="4" t="str">
        <f>HYPERLINK("https://app.crepc.sk/?fn=detailBiblioForm&amp;sid=8E8B9FDD7AFEE75C124E0D5756")</f>
        <v>https://app.crepc.sk/?fn=detailBiblioForm&amp;sid=8E8B9FDD7AFEE75C124E0D5756</v>
      </c>
    </row>
    <row r="4003" spans="3:5" ht="75" x14ac:dyDescent="0.25">
      <c r="C4003" s="15">
        <v>62257</v>
      </c>
      <c r="D4003" s="4" t="s">
        <v>4007</v>
      </c>
      <c r="E4003" s="4" t="str">
        <f>HYPERLINK("https://app.crepc.sk/?fn=detailBiblioForm&amp;sid=F04A42872EE3EF6B2DA06055")</f>
        <v>https://app.crepc.sk/?fn=detailBiblioForm&amp;sid=F04A42872EE3EF6B2DA06055</v>
      </c>
    </row>
    <row r="4004" spans="3:5" ht="75" x14ac:dyDescent="0.25">
      <c r="C4004" s="15">
        <v>215101</v>
      </c>
      <c r="D4004" s="4" t="s">
        <v>4008</v>
      </c>
      <c r="E4004" s="4" t="str">
        <f>HYPERLINK("https://app.crepc.sk/?fn=detailBiblioForm&amp;sid=4D5574EB40FC4DF078DBC88A83")</f>
        <v>https://app.crepc.sk/?fn=detailBiblioForm&amp;sid=4D5574EB40FC4DF078DBC88A83</v>
      </c>
    </row>
    <row r="4005" spans="3:5" ht="105" x14ac:dyDescent="0.25">
      <c r="C4005" s="15">
        <v>193168</v>
      </c>
      <c r="D4005" s="4" t="s">
        <v>4009</v>
      </c>
      <c r="E4005" s="4" t="str">
        <f>HYPERLINK("https://app.crepc.sk/?fn=detailBiblioForm&amp;sid=A68C5B864BF790E452958CF7B6")</f>
        <v>https://app.crepc.sk/?fn=detailBiblioForm&amp;sid=A68C5B864BF790E452958CF7B6</v>
      </c>
    </row>
    <row r="4006" spans="3:5" ht="90" x14ac:dyDescent="0.25">
      <c r="C4006" s="15">
        <v>232640</v>
      </c>
      <c r="D4006" s="4" t="s">
        <v>4010</v>
      </c>
      <c r="E4006" s="4" t="str">
        <f>HYPERLINK("https://app.crepc.sk/?fn=detailBiblioForm&amp;sid=05F8BC62C3FCBD8AE182B8E962")</f>
        <v>https://app.crepc.sk/?fn=detailBiblioForm&amp;sid=05F8BC62C3FCBD8AE182B8E962</v>
      </c>
    </row>
    <row r="4007" spans="3:5" ht="75" x14ac:dyDescent="0.25">
      <c r="C4007" s="15">
        <v>62807</v>
      </c>
      <c r="D4007" s="4" t="s">
        <v>4011</v>
      </c>
      <c r="E4007" s="4" t="str">
        <f>HYPERLINK("https://app.crepc.sk/?fn=detailBiblioForm&amp;sid=C063C1445B386799586F57EE")</f>
        <v>https://app.crepc.sk/?fn=detailBiblioForm&amp;sid=C063C1445B386799586F57EE</v>
      </c>
    </row>
    <row r="4008" spans="3:5" ht="60" x14ac:dyDescent="0.25">
      <c r="C4008" s="15">
        <v>132904</v>
      </c>
      <c r="D4008" s="4" t="s">
        <v>4012</v>
      </c>
      <c r="E4008" s="4" t="str">
        <f>HYPERLINK("https://app.crepc.sk/?fn=detailBiblioForm&amp;sid=CE85B6FED79D163DBFD82F183A")</f>
        <v>https://app.crepc.sk/?fn=detailBiblioForm&amp;sid=CE85B6FED79D163DBFD82F183A</v>
      </c>
    </row>
    <row r="4009" spans="3:5" ht="90" x14ac:dyDescent="0.25">
      <c r="C4009" s="15">
        <v>69705</v>
      </c>
      <c r="D4009" s="4" t="s">
        <v>4013</v>
      </c>
      <c r="E4009" s="4" t="str">
        <f>HYPERLINK("https://app.crepc.sk/?fn=detailBiblioForm&amp;sid=A26A982162B23E5436858AF7")</f>
        <v>https://app.crepc.sk/?fn=detailBiblioForm&amp;sid=A26A982162B23E5436858AF7</v>
      </c>
    </row>
    <row r="4010" spans="3:5" ht="90" x14ac:dyDescent="0.25">
      <c r="C4010" s="15">
        <v>58882</v>
      </c>
      <c r="D4010" s="4" t="s">
        <v>4014</v>
      </c>
      <c r="E4010" s="4" t="str">
        <f>HYPERLINK("https://app.crepc.sk/?fn=detailBiblioForm&amp;sid=8CEC6F3FE12CD6315B9873A0")</f>
        <v>https://app.crepc.sk/?fn=detailBiblioForm&amp;sid=8CEC6F3FE12CD6315B9873A0</v>
      </c>
    </row>
    <row r="4011" spans="3:5" ht="60" x14ac:dyDescent="0.25">
      <c r="C4011" s="15">
        <v>141969</v>
      </c>
      <c r="D4011" s="4" t="s">
        <v>4015</v>
      </c>
      <c r="E4011" s="4" t="str">
        <f>HYPERLINK("https://app.crepc.sk/?fn=detailBiblioForm&amp;sid=E75B5E22D326BA6A9EAAFAD9E5")</f>
        <v>https://app.crepc.sk/?fn=detailBiblioForm&amp;sid=E75B5E22D326BA6A9EAAFAD9E5</v>
      </c>
    </row>
    <row r="4012" spans="3:5" ht="90" x14ac:dyDescent="0.25">
      <c r="C4012" s="15">
        <v>136025</v>
      </c>
      <c r="D4012" s="4" t="s">
        <v>4016</v>
      </c>
      <c r="E4012" s="4" t="str">
        <f>HYPERLINK("https://app.crepc.sk/?fn=detailBiblioForm&amp;sid=FF3F620FA7CAEDC5781ECB9CA6")</f>
        <v>https://app.crepc.sk/?fn=detailBiblioForm&amp;sid=FF3F620FA7CAEDC5781ECB9CA6</v>
      </c>
    </row>
    <row r="4013" spans="3:5" ht="90" x14ac:dyDescent="0.25">
      <c r="C4013" s="15">
        <v>181826</v>
      </c>
      <c r="D4013" s="4" t="s">
        <v>4017</v>
      </c>
      <c r="E4013" s="4" t="str">
        <f>HYPERLINK("https://app.crepc.sk/?fn=detailBiblioForm&amp;sid=2AE6DDBEFC900DBBA05CC42A90")</f>
        <v>https://app.crepc.sk/?fn=detailBiblioForm&amp;sid=2AE6DDBEFC900DBBA05CC42A90</v>
      </c>
    </row>
    <row r="4014" spans="3:5" ht="75" x14ac:dyDescent="0.25">
      <c r="C4014" s="15">
        <v>163467</v>
      </c>
      <c r="D4014" s="4" t="s">
        <v>4018</v>
      </c>
      <c r="E4014" s="4" t="str">
        <f>HYPERLINK("https://app.crepc.sk/?fn=detailBiblioForm&amp;sid=AD651A15AE426CC4B91CE2CC5D")</f>
        <v>https://app.crepc.sk/?fn=detailBiblioForm&amp;sid=AD651A15AE426CC4B91CE2CC5D</v>
      </c>
    </row>
    <row r="4015" spans="3:5" ht="90" x14ac:dyDescent="0.25">
      <c r="C4015" s="15">
        <v>249355</v>
      </c>
      <c r="D4015" s="4" t="s">
        <v>4019</v>
      </c>
      <c r="E4015" s="4" t="str">
        <f>HYPERLINK("https://app.crepc.sk/?fn=detailBiblioForm&amp;sid=923F6DECD2F5E180417AED03E3")</f>
        <v>https://app.crepc.sk/?fn=detailBiblioForm&amp;sid=923F6DECD2F5E180417AED03E3</v>
      </c>
    </row>
    <row r="4016" spans="3:5" ht="75" x14ac:dyDescent="0.25">
      <c r="C4016" s="15">
        <v>57320</v>
      </c>
      <c r="D4016" s="4" t="s">
        <v>4020</v>
      </c>
      <c r="E4016" s="4" t="str">
        <f>HYPERLINK("https://app.crepc.sk/?fn=detailBiblioForm&amp;sid=6A87AB8D0EABF2386780152A")</f>
        <v>https://app.crepc.sk/?fn=detailBiblioForm&amp;sid=6A87AB8D0EABF2386780152A</v>
      </c>
    </row>
    <row r="4017" spans="3:5" ht="120" x14ac:dyDescent="0.25">
      <c r="C4017" s="15">
        <v>312712</v>
      </c>
      <c r="D4017" s="4" t="s">
        <v>4021</v>
      </c>
      <c r="E4017" s="4" t="str">
        <f>HYPERLINK("https://app.crepc.sk/?fn=detailBiblioForm&amp;sid=80E4BE4F2EDF3A9189DAFDE53D")</f>
        <v>https://app.crepc.sk/?fn=detailBiblioForm&amp;sid=80E4BE4F2EDF3A9189DAFDE53D</v>
      </c>
    </row>
    <row r="4018" spans="3:5" ht="75" x14ac:dyDescent="0.25">
      <c r="C4018" s="15">
        <v>216136</v>
      </c>
      <c r="D4018" s="4" t="s">
        <v>4022</v>
      </c>
      <c r="E4018" s="4" t="str">
        <f>HYPERLINK("https://app.crepc.sk/?fn=detailBiblioForm&amp;sid=E4662E652762CF0C10672E6DEF")</f>
        <v>https://app.crepc.sk/?fn=detailBiblioForm&amp;sid=E4662E652762CF0C10672E6DEF</v>
      </c>
    </row>
    <row r="4019" spans="3:5" ht="105" x14ac:dyDescent="0.25">
      <c r="C4019" s="15">
        <v>307209</v>
      </c>
      <c r="D4019" s="4" t="s">
        <v>4023</v>
      </c>
      <c r="E4019" s="4" t="str">
        <f>HYPERLINK("https://app.crepc.sk/?fn=detailBiblioForm&amp;sid=D6D1207F88D43CD720540D809F")</f>
        <v>https://app.crepc.sk/?fn=detailBiblioForm&amp;sid=D6D1207F88D43CD720540D809F</v>
      </c>
    </row>
    <row r="4020" spans="3:5" ht="75" x14ac:dyDescent="0.25">
      <c r="C4020" s="15">
        <v>135828</v>
      </c>
      <c r="D4020" s="4" t="s">
        <v>4024</v>
      </c>
      <c r="E4020" s="4" t="str">
        <f>HYPERLINK("https://app.crepc.sk/?fn=detailBiblioForm&amp;sid=C4A81F4561EDA09EA1D923AD34")</f>
        <v>https://app.crepc.sk/?fn=detailBiblioForm&amp;sid=C4A81F4561EDA09EA1D923AD34</v>
      </c>
    </row>
    <row r="4021" spans="3:5" ht="75" x14ac:dyDescent="0.25">
      <c r="C4021" s="15">
        <v>51291</v>
      </c>
      <c r="D4021" s="4" t="s">
        <v>4025</v>
      </c>
      <c r="E4021" s="4" t="str">
        <f>HYPERLINK("https://app.crepc.sk/?fn=detailBiblioForm&amp;sid=957010A5889D7A5A672EA569")</f>
        <v>https://app.crepc.sk/?fn=detailBiblioForm&amp;sid=957010A5889D7A5A672EA569</v>
      </c>
    </row>
    <row r="4022" spans="3:5" ht="90" x14ac:dyDescent="0.25">
      <c r="C4022" s="15">
        <v>210589</v>
      </c>
      <c r="D4022" s="4" t="s">
        <v>4026</v>
      </c>
      <c r="E4022" s="4" t="str">
        <f>HYPERLINK("https://app.crepc.sk/?fn=detailBiblioForm&amp;sid=E8F6E10AF97CE5090EC16048AC")</f>
        <v>https://app.crepc.sk/?fn=detailBiblioForm&amp;sid=E8F6E10AF97CE5090EC16048AC</v>
      </c>
    </row>
    <row r="4023" spans="3:5" ht="75" x14ac:dyDescent="0.25">
      <c r="C4023" s="15">
        <v>316851</v>
      </c>
      <c r="D4023" s="4" t="s">
        <v>4027</v>
      </c>
      <c r="E4023" s="4" t="str">
        <f>HYPERLINK("https://app.crepc.sk/?fn=detailBiblioForm&amp;sid=9B7EDFED3FF96897429454B66B")</f>
        <v>https://app.crepc.sk/?fn=detailBiblioForm&amp;sid=9B7EDFED3FF96897429454B66B</v>
      </c>
    </row>
    <row r="4024" spans="3:5" ht="90" x14ac:dyDescent="0.25">
      <c r="C4024" s="15">
        <v>205898</v>
      </c>
      <c r="D4024" s="4" t="s">
        <v>4028</v>
      </c>
      <c r="E4024" s="4" t="str">
        <f>HYPERLINK("https://app.crepc.sk/?fn=detailBiblioForm&amp;sid=10C5C367CF7707BA1A1D46D40B")</f>
        <v>https://app.crepc.sk/?fn=detailBiblioForm&amp;sid=10C5C367CF7707BA1A1D46D40B</v>
      </c>
    </row>
    <row r="4025" spans="3:5" ht="75" x14ac:dyDescent="0.25">
      <c r="C4025" s="15">
        <v>413885</v>
      </c>
      <c r="D4025" s="4" t="s">
        <v>4029</v>
      </c>
      <c r="E4025" s="4" t="str">
        <f>HYPERLINK("https://app.crepc.sk/?fn=detailBiblioForm&amp;sid=0666E4DD92649C3D19587B444D")</f>
        <v>https://app.crepc.sk/?fn=detailBiblioForm&amp;sid=0666E4DD92649C3D19587B444D</v>
      </c>
    </row>
    <row r="4026" spans="3:5" ht="90" x14ac:dyDescent="0.25">
      <c r="C4026" s="15">
        <v>132571</v>
      </c>
      <c r="D4026" s="4" t="s">
        <v>4030</v>
      </c>
      <c r="E4026" s="4" t="str">
        <f>HYPERLINK("https://app.crepc.sk/?fn=detailBiblioForm&amp;sid=43610966F6A9DADEA5300DD63E")</f>
        <v>https://app.crepc.sk/?fn=detailBiblioForm&amp;sid=43610966F6A9DADEA5300DD63E</v>
      </c>
    </row>
    <row r="4027" spans="3:5" ht="90" x14ac:dyDescent="0.25">
      <c r="C4027" s="15">
        <v>104610</v>
      </c>
      <c r="D4027" s="4" t="s">
        <v>4031</v>
      </c>
      <c r="E4027" s="4" t="str">
        <f>HYPERLINK("https://app.crepc.sk/?fn=detailBiblioForm&amp;sid=5F8F25FA85E06C2F94D607F83D")</f>
        <v>https://app.crepc.sk/?fn=detailBiblioForm&amp;sid=5F8F25FA85E06C2F94D607F83D</v>
      </c>
    </row>
    <row r="4028" spans="3:5" ht="75" x14ac:dyDescent="0.25">
      <c r="C4028" s="15">
        <v>153728</v>
      </c>
      <c r="D4028" s="4" t="s">
        <v>4032</v>
      </c>
      <c r="E4028" s="4" t="str">
        <f>HYPERLINK("https://app.crepc.sk/?fn=detailBiblioForm&amp;sid=85D30AFD358849054995D2583A")</f>
        <v>https://app.crepc.sk/?fn=detailBiblioForm&amp;sid=85D30AFD358849054995D2583A</v>
      </c>
    </row>
    <row r="4029" spans="3:5" ht="105" x14ac:dyDescent="0.25">
      <c r="C4029" s="15">
        <v>69314</v>
      </c>
      <c r="D4029" s="4" t="s">
        <v>4033</v>
      </c>
      <c r="E4029" s="4" t="str">
        <f>HYPERLINK("https://app.crepc.sk/?fn=detailBiblioForm&amp;sid=A25C86D368EFF39882F10C92")</f>
        <v>https://app.crepc.sk/?fn=detailBiblioForm&amp;sid=A25C86D368EFF39882F10C92</v>
      </c>
    </row>
    <row r="4030" spans="3:5" ht="75" x14ac:dyDescent="0.25">
      <c r="C4030" s="15">
        <v>240637</v>
      </c>
      <c r="D4030" s="4" t="s">
        <v>4034</v>
      </c>
      <c r="E4030" s="4" t="str">
        <f>HYPERLINK("https://app.crepc.sk/?fn=detailBiblioForm&amp;sid=376FCAEA43ECD92AE76AE3DC06")</f>
        <v>https://app.crepc.sk/?fn=detailBiblioForm&amp;sid=376FCAEA43ECD92AE76AE3DC06</v>
      </c>
    </row>
    <row r="4031" spans="3:5" ht="60" x14ac:dyDescent="0.25">
      <c r="C4031" s="15">
        <v>132912</v>
      </c>
      <c r="D4031" s="4" t="s">
        <v>4035</v>
      </c>
      <c r="E4031" s="4" t="str">
        <f>HYPERLINK("https://app.crepc.sk/?fn=detailBiblioForm&amp;sid=CE85B6FED79D163DBEDE2F183A")</f>
        <v>https://app.crepc.sk/?fn=detailBiblioForm&amp;sid=CE85B6FED79D163DBEDE2F183A</v>
      </c>
    </row>
    <row r="4032" spans="3:5" ht="90" x14ac:dyDescent="0.25">
      <c r="C4032" s="15">
        <v>151542</v>
      </c>
      <c r="D4032" s="4" t="s">
        <v>4036</v>
      </c>
      <c r="E4032" s="4" t="str">
        <f>HYPERLINK("https://app.crepc.sk/?fn=detailBiblioForm&amp;sid=F972C28947B4ECBEDE0573536A")</f>
        <v>https://app.crepc.sk/?fn=detailBiblioForm&amp;sid=F972C28947B4ECBEDE0573536A</v>
      </c>
    </row>
    <row r="4033" spans="3:5" ht="90" x14ac:dyDescent="0.25">
      <c r="C4033" s="15">
        <v>146405</v>
      </c>
      <c r="D4033" s="4" t="s">
        <v>4037</v>
      </c>
      <c r="E4033" s="4" t="str">
        <f>HYPERLINK("https://app.crepc.sk/?fn=detailBiblioForm&amp;sid=DFA67B8070F30CA1E69BA316C0")</f>
        <v>https://app.crepc.sk/?fn=detailBiblioForm&amp;sid=DFA67B8070F30CA1E69BA316C0</v>
      </c>
    </row>
    <row r="4034" spans="3:5" ht="75" x14ac:dyDescent="0.25">
      <c r="C4034" s="15">
        <v>243006</v>
      </c>
      <c r="D4034" s="4" t="s">
        <v>4038</v>
      </c>
      <c r="E4034" s="4" t="str">
        <f>HYPERLINK("https://app.crepc.sk/?fn=detailBiblioForm&amp;sid=41B37CF66CA869D03C5CAEF79C")</f>
        <v>https://app.crepc.sk/?fn=detailBiblioForm&amp;sid=41B37CF66CA869D03C5CAEF79C</v>
      </c>
    </row>
    <row r="4035" spans="3:5" ht="90" x14ac:dyDescent="0.25">
      <c r="C4035" s="15">
        <v>312708</v>
      </c>
      <c r="D4035" s="4" t="s">
        <v>4039</v>
      </c>
      <c r="E4035" s="4" t="str">
        <f>HYPERLINK("https://app.crepc.sk/?fn=detailBiblioForm&amp;sid=80E4BE4F2EDF3A9188D0FDE53D")</f>
        <v>https://app.crepc.sk/?fn=detailBiblioForm&amp;sid=80E4BE4F2EDF3A9188D0FDE53D</v>
      </c>
    </row>
    <row r="4036" spans="3:5" ht="90" x14ac:dyDescent="0.25">
      <c r="C4036" s="15">
        <v>249357</v>
      </c>
      <c r="D4036" s="4" t="s">
        <v>4040</v>
      </c>
      <c r="E4036" s="4" t="str">
        <f>HYPERLINK("https://app.crepc.sk/?fn=detailBiblioForm&amp;sid=923F6DECD2F5E1804178ED03E3")</f>
        <v>https://app.crepc.sk/?fn=detailBiblioForm&amp;sid=923F6DECD2F5E1804178ED03E3</v>
      </c>
    </row>
    <row r="4037" spans="3:5" ht="75" x14ac:dyDescent="0.25">
      <c r="C4037" s="15">
        <v>62485</v>
      </c>
      <c r="D4037" s="4" t="s">
        <v>4041</v>
      </c>
      <c r="E4037" s="4" t="str">
        <f>HYPERLINK("https://app.crepc.sk/?fn=detailBiblioForm&amp;sid=C16E1E6A35D2B7F8299F871D")</f>
        <v>https://app.crepc.sk/?fn=detailBiblioForm&amp;sid=C16E1E6A35D2B7F8299F871D</v>
      </c>
    </row>
    <row r="4038" spans="3:5" ht="135" x14ac:dyDescent="0.25">
      <c r="C4038" s="15">
        <v>131399</v>
      </c>
      <c r="D4038" s="4" t="s">
        <v>4042</v>
      </c>
      <c r="E4038" s="4" t="str">
        <f>HYPERLINK("https://app.crepc.sk/?fn=detailBiblioForm&amp;sid=259CE5C64386EF578E74B3ECE9")</f>
        <v>https://app.crepc.sk/?fn=detailBiblioForm&amp;sid=259CE5C64386EF578E74B3ECE9</v>
      </c>
    </row>
    <row r="4039" spans="3:5" ht="90" x14ac:dyDescent="0.25">
      <c r="C4039" s="15">
        <v>310038</v>
      </c>
      <c r="D4039" s="4" t="s">
        <v>4043</v>
      </c>
      <c r="E4039" s="4" t="str">
        <f>HYPERLINK("https://app.crepc.sk/?fn=detailBiblioForm&amp;sid=F566C6E0CB47072BFFE622F69C")</f>
        <v>https://app.crepc.sk/?fn=detailBiblioForm&amp;sid=F566C6E0CB47072BFFE622F69C</v>
      </c>
    </row>
    <row r="4040" spans="3:5" ht="90" x14ac:dyDescent="0.25">
      <c r="C4040" s="15">
        <v>435128</v>
      </c>
      <c r="D4040" s="4" t="s">
        <v>4044</v>
      </c>
      <c r="E4040" s="4" t="str">
        <f>HYPERLINK("https://app.crepc.sk/?fn=detailBiblioForm&amp;sid=AD8868FB556EBD592D32BB48EF")</f>
        <v>https://app.crepc.sk/?fn=detailBiblioForm&amp;sid=AD8868FB556EBD592D32BB48EF</v>
      </c>
    </row>
    <row r="4041" spans="3:5" ht="60" x14ac:dyDescent="0.25">
      <c r="C4041" s="15">
        <v>101586</v>
      </c>
      <c r="D4041" s="4" t="s">
        <v>4045</v>
      </c>
      <c r="E4041" s="4" t="str">
        <f>HYPERLINK("https://app.crepc.sk/?fn=detailBiblioForm&amp;sid=0AF7559BAD9731F08CDB0DCB7A")</f>
        <v>https://app.crepc.sk/?fn=detailBiblioForm&amp;sid=0AF7559BAD9731F08CDB0DCB7A</v>
      </c>
    </row>
    <row r="4042" spans="3:5" ht="90" x14ac:dyDescent="0.25">
      <c r="C4042" s="15">
        <v>57301</v>
      </c>
      <c r="D4042" s="4" t="s">
        <v>4046</v>
      </c>
      <c r="E4042" s="4" t="str">
        <f>HYPERLINK("https://app.crepc.sk/?fn=detailBiblioForm&amp;sid=56D2268C101BDF78DC1C16C9")</f>
        <v>https://app.crepc.sk/?fn=detailBiblioForm&amp;sid=56D2268C101BDF78DC1C16C9</v>
      </c>
    </row>
    <row r="4043" spans="3:5" ht="60" x14ac:dyDescent="0.25">
      <c r="C4043" s="15">
        <v>225580</v>
      </c>
      <c r="D4043" s="4" t="s">
        <v>4047</v>
      </c>
      <c r="E4043" s="4" t="str">
        <f>HYPERLINK("https://app.crepc.sk/?fn=detailBiblioForm&amp;sid=1305C8105952319239D08DD014")</f>
        <v>https://app.crepc.sk/?fn=detailBiblioForm&amp;sid=1305C8105952319239D08DD014</v>
      </c>
    </row>
    <row r="4044" spans="3:5" ht="75" x14ac:dyDescent="0.25">
      <c r="C4044" s="15">
        <v>69191</v>
      </c>
      <c r="D4044" s="4" t="s">
        <v>4048</v>
      </c>
      <c r="E4044" s="4" t="str">
        <f>HYPERLINK("https://app.crepc.sk/?fn=detailBiblioForm&amp;sid=9D8D366A33788138E3033156")</f>
        <v>https://app.crepc.sk/?fn=detailBiblioForm&amp;sid=9D8D366A33788138E3033156</v>
      </c>
    </row>
    <row r="4045" spans="3:5" ht="75" x14ac:dyDescent="0.25">
      <c r="C4045" s="15">
        <v>57349</v>
      </c>
      <c r="D4045" s="4" t="s">
        <v>4049</v>
      </c>
      <c r="E4045" s="4" t="str">
        <f>HYPERLINK("https://app.crepc.sk/?fn=detailBiblioForm&amp;sid=E5C27ECF3FB55C6894EF7E3D")</f>
        <v>https://app.crepc.sk/?fn=detailBiblioForm&amp;sid=E5C27ECF3FB55C6894EF7E3D</v>
      </c>
    </row>
    <row r="4046" spans="3:5" ht="75" x14ac:dyDescent="0.25">
      <c r="C4046" s="15">
        <v>316968</v>
      </c>
      <c r="D4046" s="4" t="s">
        <v>4050</v>
      </c>
      <c r="E4046" s="4" t="str">
        <f>HYPERLINK("https://app.crepc.sk/?fn=detailBiblioForm&amp;sid=AF862B856DC48993D6B4EAF2E2")</f>
        <v>https://app.crepc.sk/?fn=detailBiblioForm&amp;sid=AF862B856DC48993D6B4EAF2E2</v>
      </c>
    </row>
    <row r="4047" spans="3:5" ht="75" x14ac:dyDescent="0.25">
      <c r="C4047" s="15">
        <v>198204</v>
      </c>
      <c r="D4047" s="4" t="s">
        <v>4051</v>
      </c>
      <c r="E4047" s="4" t="str">
        <f>HYPERLINK("https://app.crepc.sk/?fn=detailBiblioForm&amp;sid=5D87752206D8162BC8B4B09268")</f>
        <v>https://app.crepc.sk/?fn=detailBiblioForm&amp;sid=5D87752206D8162BC8B4B09268</v>
      </c>
    </row>
    <row r="4048" spans="3:5" ht="105" x14ac:dyDescent="0.25">
      <c r="C4048" s="15">
        <v>307207</v>
      </c>
      <c r="D4048" s="4" t="s">
        <v>4052</v>
      </c>
      <c r="E4048" s="4" t="str">
        <f>HYPERLINK("https://app.crepc.sk/?fn=detailBiblioForm&amp;sid=D6D1207F88D43CD7205A0D809F")</f>
        <v>https://app.crepc.sk/?fn=detailBiblioForm&amp;sid=D6D1207F88D43CD7205A0D809F</v>
      </c>
    </row>
    <row r="4049" spans="3:5" ht="105" x14ac:dyDescent="0.25">
      <c r="C4049" s="15">
        <v>240063</v>
      </c>
      <c r="D4049" s="4" t="s">
        <v>4053</v>
      </c>
      <c r="E4049" s="4" t="str">
        <f>HYPERLINK("https://app.crepc.sk/?fn=detailBiblioForm&amp;sid=2AB6E066798718416E0E1376C9")</f>
        <v>https://app.crepc.sk/?fn=detailBiblioForm&amp;sid=2AB6E066798718416E0E1376C9</v>
      </c>
    </row>
    <row r="4050" spans="3:5" ht="120" x14ac:dyDescent="0.25">
      <c r="C4050" s="15">
        <v>244113</v>
      </c>
      <c r="D4050" s="4" t="s">
        <v>4054</v>
      </c>
      <c r="E4050" s="4" t="str">
        <f>HYPERLINK("https://app.crepc.sk/?fn=detailBiblioForm&amp;sid=FFCC819EC98AFF8CFD4B407BB1")</f>
        <v>https://app.crepc.sk/?fn=detailBiblioForm&amp;sid=FFCC819EC98AFF8CFD4B407BB1</v>
      </c>
    </row>
    <row r="4051" spans="3:5" ht="60" x14ac:dyDescent="0.25">
      <c r="C4051" s="15">
        <v>125231</v>
      </c>
      <c r="D4051" s="4" t="s">
        <v>4055</v>
      </c>
      <c r="E4051" s="4" t="str">
        <f>HYPERLINK("https://app.crepc.sk/?fn=detailBiblioForm&amp;sid=3D0298BADCCD9F5ECD320399EB")</f>
        <v>https://app.crepc.sk/?fn=detailBiblioForm&amp;sid=3D0298BADCCD9F5ECD320399EB</v>
      </c>
    </row>
    <row r="4052" spans="3:5" ht="60" x14ac:dyDescent="0.25">
      <c r="C4052" s="15">
        <v>164165</v>
      </c>
      <c r="D4052" s="4" t="s">
        <v>4056</v>
      </c>
      <c r="E4052" s="4" t="str">
        <f>HYPERLINK("https://app.crepc.sk/?fn=detailBiblioForm&amp;sid=FCF30027D35CCE3E0AF353BB52")</f>
        <v>https://app.crepc.sk/?fn=detailBiblioForm&amp;sid=FCF30027D35CCE3E0AF353BB52</v>
      </c>
    </row>
    <row r="4053" spans="3:5" ht="105" x14ac:dyDescent="0.25">
      <c r="C4053" s="15">
        <v>136006</v>
      </c>
      <c r="D4053" s="4" t="s">
        <v>4057</v>
      </c>
      <c r="E4053" s="4" t="str">
        <f>HYPERLINK("https://app.crepc.sk/?fn=detailBiblioForm&amp;sid=FF3F620FA7CAEDC57A1DCB9CA6")</f>
        <v>https://app.crepc.sk/?fn=detailBiblioForm&amp;sid=FF3F620FA7CAEDC57A1DCB9CA6</v>
      </c>
    </row>
    <row r="4054" spans="3:5" ht="75" x14ac:dyDescent="0.25">
      <c r="C4054" s="15">
        <v>210851</v>
      </c>
      <c r="D4054" s="4" t="s">
        <v>4058</v>
      </c>
      <c r="E4054" s="4" t="str">
        <f>HYPERLINK("https://app.crepc.sk/?fn=detailBiblioForm&amp;sid=4D550CDB8728D918FAB5BCD38F")</f>
        <v>https://app.crepc.sk/?fn=detailBiblioForm&amp;sid=4D550CDB8728D918FAB5BCD38F</v>
      </c>
    </row>
    <row r="4055" spans="3:5" ht="105" x14ac:dyDescent="0.25">
      <c r="C4055" s="15">
        <v>249875</v>
      </c>
      <c r="D4055" s="4" t="s">
        <v>4059</v>
      </c>
      <c r="E4055" s="4" t="str">
        <f>HYPERLINK("https://app.crepc.sk/?fn=detailBiblioForm&amp;sid=1B34BF6143476B67130C8EFAB0")</f>
        <v>https://app.crepc.sk/?fn=detailBiblioForm&amp;sid=1B34BF6143476B67130C8EFAB0</v>
      </c>
    </row>
    <row r="4056" spans="3:5" ht="90" x14ac:dyDescent="0.25">
      <c r="C4056" s="15">
        <v>246568</v>
      </c>
      <c r="D4056" s="4" t="s">
        <v>4060</v>
      </c>
      <c r="E4056" s="4" t="str">
        <f>HYPERLINK("https://app.crepc.sk/?fn=detailBiblioForm&amp;sid=E8988A288BD898F9E5A21789D6")</f>
        <v>https://app.crepc.sk/?fn=detailBiblioForm&amp;sid=E8988A288BD898F9E5A21789D6</v>
      </c>
    </row>
    <row r="4057" spans="3:5" ht="75" x14ac:dyDescent="0.25">
      <c r="C4057" s="15">
        <v>112449</v>
      </c>
      <c r="D4057" s="4" t="s">
        <v>4061</v>
      </c>
      <c r="E4057" s="4" t="str">
        <f>HYPERLINK("https://app.crepc.sk/?fn=detailBiblioForm&amp;sid=6B00E789183A492A9246B14C71")</f>
        <v>https://app.crepc.sk/?fn=detailBiblioForm&amp;sid=6B00E789183A492A9246B14C71</v>
      </c>
    </row>
    <row r="4058" spans="3:5" ht="90" x14ac:dyDescent="0.25">
      <c r="C4058" s="15">
        <v>112505</v>
      </c>
      <c r="D4058" s="4" t="s">
        <v>4062</v>
      </c>
      <c r="E4058" s="4" t="str">
        <f>HYPERLINK("https://app.crepc.sk/?fn=detailBiblioForm&amp;sid=3BDBB36CA09E1926F888CA96F8")</f>
        <v>https://app.crepc.sk/?fn=detailBiblioForm&amp;sid=3BDBB36CA09E1926F888CA96F8</v>
      </c>
    </row>
    <row r="4059" spans="3:5" ht="120" x14ac:dyDescent="0.25">
      <c r="C4059" s="15">
        <v>244124</v>
      </c>
      <c r="D4059" s="4" t="s">
        <v>4063</v>
      </c>
      <c r="E4059" s="4" t="str">
        <f>HYPERLINK("https://app.crepc.sk/?fn=detailBiblioForm&amp;sid=FFCC819EC98AFF8CFE4C407BB1")</f>
        <v>https://app.crepc.sk/?fn=detailBiblioForm&amp;sid=FFCC819EC98AFF8CFE4C407BB1</v>
      </c>
    </row>
    <row r="4060" spans="3:5" ht="75" x14ac:dyDescent="0.25">
      <c r="C4060" s="15">
        <v>229263</v>
      </c>
      <c r="D4060" s="4" t="s">
        <v>4064</v>
      </c>
      <c r="E4060" s="4" t="str">
        <f>HYPERLINK("https://app.crepc.sk/?fn=detailBiblioForm&amp;sid=AB455D64EDF69F772DF4569A20")</f>
        <v>https://app.crepc.sk/?fn=detailBiblioForm&amp;sid=AB455D64EDF69F772DF4569A20</v>
      </c>
    </row>
    <row r="4061" spans="3:5" ht="90" x14ac:dyDescent="0.25">
      <c r="C4061" s="15">
        <v>228340</v>
      </c>
      <c r="D4061" s="4" t="s">
        <v>4065</v>
      </c>
      <c r="E4061" s="4" t="str">
        <f>HYPERLINK("https://app.crepc.sk/?fn=detailBiblioForm&amp;sid=9F0A74875938D9DB917C861961")</f>
        <v>https://app.crepc.sk/?fn=detailBiblioForm&amp;sid=9F0A74875938D9DB917C861961</v>
      </c>
    </row>
    <row r="4062" spans="3:5" ht="90" x14ac:dyDescent="0.25">
      <c r="C4062" s="15">
        <v>439534</v>
      </c>
      <c r="D4062" s="4" t="s">
        <v>4066</v>
      </c>
      <c r="E4062" s="4" t="str">
        <f>HYPERLINK("https://app.crepc.sk/?fn=detailBiblioForm&amp;sid=E20C0AB96295F26A1F3E1745A0")</f>
        <v>https://app.crepc.sk/?fn=detailBiblioForm&amp;sid=E20C0AB96295F26A1F3E1745A0</v>
      </c>
    </row>
    <row r="4063" spans="3:5" ht="105" x14ac:dyDescent="0.25">
      <c r="C4063" s="15">
        <v>196966</v>
      </c>
      <c r="D4063" s="4" t="s">
        <v>4067</v>
      </c>
      <c r="E4063" s="4" t="str">
        <f>HYPERLINK("https://app.crepc.sk/?fn=detailBiblioForm&amp;sid=FD2A61625DB31BB3505FFEE577")</f>
        <v>https://app.crepc.sk/?fn=detailBiblioForm&amp;sid=FD2A61625DB31BB3505FFEE577</v>
      </c>
    </row>
    <row r="4064" spans="3:5" ht="90" x14ac:dyDescent="0.25">
      <c r="C4064" s="15">
        <v>187852</v>
      </c>
      <c r="D4064" s="4" t="s">
        <v>4068</v>
      </c>
      <c r="E4064" s="4" t="str">
        <f>HYPERLINK("https://app.crepc.sk/?fn=detailBiblioForm&amp;sid=CB4D57913478E3D224CBD6734D")</f>
        <v>https://app.crepc.sk/?fn=detailBiblioForm&amp;sid=CB4D57913478E3D224CBD6734D</v>
      </c>
    </row>
    <row r="4065" spans="3:5" ht="90" x14ac:dyDescent="0.25">
      <c r="C4065" s="15">
        <v>431101</v>
      </c>
      <c r="D4065" s="4" t="s">
        <v>4069</v>
      </c>
      <c r="E4065" s="4" t="str">
        <f>HYPERLINK("https://app.crepc.sk/?fn=detailBiblioForm&amp;sid=117E8DF36B6BB49F0E52DF69F7")</f>
        <v>https://app.crepc.sk/?fn=detailBiblioForm&amp;sid=117E8DF36B6BB49F0E52DF69F7</v>
      </c>
    </row>
    <row r="4066" spans="3:5" ht="90" x14ac:dyDescent="0.25">
      <c r="C4066" s="15">
        <v>175892</v>
      </c>
      <c r="D4066" s="4" t="s">
        <v>4070</v>
      </c>
      <c r="E4066" s="4" t="str">
        <f>HYPERLINK("https://app.crepc.sk/?fn=detailBiblioForm&amp;sid=77472A57103095E4430F0BB0E4")</f>
        <v>https://app.crepc.sk/?fn=detailBiblioForm&amp;sid=77472A57103095E4430F0BB0E4</v>
      </c>
    </row>
    <row r="4067" spans="3:5" ht="75" x14ac:dyDescent="0.25">
      <c r="C4067" s="15">
        <v>205225</v>
      </c>
      <c r="D4067" s="4" t="s">
        <v>4071</v>
      </c>
      <c r="E4067" s="4" t="str">
        <f>HYPERLINK("https://app.crepc.sk/?fn=detailBiblioForm&amp;sid=CF17AC7264020AC9935320B4DF")</f>
        <v>https://app.crepc.sk/?fn=detailBiblioForm&amp;sid=CF17AC7264020AC9935320B4DF</v>
      </c>
    </row>
    <row r="4068" spans="3:5" ht="75" x14ac:dyDescent="0.25">
      <c r="C4068" s="15">
        <v>226539</v>
      </c>
      <c r="D4068" s="4" t="s">
        <v>4072</v>
      </c>
      <c r="E4068" s="4" t="str">
        <f>HYPERLINK("https://app.crepc.sk/?fn=detailBiblioForm&amp;sid=1A96CD219DD6F1D8FE5231CBF0")</f>
        <v>https://app.crepc.sk/?fn=detailBiblioForm&amp;sid=1A96CD219DD6F1D8FE5231CBF0</v>
      </c>
    </row>
    <row r="4069" spans="3:5" ht="90" x14ac:dyDescent="0.25">
      <c r="C4069" s="15">
        <v>415352</v>
      </c>
      <c r="D4069" s="4" t="s">
        <v>4073</v>
      </c>
      <c r="E4069" s="4" t="str">
        <f>HYPERLINK("https://app.crepc.sk/?fn=detailBiblioForm&amp;sid=9AF7CC010D05DDDC6B3080073E")</f>
        <v>https://app.crepc.sk/?fn=detailBiblioForm&amp;sid=9AF7CC010D05DDDC6B3080073E</v>
      </c>
    </row>
    <row r="4070" spans="3:5" ht="105" x14ac:dyDescent="0.25">
      <c r="C4070" s="15">
        <v>440205</v>
      </c>
      <c r="D4070" s="4" t="s">
        <v>4074</v>
      </c>
      <c r="E4070" s="4" t="str">
        <f>HYPERLINK("https://app.crepc.sk/?fn=detailBiblioForm&amp;sid=38D4CE23A924B5976B906D01C7")</f>
        <v>https://app.crepc.sk/?fn=detailBiblioForm&amp;sid=38D4CE23A924B5976B906D01C7</v>
      </c>
    </row>
    <row r="4071" spans="3:5" ht="75" x14ac:dyDescent="0.25">
      <c r="C4071" s="15">
        <v>226639</v>
      </c>
      <c r="D4071" s="4" t="s">
        <v>4075</v>
      </c>
      <c r="E4071" s="4" t="str">
        <f>HYPERLINK("https://app.crepc.sk/?fn=detailBiblioForm&amp;sid=EFBE3DC7BD8E060F06EF05FABD")</f>
        <v>https://app.crepc.sk/?fn=detailBiblioForm&amp;sid=EFBE3DC7BD8E060F06EF05FABD</v>
      </c>
    </row>
    <row r="4072" spans="3:5" ht="90" x14ac:dyDescent="0.25">
      <c r="C4072" s="15">
        <v>241264</v>
      </c>
      <c r="D4072" s="4" t="s">
        <v>4076</v>
      </c>
      <c r="E4072" s="4" t="str">
        <f>HYPERLINK("https://app.crepc.sk/?fn=detailBiblioForm&amp;sid=219D60F26EF95CE10E502B998E")</f>
        <v>https://app.crepc.sk/?fn=detailBiblioForm&amp;sid=219D60F26EF95CE10E502B998E</v>
      </c>
    </row>
    <row r="4073" spans="3:5" ht="75" x14ac:dyDescent="0.25">
      <c r="C4073" s="15">
        <v>429901</v>
      </c>
      <c r="D4073" s="4" t="s">
        <v>4077</v>
      </c>
      <c r="E4073" s="4" t="str">
        <f>HYPERLINK("https://app.crepc.sk/?fn=detailBiblioForm&amp;sid=F2CB1DB272C88107ECDD8E3AD3")</f>
        <v>https://app.crepc.sk/?fn=detailBiblioForm&amp;sid=F2CB1DB272C88107ECDD8E3AD3</v>
      </c>
    </row>
    <row r="4074" spans="3:5" ht="60" x14ac:dyDescent="0.25">
      <c r="C4074" s="15">
        <v>179675</v>
      </c>
      <c r="D4074" s="4" t="s">
        <v>4078</v>
      </c>
      <c r="E4074" s="4" t="str">
        <f>HYPERLINK("https://app.crepc.sk/?fn=detailBiblioForm&amp;sid=E800E35B75A4A8F9300D2F3FB2")</f>
        <v>https://app.crepc.sk/?fn=detailBiblioForm&amp;sid=E800E35B75A4A8F9300D2F3FB2</v>
      </c>
    </row>
    <row r="4075" spans="3:5" ht="90" x14ac:dyDescent="0.25">
      <c r="C4075" s="15">
        <v>206086</v>
      </c>
      <c r="D4075" s="4" t="s">
        <v>4079</v>
      </c>
      <c r="E4075" s="4" t="str">
        <f>HYPERLINK("https://app.crepc.sk/?fn=detailBiblioForm&amp;sid=8A3D6BC1A0983428F564184B23")</f>
        <v>https://app.crepc.sk/?fn=detailBiblioForm&amp;sid=8A3D6BC1A0983428F564184B23</v>
      </c>
    </row>
    <row r="4076" spans="3:5" ht="75" x14ac:dyDescent="0.25">
      <c r="C4076" s="15">
        <v>196879</v>
      </c>
      <c r="D4076" s="4" t="s">
        <v>4080</v>
      </c>
      <c r="E4076" s="4" t="str">
        <f>HYPERLINK("https://app.crepc.sk/?fn=detailBiblioForm&amp;sid=71273B11B862991D700463B5FC")</f>
        <v>https://app.crepc.sk/?fn=detailBiblioForm&amp;sid=71273B11B862991D700463B5FC</v>
      </c>
    </row>
    <row r="4077" spans="3:5" ht="75" x14ac:dyDescent="0.25">
      <c r="C4077" s="15">
        <v>87881</v>
      </c>
      <c r="D4077" s="4" t="s">
        <v>4081</v>
      </c>
      <c r="E4077" s="4" t="str">
        <f>HYPERLINK("https://app.crepc.sk/?fn=detailBiblioForm&amp;sid=0E25BC2ED309A87CF15BB9B0")</f>
        <v>https://app.crepc.sk/?fn=detailBiblioForm&amp;sid=0E25BC2ED309A87CF15BB9B0</v>
      </c>
    </row>
    <row r="4078" spans="3:5" ht="75" x14ac:dyDescent="0.25">
      <c r="C4078" s="15">
        <v>228311</v>
      </c>
      <c r="D4078" s="4" t="s">
        <v>4082</v>
      </c>
      <c r="E4078" s="4" t="str">
        <f>HYPERLINK("https://app.crepc.sk/?fn=detailBiblioForm&amp;sid=9F0A74875938D9DB947D861961")</f>
        <v>https://app.crepc.sk/?fn=detailBiblioForm&amp;sid=9F0A74875938D9DB947D861961</v>
      </c>
    </row>
    <row r="4079" spans="3:5" ht="105" x14ac:dyDescent="0.25">
      <c r="C4079" s="15">
        <v>244896</v>
      </c>
      <c r="D4079" s="4" t="s">
        <v>4083</v>
      </c>
      <c r="E4079" s="4" t="str">
        <f>HYPERLINK("https://app.crepc.sk/?fn=detailBiblioForm&amp;sid=192F4BC9428D57D0C1568A6B97")</f>
        <v>https://app.crepc.sk/?fn=detailBiblioForm&amp;sid=192F4BC9428D57D0C1568A6B97</v>
      </c>
    </row>
    <row r="4080" spans="3:5" ht="90" x14ac:dyDescent="0.25">
      <c r="C4080" s="15">
        <v>56712</v>
      </c>
      <c r="D4080" s="4" t="s">
        <v>4084</v>
      </c>
      <c r="E4080" s="4" t="str">
        <f>HYPERLINK("https://app.crepc.sk/?fn=detailBiblioForm&amp;sid=CD2A35D2D6B32CD5458F03D4")</f>
        <v>https://app.crepc.sk/?fn=detailBiblioForm&amp;sid=CD2A35D2D6B32CD5458F03D4</v>
      </c>
    </row>
    <row r="4081" spans="3:5" ht="75" x14ac:dyDescent="0.25">
      <c r="C4081" s="15">
        <v>443597</v>
      </c>
      <c r="D4081" s="4" t="s">
        <v>4085</v>
      </c>
      <c r="E4081" s="4" t="str">
        <f>HYPERLINK("https://app.crepc.sk/?fn=detailBiblioForm&amp;sid=ED81A140E3C1D6351CB588D4F6")</f>
        <v>https://app.crepc.sk/?fn=detailBiblioForm&amp;sid=ED81A140E3C1D6351CB588D4F6</v>
      </c>
    </row>
    <row r="4082" spans="3:5" ht="90" x14ac:dyDescent="0.25">
      <c r="C4082" s="15">
        <v>249353</v>
      </c>
      <c r="D4082" s="4" t="s">
        <v>4086</v>
      </c>
      <c r="E4082" s="4" t="str">
        <f>HYPERLINK("https://app.crepc.sk/?fn=detailBiblioForm&amp;sid=923F6DECD2F5E180417CED03E3")</f>
        <v>https://app.crepc.sk/?fn=detailBiblioForm&amp;sid=923F6DECD2F5E180417CED03E3</v>
      </c>
    </row>
    <row r="4083" spans="3:5" ht="75" x14ac:dyDescent="0.25">
      <c r="C4083" s="15">
        <v>93059</v>
      </c>
      <c r="D4083" s="4" t="s">
        <v>4087</v>
      </c>
      <c r="E4083" s="4" t="str">
        <f>HYPERLINK("https://app.crepc.sk/?fn=detailBiblioForm&amp;sid=4A3EBCDCD9729D4124D4F672")</f>
        <v>https://app.crepc.sk/?fn=detailBiblioForm&amp;sid=4A3EBCDCD9729D4124D4F672</v>
      </c>
    </row>
    <row r="4084" spans="3:5" ht="90" x14ac:dyDescent="0.25">
      <c r="C4084" s="15">
        <v>315836</v>
      </c>
      <c r="D4084" s="4" t="s">
        <v>4088</v>
      </c>
      <c r="E4084" s="4" t="str">
        <f>HYPERLINK("https://app.crepc.sk/?fn=detailBiblioForm&amp;sid=86DD2B30A0B3D5650B1FBBCF36")</f>
        <v>https://app.crepc.sk/?fn=detailBiblioForm&amp;sid=86DD2B30A0B3D5650B1FBBCF36</v>
      </c>
    </row>
    <row r="4085" spans="3:5" ht="75" x14ac:dyDescent="0.25">
      <c r="C4085" s="15">
        <v>51262</v>
      </c>
      <c r="D4085" s="4" t="s">
        <v>4089</v>
      </c>
      <c r="E4085" s="4" t="str">
        <f>HYPERLINK("https://app.crepc.sk/?fn=detailBiblioForm&amp;sid=777CE75A3AADA6C19A63A9A2")</f>
        <v>https://app.crepc.sk/?fn=detailBiblioForm&amp;sid=777CE75A3AADA6C19A63A9A2</v>
      </c>
    </row>
    <row r="4086" spans="3:5" ht="60" x14ac:dyDescent="0.25">
      <c r="C4086" s="15">
        <v>311157</v>
      </c>
      <c r="D4086" s="4" t="s">
        <v>4090</v>
      </c>
      <c r="E4086" s="4" t="str">
        <f>HYPERLINK("https://app.crepc.sk/?fn=detailBiblioForm&amp;sid=EDC641B86B12B5F85C41D27856")</f>
        <v>https://app.crepc.sk/?fn=detailBiblioForm&amp;sid=EDC641B86B12B5F85C41D27856</v>
      </c>
    </row>
    <row r="4087" spans="3:5" ht="75" x14ac:dyDescent="0.25">
      <c r="C4087" s="15">
        <v>62002</v>
      </c>
      <c r="D4087" s="4" t="s">
        <v>4091</v>
      </c>
      <c r="E4087" s="4" t="str">
        <f>HYPERLINK("https://app.crepc.sk/?fn=detailBiblioForm&amp;sid=70589F0B559CAB6B82888894")</f>
        <v>https://app.crepc.sk/?fn=detailBiblioForm&amp;sid=70589F0B559CAB6B82888894</v>
      </c>
    </row>
    <row r="4088" spans="3:5" ht="75" x14ac:dyDescent="0.25">
      <c r="C4088" s="15">
        <v>162230</v>
      </c>
      <c r="D4088" s="4" t="s">
        <v>4092</v>
      </c>
      <c r="E4088" s="4" t="str">
        <f>HYPERLINK("https://app.crepc.sk/?fn=detailBiblioForm&amp;sid=064839694A055E9D120DD03241")</f>
        <v>https://app.crepc.sk/?fn=detailBiblioForm&amp;sid=064839694A055E9D120DD03241</v>
      </c>
    </row>
    <row r="4089" spans="3:5" ht="75" x14ac:dyDescent="0.25">
      <c r="C4089" s="15">
        <v>239978</v>
      </c>
      <c r="D4089" s="4" t="s">
        <v>4093</v>
      </c>
      <c r="E4089" s="4" t="str">
        <f>HYPERLINK("https://app.crepc.sk/?fn=detailBiblioForm&amp;sid=220CFBF9A44403AF999A525823")</f>
        <v>https://app.crepc.sk/?fn=detailBiblioForm&amp;sid=220CFBF9A44403AF999A525823</v>
      </c>
    </row>
    <row r="4090" spans="3:5" ht="90" x14ac:dyDescent="0.25">
      <c r="C4090" s="15">
        <v>249354</v>
      </c>
      <c r="D4090" s="4" t="s">
        <v>4094</v>
      </c>
      <c r="E4090" s="4" t="str">
        <f>HYPERLINK("https://app.crepc.sk/?fn=detailBiblioForm&amp;sid=923F6DECD2F5E180417BED03E3")</f>
        <v>https://app.crepc.sk/?fn=detailBiblioForm&amp;sid=923F6DECD2F5E180417BED03E3</v>
      </c>
    </row>
    <row r="4091" spans="3:5" ht="105" x14ac:dyDescent="0.25">
      <c r="C4091" s="15">
        <v>440920</v>
      </c>
      <c r="D4091" s="4" t="s">
        <v>4095</v>
      </c>
      <c r="E4091" s="4" t="str">
        <f>HYPERLINK("https://app.crepc.sk/?fn=detailBiblioForm&amp;sid=719C3487C3FE700469C5189B76")</f>
        <v>https://app.crepc.sk/?fn=detailBiblioForm&amp;sid=719C3487C3FE700469C5189B76</v>
      </c>
    </row>
    <row r="4092" spans="3:5" ht="75" x14ac:dyDescent="0.25">
      <c r="C4092" s="15">
        <v>202365</v>
      </c>
      <c r="D4092" s="4" t="s">
        <v>4096</v>
      </c>
      <c r="E4092" s="4" t="str">
        <f>HYPERLINK("https://app.crepc.sk/?fn=detailBiblioForm&amp;sid=09F11333B93EC607F5BF54F6A7")</f>
        <v>https://app.crepc.sk/?fn=detailBiblioForm&amp;sid=09F11333B93EC607F5BF54F6A7</v>
      </c>
    </row>
    <row r="4093" spans="3:5" ht="90" x14ac:dyDescent="0.25">
      <c r="C4093" s="15">
        <v>70952</v>
      </c>
      <c r="D4093" s="4" t="s">
        <v>4097</v>
      </c>
      <c r="E4093" s="4" t="str">
        <f>HYPERLINK("https://app.crepc.sk/?fn=detailBiblioForm&amp;sid=20F3CA928D4E97DC0EB3EB0C")</f>
        <v>https://app.crepc.sk/?fn=detailBiblioForm&amp;sid=20F3CA928D4E97DC0EB3EB0C</v>
      </c>
    </row>
    <row r="4094" spans="3:5" ht="75" x14ac:dyDescent="0.25">
      <c r="C4094" s="15">
        <v>72877</v>
      </c>
      <c r="D4094" s="4" t="s">
        <v>4098</v>
      </c>
      <c r="E4094" s="4" t="str">
        <f>HYPERLINK("https://app.crepc.sk/?fn=detailBiblioForm&amp;sid=1A9A057480108DEC6393FE6E")</f>
        <v>https://app.crepc.sk/?fn=detailBiblioForm&amp;sid=1A9A057480108DEC6393FE6E</v>
      </c>
    </row>
    <row r="4095" spans="3:5" ht="75" x14ac:dyDescent="0.25">
      <c r="C4095" s="15">
        <v>72875</v>
      </c>
      <c r="D4095" s="4" t="s">
        <v>4099</v>
      </c>
      <c r="E4095" s="4" t="str">
        <f>HYPERLINK("https://app.crepc.sk/?fn=detailBiblioForm&amp;sid=1A9A057480108DEC6193FE6E")</f>
        <v>https://app.crepc.sk/?fn=detailBiblioForm&amp;sid=1A9A057480108DEC6193FE6E</v>
      </c>
    </row>
    <row r="4096" spans="3:5" ht="90" x14ac:dyDescent="0.25">
      <c r="C4096" s="15">
        <v>132901</v>
      </c>
      <c r="D4096" s="4" t="s">
        <v>4100</v>
      </c>
      <c r="E4096" s="4" t="str">
        <f>HYPERLINK("https://app.crepc.sk/?fn=detailBiblioForm&amp;sid=CE85B6FED79D163DBFDD2F183A")</f>
        <v>https://app.crepc.sk/?fn=detailBiblioForm&amp;sid=CE85B6FED79D163DBFDD2F183A</v>
      </c>
    </row>
    <row r="4097" spans="3:5" ht="75" x14ac:dyDescent="0.25">
      <c r="C4097" s="15">
        <v>154375</v>
      </c>
      <c r="D4097" s="4" t="s">
        <v>4101</v>
      </c>
      <c r="E4097" s="4" t="str">
        <f>HYPERLINK("https://app.crepc.sk/?fn=detailBiblioForm&amp;sid=7398A5BA986E0C649AC9EA7E4D")</f>
        <v>https://app.crepc.sk/?fn=detailBiblioForm&amp;sid=7398A5BA986E0C649AC9EA7E4D</v>
      </c>
    </row>
    <row r="4098" spans="3:5" ht="75" x14ac:dyDescent="0.25">
      <c r="C4098" s="15">
        <v>184249</v>
      </c>
      <c r="D4098" s="4" t="s">
        <v>4102</v>
      </c>
      <c r="E4098" s="4" t="str">
        <f>HYPERLINK("https://app.crepc.sk/?fn=detailBiblioForm&amp;sid=51C176E8478ABC8F867E63848B")</f>
        <v>https://app.crepc.sk/?fn=detailBiblioForm&amp;sid=51C176E8478ABC8F867E63848B</v>
      </c>
    </row>
    <row r="4099" spans="3:5" ht="75" x14ac:dyDescent="0.25">
      <c r="C4099" s="15">
        <v>445394</v>
      </c>
      <c r="D4099" s="4" t="s">
        <v>4103</v>
      </c>
      <c r="E4099" s="4" t="str">
        <f>HYPERLINK("https://app.crepc.sk/?fn=detailBiblioForm&amp;sid=253FB87B23207D3E3A72277BBD")</f>
        <v>https://app.crepc.sk/?fn=detailBiblioForm&amp;sid=253FB87B23207D3E3A72277BBD</v>
      </c>
    </row>
    <row r="4100" spans="3:5" ht="75" x14ac:dyDescent="0.25">
      <c r="C4100" s="15">
        <v>444317</v>
      </c>
      <c r="D4100" s="4" t="s">
        <v>4104</v>
      </c>
      <c r="E4100" s="4" t="str">
        <f>HYPERLINK("https://app.crepc.sk/?fn=detailBiblioForm&amp;sid=9843E4A87430F0CA4CA9095120")</f>
        <v>https://app.crepc.sk/?fn=detailBiblioForm&amp;sid=9843E4A87430F0CA4CA9095120</v>
      </c>
    </row>
    <row r="4101" spans="3:5" ht="75" x14ac:dyDescent="0.25">
      <c r="C4101" s="15">
        <v>62747</v>
      </c>
      <c r="D4101" s="4" t="s">
        <v>4105</v>
      </c>
      <c r="E4101" s="4" t="str">
        <f>HYPERLINK("https://app.crepc.sk/?fn=detailBiblioForm&amp;sid=00015E8330467217BB291E0C")</f>
        <v>https://app.crepc.sk/?fn=detailBiblioForm&amp;sid=00015E8330467217BB291E0C</v>
      </c>
    </row>
    <row r="4102" spans="3:5" ht="75" x14ac:dyDescent="0.25">
      <c r="C4102" s="15">
        <v>132906</v>
      </c>
      <c r="D4102" s="4" t="s">
        <v>4106</v>
      </c>
      <c r="E4102" s="4" t="str">
        <f>HYPERLINK("https://app.crepc.sk/?fn=detailBiblioForm&amp;sid=CE85B6FED79D163DBFDA2F183A")</f>
        <v>https://app.crepc.sk/?fn=detailBiblioForm&amp;sid=CE85B6FED79D163DBFDA2F183A</v>
      </c>
    </row>
    <row r="4103" spans="3:5" ht="75" x14ac:dyDescent="0.25">
      <c r="C4103" s="15">
        <v>210856</v>
      </c>
      <c r="D4103" s="4" t="s">
        <v>4107</v>
      </c>
      <c r="E4103" s="4" t="str">
        <f>HYPERLINK("https://app.crepc.sk/?fn=detailBiblioForm&amp;sid=4D550CDB8728D918FAB2BCD38F")</f>
        <v>https://app.crepc.sk/?fn=detailBiblioForm&amp;sid=4D550CDB8728D918FAB2BCD38F</v>
      </c>
    </row>
    <row r="4104" spans="3:5" ht="90" x14ac:dyDescent="0.25">
      <c r="C4104" s="15">
        <v>193824</v>
      </c>
      <c r="D4104" s="4" t="s">
        <v>4108</v>
      </c>
      <c r="E4104" s="4" t="str">
        <f>HYPERLINK("https://app.crepc.sk/?fn=detailBiblioForm&amp;sid=E20D8D887E442817F578583B6F")</f>
        <v>https://app.crepc.sk/?fn=detailBiblioForm&amp;sid=E20D8D887E442817F578583B6F</v>
      </c>
    </row>
    <row r="4105" spans="3:5" ht="90" x14ac:dyDescent="0.25">
      <c r="C4105" s="15">
        <v>201084</v>
      </c>
      <c r="D4105" s="4" t="s">
        <v>4109</v>
      </c>
      <c r="E4105" s="4" t="str">
        <f>HYPERLINK("https://app.crepc.sk/?fn=detailBiblioForm&amp;sid=243046BA5D04E9C178077A43A4")</f>
        <v>https://app.crepc.sk/?fn=detailBiblioForm&amp;sid=243046BA5D04E9C178077A43A4</v>
      </c>
    </row>
    <row r="4106" spans="3:5" ht="75" x14ac:dyDescent="0.25">
      <c r="C4106" s="15">
        <v>104115</v>
      </c>
      <c r="D4106" s="4" t="s">
        <v>4110</v>
      </c>
      <c r="E4106" s="4" t="str">
        <f>HYPERLINK("https://app.crepc.sk/?fn=detailBiblioForm&amp;sid=74DC020A23E61A1643708012A3")</f>
        <v>https://app.crepc.sk/?fn=detailBiblioForm&amp;sid=74DC020A23E61A1643708012A3</v>
      </c>
    </row>
    <row r="4107" spans="3:5" ht="75" x14ac:dyDescent="0.25">
      <c r="C4107" s="15">
        <v>229321</v>
      </c>
      <c r="D4107" s="4" t="s">
        <v>4111</v>
      </c>
      <c r="E4107" s="4" t="str">
        <f>HYPERLINK("https://app.crepc.sk/?fn=detailBiblioForm&amp;sid=50EC99C9FF9B848B37F46D41C5")</f>
        <v>https://app.crepc.sk/?fn=detailBiblioForm&amp;sid=50EC99C9FF9B848B37F46D41C5</v>
      </c>
    </row>
    <row r="4108" spans="3:5" ht="75" x14ac:dyDescent="0.25">
      <c r="C4108" s="15">
        <v>227921</v>
      </c>
      <c r="D4108" s="4" t="s">
        <v>4112</v>
      </c>
      <c r="E4108" s="4" t="str">
        <f>HYPERLINK("https://app.crepc.sk/?fn=detailBiblioForm&amp;sid=F2D51D583C29E8969BECD8DA83")</f>
        <v>https://app.crepc.sk/?fn=detailBiblioForm&amp;sid=F2D51D583C29E8969BECD8DA83</v>
      </c>
    </row>
    <row r="4109" spans="3:5" ht="75" x14ac:dyDescent="0.25">
      <c r="C4109" s="15">
        <v>87878</v>
      </c>
      <c r="D4109" s="4" t="s">
        <v>4113</v>
      </c>
      <c r="E4109" s="4" t="str">
        <f>HYPERLINK("https://app.crepc.sk/?fn=detailBiblioForm&amp;sid=55AE6A31B0D37883CB57A265")</f>
        <v>https://app.crepc.sk/?fn=detailBiblioForm&amp;sid=55AE6A31B0D37883CB57A265</v>
      </c>
    </row>
    <row r="4110" spans="3:5" ht="90" x14ac:dyDescent="0.25">
      <c r="C4110" s="15">
        <v>226538</v>
      </c>
      <c r="D4110" s="4" t="s">
        <v>4114</v>
      </c>
      <c r="E4110" s="4" t="str">
        <f>HYPERLINK("https://app.crepc.sk/?fn=detailBiblioForm&amp;sid=1A96CD219DD6F1D8FE5331CBF0")</f>
        <v>https://app.crepc.sk/?fn=detailBiblioForm&amp;sid=1A96CD219DD6F1D8FE5331CBF0</v>
      </c>
    </row>
    <row r="4111" spans="3:5" ht="60" x14ac:dyDescent="0.25">
      <c r="C4111" s="15">
        <v>111820</v>
      </c>
      <c r="D4111" s="4" t="s">
        <v>4115</v>
      </c>
      <c r="E4111" s="4" t="str">
        <f>HYPERLINK("https://app.crepc.sk/?fn=detailBiblioForm&amp;sid=BB038EDA88C29BAE7D9D2DEC77")</f>
        <v>https://app.crepc.sk/?fn=detailBiblioForm&amp;sid=BB038EDA88C29BAE7D9D2DEC77</v>
      </c>
    </row>
    <row r="4112" spans="3:5" ht="90" x14ac:dyDescent="0.25">
      <c r="C4112" s="15">
        <v>106691</v>
      </c>
      <c r="D4112" s="4" t="s">
        <v>4116</v>
      </c>
      <c r="E4112" s="4" t="str">
        <f>HYPERLINK("https://app.crepc.sk/?fn=detailBiblioForm&amp;sid=A06A45AC7F1E51E610499D03D8")</f>
        <v>https://app.crepc.sk/?fn=detailBiblioForm&amp;sid=A06A45AC7F1E51E610499D03D8</v>
      </c>
    </row>
    <row r="4113" spans="3:5" ht="75" x14ac:dyDescent="0.25">
      <c r="C4113" s="15">
        <v>124433</v>
      </c>
      <c r="D4113" s="4" t="s">
        <v>4117</v>
      </c>
      <c r="E4113" s="4" t="str">
        <f>HYPERLINK("https://app.crepc.sk/?fn=detailBiblioForm&amp;sid=334EBFF4980CD77440442B0A8A")</f>
        <v>https://app.crepc.sk/?fn=detailBiblioForm&amp;sid=334EBFF4980CD77440442B0A8A</v>
      </c>
    </row>
    <row r="4114" spans="3:5" ht="75" x14ac:dyDescent="0.25">
      <c r="C4114" s="15">
        <v>173884</v>
      </c>
      <c r="D4114" s="4" t="s">
        <v>4118</v>
      </c>
      <c r="E4114" s="4" t="str">
        <f>HYPERLINK("https://app.crepc.sk/?fn=detailBiblioForm&amp;sid=A8C5898CD77493B3EFFD565F0F")</f>
        <v>https://app.crepc.sk/?fn=detailBiblioForm&amp;sid=A8C5898CD77493B3EFFD565F0F</v>
      </c>
    </row>
    <row r="4115" spans="3:5" ht="75" x14ac:dyDescent="0.25">
      <c r="C4115" s="15">
        <v>228309</v>
      </c>
      <c r="D4115" s="4" t="s">
        <v>4119</v>
      </c>
      <c r="E4115" s="4" t="str">
        <f>HYPERLINK("https://app.crepc.sk/?fn=detailBiblioForm&amp;sid=9F0A74875938D9DB9575861961")</f>
        <v>https://app.crepc.sk/?fn=detailBiblioForm&amp;sid=9F0A74875938D9DB9575861961</v>
      </c>
    </row>
    <row r="4116" spans="3:5" ht="90" x14ac:dyDescent="0.25">
      <c r="C4116" s="15">
        <v>191698</v>
      </c>
      <c r="D4116" s="4" t="s">
        <v>4120</v>
      </c>
      <c r="E4116" s="4" t="str">
        <f>HYPERLINK("https://app.crepc.sk/?fn=detailBiblioForm&amp;sid=2BD2C66034D627EB700FC4F76F")</f>
        <v>https://app.crepc.sk/?fn=detailBiblioForm&amp;sid=2BD2C66034D627EB700FC4F76F</v>
      </c>
    </row>
    <row r="4117" spans="3:5" ht="150" x14ac:dyDescent="0.25">
      <c r="C4117" s="15">
        <v>314136</v>
      </c>
      <c r="D4117" s="4" t="s">
        <v>4121</v>
      </c>
      <c r="E4117" s="4" t="str">
        <f>HYPERLINK("https://app.crepc.sk/?fn=detailBiblioForm&amp;sid=C11437276931E1270D3519387C")</f>
        <v>https://app.crepc.sk/?fn=detailBiblioForm&amp;sid=C11437276931E1270D3519387C</v>
      </c>
    </row>
    <row r="4118" spans="3:5" ht="75" x14ac:dyDescent="0.25">
      <c r="C4118" s="15">
        <v>57773</v>
      </c>
      <c r="D4118" s="4" t="s">
        <v>4122</v>
      </c>
      <c r="E4118" s="4" t="str">
        <f>HYPERLINK("https://app.crepc.sk/?fn=detailBiblioForm&amp;sid=B718CDCA8AD7ABB61D219481")</f>
        <v>https://app.crepc.sk/?fn=detailBiblioForm&amp;sid=B718CDCA8AD7ABB61D219481</v>
      </c>
    </row>
    <row r="4119" spans="3:5" ht="75" x14ac:dyDescent="0.25">
      <c r="C4119" s="15">
        <v>255462</v>
      </c>
      <c r="D4119" s="4" t="s">
        <v>4123</v>
      </c>
      <c r="E4119" s="4" t="str">
        <f>HYPERLINK("https://app.crepc.sk/?fn=detailBiblioForm&amp;sid=960FE7B6F9510A06F34929FBDB")</f>
        <v>https://app.crepc.sk/?fn=detailBiblioForm&amp;sid=960FE7B6F9510A06F34929FBDB</v>
      </c>
    </row>
    <row r="4120" spans="3:5" ht="75" x14ac:dyDescent="0.25">
      <c r="C4120" s="15">
        <v>316343</v>
      </c>
      <c r="D4120" s="4" t="s">
        <v>4124</v>
      </c>
      <c r="E4120" s="4" t="str">
        <f>HYPERLINK("https://app.crepc.sk/?fn=detailBiblioForm&amp;sid=C2E5DDBE113D3DFDD3D0C67146")</f>
        <v>https://app.crepc.sk/?fn=detailBiblioForm&amp;sid=C2E5DDBE113D3DFDD3D0C67146</v>
      </c>
    </row>
    <row r="4121" spans="3:5" ht="75" x14ac:dyDescent="0.25">
      <c r="C4121" s="15">
        <v>117780</v>
      </c>
      <c r="D4121" s="4" t="s">
        <v>4125</v>
      </c>
      <c r="E4121" s="4" t="str">
        <f>HYPERLINK("https://app.crepc.sk/?fn=detailBiblioForm&amp;sid=8232CE64E2D3AEDD0BD9584CA5")</f>
        <v>https://app.crepc.sk/?fn=detailBiblioForm&amp;sid=8232CE64E2D3AEDD0BD9584CA5</v>
      </c>
    </row>
    <row r="4122" spans="3:5" ht="75" x14ac:dyDescent="0.25">
      <c r="C4122" s="15">
        <v>138601</v>
      </c>
      <c r="D4122" s="4" t="s">
        <v>4126</v>
      </c>
      <c r="E4122" s="4" t="str">
        <f>HYPERLINK("https://app.crepc.sk/?fn=detailBiblioForm&amp;sid=6E790697089442F7214E30A242")</f>
        <v>https://app.crepc.sk/?fn=detailBiblioForm&amp;sid=6E790697089442F7214E30A242</v>
      </c>
    </row>
    <row r="4123" spans="3:5" ht="90" x14ac:dyDescent="0.25">
      <c r="C4123" s="15">
        <v>311321</v>
      </c>
      <c r="D4123" s="4" t="s">
        <v>4127</v>
      </c>
      <c r="E4123" s="4" t="str">
        <f>HYPERLINK("https://app.crepc.sk/?fn=detailBiblioForm&amp;sid=3CC161ACD26ABD0DAE3834C0BF")</f>
        <v>https://app.crepc.sk/?fn=detailBiblioForm&amp;sid=3CC161ACD26ABD0DAE3834C0BF</v>
      </c>
    </row>
    <row r="4124" spans="3:5" ht="120" x14ac:dyDescent="0.25">
      <c r="C4124" s="15">
        <v>127889</v>
      </c>
      <c r="D4124" s="4" t="s">
        <v>4128</v>
      </c>
      <c r="E4124" s="4" t="str">
        <f>HYPERLINK("https://app.crepc.sk/?fn=detailBiblioForm&amp;sid=9359D1AC2B33EC8F678C91CA15")</f>
        <v>https://app.crepc.sk/?fn=detailBiblioForm&amp;sid=9359D1AC2B33EC8F678C91CA15</v>
      </c>
    </row>
    <row r="4125" spans="3:5" ht="90" x14ac:dyDescent="0.25">
      <c r="C4125" s="15">
        <v>315710</v>
      </c>
      <c r="D4125" s="4" t="s">
        <v>4129</v>
      </c>
      <c r="E4125" s="4" t="str">
        <f>HYPERLINK("https://app.crepc.sk/?fn=detailBiblioForm&amp;sid=CDD02CFDD1BF044BB311112FEA")</f>
        <v>https://app.crepc.sk/?fn=detailBiblioForm&amp;sid=CDD02CFDD1BF044BB311112FEA</v>
      </c>
    </row>
    <row r="4126" spans="3:5" ht="120" x14ac:dyDescent="0.25">
      <c r="C4126" s="15">
        <v>248829</v>
      </c>
      <c r="D4126" s="4" t="s">
        <v>4130</v>
      </c>
      <c r="E4126" s="4" t="str">
        <f>HYPERLINK("https://app.crepc.sk/?fn=detailBiblioForm&amp;sid=5228D5716807430FBA10401FCD")</f>
        <v>https://app.crepc.sk/?fn=detailBiblioForm&amp;sid=5228D5716807430FBA10401FCD</v>
      </c>
    </row>
    <row r="4127" spans="3:5" ht="90" x14ac:dyDescent="0.25">
      <c r="C4127" s="15">
        <v>415355</v>
      </c>
      <c r="D4127" s="4" t="s">
        <v>4131</v>
      </c>
      <c r="E4127" s="4" t="str">
        <f>HYPERLINK("https://app.crepc.sk/?fn=detailBiblioForm&amp;sid=9AF7CC010D05DDDC6B3780073E")</f>
        <v>https://app.crepc.sk/?fn=detailBiblioForm&amp;sid=9AF7CC010D05DDDC6B3780073E</v>
      </c>
    </row>
    <row r="4128" spans="3:5" ht="75" x14ac:dyDescent="0.25">
      <c r="C4128" s="15">
        <v>51703</v>
      </c>
      <c r="D4128" s="4" t="s">
        <v>4132</v>
      </c>
      <c r="E4128" s="4" t="str">
        <f>HYPERLINK("https://app.crepc.sk/?fn=detailBiblioForm&amp;sid=57EE24F19297EE43707E57B4")</f>
        <v>https://app.crepc.sk/?fn=detailBiblioForm&amp;sid=57EE24F19297EE43707E57B4</v>
      </c>
    </row>
    <row r="4129" spans="3:5" ht="90" x14ac:dyDescent="0.25">
      <c r="C4129" s="15">
        <v>197782</v>
      </c>
      <c r="D4129" s="4" t="s">
        <v>4133</v>
      </c>
      <c r="E4129" s="4" t="str">
        <f>HYPERLINK("https://app.crepc.sk/?fn=detailBiblioForm&amp;sid=621FF53B02ADFC9EFA599AD910")</f>
        <v>https://app.crepc.sk/?fn=detailBiblioForm&amp;sid=621FF53B02ADFC9EFA599AD910</v>
      </c>
    </row>
    <row r="4130" spans="3:5" ht="75" x14ac:dyDescent="0.25">
      <c r="C4130" s="15">
        <v>164245</v>
      </c>
      <c r="D4130" s="4" t="s">
        <v>4134</v>
      </c>
      <c r="E4130" s="4" t="str">
        <f>HYPERLINK("https://app.crepc.sk/?fn=detailBiblioForm&amp;sid=669792990D135F3F5ABFC71BDF")</f>
        <v>https://app.crepc.sk/?fn=detailBiblioForm&amp;sid=669792990D135F3F5ABFC71BDF</v>
      </c>
    </row>
    <row r="4131" spans="3:5" ht="90" x14ac:dyDescent="0.25">
      <c r="C4131" s="15">
        <v>164587</v>
      </c>
      <c r="D4131" s="4" t="s">
        <v>4135</v>
      </c>
      <c r="E4131" s="4" t="str">
        <f>HYPERLINK("https://app.crepc.sk/?fn=detailBiblioForm&amp;sid=71CC5F4445049D8B5AC157387C")</f>
        <v>https://app.crepc.sk/?fn=detailBiblioForm&amp;sid=71CC5F4445049D8B5AC157387C</v>
      </c>
    </row>
    <row r="4132" spans="3:5" ht="75" x14ac:dyDescent="0.25">
      <c r="C4132" s="15">
        <v>312420</v>
      </c>
      <c r="D4132" s="4" t="s">
        <v>4136</v>
      </c>
      <c r="E4132" s="4" t="str">
        <f>HYPERLINK("https://app.crepc.sk/?fn=detailBiblioForm&amp;sid=29E831AA7AE2D1910DE02E0FED")</f>
        <v>https://app.crepc.sk/?fn=detailBiblioForm&amp;sid=29E831AA7AE2D1910DE02E0FED</v>
      </c>
    </row>
    <row r="4133" spans="3:5" ht="60" x14ac:dyDescent="0.25">
      <c r="C4133" s="15">
        <v>310040</v>
      </c>
      <c r="D4133" s="4" t="s">
        <v>4137</v>
      </c>
      <c r="E4133" s="4" t="str">
        <f>HYPERLINK("https://app.crepc.sk/?fn=detailBiblioForm&amp;sid=F566C6E0CB47072BF8EE22F69C")</f>
        <v>https://app.crepc.sk/?fn=detailBiblioForm&amp;sid=F566C6E0CB47072BF8EE22F69C</v>
      </c>
    </row>
    <row r="4134" spans="3:5" ht="60" x14ac:dyDescent="0.25">
      <c r="C4134" s="15">
        <v>73497</v>
      </c>
      <c r="D4134" s="4" t="s">
        <v>4138</v>
      </c>
      <c r="E4134" s="4" t="str">
        <f>HYPERLINK("https://app.crepc.sk/?fn=detailBiblioForm&amp;sid=8E4EC8C0D26713E78A929F1F")</f>
        <v>https://app.crepc.sk/?fn=detailBiblioForm&amp;sid=8E4EC8C0D26713E78A929F1F</v>
      </c>
    </row>
    <row r="4135" spans="3:5" ht="90" x14ac:dyDescent="0.25">
      <c r="C4135" s="15">
        <v>160583</v>
      </c>
      <c r="D4135" s="4" t="s">
        <v>4139</v>
      </c>
      <c r="E4135" s="4" t="str">
        <f>HYPERLINK("https://app.crepc.sk/?fn=detailBiblioForm&amp;sid=40427FD23DCE4193A17A51B5BC")</f>
        <v>https://app.crepc.sk/?fn=detailBiblioForm&amp;sid=40427FD23DCE4193A17A51B5BC</v>
      </c>
    </row>
    <row r="4136" spans="3:5" ht="75" x14ac:dyDescent="0.25">
      <c r="C4136" s="15">
        <v>311314</v>
      </c>
      <c r="D4136" s="4" t="s">
        <v>4140</v>
      </c>
      <c r="E4136" s="4" t="str">
        <f>HYPERLINK("https://app.crepc.sk/?fn=detailBiblioForm&amp;sid=3CC161ACD26ABD0DAD3D34C0BF")</f>
        <v>https://app.crepc.sk/?fn=detailBiblioForm&amp;sid=3CC161ACD26ABD0DAD3D34C0BF</v>
      </c>
    </row>
    <row r="4137" spans="3:5" ht="90" x14ac:dyDescent="0.25">
      <c r="C4137" s="15">
        <v>196967</v>
      </c>
      <c r="D4137" s="4" t="s">
        <v>4141</v>
      </c>
      <c r="E4137" s="4" t="str">
        <f>HYPERLINK("https://app.crepc.sk/?fn=detailBiblioForm&amp;sid=FD2A61625DB31BB3505EFEE577")</f>
        <v>https://app.crepc.sk/?fn=detailBiblioForm&amp;sid=FD2A61625DB31BB3505EFEE577</v>
      </c>
    </row>
    <row r="4138" spans="3:5" ht="75" x14ac:dyDescent="0.25">
      <c r="C4138" s="15">
        <v>415354</v>
      </c>
      <c r="D4138" s="4" t="s">
        <v>4142</v>
      </c>
      <c r="E4138" s="4" t="str">
        <f>HYPERLINK("https://app.crepc.sk/?fn=detailBiblioForm&amp;sid=9AF7CC010D05DDDC6B3680073E")</f>
        <v>https://app.crepc.sk/?fn=detailBiblioForm&amp;sid=9AF7CC010D05DDDC6B3680073E</v>
      </c>
    </row>
    <row r="4139" spans="3:5" ht="105" x14ac:dyDescent="0.25">
      <c r="C4139" s="15">
        <v>426462</v>
      </c>
      <c r="D4139" s="4" t="s">
        <v>4143</v>
      </c>
      <c r="E4139" s="4" t="str">
        <f>HYPERLINK("https://app.crepc.sk/?fn=detailBiblioForm&amp;sid=67149C3C69A9ECC93D58AFDBDB")</f>
        <v>https://app.crepc.sk/?fn=detailBiblioForm&amp;sid=67149C3C69A9ECC93D58AFDBDB</v>
      </c>
    </row>
    <row r="4140" spans="3:5" ht="90" x14ac:dyDescent="0.25">
      <c r="C4140" s="15">
        <v>57194</v>
      </c>
      <c r="D4140" s="4" t="s">
        <v>4144</v>
      </c>
      <c r="E4140" s="4" t="str">
        <f>HYPERLINK("https://app.crepc.sk/?fn=detailBiblioForm&amp;sid=EBF21E58B87C4DA14AFB79B0")</f>
        <v>https://app.crepc.sk/?fn=detailBiblioForm&amp;sid=EBF21E58B87C4DA14AFB79B0</v>
      </c>
    </row>
    <row r="4141" spans="3:5" ht="75" x14ac:dyDescent="0.25">
      <c r="C4141" s="15">
        <v>128376</v>
      </c>
      <c r="D4141" s="4" t="s">
        <v>4145</v>
      </c>
      <c r="E4141" s="4" t="str">
        <f>HYPERLINK("https://app.crepc.sk/?fn=detailBiblioForm&amp;sid=74191DCBA790A6B780CA426AF5")</f>
        <v>https://app.crepc.sk/?fn=detailBiblioForm&amp;sid=74191DCBA790A6B780CA426AF5</v>
      </c>
    </row>
    <row r="4142" spans="3:5" ht="75" x14ac:dyDescent="0.25">
      <c r="C4142" s="15">
        <v>83512</v>
      </c>
      <c r="D4142" s="4" t="s">
        <v>4146</v>
      </c>
      <c r="E4142" s="4" t="str">
        <f>HYPERLINK("https://app.crepc.sk/?fn=detailBiblioForm&amp;sid=DF56DC4127F439209A8C748C")</f>
        <v>https://app.crepc.sk/?fn=detailBiblioForm&amp;sid=DF56DC4127F439209A8C748C</v>
      </c>
    </row>
    <row r="4143" spans="3:5" ht="90" x14ac:dyDescent="0.25">
      <c r="C4143" s="15">
        <v>51403</v>
      </c>
      <c r="D4143" s="4" t="s">
        <v>4147</v>
      </c>
      <c r="E4143" s="4" t="str">
        <f>HYPERLINK("https://app.crepc.sk/?fn=detailBiblioForm&amp;sid=5F197B5B0CD8DA9E8D035368")</f>
        <v>https://app.crepc.sk/?fn=detailBiblioForm&amp;sid=5F197B5B0CD8DA9E8D035368</v>
      </c>
    </row>
    <row r="4144" spans="3:5" ht="75" x14ac:dyDescent="0.25">
      <c r="C4144" s="15">
        <v>161719</v>
      </c>
      <c r="D4144" s="4" t="s">
        <v>4148</v>
      </c>
      <c r="E4144" s="4" t="str">
        <f>HYPERLINK("https://app.crepc.sk/?fn=detailBiblioForm&amp;sid=BCA102CB6C4CA54D4DE6C863D9")</f>
        <v>https://app.crepc.sk/?fn=detailBiblioForm&amp;sid=BCA102CB6C4CA54D4DE6C863D9</v>
      </c>
    </row>
    <row r="4145" spans="3:5" ht="90" x14ac:dyDescent="0.25">
      <c r="C4145" s="15">
        <v>94857</v>
      </c>
      <c r="D4145" s="4" t="s">
        <v>4149</v>
      </c>
      <c r="E4145" s="4" t="str">
        <f>HYPERLINK("https://app.crepc.sk/?fn=detailBiblioForm&amp;sid=70C3E0AC3933732D2B646B4D")</f>
        <v>https://app.crepc.sk/?fn=detailBiblioForm&amp;sid=70C3E0AC3933732D2B646B4D</v>
      </c>
    </row>
    <row r="4146" spans="3:5" ht="90" x14ac:dyDescent="0.25">
      <c r="C4146" s="15">
        <v>85737</v>
      </c>
      <c r="D4146" s="4" t="s">
        <v>4150</v>
      </c>
      <c r="E4146" s="4" t="str">
        <f>HYPERLINK("https://app.crepc.sk/?fn=detailBiblioForm&amp;sid=8E091CFD3E588DF8152C490E")</f>
        <v>https://app.crepc.sk/?fn=detailBiblioForm&amp;sid=8E091CFD3E588DF8152C490E</v>
      </c>
    </row>
    <row r="4147" spans="3:5" ht="120" x14ac:dyDescent="0.25">
      <c r="C4147" s="15">
        <v>116810</v>
      </c>
      <c r="D4147" s="4" t="s">
        <v>4151</v>
      </c>
      <c r="E4147" s="4" t="str">
        <f>HYPERLINK("https://app.crepc.sk/?fn=detailBiblioForm&amp;sid=E72B30B2FBB5A43D8D8B052574")</f>
        <v>https://app.crepc.sk/?fn=detailBiblioForm&amp;sid=E72B30B2FBB5A43D8D8B052574</v>
      </c>
    </row>
    <row r="4148" spans="3:5" ht="60" x14ac:dyDescent="0.25">
      <c r="C4148" s="15">
        <v>130993</v>
      </c>
      <c r="D4148" s="4" t="s">
        <v>4152</v>
      </c>
      <c r="E4148" s="4" t="str">
        <f>HYPERLINK("https://app.crepc.sk/?fn=detailBiblioForm&amp;sid=124634ADD5218DF99A402AEB7E")</f>
        <v>https://app.crepc.sk/?fn=detailBiblioForm&amp;sid=124634ADD5218DF99A402AEB7E</v>
      </c>
    </row>
    <row r="4149" spans="3:5" ht="75" x14ac:dyDescent="0.25">
      <c r="C4149" s="15">
        <v>130227</v>
      </c>
      <c r="D4149" s="4" t="s">
        <v>4153</v>
      </c>
      <c r="E4149" s="4" t="str">
        <f>HYPERLINK("https://app.crepc.sk/?fn=detailBiblioForm&amp;sid=AE439884A3A3B8A5FF1749F58F")</f>
        <v>https://app.crepc.sk/?fn=detailBiblioForm&amp;sid=AE439884A3A3B8A5FF1749F58F</v>
      </c>
    </row>
    <row r="4150" spans="3:5" ht="90" x14ac:dyDescent="0.25">
      <c r="C4150" s="15">
        <v>316773</v>
      </c>
      <c r="D4150" s="4" t="s">
        <v>4154</v>
      </c>
      <c r="E4150" s="4" t="str">
        <f>HYPERLINK("https://app.crepc.sk/?fn=detailBiblioForm&amp;sid=31B74E2C3D2F4979ED99C5B881")</f>
        <v>https://app.crepc.sk/?fn=detailBiblioForm&amp;sid=31B74E2C3D2F4979ED99C5B881</v>
      </c>
    </row>
    <row r="4151" spans="3:5" ht="90" x14ac:dyDescent="0.25">
      <c r="C4151" s="15">
        <v>234024</v>
      </c>
      <c r="D4151" s="4" t="s">
        <v>4155</v>
      </c>
      <c r="E4151" s="4" t="str">
        <f>HYPERLINK("https://app.crepc.sk/?fn=detailBiblioForm&amp;sid=5D1E02039DFFCDD1E324212CFA")</f>
        <v>https://app.crepc.sk/?fn=detailBiblioForm&amp;sid=5D1E02039DFFCDD1E324212CFA</v>
      </c>
    </row>
    <row r="4152" spans="3:5" ht="60" x14ac:dyDescent="0.25">
      <c r="C4152" s="15">
        <v>239270</v>
      </c>
      <c r="D4152" s="4" t="s">
        <v>4156</v>
      </c>
      <c r="E4152" s="4" t="str">
        <f>HYPERLINK("https://app.crepc.sk/?fn=detailBiblioForm&amp;sid=4295ABBB03FBD97F0BBC92826D")</f>
        <v>https://app.crepc.sk/?fn=detailBiblioForm&amp;sid=4295ABBB03FBD97F0BBC92826D</v>
      </c>
    </row>
    <row r="4153" spans="3:5" ht="75" x14ac:dyDescent="0.25">
      <c r="C4153" s="15">
        <v>156076</v>
      </c>
      <c r="D4153" s="4" t="s">
        <v>4157</v>
      </c>
      <c r="E4153" s="4" t="str">
        <f>HYPERLINK("https://app.crepc.sk/?fn=detailBiblioForm&amp;sid=F284FC460F7B017327A8C6CCA0")</f>
        <v>https://app.crepc.sk/?fn=detailBiblioForm&amp;sid=F284FC460F7B017327A8C6CCA0</v>
      </c>
    </row>
    <row r="4154" spans="3:5" ht="90" x14ac:dyDescent="0.25">
      <c r="C4154" s="15">
        <v>199058</v>
      </c>
      <c r="D4154" s="4" t="s">
        <v>4158</v>
      </c>
      <c r="E4154" s="4" t="str">
        <f>HYPERLINK("https://app.crepc.sk/?fn=detailBiblioForm&amp;sid=485F8D043A8EA669F9C49F2BD2")</f>
        <v>https://app.crepc.sk/?fn=detailBiblioForm&amp;sid=485F8D043A8EA669F9C49F2BD2</v>
      </c>
    </row>
    <row r="4155" spans="3:5" ht="75" x14ac:dyDescent="0.25">
      <c r="C4155" s="15">
        <v>97310</v>
      </c>
      <c r="D4155" s="4" t="s">
        <v>4159</v>
      </c>
      <c r="E4155" s="4" t="str">
        <f>HYPERLINK("https://app.crepc.sk/?fn=detailBiblioForm&amp;sid=5B028FE34761B5D7B80D5195")</f>
        <v>https://app.crepc.sk/?fn=detailBiblioForm&amp;sid=5B028FE34761B5D7B80D5195</v>
      </c>
    </row>
    <row r="4156" spans="3:5" ht="75" x14ac:dyDescent="0.25">
      <c r="C4156" s="15">
        <v>59261</v>
      </c>
      <c r="D4156" s="4" t="s">
        <v>4160</v>
      </c>
      <c r="E4156" s="4" t="str">
        <f>HYPERLINK("https://app.crepc.sk/?fn=detailBiblioForm&amp;sid=E8CA23F388112108F4704198")</f>
        <v>https://app.crepc.sk/?fn=detailBiblioForm&amp;sid=E8CA23F388112108F4704198</v>
      </c>
    </row>
    <row r="4157" spans="3:5" ht="60" x14ac:dyDescent="0.25">
      <c r="C4157" s="15">
        <v>103542</v>
      </c>
      <c r="D4157" s="4" t="s">
        <v>4161</v>
      </c>
      <c r="E4157" s="4" t="str">
        <f>HYPERLINK("https://app.crepc.sk/?fn=detailBiblioForm&amp;sid=A4FF8D52A5EE0AF9E8773B93DF")</f>
        <v>https://app.crepc.sk/?fn=detailBiblioForm&amp;sid=A4FF8D52A5EE0AF9E8773B93DF</v>
      </c>
    </row>
    <row r="4158" spans="3:5" ht="60" x14ac:dyDescent="0.25">
      <c r="C4158" s="15">
        <v>442366</v>
      </c>
      <c r="D4158" s="4" t="s">
        <v>4162</v>
      </c>
      <c r="E4158" s="4" t="str">
        <f>HYPERLINK("https://app.crepc.sk/?fn=detailBiblioForm&amp;sid=F661DE2421DD595D52CB62841D")</f>
        <v>https://app.crepc.sk/?fn=detailBiblioForm&amp;sid=F661DE2421DD595D52CB62841D</v>
      </c>
    </row>
    <row r="4159" spans="3:5" ht="90" x14ac:dyDescent="0.25">
      <c r="C4159" s="15">
        <v>179285</v>
      </c>
      <c r="D4159" s="4" t="s">
        <v>4163</v>
      </c>
      <c r="E4159" s="4" t="str">
        <f>HYPERLINK("https://app.crepc.sk/?fn=detailBiblioForm&amp;sid=4B1C4D75B6D4960DF5A269EC63")</f>
        <v>https://app.crepc.sk/?fn=detailBiblioForm&amp;sid=4B1C4D75B6D4960DF5A269EC63</v>
      </c>
    </row>
    <row r="4160" spans="3:5" ht="60" x14ac:dyDescent="0.25">
      <c r="C4160" s="15">
        <v>67204</v>
      </c>
      <c r="D4160" s="4" t="s">
        <v>4164</v>
      </c>
      <c r="E4160" s="4" t="str">
        <f>HYPERLINK("https://app.crepc.sk/?fn=detailBiblioForm&amp;sid=878B508AA13E32A8516A999C")</f>
        <v>https://app.crepc.sk/?fn=detailBiblioForm&amp;sid=878B508AA13E32A8516A999C</v>
      </c>
    </row>
    <row r="4161" spans="3:5" ht="90" x14ac:dyDescent="0.25">
      <c r="C4161" s="15">
        <v>214635</v>
      </c>
      <c r="D4161" s="4" t="s">
        <v>4165</v>
      </c>
      <c r="E4161" s="4" t="str">
        <f>HYPERLINK("https://app.crepc.sk/?fn=detailBiblioForm&amp;sid=49B0E8CD88C499975A0CF1C13A")</f>
        <v>https://app.crepc.sk/?fn=detailBiblioForm&amp;sid=49B0E8CD88C499975A0CF1C13A</v>
      </c>
    </row>
    <row r="4162" spans="3:5" ht="90" x14ac:dyDescent="0.25">
      <c r="C4162" s="15">
        <v>442299</v>
      </c>
      <c r="D4162" s="4" t="s">
        <v>4166</v>
      </c>
      <c r="E4162" s="4" t="str">
        <f>HYPERLINK("https://app.crepc.sk/?fn=detailBiblioForm&amp;sid=449A78BFE483A8EAF4FE49C553")</f>
        <v>https://app.crepc.sk/?fn=detailBiblioForm&amp;sid=449A78BFE483A8EAF4FE49C553</v>
      </c>
    </row>
    <row r="4163" spans="3:5" ht="60" x14ac:dyDescent="0.25">
      <c r="C4163" s="15">
        <v>128832</v>
      </c>
      <c r="D4163" s="4" t="s">
        <v>4167</v>
      </c>
      <c r="E4163" s="4" t="str">
        <f>HYPERLINK("https://app.crepc.sk/?fn=detailBiblioForm&amp;sid=DDB24A884687D2A60590865BB8")</f>
        <v>https://app.crepc.sk/?fn=detailBiblioForm&amp;sid=DDB24A884687D2A60590865BB8</v>
      </c>
    </row>
    <row r="4164" spans="3:5" ht="60" x14ac:dyDescent="0.25">
      <c r="C4164" s="15">
        <v>97269</v>
      </c>
      <c r="D4164" s="4" t="s">
        <v>4168</v>
      </c>
      <c r="E4164" s="4" t="str">
        <f>HYPERLINK("https://app.crepc.sk/?fn=detailBiblioForm&amp;sid=9C42C15E761448ABA3445D22")</f>
        <v>https://app.crepc.sk/?fn=detailBiblioForm&amp;sid=9C42C15E761448ABA3445D22</v>
      </c>
    </row>
    <row r="4165" spans="3:5" ht="90" x14ac:dyDescent="0.25">
      <c r="C4165" s="15">
        <v>57325</v>
      </c>
      <c r="D4165" s="4" t="s">
        <v>4169</v>
      </c>
      <c r="E4165" s="4" t="str">
        <f>HYPERLINK("https://app.crepc.sk/?fn=detailBiblioForm&amp;sid=6A87AB8D0EABF2386280152A")</f>
        <v>https://app.crepc.sk/?fn=detailBiblioForm&amp;sid=6A87AB8D0EABF2386280152A</v>
      </c>
    </row>
    <row r="4166" spans="3:5" ht="60" x14ac:dyDescent="0.25">
      <c r="C4166" s="15">
        <v>129981</v>
      </c>
      <c r="D4166" s="4" t="s">
        <v>4170</v>
      </c>
      <c r="E4166" s="4" t="str">
        <f>HYPERLINK("https://app.crepc.sk/?fn=detailBiblioForm&amp;sid=28206E6A4A0134BE534E280928")</f>
        <v>https://app.crepc.sk/?fn=detailBiblioForm&amp;sid=28206E6A4A0134BE534E280928</v>
      </c>
    </row>
    <row r="4167" spans="3:5" ht="90" x14ac:dyDescent="0.25">
      <c r="C4167" s="15">
        <v>132903</v>
      </c>
      <c r="D4167" s="4" t="s">
        <v>4171</v>
      </c>
      <c r="E4167" s="4" t="str">
        <f>HYPERLINK("https://app.crepc.sk/?fn=detailBiblioForm&amp;sid=CE85B6FED79D163DBFDF2F183A")</f>
        <v>https://app.crepc.sk/?fn=detailBiblioForm&amp;sid=CE85B6FED79D163DBFDF2F183A</v>
      </c>
    </row>
    <row r="4168" spans="3:5" ht="90" x14ac:dyDescent="0.25">
      <c r="C4168" s="15">
        <v>196937</v>
      </c>
      <c r="D4168" s="4" t="s">
        <v>4172</v>
      </c>
      <c r="E4168" s="4" t="str">
        <f>HYPERLINK("https://app.crepc.sk/?fn=detailBiblioForm&amp;sid=FD2A61625DB31BB3555EFEE577")</f>
        <v>https://app.crepc.sk/?fn=detailBiblioForm&amp;sid=FD2A61625DB31BB3555EFEE577</v>
      </c>
    </row>
    <row r="4169" spans="3:5" ht="90" x14ac:dyDescent="0.25">
      <c r="C4169" s="15">
        <v>57335</v>
      </c>
      <c r="D4169" s="4" t="s">
        <v>4173</v>
      </c>
      <c r="E4169" s="4" t="str">
        <f>HYPERLINK("https://app.crepc.sk/?fn=detailBiblioForm&amp;sid=4AF34EAD7996604799D0109E")</f>
        <v>https://app.crepc.sk/?fn=detailBiblioForm&amp;sid=4AF34EAD7996604799D0109E</v>
      </c>
    </row>
    <row r="4170" spans="3:5" ht="90" x14ac:dyDescent="0.25">
      <c r="C4170" s="15">
        <v>196964</v>
      </c>
      <c r="D4170" s="4" t="s">
        <v>4174</v>
      </c>
      <c r="E4170" s="4" t="str">
        <f>HYPERLINK("https://app.crepc.sk/?fn=detailBiblioForm&amp;sid=FD2A61625DB31BB3505DFEE577")</f>
        <v>https://app.crepc.sk/?fn=detailBiblioForm&amp;sid=FD2A61625DB31BB3505DFEE577</v>
      </c>
    </row>
    <row r="4171" spans="3:5" ht="75" x14ac:dyDescent="0.25">
      <c r="C4171" s="15">
        <v>165327</v>
      </c>
      <c r="D4171" s="4" t="s">
        <v>4175</v>
      </c>
      <c r="E4171" s="4" t="str">
        <f>HYPERLINK("https://app.crepc.sk/?fn=detailBiblioForm&amp;sid=FD287398550734C848B07AADA0")</f>
        <v>https://app.crepc.sk/?fn=detailBiblioForm&amp;sid=FD287398550734C848B07AADA0</v>
      </c>
    </row>
    <row r="4172" spans="3:5" ht="75" x14ac:dyDescent="0.25">
      <c r="C4172" s="15">
        <v>58345</v>
      </c>
      <c r="D4172" s="4" t="s">
        <v>4176</v>
      </c>
      <c r="E4172" s="4" t="str">
        <f>HYPERLINK("https://app.crepc.sk/?fn=detailBiblioForm&amp;sid=C763E3A098F31B6507F64C28")</f>
        <v>https://app.crepc.sk/?fn=detailBiblioForm&amp;sid=C763E3A098F31B6507F64C28</v>
      </c>
    </row>
    <row r="4173" spans="3:5" ht="75" x14ac:dyDescent="0.25">
      <c r="C4173" s="15">
        <v>132785</v>
      </c>
      <c r="D4173" s="4" t="s">
        <v>4177</v>
      </c>
      <c r="E4173" s="4" t="str">
        <f>HYPERLINK("https://app.crepc.sk/?fn=detailBiblioForm&amp;sid=A207B7B68D6DA0A20F6EC1C57A")</f>
        <v>https://app.crepc.sk/?fn=detailBiblioForm&amp;sid=A207B7B68D6DA0A20F6EC1C57A</v>
      </c>
    </row>
    <row r="4174" spans="3:5" ht="90" x14ac:dyDescent="0.25">
      <c r="C4174" s="15">
        <v>316854</v>
      </c>
      <c r="D4174" s="4" t="s">
        <v>4178</v>
      </c>
      <c r="E4174" s="4" t="str">
        <f>HYPERLINK("https://app.crepc.sk/?fn=detailBiblioForm&amp;sid=9B7EDFED3FF96897429154B66B")</f>
        <v>https://app.crepc.sk/?fn=detailBiblioForm&amp;sid=9B7EDFED3FF96897429154B66B</v>
      </c>
    </row>
    <row r="4175" spans="3:5" ht="60" x14ac:dyDescent="0.25">
      <c r="C4175" s="15">
        <v>136385</v>
      </c>
      <c r="D4175" s="4" t="s">
        <v>4179</v>
      </c>
      <c r="E4175" s="4" t="str">
        <f>HYPERLINK("https://app.crepc.sk/?fn=detailBiblioForm&amp;sid=9C7036F15F469CEBDCCD709B2C")</f>
        <v>https://app.crepc.sk/?fn=detailBiblioForm&amp;sid=9C7036F15F469CEBDCCD709B2C</v>
      </c>
    </row>
    <row r="4176" spans="3:5" ht="75" x14ac:dyDescent="0.25">
      <c r="C4176" s="15">
        <v>310025</v>
      </c>
      <c r="D4176" s="4" t="s">
        <v>4180</v>
      </c>
      <c r="E4176" s="4" t="str">
        <f>HYPERLINK("https://app.crepc.sk/?fn=detailBiblioForm&amp;sid=F566C6E0CB47072BFEEB22F69C")</f>
        <v>https://app.crepc.sk/?fn=detailBiblioForm&amp;sid=F566C6E0CB47072BFEEB22F69C</v>
      </c>
    </row>
    <row r="4177" spans="3:5" ht="90" x14ac:dyDescent="0.25">
      <c r="C4177" s="15">
        <v>173907</v>
      </c>
      <c r="D4177" s="4" t="s">
        <v>4181</v>
      </c>
      <c r="E4177" s="4" t="str">
        <f>HYPERLINK("https://app.crepc.sk/?fn=detailBiblioForm&amp;sid=228C7CD165D66AC757D721E89F")</f>
        <v>https://app.crepc.sk/?fn=detailBiblioForm&amp;sid=228C7CD165D66AC757D721E89F</v>
      </c>
    </row>
    <row r="4178" spans="3:5" ht="90" x14ac:dyDescent="0.25">
      <c r="C4178" s="15">
        <v>210782</v>
      </c>
      <c r="D4178" s="4" t="s">
        <v>4182</v>
      </c>
      <c r="E4178" s="4" t="str">
        <f>HYPERLINK("https://app.crepc.sk/?fn=detailBiblioForm&amp;sid=36B56AEA95B56E9F62E16E5F31")</f>
        <v>https://app.crepc.sk/?fn=detailBiblioForm&amp;sid=36B56AEA95B56E9F62E16E5F31</v>
      </c>
    </row>
    <row r="4179" spans="3:5" ht="75" x14ac:dyDescent="0.25">
      <c r="C4179" s="15">
        <v>174565</v>
      </c>
      <c r="D4179" s="4" t="s">
        <v>4183</v>
      </c>
      <c r="E4179" s="4" t="str">
        <f>HYPERLINK("https://app.crepc.sk/?fn=detailBiblioForm&amp;sid=72A4E145D65F5DA0B04A551D33")</f>
        <v>https://app.crepc.sk/?fn=detailBiblioForm&amp;sid=72A4E145D65F5DA0B04A551D33</v>
      </c>
    </row>
    <row r="4180" spans="3:5" ht="75" x14ac:dyDescent="0.25">
      <c r="C4180" s="15">
        <v>173852</v>
      </c>
      <c r="D4180" s="4" t="s">
        <v>4184</v>
      </c>
      <c r="E4180" s="4" t="str">
        <f>HYPERLINK("https://app.crepc.sk/?fn=detailBiblioForm&amp;sid=A8C5898CD77493B3E2FB565F0F")</f>
        <v>https://app.crepc.sk/?fn=detailBiblioForm&amp;sid=A8C5898CD77493B3E2FB565F0F</v>
      </c>
    </row>
    <row r="4181" spans="3:5" ht="90" x14ac:dyDescent="0.25">
      <c r="C4181" s="15">
        <v>164594</v>
      </c>
      <c r="D4181" s="4" t="s">
        <v>4185</v>
      </c>
      <c r="E4181" s="4" t="str">
        <f>HYPERLINK("https://app.crepc.sk/?fn=detailBiblioForm&amp;sid=71CC5F4445049D8B5BC257387C")</f>
        <v>https://app.crepc.sk/?fn=detailBiblioForm&amp;sid=71CC5F4445049D8B5BC257387C</v>
      </c>
    </row>
    <row r="4182" spans="3:5" ht="90" x14ac:dyDescent="0.25">
      <c r="C4182" s="15">
        <v>210853</v>
      </c>
      <c r="D4182" s="4" t="s">
        <v>4186</v>
      </c>
      <c r="E4182" s="4" t="str">
        <f>HYPERLINK("https://app.crepc.sk/?fn=detailBiblioForm&amp;sid=4D550CDB8728D918FAB7BCD38F")</f>
        <v>https://app.crepc.sk/?fn=detailBiblioForm&amp;sid=4D550CDB8728D918FAB7BCD38F</v>
      </c>
    </row>
    <row r="4183" spans="3:5" ht="105" x14ac:dyDescent="0.25">
      <c r="C4183" s="15">
        <v>310069</v>
      </c>
      <c r="D4183" s="4" t="s">
        <v>4187</v>
      </c>
      <c r="E4183" s="4" t="str">
        <f>HYPERLINK("https://app.crepc.sk/?fn=detailBiblioForm&amp;sid=F566C6E0CB47072BFAE722F69C")</f>
        <v>https://app.crepc.sk/?fn=detailBiblioForm&amp;sid=F566C6E0CB47072BFAE722F69C</v>
      </c>
    </row>
    <row r="4184" spans="3:5" ht="75" x14ac:dyDescent="0.25">
      <c r="C4184" s="15">
        <v>51256</v>
      </c>
      <c r="D4184" s="4" t="s">
        <v>4188</v>
      </c>
      <c r="E4184" s="4" t="str">
        <f>HYPERLINK("https://app.crepc.sk/?fn=detailBiblioForm&amp;sid=A5213ECA03C20E55857ED996")</f>
        <v>https://app.crepc.sk/?fn=detailBiblioForm&amp;sid=A5213ECA03C20E55857ED996</v>
      </c>
    </row>
    <row r="4185" spans="3:5" ht="90" x14ac:dyDescent="0.25">
      <c r="C4185" s="15">
        <v>430994</v>
      </c>
      <c r="D4185" s="4" t="s">
        <v>4189</v>
      </c>
      <c r="E4185" s="4" t="str">
        <f>HYPERLINK("https://app.crepc.sk/?fn=detailBiblioForm&amp;sid=E4DAC40FC2B9112CBD906EB6AB")</f>
        <v>https://app.crepc.sk/?fn=detailBiblioForm&amp;sid=E4DAC40FC2B9112CBD906EB6AB</v>
      </c>
    </row>
    <row r="4186" spans="3:5" ht="105" x14ac:dyDescent="0.25">
      <c r="C4186" s="15">
        <v>193388</v>
      </c>
      <c r="D4186" s="4" t="s">
        <v>4190</v>
      </c>
      <c r="E4186" s="4" t="str">
        <f>HYPERLINK("https://app.crepc.sk/?fn=detailBiblioForm&amp;sid=62C9246E761951300B41EE17EE")</f>
        <v>https://app.crepc.sk/?fn=detailBiblioForm&amp;sid=62C9246E761951300B41EE17EE</v>
      </c>
    </row>
    <row r="4187" spans="3:5" ht="90" x14ac:dyDescent="0.25">
      <c r="C4187" s="15">
        <v>310772</v>
      </c>
      <c r="D4187" s="4" t="s">
        <v>4191</v>
      </c>
      <c r="E4187" s="4" t="str">
        <f>HYPERLINK("https://app.crepc.sk/?fn=detailBiblioForm&amp;sid=BA568C50EF7A76E2D4F614E589")</f>
        <v>https://app.crepc.sk/?fn=detailBiblioForm&amp;sid=BA568C50EF7A76E2D4F614E589</v>
      </c>
    </row>
    <row r="4188" spans="3:5" ht="90" x14ac:dyDescent="0.25">
      <c r="C4188" s="15">
        <v>249349</v>
      </c>
      <c r="D4188" s="4" t="s">
        <v>4192</v>
      </c>
      <c r="E4188" s="4" t="str">
        <f>HYPERLINK("https://app.crepc.sk/?fn=detailBiblioForm&amp;sid=923F6DECD2F5E1804076ED03E3")</f>
        <v>https://app.crepc.sk/?fn=detailBiblioForm&amp;sid=923F6DECD2F5E1804076ED03E3</v>
      </c>
    </row>
    <row r="4189" spans="3:5" ht="90" x14ac:dyDescent="0.25">
      <c r="C4189" s="15">
        <v>311062</v>
      </c>
      <c r="D4189" s="4" t="s">
        <v>4193</v>
      </c>
      <c r="E4189" s="4" t="str">
        <f>HYPERLINK("https://app.crepc.sk/?fn=detailBiblioForm&amp;sid=2D3067B65E7513C568B3F81B67")</f>
        <v>https://app.crepc.sk/?fn=detailBiblioForm&amp;sid=2D3067B65E7513C568B3F81B67</v>
      </c>
    </row>
    <row r="4190" spans="3:5" ht="105" x14ac:dyDescent="0.25">
      <c r="C4190" s="15">
        <v>100034</v>
      </c>
      <c r="D4190" s="4" t="s">
        <v>4194</v>
      </c>
      <c r="E4190" s="4" t="str">
        <f>HYPERLINK("https://app.crepc.sk/?fn=detailBiblioForm&amp;sid=8D3F7791082C9B6934D080258C")</f>
        <v>https://app.crepc.sk/?fn=detailBiblioForm&amp;sid=8D3F7791082C9B6934D080258C</v>
      </c>
    </row>
    <row r="4191" spans="3:5" ht="120" x14ac:dyDescent="0.25">
      <c r="C4191" s="15">
        <v>240123</v>
      </c>
      <c r="D4191" s="4" t="s">
        <v>4195</v>
      </c>
      <c r="E4191" s="4" t="str">
        <f>HYPERLINK("https://app.crepc.sk/?fn=detailBiblioForm&amp;sid=8C03137733E1322945EEB71FC2")</f>
        <v>https://app.crepc.sk/?fn=detailBiblioForm&amp;sid=8C03137733E1322945EEB71FC2</v>
      </c>
    </row>
    <row r="4192" spans="3:5" ht="90" x14ac:dyDescent="0.25">
      <c r="C4192" s="15">
        <v>101603</v>
      </c>
      <c r="D4192" s="4" t="s">
        <v>4196</v>
      </c>
      <c r="E4192" s="4" t="str">
        <f>HYPERLINK("https://app.crepc.sk/?fn=detailBiblioForm&amp;sid=6AEB618394BDC70BB182A15259")</f>
        <v>https://app.crepc.sk/?fn=detailBiblioForm&amp;sid=6AEB618394BDC70BB182A15259</v>
      </c>
    </row>
    <row r="4193" spans="1:5" ht="90" x14ac:dyDescent="0.25">
      <c r="C4193" s="15">
        <v>58890</v>
      </c>
      <c r="D4193" s="4" t="s">
        <v>4197</v>
      </c>
      <c r="E4193" s="4" t="str">
        <f>HYPERLINK("https://app.crepc.sk/?fn=detailBiblioForm&amp;sid=8A3D9F74799120BC72B36648")</f>
        <v>https://app.crepc.sk/?fn=detailBiblioForm&amp;sid=8A3D9F74799120BC72B36648</v>
      </c>
    </row>
    <row r="4194" spans="1:5" ht="90" x14ac:dyDescent="0.25">
      <c r="C4194" s="15">
        <v>180824</v>
      </c>
      <c r="D4194" s="4" t="s">
        <v>4198</v>
      </c>
      <c r="E4194" s="4" t="str">
        <f>HYPERLINK("https://app.crepc.sk/?fn=detailBiblioForm&amp;sid=CAE3E57F1FDC62BA2BB8B4FED8")</f>
        <v>https://app.crepc.sk/?fn=detailBiblioForm&amp;sid=CAE3E57F1FDC62BA2BB8B4FED8</v>
      </c>
    </row>
    <row r="4195" spans="1:5" ht="60" x14ac:dyDescent="0.25">
      <c r="C4195" s="15">
        <v>204048</v>
      </c>
      <c r="D4195" s="4" t="s">
        <v>4199</v>
      </c>
      <c r="E4195" s="4" t="str">
        <f>HYPERLINK("https://app.crepc.sk/?fn=detailBiblioForm&amp;sid=22C33CF28BEFC43A4D3239B119")</f>
        <v>https://app.crepc.sk/?fn=detailBiblioForm&amp;sid=22C33CF28BEFC43A4D3239B119</v>
      </c>
    </row>
    <row r="4196" spans="1:5" ht="75" x14ac:dyDescent="0.25">
      <c r="C4196" s="15">
        <v>70693</v>
      </c>
      <c r="D4196" s="4" t="s">
        <v>4200</v>
      </c>
      <c r="E4196" s="4" t="str">
        <f>HYPERLINK("https://app.crepc.sk/?fn=detailBiblioForm&amp;sid=E453776C19728F2BA256897D")</f>
        <v>https://app.crepc.sk/?fn=detailBiblioForm&amp;sid=E453776C19728F2BA256897D</v>
      </c>
    </row>
    <row r="4197" spans="1:5" ht="105" x14ac:dyDescent="0.25">
      <c r="C4197" s="15">
        <v>175889</v>
      </c>
      <c r="D4197" s="4" t="s">
        <v>4201</v>
      </c>
      <c r="E4197" s="4" t="str">
        <f>HYPERLINK("https://app.crepc.sk/?fn=detailBiblioForm&amp;sid=77472A57103095E442040BB0E4")</f>
        <v>https://app.crepc.sk/?fn=detailBiblioForm&amp;sid=77472A57103095E442040BB0E4</v>
      </c>
    </row>
    <row r="4198" spans="1:5" ht="60" x14ac:dyDescent="0.25">
      <c r="C4198" s="15">
        <v>121785</v>
      </c>
      <c r="D4198" s="4" t="s">
        <v>4202</v>
      </c>
      <c r="E4198" s="4" t="str">
        <f>HYPERLINK("https://app.crepc.sk/?fn=detailBiblioForm&amp;sid=9BA729332E6B4AD3AF8D6A8CAB")</f>
        <v>https://app.crepc.sk/?fn=detailBiblioForm&amp;sid=9BA729332E6B4AD3AF8D6A8CAB</v>
      </c>
    </row>
    <row r="4199" spans="1:5" ht="60" x14ac:dyDescent="0.25">
      <c r="C4199" s="15">
        <v>132897</v>
      </c>
      <c r="D4199" s="4" t="s">
        <v>4203</v>
      </c>
      <c r="E4199" s="4" t="str">
        <f>HYPERLINK("https://app.crepc.sk/?fn=detailBiblioForm&amp;sid=657CC2697EDCD86418B2072705")</f>
        <v>https://app.crepc.sk/?fn=detailBiblioForm&amp;sid=657CC2697EDCD86418B2072705</v>
      </c>
    </row>
    <row r="4200" spans="1:5" ht="90" x14ac:dyDescent="0.25">
      <c r="C4200" s="15">
        <v>230176</v>
      </c>
      <c r="D4200" s="4" t="s">
        <v>4204</v>
      </c>
      <c r="E4200" s="4" t="str">
        <f>HYPERLINK("https://app.crepc.sk/?fn=detailBiblioForm&amp;sid=49F6F4DB78CA98AD303331639D")</f>
        <v>https://app.crepc.sk/?fn=detailBiblioForm&amp;sid=49F6F4DB78CA98AD303331639D</v>
      </c>
    </row>
    <row r="4201" spans="1:5" ht="135" x14ac:dyDescent="0.25">
      <c r="C4201" s="15">
        <v>306261</v>
      </c>
      <c r="D4201" s="4" t="s">
        <v>4205</v>
      </c>
      <c r="E4201" s="4" t="str">
        <f>HYPERLINK("https://app.crepc.sk/?fn=detailBiblioForm&amp;sid=2BC820A3AFEB8539D2B2A78DDC")</f>
        <v>https://app.crepc.sk/?fn=detailBiblioForm&amp;sid=2BC820A3AFEB8539D2B2A78DDC</v>
      </c>
    </row>
    <row r="4202" spans="1:5" ht="30" x14ac:dyDescent="0.25">
      <c r="A4202" s="4" t="s">
        <v>4206</v>
      </c>
      <c r="B4202" s="15">
        <v>389</v>
      </c>
    </row>
    <row r="4203" spans="1:5" ht="90" x14ac:dyDescent="0.25">
      <c r="C4203" s="15">
        <v>107712</v>
      </c>
      <c r="D4203" s="4" t="s">
        <v>4207</v>
      </c>
      <c r="E4203" s="4" t="str">
        <f>HYPERLINK("https://app.crepc.sk/?fn=detailBiblioForm&amp;sid=3BADC4E07DB13750ED5728EE0F")</f>
        <v>https://app.crepc.sk/?fn=detailBiblioForm&amp;sid=3BADC4E07DB13750ED5728EE0F</v>
      </c>
    </row>
    <row r="4204" spans="1:5" ht="45" x14ac:dyDescent="0.25">
      <c r="C4204" s="15">
        <v>91446</v>
      </c>
      <c r="D4204" s="4" t="s">
        <v>4208</v>
      </c>
      <c r="E4204" s="4" t="str">
        <f>HYPERLINK("https://app.crepc.sk/?fn=detailBiblioForm&amp;sid=0104AEC2949F9403CB79B335")</f>
        <v>https://app.crepc.sk/?fn=detailBiblioForm&amp;sid=0104AEC2949F9403CB79B335</v>
      </c>
    </row>
    <row r="4205" spans="1:5" ht="75" x14ac:dyDescent="0.25">
      <c r="C4205" s="15">
        <v>209432</v>
      </c>
      <c r="D4205" s="4" t="s">
        <v>4209</v>
      </c>
      <c r="E4205" s="4" t="str">
        <f>HYPERLINK("https://app.crepc.sk/?fn=detailBiblioForm&amp;sid=C700BBDD7432265F2A9FB16113")</f>
        <v>https://app.crepc.sk/?fn=detailBiblioForm&amp;sid=C700BBDD7432265F2A9FB16113</v>
      </c>
    </row>
    <row r="4206" spans="1:5" ht="75" x14ac:dyDescent="0.25">
      <c r="C4206" s="15">
        <v>314633</v>
      </c>
      <c r="D4206" s="4" t="s">
        <v>4210</v>
      </c>
      <c r="E4206" s="4" t="str">
        <f>HYPERLINK("https://app.crepc.sk/?fn=detailBiblioForm&amp;sid=0D699139B41EFD4760530CC574")</f>
        <v>https://app.crepc.sk/?fn=detailBiblioForm&amp;sid=0D699139B41EFD4760530CC574</v>
      </c>
    </row>
    <row r="4207" spans="1:5" ht="60" x14ac:dyDescent="0.25">
      <c r="C4207" s="15">
        <v>162055</v>
      </c>
      <c r="D4207" s="4" t="s">
        <v>4211</v>
      </c>
      <c r="E4207" s="4" t="str">
        <f>HYPERLINK("https://app.crepc.sk/?fn=detailBiblioForm&amp;sid=64F3CCE308D9C9BF40EF842526")</f>
        <v>https://app.crepc.sk/?fn=detailBiblioForm&amp;sid=64F3CCE308D9C9BF40EF842526</v>
      </c>
    </row>
    <row r="4208" spans="1:5" ht="75" x14ac:dyDescent="0.25">
      <c r="C4208" s="15">
        <v>148339</v>
      </c>
      <c r="D4208" s="4" t="s">
        <v>4212</v>
      </c>
      <c r="E4208" s="4" t="str">
        <f>HYPERLINK("https://app.crepc.sk/?fn=detailBiblioForm&amp;sid=80CDED8A8239348A63B352B4DF")</f>
        <v>https://app.crepc.sk/?fn=detailBiblioForm&amp;sid=80CDED8A8239348A63B352B4DF</v>
      </c>
    </row>
    <row r="4209" spans="3:5" ht="60" x14ac:dyDescent="0.25">
      <c r="C4209" s="15">
        <v>163644</v>
      </c>
      <c r="D4209" s="4" t="s">
        <v>4213</v>
      </c>
      <c r="E4209" s="4" t="str">
        <f>HYPERLINK("https://app.crepc.sk/?fn=detailBiblioForm&amp;sid=4E9CAE35D73C8B4E06F133E524")</f>
        <v>https://app.crepc.sk/?fn=detailBiblioForm&amp;sid=4E9CAE35D73C8B4E06F133E524</v>
      </c>
    </row>
    <row r="4210" spans="3:5" ht="75" x14ac:dyDescent="0.25">
      <c r="C4210" s="15">
        <v>121110</v>
      </c>
      <c r="D4210" s="4" t="s">
        <v>4214</v>
      </c>
      <c r="E4210" s="4" t="str">
        <f>HYPERLINK("https://app.crepc.sk/?fn=detailBiblioForm&amp;sid=89B7BE4D03EE00FA70576CCD7F")</f>
        <v>https://app.crepc.sk/?fn=detailBiblioForm&amp;sid=89B7BE4D03EE00FA70576CCD7F</v>
      </c>
    </row>
    <row r="4211" spans="3:5" ht="60" x14ac:dyDescent="0.25">
      <c r="C4211" s="15">
        <v>174583</v>
      </c>
      <c r="D4211" s="4" t="s">
        <v>4215</v>
      </c>
      <c r="E4211" s="4" t="str">
        <f>HYPERLINK("https://app.crepc.sk/?fn=detailBiblioForm&amp;sid=72A4E145D65F5DA0BE4C551D33")</f>
        <v>https://app.crepc.sk/?fn=detailBiblioForm&amp;sid=72A4E145D65F5DA0BE4C551D33</v>
      </c>
    </row>
    <row r="4212" spans="3:5" ht="75" x14ac:dyDescent="0.25">
      <c r="C4212" s="15">
        <v>418882</v>
      </c>
      <c r="D4212" s="4" t="s">
        <v>4216</v>
      </c>
      <c r="E4212" s="4" t="str">
        <f>HYPERLINK("https://app.crepc.sk/?fn=detailBiblioForm&amp;sid=40391BE0B569A787EF8F3F90A0")</f>
        <v>https://app.crepc.sk/?fn=detailBiblioForm&amp;sid=40391BE0B569A787EF8F3F90A0</v>
      </c>
    </row>
    <row r="4213" spans="3:5" ht="60" x14ac:dyDescent="0.25">
      <c r="C4213" s="15">
        <v>453593</v>
      </c>
      <c r="D4213" s="4" t="s">
        <v>4217</v>
      </c>
      <c r="E4213" s="4" t="str">
        <f>HYPERLINK("https://app.crepc.sk/?fn=detailBiblioForm&amp;sid=363E3362E176FDAD8768F4D970")</f>
        <v>https://app.crepc.sk/?fn=detailBiblioForm&amp;sid=363E3362E176FDAD8768F4D970</v>
      </c>
    </row>
    <row r="4214" spans="3:5" ht="60" x14ac:dyDescent="0.25">
      <c r="C4214" s="15">
        <v>75107</v>
      </c>
      <c r="D4214" s="4" t="s">
        <v>4218</v>
      </c>
      <c r="E4214" s="4" t="str">
        <f>HYPERLINK("https://app.crepc.sk/?fn=detailBiblioForm&amp;sid=223C6C7A968818ACECB4A444")</f>
        <v>https://app.crepc.sk/?fn=detailBiblioForm&amp;sid=223C6C7A968818ACECB4A444</v>
      </c>
    </row>
    <row r="4215" spans="3:5" ht="75" x14ac:dyDescent="0.25">
      <c r="C4215" s="15">
        <v>423501</v>
      </c>
      <c r="D4215" s="4" t="s">
        <v>4219</v>
      </c>
      <c r="E4215" s="4" t="str">
        <f>HYPERLINK("https://app.crepc.sk/?fn=detailBiblioForm&amp;sid=7115133E307B1B7E016754C7D5")</f>
        <v>https://app.crepc.sk/?fn=detailBiblioForm&amp;sid=7115133E307B1B7E016754C7D5</v>
      </c>
    </row>
    <row r="4216" spans="3:5" ht="60" x14ac:dyDescent="0.25">
      <c r="C4216" s="15">
        <v>214947</v>
      </c>
      <c r="D4216" s="4" t="s">
        <v>4220</v>
      </c>
      <c r="E4216" s="4" t="str">
        <f>HYPERLINK("https://app.crepc.sk/?fn=detailBiblioForm&amp;sid=4B134B232C8D21814CF86DD966")</f>
        <v>https://app.crepc.sk/?fn=detailBiblioForm&amp;sid=4B134B232C8D21814CF86DD966</v>
      </c>
    </row>
    <row r="4217" spans="3:5" ht="60" x14ac:dyDescent="0.25">
      <c r="C4217" s="15">
        <v>240008</v>
      </c>
      <c r="D4217" s="4" t="s">
        <v>4221</v>
      </c>
      <c r="E4217" s="4" t="str">
        <f>HYPERLINK("https://app.crepc.sk/?fn=detailBiblioForm&amp;sid=2AB6E0667987184168051376C9")</f>
        <v>https://app.crepc.sk/?fn=detailBiblioForm&amp;sid=2AB6E0667987184168051376C9</v>
      </c>
    </row>
    <row r="4218" spans="3:5" ht="60" x14ac:dyDescent="0.25">
      <c r="C4218" s="15">
        <v>164728</v>
      </c>
      <c r="D4218" s="4" t="s">
        <v>4222</v>
      </c>
      <c r="E4218" s="4" t="str">
        <f>HYPERLINK("https://app.crepc.sk/?fn=detailBiblioForm&amp;sid=FD93F7145DB9686268DE5BF9A8")</f>
        <v>https://app.crepc.sk/?fn=detailBiblioForm&amp;sid=FD93F7145DB9686268DE5BF9A8</v>
      </c>
    </row>
    <row r="4219" spans="3:5" ht="45" x14ac:dyDescent="0.25">
      <c r="C4219" s="15">
        <v>85087</v>
      </c>
      <c r="D4219" s="4" t="s">
        <v>4223</v>
      </c>
      <c r="E4219" s="4" t="str">
        <f>HYPERLINK("https://app.crepc.sk/?fn=detailBiblioForm&amp;sid=170422DD690F3E0D5F245795")</f>
        <v>https://app.crepc.sk/?fn=detailBiblioForm&amp;sid=170422DD690F3E0D5F245795</v>
      </c>
    </row>
    <row r="4220" spans="3:5" ht="60" x14ac:dyDescent="0.25">
      <c r="C4220" s="15">
        <v>180826</v>
      </c>
      <c r="D4220" s="4" t="s">
        <v>4224</v>
      </c>
      <c r="E4220" s="4" t="str">
        <f>HYPERLINK("https://app.crepc.sk/?fn=detailBiblioForm&amp;sid=CAE3E57F1FDC62BA2BBAB4FED8")</f>
        <v>https://app.crepc.sk/?fn=detailBiblioForm&amp;sid=CAE3E57F1FDC62BA2BBAB4FED8</v>
      </c>
    </row>
    <row r="4221" spans="3:5" ht="60" x14ac:dyDescent="0.25">
      <c r="C4221" s="15">
        <v>105341</v>
      </c>
      <c r="D4221" s="4" t="s">
        <v>4225</v>
      </c>
      <c r="E4221" s="4" t="str">
        <f>HYPERLINK("https://app.crepc.sk/?fn=detailBiblioForm&amp;sid=E84B3E3EDA810AC00869399568")</f>
        <v>https://app.crepc.sk/?fn=detailBiblioForm&amp;sid=E84B3E3EDA810AC00869399568</v>
      </c>
    </row>
    <row r="4222" spans="3:5" ht="60" x14ac:dyDescent="0.25">
      <c r="C4222" s="15">
        <v>143243</v>
      </c>
      <c r="D4222" s="4" t="s">
        <v>4226</v>
      </c>
      <c r="E4222" s="4" t="str">
        <f>HYPERLINK("https://app.crepc.sk/?fn=detailBiblioForm&amp;sid=8AAE5857BF69342076B2E25F65")</f>
        <v>https://app.crepc.sk/?fn=detailBiblioForm&amp;sid=8AAE5857BF69342076B2E25F65</v>
      </c>
    </row>
    <row r="4223" spans="3:5" ht="60" x14ac:dyDescent="0.25">
      <c r="C4223" s="15">
        <v>143241</v>
      </c>
      <c r="D4223" s="4" t="s">
        <v>4227</v>
      </c>
      <c r="E4223" s="4" t="str">
        <f>HYPERLINK("https://app.crepc.sk/?fn=detailBiblioForm&amp;sid=8AAE5857BF69342076B0E25F65")</f>
        <v>https://app.crepc.sk/?fn=detailBiblioForm&amp;sid=8AAE5857BF69342076B0E25F65</v>
      </c>
    </row>
    <row r="4224" spans="3:5" ht="45" x14ac:dyDescent="0.25">
      <c r="C4224" s="15">
        <v>55884</v>
      </c>
      <c r="D4224" s="4" t="s">
        <v>4228</v>
      </c>
      <c r="E4224" s="4" t="str">
        <f>HYPERLINK("https://app.crepc.sk/?fn=detailBiblioForm&amp;sid=17BA85819C6BB41912310555")</f>
        <v>https://app.crepc.sk/?fn=detailBiblioForm&amp;sid=17BA85819C6BB41912310555</v>
      </c>
    </row>
    <row r="4225" spans="3:5" ht="60" x14ac:dyDescent="0.25">
      <c r="C4225" s="15">
        <v>315291</v>
      </c>
      <c r="D4225" s="4" t="s">
        <v>4229</v>
      </c>
      <c r="E4225" s="4" t="str">
        <f>HYPERLINK("https://app.crepc.sk/?fn=detailBiblioForm&amp;sid=D8E909CCB80199183AB5757C25")</f>
        <v>https://app.crepc.sk/?fn=detailBiblioForm&amp;sid=D8E909CCB80199183AB5757C25</v>
      </c>
    </row>
    <row r="4226" spans="3:5" ht="60" x14ac:dyDescent="0.25">
      <c r="C4226" s="15">
        <v>129777</v>
      </c>
      <c r="D4226" s="4" t="s">
        <v>4230</v>
      </c>
      <c r="E4226" s="4" t="str">
        <f>HYPERLINK("https://app.crepc.sk/?fn=detailBiblioForm&amp;sid=C9465A2E9A03019849D70E3F37")</f>
        <v>https://app.crepc.sk/?fn=detailBiblioForm&amp;sid=C9465A2E9A03019849D70E3F37</v>
      </c>
    </row>
    <row r="4227" spans="3:5" ht="105" x14ac:dyDescent="0.25">
      <c r="C4227" s="15">
        <v>120470</v>
      </c>
      <c r="D4227" s="4" t="s">
        <v>4231</v>
      </c>
      <c r="E4227" s="4" t="str">
        <f>HYPERLINK("https://app.crepc.sk/?fn=detailBiblioForm&amp;sid=7772E9E5CC071049D85F92E7B2")</f>
        <v>https://app.crepc.sk/?fn=detailBiblioForm&amp;sid=7772E9E5CC071049D85F92E7B2</v>
      </c>
    </row>
    <row r="4228" spans="3:5" ht="60" x14ac:dyDescent="0.25">
      <c r="C4228" s="15">
        <v>97418</v>
      </c>
      <c r="D4228" s="4" t="s">
        <v>4232</v>
      </c>
      <c r="E4228" s="4" t="str">
        <f>HYPERLINK("https://app.crepc.sk/?fn=detailBiblioForm&amp;sid=3E064B5AE480F5625A907E7E")</f>
        <v>https://app.crepc.sk/?fn=detailBiblioForm&amp;sid=3E064B5AE480F5625A907E7E</v>
      </c>
    </row>
    <row r="4229" spans="3:5" ht="90" x14ac:dyDescent="0.25">
      <c r="C4229" s="15">
        <v>140099</v>
      </c>
      <c r="D4229" s="4" t="s">
        <v>4233</v>
      </c>
      <c r="E4229" s="4" t="str">
        <f>HYPERLINK("https://app.crepc.sk/?fn=detailBiblioForm&amp;sid=C8A43D1D2346C05921A2A960AA")</f>
        <v>https://app.crepc.sk/?fn=detailBiblioForm&amp;sid=C8A43D1D2346C05921A2A960AA</v>
      </c>
    </row>
    <row r="4230" spans="3:5" ht="75" x14ac:dyDescent="0.25">
      <c r="C4230" s="15">
        <v>82554</v>
      </c>
      <c r="D4230" s="4" t="s">
        <v>4234</v>
      </c>
      <c r="E4230" s="4" t="str">
        <f>HYPERLINK("https://app.crepc.sk/?fn=detailBiblioForm&amp;sid=E68A21E5BA63D6D9865557D7")</f>
        <v>https://app.crepc.sk/?fn=detailBiblioForm&amp;sid=E68A21E5BA63D6D9865557D7</v>
      </c>
    </row>
    <row r="4231" spans="3:5" ht="90" x14ac:dyDescent="0.25">
      <c r="C4231" s="15">
        <v>149292</v>
      </c>
      <c r="D4231" s="4" t="s">
        <v>4235</v>
      </c>
      <c r="E4231" s="4" t="str">
        <f>HYPERLINK("https://app.crepc.sk/?fn=detailBiblioForm&amp;sid=67B569DE93B0833F17490AB8BD")</f>
        <v>https://app.crepc.sk/?fn=detailBiblioForm&amp;sid=67B569DE93B0833F17490AB8BD</v>
      </c>
    </row>
    <row r="4232" spans="3:5" ht="60" x14ac:dyDescent="0.25">
      <c r="C4232" s="15">
        <v>124826</v>
      </c>
      <c r="D4232" s="4" t="s">
        <v>4236</v>
      </c>
      <c r="E4232" s="4" t="str">
        <f>HYPERLINK("https://app.crepc.sk/?fn=detailBiblioForm&amp;sid=DBBA30DD5E77A1386833840F51")</f>
        <v>https://app.crepc.sk/?fn=detailBiblioForm&amp;sid=DBBA30DD5E77A1386833840F51</v>
      </c>
    </row>
    <row r="4233" spans="3:5" ht="60" x14ac:dyDescent="0.25">
      <c r="C4233" s="15">
        <v>230041</v>
      </c>
      <c r="D4233" s="4" t="s">
        <v>4237</v>
      </c>
      <c r="E4233" s="4" t="str">
        <f>HYPERLINK("https://app.crepc.sk/?fn=detailBiblioForm&amp;sid=1447EAD9E9ED6D3C247B565EB0")</f>
        <v>https://app.crepc.sk/?fn=detailBiblioForm&amp;sid=1447EAD9E9ED6D3C247B565EB0</v>
      </c>
    </row>
    <row r="4234" spans="3:5" ht="60" x14ac:dyDescent="0.25">
      <c r="C4234" s="15">
        <v>163900</v>
      </c>
      <c r="D4234" s="4" t="s">
        <v>4238</v>
      </c>
      <c r="E4234" s="4" t="str">
        <f>HYPERLINK("https://app.crepc.sk/?fn=detailBiblioForm&amp;sid=1C2ACAED49234363BF528FC043")</f>
        <v>https://app.crepc.sk/?fn=detailBiblioForm&amp;sid=1C2ACAED49234363BF528FC043</v>
      </c>
    </row>
    <row r="4235" spans="3:5" ht="60" x14ac:dyDescent="0.25">
      <c r="C4235" s="15">
        <v>82574</v>
      </c>
      <c r="D4235" s="4" t="s">
        <v>4239</v>
      </c>
      <c r="E4235" s="4" t="str">
        <f>HYPERLINK("https://app.crepc.sk/?fn=detailBiblioForm&amp;sid=DE4C0FF8963CC44F2A2EB019")</f>
        <v>https://app.crepc.sk/?fn=detailBiblioForm&amp;sid=DE4C0FF8963CC44F2A2EB019</v>
      </c>
    </row>
    <row r="4236" spans="3:5" ht="60" x14ac:dyDescent="0.25">
      <c r="C4236" s="15">
        <v>151429</v>
      </c>
      <c r="D4236" s="4" t="s">
        <v>4240</v>
      </c>
      <c r="E4236" s="4" t="str">
        <f>HYPERLINK("https://app.crepc.sk/?fn=detailBiblioForm&amp;sid=C7FB5A0F39169367AD565AA4EB")</f>
        <v>https://app.crepc.sk/?fn=detailBiblioForm&amp;sid=C7FB5A0F39169367AD565AA4EB</v>
      </c>
    </row>
    <row r="4237" spans="3:5" ht="75" x14ac:dyDescent="0.25">
      <c r="C4237" s="15">
        <v>92321</v>
      </c>
      <c r="D4237" s="4" t="s">
        <v>4241</v>
      </c>
      <c r="E4237" s="4" t="str">
        <f>HYPERLINK("https://app.crepc.sk/?fn=detailBiblioForm&amp;sid=83484FF8B9E72F35B383C2DA")</f>
        <v>https://app.crepc.sk/?fn=detailBiblioForm&amp;sid=83484FF8B9E72F35B383C2DA</v>
      </c>
    </row>
    <row r="4238" spans="3:5" ht="60" x14ac:dyDescent="0.25">
      <c r="C4238" s="15">
        <v>231797</v>
      </c>
      <c r="D4238" s="4" t="s">
        <v>4242</v>
      </c>
      <c r="E4238" s="4" t="str">
        <f>HYPERLINK("https://app.crepc.sk/?fn=detailBiblioForm&amp;sid=38A632B703C5D508A00E48849E")</f>
        <v>https://app.crepc.sk/?fn=detailBiblioForm&amp;sid=38A632B703C5D508A00E48849E</v>
      </c>
    </row>
    <row r="4239" spans="3:5" ht="60" x14ac:dyDescent="0.25">
      <c r="C4239" s="15">
        <v>105165</v>
      </c>
      <c r="D4239" s="4" t="s">
        <v>4243</v>
      </c>
      <c r="E4239" s="4" t="str">
        <f>HYPERLINK("https://app.crepc.sk/?fn=detailBiblioForm&amp;sid=A406D59750C55BB3FD2315E82A")</f>
        <v>https://app.crepc.sk/?fn=detailBiblioForm&amp;sid=A406D59750C55BB3FD2315E82A</v>
      </c>
    </row>
    <row r="4240" spans="3:5" ht="60" x14ac:dyDescent="0.25">
      <c r="C4240" s="15">
        <v>129791</v>
      </c>
      <c r="D4240" s="4" t="s">
        <v>4244</v>
      </c>
      <c r="E4240" s="4" t="str">
        <f>HYPERLINK("https://app.crepc.sk/?fn=detailBiblioForm&amp;sid=C9465A2E9A03019847D10E3F37")</f>
        <v>https://app.crepc.sk/?fn=detailBiblioForm&amp;sid=C9465A2E9A03019847D10E3F37</v>
      </c>
    </row>
    <row r="4241" spans="3:5" ht="60" x14ac:dyDescent="0.25">
      <c r="C4241" s="15">
        <v>174956</v>
      </c>
      <c r="D4241" s="4" t="s">
        <v>4245</v>
      </c>
      <c r="E4241" s="4" t="str">
        <f>HYPERLINK("https://app.crepc.sk/?fn=detailBiblioForm&amp;sid=85CE14C1EED0152B7A36B6812F")</f>
        <v>https://app.crepc.sk/?fn=detailBiblioForm&amp;sid=85CE14C1EED0152B7A36B6812F</v>
      </c>
    </row>
    <row r="4242" spans="3:5" ht="60" x14ac:dyDescent="0.25">
      <c r="C4242" s="15">
        <v>210618</v>
      </c>
      <c r="D4242" s="4" t="s">
        <v>4246</v>
      </c>
      <c r="E4242" s="4" t="str">
        <f>HYPERLINK("https://app.crepc.sk/?fn=detailBiblioForm&amp;sid=8ABD05AB2D2CD5443DE6719140")</f>
        <v>https://app.crepc.sk/?fn=detailBiblioForm&amp;sid=8ABD05AB2D2CD5443DE6719140</v>
      </c>
    </row>
    <row r="4243" spans="3:5" ht="60" x14ac:dyDescent="0.25">
      <c r="C4243" s="15">
        <v>121250</v>
      </c>
      <c r="D4243" s="4" t="s">
        <v>4247</v>
      </c>
      <c r="E4243" s="4" t="str">
        <f>HYPERLINK("https://app.crepc.sk/?fn=detailBiblioForm&amp;sid=EA4F5DCBA4E443C88F8D66ACED")</f>
        <v>https://app.crepc.sk/?fn=detailBiblioForm&amp;sid=EA4F5DCBA4E443C88F8D66ACED</v>
      </c>
    </row>
    <row r="4244" spans="3:5" ht="60" x14ac:dyDescent="0.25">
      <c r="C4244" s="15">
        <v>163640</v>
      </c>
      <c r="D4244" s="4" t="s">
        <v>4248</v>
      </c>
      <c r="E4244" s="4" t="str">
        <f>HYPERLINK("https://app.crepc.sk/?fn=detailBiblioForm&amp;sid=4E9CAE35D73C8B4E06F533E524")</f>
        <v>https://app.crepc.sk/?fn=detailBiblioForm&amp;sid=4E9CAE35D73C8B4E06F533E524</v>
      </c>
    </row>
    <row r="4245" spans="3:5" ht="60" x14ac:dyDescent="0.25">
      <c r="C4245" s="15">
        <v>445195</v>
      </c>
      <c r="D4245" s="4" t="s">
        <v>4249</v>
      </c>
      <c r="E4245" s="4" t="str">
        <f>HYPERLINK("https://app.crepc.sk/?fn=detailBiblioForm&amp;sid=0899011EB907D11078B7E7DCE6")</f>
        <v>https://app.crepc.sk/?fn=detailBiblioForm&amp;sid=0899011EB907D11078B7E7DCE6</v>
      </c>
    </row>
    <row r="4246" spans="3:5" ht="75" x14ac:dyDescent="0.25">
      <c r="C4246" s="15">
        <v>197353</v>
      </c>
      <c r="D4246" s="4" t="s">
        <v>4250</v>
      </c>
      <c r="E4246" s="4" t="str">
        <f>HYPERLINK("https://app.crepc.sk/?fn=detailBiblioForm&amp;sid=DC4ED816FF1BFB25860B897557")</f>
        <v>https://app.crepc.sk/?fn=detailBiblioForm&amp;sid=DC4ED816FF1BFB25860B897557</v>
      </c>
    </row>
    <row r="4247" spans="3:5" ht="60" x14ac:dyDescent="0.25">
      <c r="C4247" s="15">
        <v>94980</v>
      </c>
      <c r="D4247" s="4" t="s">
        <v>4251</v>
      </c>
      <c r="E4247" s="4" t="str">
        <f>HYPERLINK("https://app.crepc.sk/?fn=detailBiblioForm&amp;sid=2580D672A967005EB2AE5E32")</f>
        <v>https://app.crepc.sk/?fn=detailBiblioForm&amp;sid=2580D672A967005EB2AE5E32</v>
      </c>
    </row>
    <row r="4248" spans="3:5" ht="45" x14ac:dyDescent="0.25">
      <c r="C4248" s="15">
        <v>57035</v>
      </c>
      <c r="D4248" s="4" t="s">
        <v>4252</v>
      </c>
      <c r="E4248" s="4" t="str">
        <f>HYPERLINK("https://app.crepc.sk/?fn=detailBiblioForm&amp;sid=CA14426B32D398589E88E22B")</f>
        <v>https://app.crepc.sk/?fn=detailBiblioForm&amp;sid=CA14426B32D398589E88E22B</v>
      </c>
    </row>
    <row r="4249" spans="3:5" ht="120" x14ac:dyDescent="0.25">
      <c r="C4249" s="15">
        <v>202552</v>
      </c>
      <c r="D4249" s="4" t="s">
        <v>4253</v>
      </c>
      <c r="E4249" s="4" t="str">
        <f>HYPERLINK("https://app.crepc.sk/?fn=detailBiblioForm&amp;sid=3036734F2764D6FCC037D36630")</f>
        <v>https://app.crepc.sk/?fn=detailBiblioForm&amp;sid=3036734F2764D6FCC037D36630</v>
      </c>
    </row>
    <row r="4250" spans="3:5" ht="75" x14ac:dyDescent="0.25">
      <c r="C4250" s="15">
        <v>82565</v>
      </c>
      <c r="D4250" s="4" t="s">
        <v>4254</v>
      </c>
      <c r="E4250" s="4" t="str">
        <f>HYPERLINK("https://app.crepc.sk/?fn=detailBiblioForm&amp;sid=65D66E33438A00395FBB3CA0")</f>
        <v>https://app.crepc.sk/?fn=detailBiblioForm&amp;sid=65D66E33438A00395FBB3CA0</v>
      </c>
    </row>
    <row r="4251" spans="3:5" ht="45" x14ac:dyDescent="0.25">
      <c r="C4251" s="15">
        <v>188925</v>
      </c>
      <c r="D4251" s="4" t="s">
        <v>4255</v>
      </c>
      <c r="E4251" s="4" t="str">
        <f>HYPERLINK("https://app.crepc.sk/?fn=detailBiblioForm&amp;sid=FAAE1CFD20B9329824CFB0C0C8")</f>
        <v>https://app.crepc.sk/?fn=detailBiblioForm&amp;sid=FAAE1CFD20B9329824CFB0C0C8</v>
      </c>
    </row>
    <row r="4252" spans="3:5" ht="60" x14ac:dyDescent="0.25">
      <c r="C4252" s="15">
        <v>101999</v>
      </c>
      <c r="D4252" s="4" t="s">
        <v>4256</v>
      </c>
      <c r="E4252" s="4" t="str">
        <f>HYPERLINK("https://app.crepc.sk/?fn=detailBiblioForm&amp;sid=D80D1AB294E7FDBA3D7AAEC1B2")</f>
        <v>https://app.crepc.sk/?fn=detailBiblioForm&amp;sid=D80D1AB294E7FDBA3D7AAEC1B2</v>
      </c>
    </row>
    <row r="4253" spans="3:5" ht="60" x14ac:dyDescent="0.25">
      <c r="C4253" s="15">
        <v>98871</v>
      </c>
      <c r="D4253" s="4" t="s">
        <v>4257</v>
      </c>
      <c r="E4253" s="4" t="str">
        <f>HYPERLINK("https://app.crepc.sk/?fn=detailBiblioForm&amp;sid=68CDD5F5381489574EED4D7E")</f>
        <v>https://app.crepc.sk/?fn=detailBiblioForm&amp;sid=68CDD5F5381489574EED4D7E</v>
      </c>
    </row>
    <row r="4254" spans="3:5" ht="60" x14ac:dyDescent="0.25">
      <c r="C4254" s="15">
        <v>98626</v>
      </c>
      <c r="D4254" s="4" t="s">
        <v>4258</v>
      </c>
      <c r="E4254" s="4" t="str">
        <f>HYPERLINK("https://app.crepc.sk/?fn=detailBiblioForm&amp;sid=5F87C9263833AE7AF5C04B08")</f>
        <v>https://app.crepc.sk/?fn=detailBiblioForm&amp;sid=5F87C9263833AE7AF5C04B08</v>
      </c>
    </row>
    <row r="4255" spans="3:5" ht="75" x14ac:dyDescent="0.25">
      <c r="C4255" s="15">
        <v>99149</v>
      </c>
      <c r="D4255" s="4" t="s">
        <v>4259</v>
      </c>
      <c r="E4255" s="4" t="str">
        <f>HYPERLINK("https://app.crepc.sk/?fn=detailBiblioForm&amp;sid=D5FF8BEF93D1A741B678894E")</f>
        <v>https://app.crepc.sk/?fn=detailBiblioForm&amp;sid=D5FF8BEF93D1A741B678894E</v>
      </c>
    </row>
    <row r="4256" spans="3:5" ht="45" x14ac:dyDescent="0.25">
      <c r="C4256" s="15">
        <v>207430</v>
      </c>
      <c r="D4256" s="4" t="s">
        <v>4260</v>
      </c>
      <c r="E4256" s="4" t="str">
        <f>HYPERLINK("https://app.crepc.sk/?fn=detailBiblioForm&amp;sid=710E036344B29395B88746F5C5")</f>
        <v>https://app.crepc.sk/?fn=detailBiblioForm&amp;sid=710E036344B29395B88746F5C5</v>
      </c>
    </row>
    <row r="4257" spans="3:5" ht="60" x14ac:dyDescent="0.25">
      <c r="C4257" s="15">
        <v>240853</v>
      </c>
      <c r="D4257" s="4" t="s">
        <v>4261</v>
      </c>
      <c r="E4257" s="4" t="str">
        <f>HYPERLINK("https://app.crepc.sk/?fn=detailBiblioForm&amp;sid=5B016660862A0AA5410622D6A0")</f>
        <v>https://app.crepc.sk/?fn=detailBiblioForm&amp;sid=5B016660862A0AA5410622D6A0</v>
      </c>
    </row>
    <row r="4258" spans="3:5" ht="75" x14ac:dyDescent="0.25">
      <c r="C4258" s="15">
        <v>452846</v>
      </c>
      <c r="D4258" s="4" t="s">
        <v>4262</v>
      </c>
      <c r="E4258" s="4" t="str">
        <f>HYPERLINK("https://app.crepc.sk/?fn=detailBiblioForm&amp;sid=91CD7061566AD6B5AB664466CD")</f>
        <v>https://app.crepc.sk/?fn=detailBiblioForm&amp;sid=91CD7061566AD6B5AB664466CD</v>
      </c>
    </row>
    <row r="4259" spans="3:5" ht="90" x14ac:dyDescent="0.25">
      <c r="C4259" s="15">
        <v>150812</v>
      </c>
      <c r="D4259" s="4" t="s">
        <v>4263</v>
      </c>
      <c r="E4259" s="4" t="str">
        <f>HYPERLINK("https://app.crepc.sk/?fn=detailBiblioForm&amp;sid=FBA0A0C68B9B2F0CA3CD30FB6B")</f>
        <v>https://app.crepc.sk/?fn=detailBiblioForm&amp;sid=FBA0A0C68B9B2F0CA3CD30FB6B</v>
      </c>
    </row>
    <row r="4260" spans="3:5" ht="75" x14ac:dyDescent="0.25">
      <c r="C4260" s="15">
        <v>54895</v>
      </c>
      <c r="D4260" s="4" t="s">
        <v>4264</v>
      </c>
      <c r="E4260" s="4" t="str">
        <f>HYPERLINK("https://app.crepc.sk/?fn=detailBiblioForm&amp;sid=AF07CA871AAC608CC288548A")</f>
        <v>https://app.crepc.sk/?fn=detailBiblioForm&amp;sid=AF07CA871AAC608CC288548A</v>
      </c>
    </row>
    <row r="4261" spans="3:5" ht="60" x14ac:dyDescent="0.25">
      <c r="C4261" s="15">
        <v>96221</v>
      </c>
      <c r="D4261" s="4" t="s">
        <v>4265</v>
      </c>
      <c r="E4261" s="4" t="str">
        <f>HYPERLINK("https://app.crepc.sk/?fn=detailBiblioForm&amp;sid=A8FD61C0E4345FE29654AF8B")</f>
        <v>https://app.crepc.sk/?fn=detailBiblioForm&amp;sid=A8FD61C0E4345FE29654AF8B</v>
      </c>
    </row>
    <row r="4262" spans="3:5" ht="45" x14ac:dyDescent="0.25">
      <c r="C4262" s="15">
        <v>185717</v>
      </c>
      <c r="D4262" s="4" t="s">
        <v>4266</v>
      </c>
      <c r="E4262" s="4" t="str">
        <f>HYPERLINK("https://app.crepc.sk/?fn=detailBiblioForm&amp;sid=D39A92077CB2E2E720478E9F9A")</f>
        <v>https://app.crepc.sk/?fn=detailBiblioForm&amp;sid=D39A92077CB2E2E720478E9F9A</v>
      </c>
    </row>
    <row r="4263" spans="3:5" ht="60" x14ac:dyDescent="0.25">
      <c r="C4263" s="15">
        <v>82569</v>
      </c>
      <c r="D4263" s="4" t="s">
        <v>4267</v>
      </c>
      <c r="E4263" s="4" t="str">
        <f>HYPERLINK("https://app.crepc.sk/?fn=detailBiblioForm&amp;sid=65D66E33438A003953BB3CA0")</f>
        <v>https://app.crepc.sk/?fn=detailBiblioForm&amp;sid=65D66E33438A003953BB3CA0</v>
      </c>
    </row>
    <row r="4264" spans="3:5" ht="60" x14ac:dyDescent="0.25">
      <c r="C4264" s="15">
        <v>432445</v>
      </c>
      <c r="D4264" s="4" t="s">
        <v>4268</v>
      </c>
      <c r="E4264" s="4" t="str">
        <f>HYPERLINK("https://app.crepc.sk/?fn=detailBiblioForm&amp;sid=9C6DDAD5CC83289CB04ACA964C")</f>
        <v>https://app.crepc.sk/?fn=detailBiblioForm&amp;sid=9C6DDAD5CC83289CB04ACA964C</v>
      </c>
    </row>
    <row r="4265" spans="3:5" ht="75" x14ac:dyDescent="0.25">
      <c r="C4265" s="15">
        <v>312558</v>
      </c>
      <c r="D4265" s="4" t="s">
        <v>4269</v>
      </c>
      <c r="E4265" s="4" t="str">
        <f>HYPERLINK("https://app.crepc.sk/?fn=detailBiblioForm&amp;sid=E815F94B12A202C1EE341B9965")</f>
        <v>https://app.crepc.sk/?fn=detailBiblioForm&amp;sid=E815F94B12A202C1EE341B9965</v>
      </c>
    </row>
    <row r="4266" spans="3:5" ht="60" x14ac:dyDescent="0.25">
      <c r="C4266" s="15">
        <v>95381</v>
      </c>
      <c r="D4266" s="4" t="s">
        <v>4270</v>
      </c>
      <c r="E4266" s="4" t="str">
        <f>HYPERLINK("https://app.crepc.sk/?fn=detailBiblioForm&amp;sid=829639BEEE9608E5F8F47EBE")</f>
        <v>https://app.crepc.sk/?fn=detailBiblioForm&amp;sid=829639BEEE9608E5F8F47EBE</v>
      </c>
    </row>
    <row r="4267" spans="3:5" ht="60" x14ac:dyDescent="0.25">
      <c r="C4267" s="15">
        <v>115689</v>
      </c>
      <c r="D4267" s="4" t="s">
        <v>4271</v>
      </c>
      <c r="E4267" s="4" t="str">
        <f>HYPERLINK("https://app.crepc.sk/?fn=detailBiblioForm&amp;sid=8B887CD3FF777E505CBD7BD084")</f>
        <v>https://app.crepc.sk/?fn=detailBiblioForm&amp;sid=8B887CD3FF777E505CBD7BD084</v>
      </c>
    </row>
    <row r="4268" spans="3:5" ht="60" x14ac:dyDescent="0.25">
      <c r="C4268" s="15">
        <v>95213</v>
      </c>
      <c r="D4268" s="4" t="s">
        <v>4272</v>
      </c>
      <c r="E4268" s="4" t="str">
        <f>HYPERLINK("https://app.crepc.sk/?fn=detailBiblioForm&amp;sid=E1E831C427058E97B1198AC7")</f>
        <v>https://app.crepc.sk/?fn=detailBiblioForm&amp;sid=E1E831C427058E97B1198AC7</v>
      </c>
    </row>
    <row r="4269" spans="3:5" ht="75" x14ac:dyDescent="0.25">
      <c r="C4269" s="15">
        <v>211357</v>
      </c>
      <c r="D4269" s="4" t="s">
        <v>4273</v>
      </c>
      <c r="E4269" s="4" t="str">
        <f>HYPERLINK("https://app.crepc.sk/?fn=detailBiblioForm&amp;sid=607F6B6A1832FEA870CF3AD1B4")</f>
        <v>https://app.crepc.sk/?fn=detailBiblioForm&amp;sid=607F6B6A1832FEA870CF3AD1B4</v>
      </c>
    </row>
    <row r="4270" spans="3:5" ht="45" x14ac:dyDescent="0.25">
      <c r="C4270" s="15">
        <v>139694</v>
      </c>
      <c r="D4270" s="4" t="s">
        <v>4274</v>
      </c>
      <c r="E4270" s="4" t="str">
        <f>HYPERLINK("https://app.crepc.sk/?fn=detailBiblioForm&amp;sid=75DF474C0110DDF9BC46562AAA")</f>
        <v>https://app.crepc.sk/?fn=detailBiblioForm&amp;sid=75DF474C0110DDF9BC46562AAA</v>
      </c>
    </row>
    <row r="4271" spans="3:5" ht="75" x14ac:dyDescent="0.25">
      <c r="C4271" s="15">
        <v>162062</v>
      </c>
      <c r="D4271" s="4" t="s">
        <v>4275</v>
      </c>
      <c r="E4271" s="4" t="str">
        <f>HYPERLINK("https://app.crepc.sk/?fn=detailBiblioForm&amp;sid=64F3CCE308D9C9BF43E8842526")</f>
        <v>https://app.crepc.sk/?fn=detailBiblioForm&amp;sid=64F3CCE308D9C9BF43E8842526</v>
      </c>
    </row>
    <row r="4272" spans="3:5" ht="45" x14ac:dyDescent="0.25">
      <c r="C4272" s="15">
        <v>82295</v>
      </c>
      <c r="D4272" s="4" t="s">
        <v>4276</v>
      </c>
      <c r="E4272" s="4" t="str">
        <f>HYPERLINK("https://app.crepc.sk/?fn=detailBiblioForm&amp;sid=BB3A65FA47D6C96081330141")</f>
        <v>https://app.crepc.sk/?fn=detailBiblioForm&amp;sid=BB3A65FA47D6C96081330141</v>
      </c>
    </row>
    <row r="4273" spans="3:5" ht="60" x14ac:dyDescent="0.25">
      <c r="C4273" s="15">
        <v>425053</v>
      </c>
      <c r="D4273" s="4" t="s">
        <v>4277</v>
      </c>
      <c r="E4273" s="4" t="str">
        <f>HYPERLINK("https://app.crepc.sk/?fn=detailBiblioForm&amp;sid=0FC70670E0887C5B290CA3CAEC")</f>
        <v>https://app.crepc.sk/?fn=detailBiblioForm&amp;sid=0FC70670E0887C5B290CA3CAEC</v>
      </c>
    </row>
    <row r="4274" spans="3:5" ht="60" x14ac:dyDescent="0.25">
      <c r="C4274" s="15">
        <v>432426</v>
      </c>
      <c r="D4274" s="4" t="s">
        <v>4278</v>
      </c>
      <c r="E4274" s="4" t="str">
        <f>HYPERLINK("https://app.crepc.sk/?fn=detailBiblioForm&amp;sid=9C6DDAD5CC83289CB649CA964C")</f>
        <v>https://app.crepc.sk/?fn=detailBiblioForm&amp;sid=9C6DDAD5CC83289CB649CA964C</v>
      </c>
    </row>
    <row r="4275" spans="3:5" ht="60" x14ac:dyDescent="0.25">
      <c r="C4275" s="15">
        <v>163650</v>
      </c>
      <c r="D4275" s="4" t="s">
        <v>4279</v>
      </c>
      <c r="E4275" s="4" t="str">
        <f>HYPERLINK("https://app.crepc.sk/?fn=detailBiblioForm&amp;sid=4E9CAE35D73C8B4E07F533E524")</f>
        <v>https://app.crepc.sk/?fn=detailBiblioForm&amp;sid=4E9CAE35D73C8B4E07F533E524</v>
      </c>
    </row>
    <row r="4276" spans="3:5" ht="45" x14ac:dyDescent="0.25">
      <c r="C4276" s="15">
        <v>155329</v>
      </c>
      <c r="D4276" s="4" t="s">
        <v>4280</v>
      </c>
      <c r="E4276" s="4" t="str">
        <f>HYPERLINK("https://app.crepc.sk/?fn=detailBiblioForm&amp;sid=78AFF12394AFE35F881F1C8992")</f>
        <v>https://app.crepc.sk/?fn=detailBiblioForm&amp;sid=78AFF12394AFE35F881F1C8992</v>
      </c>
    </row>
    <row r="4277" spans="3:5" ht="60" x14ac:dyDescent="0.25">
      <c r="C4277" s="15">
        <v>69006</v>
      </c>
      <c r="D4277" s="4" t="s">
        <v>4281</v>
      </c>
      <c r="E4277" s="4" t="str">
        <f>HYPERLINK("https://app.crepc.sk/?fn=detailBiblioForm&amp;sid=0EC8A8A7FCBB513286DFFB1D")</f>
        <v>https://app.crepc.sk/?fn=detailBiblioForm&amp;sid=0EC8A8A7FCBB513286DFFB1D</v>
      </c>
    </row>
    <row r="4278" spans="3:5" ht="60" x14ac:dyDescent="0.25">
      <c r="C4278" s="15">
        <v>133690</v>
      </c>
      <c r="D4278" s="4" t="s">
        <v>4282</v>
      </c>
      <c r="E4278" s="4" t="str">
        <f>HYPERLINK("https://app.crepc.sk/?fn=detailBiblioForm&amp;sid=843FECD318613D3B1EECA125F3")</f>
        <v>https://app.crepc.sk/?fn=detailBiblioForm&amp;sid=843FECD318613D3B1EECA125F3</v>
      </c>
    </row>
    <row r="4279" spans="3:5" ht="45" x14ac:dyDescent="0.25">
      <c r="C4279" s="15">
        <v>138374</v>
      </c>
      <c r="D4279" s="4" t="s">
        <v>4283</v>
      </c>
      <c r="E4279" s="4" t="str">
        <f>HYPERLINK("https://app.crepc.sk/?fn=detailBiblioForm&amp;sid=7D24A8B9D266E99510C26468AD")</f>
        <v>https://app.crepc.sk/?fn=detailBiblioForm&amp;sid=7D24A8B9D266E99510C26468AD</v>
      </c>
    </row>
    <row r="4280" spans="3:5" ht="75" x14ac:dyDescent="0.25">
      <c r="C4280" s="15">
        <v>180829</v>
      </c>
      <c r="D4280" s="4" t="s">
        <v>4284</v>
      </c>
      <c r="E4280" s="4" t="str">
        <f>HYPERLINK("https://app.crepc.sk/?fn=detailBiblioForm&amp;sid=CAE3E57F1FDC62BA2BB5B4FED8")</f>
        <v>https://app.crepc.sk/?fn=detailBiblioForm&amp;sid=CAE3E57F1FDC62BA2BB5B4FED8</v>
      </c>
    </row>
    <row r="4281" spans="3:5" ht="60" x14ac:dyDescent="0.25">
      <c r="C4281" s="15">
        <v>449709</v>
      </c>
      <c r="D4281" s="4" t="s">
        <v>4285</v>
      </c>
      <c r="E4281" s="4" t="str">
        <f>HYPERLINK("https://app.crepc.sk/?fn=detailBiblioForm&amp;sid=93C6B46DB503011CC9EF077DBA")</f>
        <v>https://app.crepc.sk/?fn=detailBiblioForm&amp;sid=93C6B46DB503011CC9EF077DBA</v>
      </c>
    </row>
    <row r="4282" spans="3:5" ht="60" x14ac:dyDescent="0.25">
      <c r="C4282" s="15">
        <v>82548</v>
      </c>
      <c r="D4282" s="4" t="s">
        <v>4286</v>
      </c>
      <c r="E4282" s="4" t="str">
        <f>HYPERLINK("https://app.crepc.sk/?fn=detailBiblioForm&amp;sid=07B1F24C4B3D6A033696DFBA")</f>
        <v>https://app.crepc.sk/?fn=detailBiblioForm&amp;sid=07B1F24C4B3D6A033696DFBA</v>
      </c>
    </row>
    <row r="4283" spans="3:5" ht="60" x14ac:dyDescent="0.25">
      <c r="C4283" s="15">
        <v>143201</v>
      </c>
      <c r="D4283" s="4" t="s">
        <v>4287</v>
      </c>
      <c r="E4283" s="4" t="str">
        <f>HYPERLINK("https://app.crepc.sk/?fn=detailBiblioForm&amp;sid=8AAE5857BF69342072B0E25F65")</f>
        <v>https://app.crepc.sk/?fn=detailBiblioForm&amp;sid=8AAE5857BF69342072B0E25F65</v>
      </c>
    </row>
    <row r="4284" spans="3:5" ht="90" x14ac:dyDescent="0.25">
      <c r="C4284" s="15">
        <v>105635</v>
      </c>
      <c r="D4284" s="4" t="s">
        <v>4288</v>
      </c>
      <c r="E4284" s="4" t="str">
        <f>HYPERLINK("https://app.crepc.sk/?fn=detailBiblioForm&amp;sid=FD881BC05B1F2F7E47526C9F59")</f>
        <v>https://app.crepc.sk/?fn=detailBiblioForm&amp;sid=FD881BC05B1F2F7E47526C9F59</v>
      </c>
    </row>
    <row r="4285" spans="3:5" ht="90" x14ac:dyDescent="0.25">
      <c r="C4285" s="15">
        <v>192076</v>
      </c>
      <c r="D4285" s="4" t="s">
        <v>4289</v>
      </c>
      <c r="E4285" s="4" t="str">
        <f>HYPERLINK("https://app.crepc.sk/?fn=detailBiblioForm&amp;sid=B5CF2D9B99F8CE1F94EE1A2492")</f>
        <v>https://app.crepc.sk/?fn=detailBiblioForm&amp;sid=B5CF2D9B99F8CE1F94EE1A2492</v>
      </c>
    </row>
    <row r="4286" spans="3:5" ht="60" x14ac:dyDescent="0.25">
      <c r="C4286" s="15">
        <v>95345</v>
      </c>
      <c r="D4286" s="4" t="s">
        <v>4290</v>
      </c>
      <c r="E4286" s="4" t="str">
        <f>HYPERLINK("https://app.crepc.sk/?fn=detailBiblioForm&amp;sid=B36598239783A045A50490CE")</f>
        <v>https://app.crepc.sk/?fn=detailBiblioForm&amp;sid=B36598239783A045A50490CE</v>
      </c>
    </row>
    <row r="4287" spans="3:5" ht="45" x14ac:dyDescent="0.25">
      <c r="C4287" s="15">
        <v>137987</v>
      </c>
      <c r="D4287" s="4" t="s">
        <v>4291</v>
      </c>
      <c r="E4287" s="4" t="str">
        <f>HYPERLINK("https://app.crepc.sk/?fn=detailBiblioForm&amp;sid=8922FF609D62574E834E3E73A4")</f>
        <v>https://app.crepc.sk/?fn=detailBiblioForm&amp;sid=8922FF609D62574E834E3E73A4</v>
      </c>
    </row>
    <row r="4288" spans="3:5" ht="90" x14ac:dyDescent="0.25">
      <c r="C4288" s="15">
        <v>434484</v>
      </c>
      <c r="D4288" s="4" t="s">
        <v>4292</v>
      </c>
      <c r="E4288" s="4" t="str">
        <f>HYPERLINK("https://app.crepc.sk/?fn=detailBiblioForm&amp;sid=F0BEE93CA1F04CFF7AFE4245EB")</f>
        <v>https://app.crepc.sk/?fn=detailBiblioForm&amp;sid=F0BEE93CA1F04CFF7AFE4245EB</v>
      </c>
    </row>
    <row r="4289" spans="3:5" ht="45" x14ac:dyDescent="0.25">
      <c r="C4289" s="15">
        <v>174833</v>
      </c>
      <c r="D4289" s="4" t="s">
        <v>4293</v>
      </c>
      <c r="E4289" s="4" t="str">
        <f>HYPERLINK("https://app.crepc.sk/?fn=detailBiblioForm&amp;sid=B599B75453D2B93F1CD55B63AC")</f>
        <v>https://app.crepc.sk/?fn=detailBiblioForm&amp;sid=B599B75453D2B93F1CD55B63AC</v>
      </c>
    </row>
    <row r="4290" spans="3:5" ht="45" x14ac:dyDescent="0.25">
      <c r="C4290" s="15">
        <v>251087</v>
      </c>
      <c r="D4290" s="4" t="s">
        <v>4294</v>
      </c>
      <c r="E4290" s="4" t="str">
        <f>HYPERLINK("https://app.crepc.sk/?fn=detailBiblioForm&amp;sid=588CBEA82AF39A89B8166B13C0")</f>
        <v>https://app.crepc.sk/?fn=detailBiblioForm&amp;sid=588CBEA82AF39A89B8166B13C0</v>
      </c>
    </row>
    <row r="4291" spans="3:5" ht="60" x14ac:dyDescent="0.25">
      <c r="C4291" s="15">
        <v>129784</v>
      </c>
      <c r="D4291" s="4" t="s">
        <v>4295</v>
      </c>
      <c r="E4291" s="4" t="str">
        <f>HYPERLINK("https://app.crepc.sk/?fn=detailBiblioForm&amp;sid=C9465A2E9A03019846D40E3F37")</f>
        <v>https://app.crepc.sk/?fn=detailBiblioForm&amp;sid=C9465A2E9A03019846D40E3F37</v>
      </c>
    </row>
    <row r="4292" spans="3:5" ht="60" x14ac:dyDescent="0.25">
      <c r="C4292" s="15">
        <v>129786</v>
      </c>
      <c r="D4292" s="4" t="s">
        <v>4296</v>
      </c>
      <c r="E4292" s="4" t="str">
        <f>HYPERLINK("https://app.crepc.sk/?fn=detailBiblioForm&amp;sid=C9465A2E9A03019846D60E3F37")</f>
        <v>https://app.crepc.sk/?fn=detailBiblioForm&amp;sid=C9465A2E9A03019846D60E3F37</v>
      </c>
    </row>
    <row r="4293" spans="3:5" ht="90" x14ac:dyDescent="0.25">
      <c r="C4293" s="15">
        <v>57313</v>
      </c>
      <c r="D4293" s="4" t="s">
        <v>4297</v>
      </c>
      <c r="E4293" s="4" t="str">
        <f>HYPERLINK("https://app.crepc.sk/?fn=detailBiblioForm&amp;sid=1BB3A8120055DD19F3D54305")</f>
        <v>https://app.crepc.sk/?fn=detailBiblioForm&amp;sid=1BB3A8120055DD19F3D54305</v>
      </c>
    </row>
    <row r="4294" spans="3:5" ht="60" x14ac:dyDescent="0.25">
      <c r="C4294" s="15">
        <v>432419</v>
      </c>
      <c r="D4294" s="4" t="s">
        <v>4298</v>
      </c>
      <c r="E4294" s="4" t="str">
        <f>HYPERLINK("https://app.crepc.sk/?fn=detailBiblioForm&amp;sid=9C6DDAD5CC83289CB546CA964C")</f>
        <v>https://app.crepc.sk/?fn=detailBiblioForm&amp;sid=9C6DDAD5CC83289CB546CA964C</v>
      </c>
    </row>
    <row r="4295" spans="3:5" ht="45" x14ac:dyDescent="0.25">
      <c r="C4295" s="15">
        <v>161998</v>
      </c>
      <c r="D4295" s="4" t="s">
        <v>4299</v>
      </c>
      <c r="E4295" s="4" t="str">
        <f>HYPERLINK("https://app.crepc.sk/?fn=detailBiblioForm&amp;sid=3BEC39B52C756B70C40A79B3D6")</f>
        <v>https://app.crepc.sk/?fn=detailBiblioForm&amp;sid=3BEC39B52C756B70C40A79B3D6</v>
      </c>
    </row>
    <row r="4296" spans="3:5" ht="90" x14ac:dyDescent="0.25">
      <c r="C4296" s="15">
        <v>418403</v>
      </c>
      <c r="D4296" s="4" t="s">
        <v>4300</v>
      </c>
      <c r="E4296" s="4" t="str">
        <f>HYPERLINK("https://app.crepc.sk/?fn=detailBiblioForm&amp;sid=1DCF9A7ED2AD56656A134687C6")</f>
        <v>https://app.crepc.sk/?fn=detailBiblioForm&amp;sid=1DCF9A7ED2AD56656A134687C6</v>
      </c>
    </row>
    <row r="4297" spans="3:5" ht="75" x14ac:dyDescent="0.25">
      <c r="C4297" s="15">
        <v>153740</v>
      </c>
      <c r="D4297" s="4" t="s">
        <v>4301</v>
      </c>
      <c r="E4297" s="4" t="str">
        <f>HYPERLINK("https://app.crepc.sk/?fn=detailBiblioForm&amp;sid=85D30AFD358849054F9DD2583A")</f>
        <v>https://app.crepc.sk/?fn=detailBiblioForm&amp;sid=85D30AFD358849054F9DD2583A</v>
      </c>
    </row>
    <row r="4298" spans="3:5" ht="60" x14ac:dyDescent="0.25">
      <c r="C4298" s="15">
        <v>71177</v>
      </c>
      <c r="D4298" s="4" t="s">
        <v>4302</v>
      </c>
      <c r="E4298" s="4" t="str">
        <f>HYPERLINK("https://app.crepc.sk/?fn=detailBiblioForm&amp;sid=EF425F2EDBA191539906F174")</f>
        <v>https://app.crepc.sk/?fn=detailBiblioForm&amp;sid=EF425F2EDBA191539906F174</v>
      </c>
    </row>
    <row r="4299" spans="3:5" ht="60" x14ac:dyDescent="0.25">
      <c r="C4299" s="15">
        <v>87273</v>
      </c>
      <c r="D4299" s="4" t="s">
        <v>4303</v>
      </c>
      <c r="E4299" s="4" t="str">
        <f>HYPERLINK("https://app.crepc.sk/?fn=detailBiblioForm&amp;sid=ECAE444A2B8BF9FF4604476F")</f>
        <v>https://app.crepc.sk/?fn=detailBiblioForm&amp;sid=ECAE444A2B8BF9FF4604476F</v>
      </c>
    </row>
    <row r="4300" spans="3:5" ht="75" x14ac:dyDescent="0.25">
      <c r="C4300" s="15">
        <v>162051</v>
      </c>
      <c r="D4300" s="4" t="s">
        <v>4304</v>
      </c>
      <c r="E4300" s="4" t="str">
        <f>HYPERLINK("https://app.crepc.sk/?fn=detailBiblioForm&amp;sid=64F3CCE308D9C9BF40EB842526")</f>
        <v>https://app.crepc.sk/?fn=detailBiblioForm&amp;sid=64F3CCE308D9C9BF40EB842526</v>
      </c>
    </row>
    <row r="4301" spans="3:5" ht="60" x14ac:dyDescent="0.25">
      <c r="C4301" s="15">
        <v>144620</v>
      </c>
      <c r="D4301" s="4" t="s">
        <v>4305</v>
      </c>
      <c r="E4301" s="4" t="str">
        <f>HYPERLINK("https://app.crepc.sk/?fn=detailBiblioForm&amp;sid=F3DF709D807E6092696EC4032A")</f>
        <v>https://app.crepc.sk/?fn=detailBiblioForm&amp;sid=F3DF709D807E6092696EC4032A</v>
      </c>
    </row>
    <row r="4302" spans="3:5" ht="60" x14ac:dyDescent="0.25">
      <c r="C4302" s="15">
        <v>167419</v>
      </c>
      <c r="D4302" s="4" t="s">
        <v>4306</v>
      </c>
      <c r="E4302" s="4" t="str">
        <f>HYPERLINK("https://app.crepc.sk/?fn=detailBiblioForm&amp;sid=5C1288C836E60822D5EECB6202")</f>
        <v>https://app.crepc.sk/?fn=detailBiblioForm&amp;sid=5C1288C836E60822D5EECB6202</v>
      </c>
    </row>
    <row r="4303" spans="3:5" ht="90" x14ac:dyDescent="0.25">
      <c r="C4303" s="15">
        <v>435784</v>
      </c>
      <c r="D4303" s="4" t="s">
        <v>4307</v>
      </c>
      <c r="E4303" s="4" t="str">
        <f>HYPERLINK("https://app.crepc.sk/?fn=detailBiblioForm&amp;sid=C253EDA87EE99634FEBCCCCA4E")</f>
        <v>https://app.crepc.sk/?fn=detailBiblioForm&amp;sid=C253EDA87EE99634FEBCCCCA4E</v>
      </c>
    </row>
    <row r="4304" spans="3:5" ht="60" x14ac:dyDescent="0.25">
      <c r="C4304" s="15">
        <v>437826</v>
      </c>
      <c r="D4304" s="4" t="s">
        <v>4308</v>
      </c>
      <c r="E4304" s="4" t="str">
        <f>HYPERLINK("https://app.crepc.sk/?fn=detailBiblioForm&amp;sid=CB094769097E3364E7138633D1")</f>
        <v>https://app.crepc.sk/?fn=detailBiblioForm&amp;sid=CB094769097E3364E7138633D1</v>
      </c>
    </row>
    <row r="4305" spans="3:5" ht="60" x14ac:dyDescent="0.25">
      <c r="C4305" s="15">
        <v>197355</v>
      </c>
      <c r="D4305" s="4" t="s">
        <v>4309</v>
      </c>
      <c r="E4305" s="4" t="str">
        <f>HYPERLINK("https://app.crepc.sk/?fn=detailBiblioForm&amp;sid=DC4ED816FF1BFB25860D897557")</f>
        <v>https://app.crepc.sk/?fn=detailBiblioForm&amp;sid=DC4ED816FF1BFB25860D897557</v>
      </c>
    </row>
    <row r="4306" spans="3:5" ht="75" x14ac:dyDescent="0.25">
      <c r="C4306" s="15">
        <v>119236</v>
      </c>
      <c r="D4306" s="4" t="s">
        <v>4310</v>
      </c>
      <c r="E4306" s="4" t="str">
        <f>HYPERLINK("https://app.crepc.sk/?fn=detailBiblioForm&amp;sid=D58B3EF0452D9D30B94B161BAA")</f>
        <v>https://app.crepc.sk/?fn=detailBiblioForm&amp;sid=D58B3EF0452D9D30B94B161BAA</v>
      </c>
    </row>
    <row r="4307" spans="3:5" ht="60" x14ac:dyDescent="0.25">
      <c r="C4307" s="15">
        <v>82576</v>
      </c>
      <c r="D4307" s="4" t="s">
        <v>4311</v>
      </c>
      <c r="E4307" s="4" t="str">
        <f>HYPERLINK("https://app.crepc.sk/?fn=detailBiblioForm&amp;sid=DE4C0FF8963CC44F282EB019")</f>
        <v>https://app.crepc.sk/?fn=detailBiblioForm&amp;sid=DE4C0FF8963CC44F282EB019</v>
      </c>
    </row>
    <row r="4308" spans="3:5" ht="60" x14ac:dyDescent="0.25">
      <c r="C4308" s="15">
        <v>137990</v>
      </c>
      <c r="D4308" s="4" t="s">
        <v>4312</v>
      </c>
      <c r="E4308" s="4" t="str">
        <f>HYPERLINK("https://app.crepc.sk/?fn=detailBiblioForm&amp;sid=8922FF609D62574E82493E73A4")</f>
        <v>https://app.crepc.sk/?fn=detailBiblioForm&amp;sid=8922FF609D62574E82493E73A4</v>
      </c>
    </row>
    <row r="4309" spans="3:5" ht="90" x14ac:dyDescent="0.25">
      <c r="C4309" s="15">
        <v>58563</v>
      </c>
      <c r="D4309" s="4" t="s">
        <v>4313</v>
      </c>
      <c r="E4309" s="4" t="str">
        <f>HYPERLINK("https://app.crepc.sk/?fn=detailBiblioForm&amp;sid=3FAD94712A8DCFE0D9AB40B4")</f>
        <v>https://app.crepc.sk/?fn=detailBiblioForm&amp;sid=3FAD94712A8DCFE0D9AB40B4</v>
      </c>
    </row>
    <row r="4310" spans="3:5" ht="75" x14ac:dyDescent="0.25">
      <c r="C4310" s="15">
        <v>444686</v>
      </c>
      <c r="D4310" s="4" t="s">
        <v>4314</v>
      </c>
      <c r="E4310" s="4" t="str">
        <f>HYPERLINK("https://app.crepc.sk/?fn=detailBiblioForm&amp;sid=A022A41D6D193BB221E92A8B60")</f>
        <v>https://app.crepc.sk/?fn=detailBiblioForm&amp;sid=A022A41D6D193BB221E92A8B60</v>
      </c>
    </row>
    <row r="4311" spans="3:5" ht="60" x14ac:dyDescent="0.25">
      <c r="C4311" s="15">
        <v>167492</v>
      </c>
      <c r="D4311" s="4" t="s">
        <v>4315</v>
      </c>
      <c r="E4311" s="4" t="str">
        <f>HYPERLINK("https://app.crepc.sk/?fn=detailBiblioForm&amp;sid=5C1288C836E60822DDE5CB6202")</f>
        <v>https://app.crepc.sk/?fn=detailBiblioForm&amp;sid=5C1288C836E60822DDE5CB6202</v>
      </c>
    </row>
    <row r="4312" spans="3:5" ht="75" x14ac:dyDescent="0.25">
      <c r="C4312" s="15">
        <v>59437</v>
      </c>
      <c r="D4312" s="4" t="s">
        <v>4316</v>
      </c>
      <c r="E4312" s="4" t="str">
        <f>HYPERLINK("https://app.crepc.sk/?fn=detailBiblioForm&amp;sid=86250A8250B9FAE1FD3CB28F")</f>
        <v>https://app.crepc.sk/?fn=detailBiblioForm&amp;sid=86250A8250B9FAE1FD3CB28F</v>
      </c>
    </row>
    <row r="4313" spans="3:5" ht="60" x14ac:dyDescent="0.25">
      <c r="C4313" s="15">
        <v>165260</v>
      </c>
      <c r="D4313" s="4" t="s">
        <v>4317</v>
      </c>
      <c r="E4313" s="4" t="str">
        <f>HYPERLINK("https://app.crepc.sk/?fn=detailBiblioForm&amp;sid=F5195A1FF5FC85745443C1C9BF")</f>
        <v>https://app.crepc.sk/?fn=detailBiblioForm&amp;sid=F5195A1FF5FC85745443C1C9BF</v>
      </c>
    </row>
    <row r="4314" spans="3:5" ht="75" x14ac:dyDescent="0.25">
      <c r="C4314" s="15">
        <v>413900</v>
      </c>
      <c r="D4314" s="4" t="s">
        <v>4318</v>
      </c>
      <c r="E4314" s="4" t="str">
        <f>HYPERLINK("https://app.crepc.sk/?fn=detailBiblioForm&amp;sid=8678E3B7749F9D09FA8C7896A7")</f>
        <v>https://app.crepc.sk/?fn=detailBiblioForm&amp;sid=8678E3B7749F9D09FA8C7896A7</v>
      </c>
    </row>
    <row r="4315" spans="3:5" ht="75" x14ac:dyDescent="0.25">
      <c r="C4315" s="15">
        <v>224551</v>
      </c>
      <c r="D4315" s="4" t="s">
        <v>4319</v>
      </c>
      <c r="E4315" s="4" t="str">
        <f>HYPERLINK("https://app.crepc.sk/?fn=detailBiblioForm&amp;sid=A6B051536A0DE14F506FA50085")</f>
        <v>https://app.crepc.sk/?fn=detailBiblioForm&amp;sid=A6B051536A0DE14F506FA50085</v>
      </c>
    </row>
    <row r="4316" spans="3:5" ht="60" x14ac:dyDescent="0.25">
      <c r="C4316" s="15">
        <v>239406</v>
      </c>
      <c r="D4316" s="4" t="s">
        <v>4320</v>
      </c>
      <c r="E4316" s="4" t="str">
        <f>HYPERLINK("https://app.crepc.sk/?fn=detailBiblioForm&amp;sid=4A5C07365C251AC1A791826BDE")</f>
        <v>https://app.crepc.sk/?fn=detailBiblioForm&amp;sid=4A5C07365C251AC1A791826BDE</v>
      </c>
    </row>
    <row r="4317" spans="3:5" ht="90" x14ac:dyDescent="0.25">
      <c r="C4317" s="15">
        <v>429064</v>
      </c>
      <c r="D4317" s="4" t="s">
        <v>4321</v>
      </c>
      <c r="E4317" s="4" t="str">
        <f>HYPERLINK("https://app.crepc.sk/?fn=detailBiblioForm&amp;sid=5CE6D2FA027A2B788911CD66D3")</f>
        <v>https://app.crepc.sk/?fn=detailBiblioForm&amp;sid=5CE6D2FA027A2B788911CD66D3</v>
      </c>
    </row>
    <row r="4318" spans="3:5" ht="60" x14ac:dyDescent="0.25">
      <c r="C4318" s="15">
        <v>240851</v>
      </c>
      <c r="D4318" s="4" t="s">
        <v>4322</v>
      </c>
      <c r="E4318" s="4" t="str">
        <f>HYPERLINK("https://app.crepc.sk/?fn=detailBiblioForm&amp;sid=5B016660862A0AA5410422D6A0")</f>
        <v>https://app.crepc.sk/?fn=detailBiblioForm&amp;sid=5B016660862A0AA5410422D6A0</v>
      </c>
    </row>
    <row r="4319" spans="3:5" ht="105" x14ac:dyDescent="0.25">
      <c r="C4319" s="15">
        <v>150818</v>
      </c>
      <c r="D4319" s="4" t="s">
        <v>4323</v>
      </c>
      <c r="E4319" s="4" t="str">
        <f>HYPERLINK("https://app.crepc.sk/?fn=detailBiblioForm&amp;sid=FBA0A0C68B9B2F0CA3C730FB6B")</f>
        <v>https://app.crepc.sk/?fn=detailBiblioForm&amp;sid=FBA0A0C68B9B2F0CA3C730FB6B</v>
      </c>
    </row>
    <row r="4320" spans="3:5" ht="75" x14ac:dyDescent="0.25">
      <c r="C4320" s="15">
        <v>224549</v>
      </c>
      <c r="D4320" s="4" t="s">
        <v>4324</v>
      </c>
      <c r="E4320" s="4" t="str">
        <f>HYPERLINK("https://app.crepc.sk/?fn=detailBiblioForm&amp;sid=A6B051536A0DE14F5167A50085")</f>
        <v>https://app.crepc.sk/?fn=detailBiblioForm&amp;sid=A6B051536A0DE14F5167A50085</v>
      </c>
    </row>
    <row r="4321" spans="3:5" ht="60" x14ac:dyDescent="0.25">
      <c r="C4321" s="15">
        <v>95409</v>
      </c>
      <c r="D4321" s="4" t="s">
        <v>4325</v>
      </c>
      <c r="E4321" s="4" t="str">
        <f>HYPERLINK("https://app.crepc.sk/?fn=detailBiblioForm&amp;sid=151137D9B57F488D6A551E8F")</f>
        <v>https://app.crepc.sk/?fn=detailBiblioForm&amp;sid=151137D9B57F488D6A551E8F</v>
      </c>
    </row>
    <row r="4322" spans="3:5" ht="75" x14ac:dyDescent="0.25">
      <c r="C4322" s="15">
        <v>211346</v>
      </c>
      <c r="D4322" s="4" t="s">
        <v>4326</v>
      </c>
      <c r="E4322" s="4" t="str">
        <f>HYPERLINK("https://app.crepc.sk/?fn=detailBiblioForm&amp;sid=607F6B6A1832FEA871CE3AD1B4")</f>
        <v>https://app.crepc.sk/?fn=detailBiblioForm&amp;sid=607F6B6A1832FEA871CE3AD1B4</v>
      </c>
    </row>
    <row r="4323" spans="3:5" ht="75" x14ac:dyDescent="0.25">
      <c r="C4323" s="15">
        <v>106700</v>
      </c>
      <c r="D4323" s="4" t="s">
        <v>4327</v>
      </c>
      <c r="E4323" s="4" t="str">
        <f>HYPERLINK("https://app.crepc.sk/?fn=detailBiblioForm&amp;sid=D3FF0E0AB6B434052DBE870235")</f>
        <v>https://app.crepc.sk/?fn=detailBiblioForm&amp;sid=D3FF0E0AB6B434052DBE870235</v>
      </c>
    </row>
    <row r="4324" spans="3:5" ht="45" x14ac:dyDescent="0.25">
      <c r="C4324" s="15">
        <v>137989</v>
      </c>
      <c r="D4324" s="4" t="s">
        <v>4328</v>
      </c>
      <c r="E4324" s="4" t="str">
        <f>HYPERLINK("https://app.crepc.sk/?fn=detailBiblioForm&amp;sid=8922FF609D62574E83403E73A4")</f>
        <v>https://app.crepc.sk/?fn=detailBiblioForm&amp;sid=8922FF609D62574E83403E73A4</v>
      </c>
    </row>
    <row r="4325" spans="3:5" ht="60" x14ac:dyDescent="0.25">
      <c r="C4325" s="15">
        <v>105314</v>
      </c>
      <c r="D4325" s="4" t="s">
        <v>4329</v>
      </c>
      <c r="E4325" s="4" t="str">
        <f>HYPERLINK("https://app.crepc.sk/?fn=detailBiblioForm&amp;sid=E84B3E3EDA810AC00D6C399568")</f>
        <v>https://app.crepc.sk/?fn=detailBiblioForm&amp;sid=E84B3E3EDA810AC00D6C399568</v>
      </c>
    </row>
    <row r="4326" spans="3:5" ht="75" x14ac:dyDescent="0.25">
      <c r="C4326" s="15">
        <v>79146</v>
      </c>
      <c r="D4326" s="4" t="s">
        <v>4330</v>
      </c>
      <c r="E4326" s="4" t="str">
        <f>HYPERLINK("https://app.crepc.sk/?fn=detailBiblioForm&amp;sid=611D18F46F2C69BFAB46D7D6")</f>
        <v>https://app.crepc.sk/?fn=detailBiblioForm&amp;sid=611D18F46F2C69BFAB46D7D6</v>
      </c>
    </row>
    <row r="4327" spans="3:5" ht="60" x14ac:dyDescent="0.25">
      <c r="C4327" s="15">
        <v>105319</v>
      </c>
      <c r="D4327" s="4" t="s">
        <v>4331</v>
      </c>
      <c r="E4327" s="4" t="str">
        <f>HYPERLINK("https://app.crepc.sk/?fn=detailBiblioForm&amp;sid=E84B3E3EDA810AC00D61399568")</f>
        <v>https://app.crepc.sk/?fn=detailBiblioForm&amp;sid=E84B3E3EDA810AC00D61399568</v>
      </c>
    </row>
    <row r="4328" spans="3:5" ht="60" x14ac:dyDescent="0.25">
      <c r="C4328" s="15">
        <v>163653</v>
      </c>
      <c r="D4328" s="4" t="s">
        <v>4332</v>
      </c>
      <c r="E4328" s="4" t="str">
        <f>HYPERLINK("https://app.crepc.sk/?fn=detailBiblioForm&amp;sid=4E9CAE35D73C8B4E07F633E524")</f>
        <v>https://app.crepc.sk/?fn=detailBiblioForm&amp;sid=4E9CAE35D73C8B4E07F633E524</v>
      </c>
    </row>
    <row r="4329" spans="3:5" ht="75" x14ac:dyDescent="0.25">
      <c r="C4329" s="15">
        <v>197351</v>
      </c>
      <c r="D4329" s="4" t="s">
        <v>4333</v>
      </c>
      <c r="E4329" s="4" t="str">
        <f>HYPERLINK("https://app.crepc.sk/?fn=detailBiblioForm&amp;sid=DC4ED816FF1BFB258609897557")</f>
        <v>https://app.crepc.sk/?fn=detailBiblioForm&amp;sid=DC4ED816FF1BFB258609897557</v>
      </c>
    </row>
    <row r="4330" spans="3:5" ht="135" x14ac:dyDescent="0.25">
      <c r="C4330" s="15">
        <v>421200</v>
      </c>
      <c r="D4330" s="4" t="s">
        <v>4334</v>
      </c>
      <c r="E4330" s="4" t="str">
        <f>HYPERLINK("https://app.crepc.sk/?fn=detailBiblioForm&amp;sid=A5F7E993007418193F237F3086")</f>
        <v>https://app.crepc.sk/?fn=detailBiblioForm&amp;sid=A5F7E993007418193F237F3086</v>
      </c>
    </row>
    <row r="4331" spans="3:5" ht="60" x14ac:dyDescent="0.25">
      <c r="C4331" s="15">
        <v>137992</v>
      </c>
      <c r="D4331" s="4" t="s">
        <v>4335</v>
      </c>
      <c r="E4331" s="4" t="str">
        <f>HYPERLINK("https://app.crepc.sk/?fn=detailBiblioForm&amp;sid=8922FF609D62574E824B3E73A4")</f>
        <v>https://app.crepc.sk/?fn=detailBiblioForm&amp;sid=8922FF609D62574E824B3E73A4</v>
      </c>
    </row>
    <row r="4332" spans="3:5" ht="60" x14ac:dyDescent="0.25">
      <c r="C4332" s="15">
        <v>127900</v>
      </c>
      <c r="D4332" s="4" t="s">
        <v>4336</v>
      </c>
      <c r="E4332" s="4" t="str">
        <f>HYPERLINK("https://app.crepc.sk/?fn=detailBiblioForm&amp;sid=24C6E28F89ED84B92D6559EEF1")</f>
        <v>https://app.crepc.sk/?fn=detailBiblioForm&amp;sid=24C6E28F89ED84B92D6559EEF1</v>
      </c>
    </row>
    <row r="4333" spans="3:5" ht="75" x14ac:dyDescent="0.25">
      <c r="C4333" s="15">
        <v>162018</v>
      </c>
      <c r="D4333" s="4" t="s">
        <v>4337</v>
      </c>
      <c r="E4333" s="4" t="str">
        <f>HYPERLINK("https://app.crepc.sk/?fn=detailBiblioForm&amp;sid=64F3CCE308D9C9BF44E2842526")</f>
        <v>https://app.crepc.sk/?fn=detailBiblioForm&amp;sid=64F3CCE308D9C9BF44E2842526</v>
      </c>
    </row>
    <row r="4334" spans="3:5" ht="60" x14ac:dyDescent="0.25">
      <c r="C4334" s="15">
        <v>95431</v>
      </c>
      <c r="D4334" s="4" t="s">
        <v>4338</v>
      </c>
      <c r="E4334" s="4" t="str">
        <f>HYPERLINK("https://app.crepc.sk/?fn=detailBiblioForm&amp;sid=705AB84A07AF3D6EF3154C44")</f>
        <v>https://app.crepc.sk/?fn=detailBiblioForm&amp;sid=705AB84A07AF3D6EF3154C44</v>
      </c>
    </row>
    <row r="4335" spans="3:5" ht="60" x14ac:dyDescent="0.25">
      <c r="C4335" s="15">
        <v>126490</v>
      </c>
      <c r="D4335" s="4" t="s">
        <v>4339</v>
      </c>
      <c r="E4335" s="4" t="str">
        <f>HYPERLINK("https://app.crepc.sk/?fn=detailBiblioForm&amp;sid=D06FCBD82F9002B64F46B097C2")</f>
        <v>https://app.crepc.sk/?fn=detailBiblioForm&amp;sid=D06FCBD82F9002B64F46B097C2</v>
      </c>
    </row>
    <row r="4336" spans="3:5" ht="60" x14ac:dyDescent="0.25">
      <c r="C4336" s="15">
        <v>192113</v>
      </c>
      <c r="D4336" s="4" t="s">
        <v>4340</v>
      </c>
      <c r="E4336" s="4" t="str">
        <f>HYPERLINK("https://app.crepc.sk/?fn=detailBiblioForm&amp;sid=7F669382AC00D013D19E8E4A78")</f>
        <v>https://app.crepc.sk/?fn=detailBiblioForm&amp;sid=7F669382AC00D013D19E8E4A78</v>
      </c>
    </row>
    <row r="4337" spans="3:5" ht="90" x14ac:dyDescent="0.25">
      <c r="C4337" s="15">
        <v>211465</v>
      </c>
      <c r="D4337" s="4" t="s">
        <v>4341</v>
      </c>
      <c r="E4337" s="4" t="str">
        <f>HYPERLINK("https://app.crepc.sk/?fn=detailBiblioForm&amp;sid=E68DA448349DA48E343DAC5BDB")</f>
        <v>https://app.crepc.sk/?fn=detailBiblioForm&amp;sid=E68DA448349DA48E343DAC5BDB</v>
      </c>
    </row>
    <row r="4338" spans="3:5" ht="75" x14ac:dyDescent="0.25">
      <c r="C4338" s="15">
        <v>427020</v>
      </c>
      <c r="D4338" s="4" t="s">
        <v>4342</v>
      </c>
      <c r="E4338" s="4" t="str">
        <f>HYPERLINK("https://app.crepc.sk/?fn=detailBiblioForm&amp;sid=49528E0D374F0ED153935FE295")</f>
        <v>https://app.crepc.sk/?fn=detailBiblioForm&amp;sid=49528E0D374F0ED153935FE295</v>
      </c>
    </row>
    <row r="4339" spans="3:5" ht="75" x14ac:dyDescent="0.25">
      <c r="C4339" s="15">
        <v>310825</v>
      </c>
      <c r="D4339" s="4" t="s">
        <v>4343</v>
      </c>
      <c r="E4339" s="4" t="str">
        <f>HYPERLINK("https://app.crepc.sk/?fn=detailBiblioForm&amp;sid=AD34DD3FE2DEE04E71FA563787")</f>
        <v>https://app.crepc.sk/?fn=detailBiblioForm&amp;sid=AD34DD3FE2DEE04E71FA563787</v>
      </c>
    </row>
    <row r="4340" spans="3:5" ht="75" x14ac:dyDescent="0.25">
      <c r="C4340" s="15">
        <v>85272</v>
      </c>
      <c r="D4340" s="4" t="s">
        <v>4344</v>
      </c>
      <c r="E4340" s="4" t="str">
        <f>HYPERLINK("https://app.crepc.sk/?fn=detailBiblioForm&amp;sid=E19E84EB69C4851D1F6BA150")</f>
        <v>https://app.crepc.sk/?fn=detailBiblioForm&amp;sid=E19E84EB69C4851D1F6BA150</v>
      </c>
    </row>
    <row r="4341" spans="3:5" ht="60" x14ac:dyDescent="0.25">
      <c r="C4341" s="15">
        <v>211090</v>
      </c>
      <c r="D4341" s="4" t="s">
        <v>4345</v>
      </c>
      <c r="E4341" s="4" t="str">
        <f>HYPERLINK("https://app.crepc.sk/?fn=detailBiblioForm&amp;sid=81D2D8BF2DF148AE49A4969A56")</f>
        <v>https://app.crepc.sk/?fn=detailBiblioForm&amp;sid=81D2D8BF2DF148AE49A4969A56</v>
      </c>
    </row>
    <row r="4342" spans="3:5" ht="60" x14ac:dyDescent="0.25">
      <c r="C4342" s="15">
        <v>234078</v>
      </c>
      <c r="D4342" s="4" t="s">
        <v>4346</v>
      </c>
      <c r="E4342" s="4" t="str">
        <f>HYPERLINK("https://app.crepc.sk/?fn=detailBiblioForm&amp;sid=5D1E02039DFFCDD1E628212CFA")</f>
        <v>https://app.crepc.sk/?fn=detailBiblioForm&amp;sid=5D1E02039DFFCDD1E628212CFA</v>
      </c>
    </row>
    <row r="4343" spans="3:5" ht="75" x14ac:dyDescent="0.25">
      <c r="C4343" s="15">
        <v>173667</v>
      </c>
      <c r="D4343" s="4" t="s">
        <v>4347</v>
      </c>
      <c r="E4343" s="4" t="str">
        <f>HYPERLINK("https://app.crepc.sk/?fn=detailBiblioForm&amp;sid=A68E927B0776E61A885EFD070B")</f>
        <v>https://app.crepc.sk/?fn=detailBiblioForm&amp;sid=A68E927B0776E61A885EFD070B</v>
      </c>
    </row>
    <row r="4344" spans="3:5" ht="45" x14ac:dyDescent="0.25">
      <c r="C4344" s="15">
        <v>161187</v>
      </c>
      <c r="D4344" s="4" t="s">
        <v>4348</v>
      </c>
      <c r="E4344" s="4" t="str">
        <f>HYPERLINK("https://app.crepc.sk/?fn=detailBiblioForm&amp;sid=A6067EBA35451301896FB31B80")</f>
        <v>https://app.crepc.sk/?fn=detailBiblioForm&amp;sid=A6067EBA35451301896FB31B80</v>
      </c>
    </row>
    <row r="4345" spans="3:5" ht="75" x14ac:dyDescent="0.25">
      <c r="C4345" s="15">
        <v>122950</v>
      </c>
      <c r="D4345" s="4" t="s">
        <v>4349</v>
      </c>
      <c r="E4345" s="4" t="str">
        <f>HYPERLINK("https://app.crepc.sk/?fn=detailBiblioForm&amp;sid=3B2B0BBAA862FD0FCC4F8724C7")</f>
        <v>https://app.crepc.sk/?fn=detailBiblioForm&amp;sid=3B2B0BBAA862FD0FCC4F8724C7</v>
      </c>
    </row>
    <row r="4346" spans="3:5" ht="90" x14ac:dyDescent="0.25">
      <c r="C4346" s="15">
        <v>173679</v>
      </c>
      <c r="D4346" s="4" t="s">
        <v>4350</v>
      </c>
      <c r="E4346" s="4" t="str">
        <f>HYPERLINK("https://app.crepc.sk/?fn=detailBiblioForm&amp;sid=A68E927B0776E61A8950FD070B")</f>
        <v>https://app.crepc.sk/?fn=detailBiblioForm&amp;sid=A68E927B0776E61A8950FD070B</v>
      </c>
    </row>
    <row r="4347" spans="3:5" ht="75" x14ac:dyDescent="0.25">
      <c r="C4347" s="15">
        <v>101793</v>
      </c>
      <c r="D4347" s="4" t="s">
        <v>4351</v>
      </c>
      <c r="E4347" s="4" t="str">
        <f>HYPERLINK("https://app.crepc.sk/?fn=detailBiblioForm&amp;sid=D451BFA92DE77BAEDBD3E88587")</f>
        <v>https://app.crepc.sk/?fn=detailBiblioForm&amp;sid=D451BFA92DE77BAEDBD3E88587</v>
      </c>
    </row>
    <row r="4348" spans="3:5" ht="60" x14ac:dyDescent="0.25">
      <c r="C4348" s="15">
        <v>151117</v>
      </c>
      <c r="D4348" s="4" t="s">
        <v>4352</v>
      </c>
      <c r="E4348" s="4" t="str">
        <f>HYPERLINK("https://app.crepc.sk/?fn=detailBiblioForm&amp;sid=AF3151A314B042018B93795CD9")</f>
        <v>https://app.crepc.sk/?fn=detailBiblioForm&amp;sid=AF3151A314B042018B93795CD9</v>
      </c>
    </row>
    <row r="4349" spans="3:5" ht="60" x14ac:dyDescent="0.25">
      <c r="C4349" s="15">
        <v>94948</v>
      </c>
      <c r="D4349" s="4" t="s">
        <v>4353</v>
      </c>
      <c r="E4349" s="4" t="str">
        <f>HYPERLINK("https://app.crepc.sk/?fn=detailBiblioForm&amp;sid=86D2645AE1AAE3775026D43D")</f>
        <v>https://app.crepc.sk/?fn=detailBiblioForm&amp;sid=86D2645AE1AAE3775026D43D</v>
      </c>
    </row>
    <row r="4350" spans="3:5" ht="75" x14ac:dyDescent="0.25">
      <c r="C4350" s="15">
        <v>94960</v>
      </c>
      <c r="D4350" s="4" t="s">
        <v>4354</v>
      </c>
      <c r="E4350" s="4" t="str">
        <f>HYPERLINK("https://app.crepc.sk/?fn=detailBiblioForm&amp;sid=89E34B0C3E6D521C023B8E9C")</f>
        <v>https://app.crepc.sk/?fn=detailBiblioForm&amp;sid=89E34B0C3E6D521C023B8E9C</v>
      </c>
    </row>
    <row r="4351" spans="3:5" ht="60" x14ac:dyDescent="0.25">
      <c r="C4351" s="15">
        <v>88243</v>
      </c>
      <c r="D4351" s="4" t="s">
        <v>4355</v>
      </c>
      <c r="E4351" s="4" t="str">
        <f>HYPERLINK("https://app.crepc.sk/?fn=detailBiblioForm&amp;sid=92F90ABF3CF5A0929426DC48")</f>
        <v>https://app.crepc.sk/?fn=detailBiblioForm&amp;sid=92F90ABF3CF5A0929426DC48</v>
      </c>
    </row>
    <row r="4352" spans="3:5" ht="60" x14ac:dyDescent="0.25">
      <c r="C4352" s="15">
        <v>132691</v>
      </c>
      <c r="D4352" s="4" t="s">
        <v>4356</v>
      </c>
      <c r="E4352" s="4" t="str">
        <f>HYPERLINK("https://app.crepc.sk/?fn=detailBiblioForm&amp;sid=45946F80BD0ADF833F0F7F64E5")</f>
        <v>https://app.crepc.sk/?fn=detailBiblioForm&amp;sid=45946F80BD0ADF833F0F7F64E5</v>
      </c>
    </row>
    <row r="4353" spans="3:5" ht="60" x14ac:dyDescent="0.25">
      <c r="C4353" s="15">
        <v>153215</v>
      </c>
      <c r="D4353" s="4" t="s">
        <v>4357</v>
      </c>
      <c r="E4353" s="4" t="str">
        <f>HYPERLINK("https://app.crepc.sk/?fn=detailBiblioForm&amp;sid=CBCDB6E5622FB9C0D35C2C3EA4")</f>
        <v>https://app.crepc.sk/?fn=detailBiblioForm&amp;sid=CBCDB6E5622FB9C0D35C2C3EA4</v>
      </c>
    </row>
    <row r="4354" spans="3:5" ht="75" x14ac:dyDescent="0.25">
      <c r="C4354" s="15">
        <v>491337</v>
      </c>
      <c r="D4354" s="4" t="s">
        <v>4358</v>
      </c>
      <c r="E4354" s="4" t="str">
        <f>HYPERLINK("https://app.crepc.sk/?fn=detailBiblioForm&amp;sid=62641E98F8DA6A9D3823BC01C8")</f>
        <v>https://app.crepc.sk/?fn=detailBiblioForm&amp;sid=62641E98F8DA6A9D3823BC01C8</v>
      </c>
    </row>
    <row r="4355" spans="3:5" ht="60" x14ac:dyDescent="0.25">
      <c r="C4355" s="15">
        <v>105403</v>
      </c>
      <c r="D4355" s="4" t="s">
        <v>4359</v>
      </c>
      <c r="E4355" s="4" t="str">
        <f>HYPERLINK("https://app.crepc.sk/?fn=detailBiblioForm&amp;sid=C9F2ED9DAFACD725E56630F024")</f>
        <v>https://app.crepc.sk/?fn=detailBiblioForm&amp;sid=C9F2ED9DAFACD725E56630F024</v>
      </c>
    </row>
    <row r="4356" spans="3:5" ht="75" x14ac:dyDescent="0.25">
      <c r="C4356" s="15">
        <v>244545</v>
      </c>
      <c r="D4356" s="4" t="s">
        <v>4360</v>
      </c>
      <c r="E4356" s="4" t="str">
        <f>HYPERLINK("https://app.crepc.sk/?fn=detailBiblioForm&amp;sid=7CD45A5C10A06C781EF2ABC625")</f>
        <v>https://app.crepc.sk/?fn=detailBiblioForm&amp;sid=7CD45A5C10A06C781EF2ABC625</v>
      </c>
    </row>
    <row r="4357" spans="3:5" ht="60" x14ac:dyDescent="0.25">
      <c r="C4357" s="15">
        <v>438574</v>
      </c>
      <c r="D4357" s="4" t="s">
        <v>4361</v>
      </c>
      <c r="E4357" s="4" t="str">
        <f>HYPERLINK("https://app.crepc.sk/?fn=detailBiblioForm&amp;sid=A8368C59A2CFCB61891E928036")</f>
        <v>https://app.crepc.sk/?fn=detailBiblioForm&amp;sid=A8368C59A2CFCB61891E928036</v>
      </c>
    </row>
    <row r="4358" spans="3:5" ht="60" x14ac:dyDescent="0.25">
      <c r="C4358" s="15">
        <v>105177</v>
      </c>
      <c r="D4358" s="4" t="s">
        <v>4362</v>
      </c>
      <c r="E4358" s="4" t="str">
        <f>HYPERLINK("https://app.crepc.sk/?fn=detailBiblioForm&amp;sid=A406D59750C55BB3FC2115E82A")</f>
        <v>https://app.crepc.sk/?fn=detailBiblioForm&amp;sid=A406D59750C55BB3FC2115E82A</v>
      </c>
    </row>
    <row r="4359" spans="3:5" ht="60" x14ac:dyDescent="0.25">
      <c r="C4359" s="15">
        <v>143030</v>
      </c>
      <c r="D4359" s="4" t="s">
        <v>4363</v>
      </c>
      <c r="E4359" s="4" t="str">
        <f>HYPERLINK("https://app.crepc.sk/?fn=detailBiblioForm&amp;sid=0EA7DBD32D42EAF6EEEC224B52")</f>
        <v>https://app.crepc.sk/?fn=detailBiblioForm&amp;sid=0EA7DBD32D42EAF6EEEC224B52</v>
      </c>
    </row>
    <row r="4360" spans="3:5" ht="75" x14ac:dyDescent="0.25">
      <c r="C4360" s="15">
        <v>312683</v>
      </c>
      <c r="D4360" s="4" t="s">
        <v>4364</v>
      </c>
      <c r="E4360" s="4" t="str">
        <f>HYPERLINK("https://app.crepc.sk/?fn=detailBiblioForm&amp;sid=E7DC3C2FFE1E43E29C186104AF")</f>
        <v>https://app.crepc.sk/?fn=detailBiblioForm&amp;sid=E7DC3C2FFE1E43E29C186104AF</v>
      </c>
    </row>
    <row r="4361" spans="3:5" ht="60" x14ac:dyDescent="0.25">
      <c r="C4361" s="15">
        <v>163883</v>
      </c>
      <c r="D4361" s="4" t="s">
        <v>4365</v>
      </c>
      <c r="E4361" s="4" t="str">
        <f>HYPERLINK("https://app.crepc.sk/?fn=detailBiblioForm&amp;sid=AFFB5693EB24A8FD7DC27098CD")</f>
        <v>https://app.crepc.sk/?fn=detailBiblioForm&amp;sid=AFFB5693EB24A8FD7DC27098CD</v>
      </c>
    </row>
    <row r="4362" spans="3:5" ht="60" x14ac:dyDescent="0.25">
      <c r="C4362" s="15">
        <v>98624</v>
      </c>
      <c r="D4362" s="4" t="s">
        <v>4366</v>
      </c>
      <c r="E4362" s="4" t="str">
        <f>HYPERLINK("https://app.crepc.sk/?fn=detailBiblioForm&amp;sid=5F87C9263833AE7AF7C04B08")</f>
        <v>https://app.crepc.sk/?fn=detailBiblioForm&amp;sid=5F87C9263833AE7AF7C04B08</v>
      </c>
    </row>
    <row r="4363" spans="3:5" ht="60" x14ac:dyDescent="0.25">
      <c r="C4363" s="15">
        <v>253549</v>
      </c>
      <c r="D4363" s="4" t="s">
        <v>4367</v>
      </c>
      <c r="E4363" s="4" t="str">
        <f>HYPERLINK("https://app.crepc.sk/?fn=detailBiblioForm&amp;sid=CEF2DEE1832EFB79AEB16939C9")</f>
        <v>https://app.crepc.sk/?fn=detailBiblioForm&amp;sid=CEF2DEE1832EFB79AEB16939C9</v>
      </c>
    </row>
    <row r="4364" spans="3:5" ht="45" x14ac:dyDescent="0.25">
      <c r="C4364" s="15">
        <v>441886</v>
      </c>
      <c r="D4364" s="4" t="s">
        <v>4368</v>
      </c>
      <c r="E4364" s="4" t="str">
        <f>HYPERLINK("https://app.crepc.sk/?fn=detailBiblioForm&amp;sid=AE470135EEA3623141DCB5CD43")</f>
        <v>https://app.crepc.sk/?fn=detailBiblioForm&amp;sid=AE470135EEA3623141DCB5CD43</v>
      </c>
    </row>
    <row r="4365" spans="3:5" ht="75" x14ac:dyDescent="0.25">
      <c r="C4365" s="15">
        <v>212679</v>
      </c>
      <c r="D4365" s="4" t="s">
        <v>4369</v>
      </c>
      <c r="E4365" s="4" t="str">
        <f>HYPERLINK("https://app.crepc.sk/?fn=detailBiblioForm&amp;sid=98C1BC1B72D21E0930AE0A25E5")</f>
        <v>https://app.crepc.sk/?fn=detailBiblioForm&amp;sid=98C1BC1B72D21E0930AE0A25E5</v>
      </c>
    </row>
    <row r="4366" spans="3:5" ht="75" x14ac:dyDescent="0.25">
      <c r="C4366" s="15">
        <v>229239</v>
      </c>
      <c r="D4366" s="4" t="s">
        <v>4370</v>
      </c>
      <c r="E4366" s="4" t="str">
        <f>HYPERLINK("https://app.crepc.sk/?fn=detailBiblioForm&amp;sid=AB455D64EDF69F7728FE569A20")</f>
        <v>https://app.crepc.sk/?fn=detailBiblioForm&amp;sid=AB455D64EDF69F7728FE569A20</v>
      </c>
    </row>
    <row r="4367" spans="3:5" ht="90" x14ac:dyDescent="0.25">
      <c r="C4367" s="15">
        <v>214211</v>
      </c>
      <c r="D4367" s="4" t="s">
        <v>4371</v>
      </c>
      <c r="E4367" s="4" t="str">
        <f>HYPERLINK("https://app.crepc.sk/?fn=detailBiblioForm&amp;sid=C1A1CE808995C9C3FC8CED1100")</f>
        <v>https://app.crepc.sk/?fn=detailBiblioForm&amp;sid=C1A1CE808995C9C3FC8CED1100</v>
      </c>
    </row>
    <row r="4368" spans="3:5" ht="60" x14ac:dyDescent="0.25">
      <c r="C4368" s="15">
        <v>151431</v>
      </c>
      <c r="D4368" s="4" t="s">
        <v>4372</v>
      </c>
      <c r="E4368" s="4" t="str">
        <f>HYPERLINK("https://app.crepc.sk/?fn=detailBiblioForm&amp;sid=C7FB5A0F39169367AC5E5AA4EB")</f>
        <v>https://app.crepc.sk/?fn=detailBiblioForm&amp;sid=C7FB5A0F39169367AC5E5AA4EB</v>
      </c>
    </row>
    <row r="4369" spans="3:5" ht="45" x14ac:dyDescent="0.25">
      <c r="C4369" s="15">
        <v>185715</v>
      </c>
      <c r="D4369" s="4" t="s">
        <v>4373</v>
      </c>
      <c r="E4369" s="4" t="str">
        <f>HYPERLINK("https://app.crepc.sk/?fn=detailBiblioForm&amp;sid=D39A92077CB2E2E720458E9F9A")</f>
        <v>https://app.crepc.sk/?fn=detailBiblioForm&amp;sid=D39A92077CB2E2E720458E9F9A</v>
      </c>
    </row>
    <row r="4370" spans="3:5" ht="60" x14ac:dyDescent="0.25">
      <c r="C4370" s="15">
        <v>151427</v>
      </c>
      <c r="D4370" s="4" t="s">
        <v>4374</v>
      </c>
      <c r="E4370" s="4" t="str">
        <f>HYPERLINK("https://app.crepc.sk/?fn=detailBiblioForm&amp;sid=C7FB5A0F39169367AD585AA4EB")</f>
        <v>https://app.crepc.sk/?fn=detailBiblioForm&amp;sid=C7FB5A0F39169367AD585AA4EB</v>
      </c>
    </row>
    <row r="4371" spans="3:5" ht="60" x14ac:dyDescent="0.25">
      <c r="C4371" s="15">
        <v>83349</v>
      </c>
      <c r="D4371" s="4" t="s">
        <v>4375</v>
      </c>
      <c r="E4371" s="4" t="str">
        <f>HYPERLINK("https://app.crepc.sk/?fn=detailBiblioForm&amp;sid=6B2F8B0C47E18C54230C4B09")</f>
        <v>https://app.crepc.sk/?fn=detailBiblioForm&amp;sid=6B2F8B0C47E18C54230C4B09</v>
      </c>
    </row>
    <row r="4372" spans="3:5" ht="75" x14ac:dyDescent="0.25">
      <c r="C4372" s="15">
        <v>111581</v>
      </c>
      <c r="D4372" s="4" t="s">
        <v>4376</v>
      </c>
      <c r="E4372" s="4" t="str">
        <f>HYPERLINK("https://app.crepc.sk/?fn=detailBiblioForm&amp;sid=2C59A918B2DCB0BD70F02F71B2")</f>
        <v>https://app.crepc.sk/?fn=detailBiblioForm&amp;sid=2C59A918B2DCB0BD70F02F71B2</v>
      </c>
    </row>
    <row r="4373" spans="3:5" ht="60" x14ac:dyDescent="0.25">
      <c r="C4373" s="15">
        <v>143242</v>
      </c>
      <c r="D4373" s="4" t="s">
        <v>4377</v>
      </c>
      <c r="E4373" s="4" t="str">
        <f>HYPERLINK("https://app.crepc.sk/?fn=detailBiblioForm&amp;sid=8AAE5857BF69342076B3E25F65")</f>
        <v>https://app.crepc.sk/?fn=detailBiblioForm&amp;sid=8AAE5857BF69342076B3E25F65</v>
      </c>
    </row>
    <row r="4374" spans="3:5" ht="60" x14ac:dyDescent="0.25">
      <c r="C4374" s="15">
        <v>193280</v>
      </c>
      <c r="D4374" s="4" t="s">
        <v>4378</v>
      </c>
      <c r="E4374" s="4" t="str">
        <f>HYPERLINK("https://app.crepc.sk/?fn=detailBiblioForm&amp;sid=C548C0F9FD696643F6B6CC8CCF")</f>
        <v>https://app.crepc.sk/?fn=detailBiblioForm&amp;sid=C548C0F9FD696643F6B6CC8CCF</v>
      </c>
    </row>
    <row r="4375" spans="3:5" ht="75" x14ac:dyDescent="0.25">
      <c r="C4375" s="15">
        <v>202545</v>
      </c>
      <c r="D4375" s="4" t="s">
        <v>4379</v>
      </c>
      <c r="E4375" s="4" t="str">
        <f>HYPERLINK("https://app.crepc.sk/?fn=detailBiblioForm&amp;sid=3036734F2764D6FCC130D36630")</f>
        <v>https://app.crepc.sk/?fn=detailBiblioForm&amp;sid=3036734F2764D6FCC130D36630</v>
      </c>
    </row>
    <row r="4376" spans="3:5" ht="60" x14ac:dyDescent="0.25">
      <c r="C4376" s="15">
        <v>75426</v>
      </c>
      <c r="D4376" s="4" t="s">
        <v>4380</v>
      </c>
      <c r="E4376" s="4" t="str">
        <f>HYPERLINK("https://app.crepc.sk/?fn=detailBiblioForm&amp;sid=F51859E5413D9821CE9D75E8")</f>
        <v>https://app.crepc.sk/?fn=detailBiblioForm&amp;sid=F51859E5413D9821CE9D75E8</v>
      </c>
    </row>
    <row r="4377" spans="3:5" ht="60" x14ac:dyDescent="0.25">
      <c r="C4377" s="15">
        <v>226137</v>
      </c>
      <c r="D4377" s="4" t="s">
        <v>4381</v>
      </c>
      <c r="E4377" s="4" t="str">
        <f>HYPERLINK("https://app.crepc.sk/?fn=detailBiblioForm&amp;sid=A9A50E53C78F5E521AD162DBCC")</f>
        <v>https://app.crepc.sk/?fn=detailBiblioForm&amp;sid=A9A50E53C78F5E521AD162DBCC</v>
      </c>
    </row>
    <row r="4378" spans="3:5" ht="60" x14ac:dyDescent="0.25">
      <c r="C4378" s="15">
        <v>141530</v>
      </c>
      <c r="D4378" s="4" t="s">
        <v>4382</v>
      </c>
      <c r="E4378" s="4" t="str">
        <f>HYPERLINK("https://app.crepc.sk/?fn=detailBiblioForm&amp;sid=D66686E2411EDBCBFCA5F80E8B")</f>
        <v>https://app.crepc.sk/?fn=detailBiblioForm&amp;sid=D66686E2411EDBCBFCA5F80E8B</v>
      </c>
    </row>
    <row r="4379" spans="3:5" ht="60" x14ac:dyDescent="0.25">
      <c r="C4379" s="15">
        <v>308050</v>
      </c>
      <c r="D4379" s="4" t="s">
        <v>4383</v>
      </c>
      <c r="E4379" s="4" t="str">
        <f>HYPERLINK("https://app.crepc.sk/?fn=detailBiblioForm&amp;sid=B4814A7CCCB1CD271AE33FF425")</f>
        <v>https://app.crepc.sk/?fn=detailBiblioForm&amp;sid=B4814A7CCCB1CD271AE33FF425</v>
      </c>
    </row>
    <row r="4380" spans="3:5" ht="60" x14ac:dyDescent="0.25">
      <c r="C4380" s="15">
        <v>207986</v>
      </c>
      <c r="D4380" s="4" t="s">
        <v>4384</v>
      </c>
      <c r="E4380" s="4" t="str">
        <f>HYPERLINK("https://app.crepc.sk/?fn=detailBiblioForm&amp;sid=06D5204408007CA77FA44873FD")</f>
        <v>https://app.crepc.sk/?fn=detailBiblioForm&amp;sid=06D5204408007CA77FA44873FD</v>
      </c>
    </row>
    <row r="4381" spans="3:5" ht="105" x14ac:dyDescent="0.25">
      <c r="C4381" s="15">
        <v>123518</v>
      </c>
      <c r="D4381" s="4" t="s">
        <v>4385</v>
      </c>
      <c r="E4381" s="4" t="str">
        <f>HYPERLINK("https://app.crepc.sk/?fn=detailBiblioForm&amp;sid=D29F3E4684739C0AF7D2C1639B")</f>
        <v>https://app.crepc.sk/?fn=detailBiblioForm&amp;sid=D29F3E4684739C0AF7D2C1639B</v>
      </c>
    </row>
    <row r="4382" spans="3:5" ht="60" x14ac:dyDescent="0.25">
      <c r="C4382" s="15">
        <v>167504</v>
      </c>
      <c r="D4382" s="4" t="s">
        <v>4386</v>
      </c>
      <c r="E4382" s="4" t="str">
        <f>HYPERLINK("https://app.crepc.sk/?fn=detailBiblioForm&amp;sid=13B4E46DA990E2A232594F501F")</f>
        <v>https://app.crepc.sk/?fn=detailBiblioForm&amp;sid=13B4E46DA990E2A232594F501F</v>
      </c>
    </row>
    <row r="4383" spans="3:5" ht="60" x14ac:dyDescent="0.25">
      <c r="C4383" s="15">
        <v>120231</v>
      </c>
      <c r="D4383" s="4" t="s">
        <v>4387</v>
      </c>
      <c r="E4383" s="4" t="str">
        <f>HYPERLINK("https://app.crepc.sk/?fn=detailBiblioForm&amp;sid=C31F93A747B848A98FAEFCAE21")</f>
        <v>https://app.crepc.sk/?fn=detailBiblioForm&amp;sid=C31F93A747B848A98FAEFCAE21</v>
      </c>
    </row>
    <row r="4384" spans="3:5" ht="75" x14ac:dyDescent="0.25">
      <c r="C4384" s="15">
        <v>254412</v>
      </c>
      <c r="D4384" s="4" t="s">
        <v>4388</v>
      </c>
      <c r="E4384" s="4" t="str">
        <f>HYPERLINK("https://app.crepc.sk/?fn=detailBiblioForm&amp;sid=00E80643BF850D62F62843488C")</f>
        <v>https://app.crepc.sk/?fn=detailBiblioForm&amp;sid=00E80643BF850D62F62843488C</v>
      </c>
    </row>
    <row r="4385" spans="3:5" ht="75" x14ac:dyDescent="0.25">
      <c r="C4385" s="15">
        <v>236945</v>
      </c>
      <c r="D4385" s="4" t="s">
        <v>4389</v>
      </c>
      <c r="E4385" s="4" t="str">
        <f>HYPERLINK("https://app.crepc.sk/?fn=detailBiblioForm&amp;sid=5F83A54FC8068A1CF56127DBFB")</f>
        <v>https://app.crepc.sk/?fn=detailBiblioForm&amp;sid=5F83A54FC8068A1CF56127DBFB</v>
      </c>
    </row>
    <row r="4386" spans="3:5" ht="75" x14ac:dyDescent="0.25">
      <c r="C4386" s="15">
        <v>85266</v>
      </c>
      <c r="D4386" s="4" t="s">
        <v>4390</v>
      </c>
      <c r="E4386" s="4" t="str">
        <f>HYPERLINK("https://app.crepc.sk/?fn=detailBiblioForm&amp;sid=11F83AB24F153A18F23957C0")</f>
        <v>https://app.crepc.sk/?fn=detailBiblioForm&amp;sid=11F83AB24F153A18F23957C0</v>
      </c>
    </row>
    <row r="4387" spans="3:5" ht="60" x14ac:dyDescent="0.25">
      <c r="C4387" s="15">
        <v>175530</v>
      </c>
      <c r="D4387" s="4" t="s">
        <v>4391</v>
      </c>
      <c r="E4387" s="4" t="str">
        <f>HYPERLINK("https://app.crepc.sk/?fn=detailBiblioForm&amp;sid=83298E4B591633891D8CB6AF32")</f>
        <v>https://app.crepc.sk/?fn=detailBiblioForm&amp;sid=83298E4B591633891D8CB6AF32</v>
      </c>
    </row>
    <row r="4388" spans="3:5" ht="60" x14ac:dyDescent="0.25">
      <c r="C4388" s="15">
        <v>151428</v>
      </c>
      <c r="D4388" s="4" t="s">
        <v>4392</v>
      </c>
      <c r="E4388" s="4" t="str">
        <f>HYPERLINK("https://app.crepc.sk/?fn=detailBiblioForm&amp;sid=C7FB5A0F39169367AD575AA4EB")</f>
        <v>https://app.crepc.sk/?fn=detailBiblioForm&amp;sid=C7FB5A0F39169367AD575AA4EB</v>
      </c>
    </row>
    <row r="4389" spans="3:5" ht="60" x14ac:dyDescent="0.25">
      <c r="C4389" s="15">
        <v>185396</v>
      </c>
      <c r="D4389" s="4" t="s">
        <v>4393</v>
      </c>
      <c r="E4389" s="4" t="str">
        <f>HYPERLINK("https://app.crepc.sk/?fn=detailBiblioForm&amp;sid=2669133F09816268E1AA8C2A31")</f>
        <v>https://app.crepc.sk/?fn=detailBiblioForm&amp;sid=2669133F09816268E1AA8C2A31</v>
      </c>
    </row>
    <row r="4390" spans="3:5" ht="60" x14ac:dyDescent="0.25">
      <c r="C4390" s="15">
        <v>191985</v>
      </c>
      <c r="D4390" s="4" t="s">
        <v>4394</v>
      </c>
      <c r="E4390" s="4" t="str">
        <f>HYPERLINK("https://app.crepc.sk/?fn=detailBiblioForm&amp;sid=6E4E4629F1EF9E5E3D317EBF27")</f>
        <v>https://app.crepc.sk/?fn=detailBiblioForm&amp;sid=6E4E4629F1EF9E5E3D317EBF27</v>
      </c>
    </row>
    <row r="4391" spans="3:5" ht="45" x14ac:dyDescent="0.25">
      <c r="C4391" s="15">
        <v>120234</v>
      </c>
      <c r="D4391" s="4" t="s">
        <v>4395</v>
      </c>
      <c r="E4391" s="4" t="str">
        <f>HYPERLINK("https://app.crepc.sk/?fn=detailBiblioForm&amp;sid=C31F93A747B848A98FABFCAE21")</f>
        <v>https://app.crepc.sk/?fn=detailBiblioForm&amp;sid=C31F93A747B848A98FABFCAE21</v>
      </c>
    </row>
    <row r="4392" spans="3:5" ht="60" x14ac:dyDescent="0.25">
      <c r="C4392" s="15">
        <v>207433</v>
      </c>
      <c r="D4392" s="4" t="s">
        <v>4396</v>
      </c>
      <c r="E4392" s="4" t="str">
        <f>HYPERLINK("https://app.crepc.sk/?fn=detailBiblioForm&amp;sid=710E036344B29395B88446F5C5")</f>
        <v>https://app.crepc.sk/?fn=detailBiblioForm&amp;sid=710E036344B29395B88446F5C5</v>
      </c>
    </row>
    <row r="4393" spans="3:5" ht="75" x14ac:dyDescent="0.25">
      <c r="C4393" s="15">
        <v>215639</v>
      </c>
      <c r="D4393" s="4" t="s">
        <v>4397</v>
      </c>
      <c r="E4393" s="4" t="str">
        <f>HYPERLINK("https://app.crepc.sk/?fn=detailBiblioForm&amp;sid=71C258F70EEA1E8C3BF70ED63E")</f>
        <v>https://app.crepc.sk/?fn=detailBiblioForm&amp;sid=71C258F70EEA1E8C3BF70ED63E</v>
      </c>
    </row>
    <row r="4394" spans="3:5" ht="90" x14ac:dyDescent="0.25">
      <c r="C4394" s="15">
        <v>95390</v>
      </c>
      <c r="D4394" s="4" t="s">
        <v>4398</v>
      </c>
      <c r="E4394" s="4" t="str">
        <f>HYPERLINK("https://app.crepc.sk/?fn=detailBiblioForm&amp;sid=BFDE0FADE3B659E88ABA9E47")</f>
        <v>https://app.crepc.sk/?fn=detailBiblioForm&amp;sid=BFDE0FADE3B659E88ABA9E47</v>
      </c>
    </row>
    <row r="4395" spans="3:5" ht="60" x14ac:dyDescent="0.25">
      <c r="C4395" s="15">
        <v>207441</v>
      </c>
      <c r="D4395" s="4" t="s">
        <v>4399</v>
      </c>
      <c r="E4395" s="4" t="str">
        <f>HYPERLINK("https://app.crepc.sk/?fn=detailBiblioForm&amp;sid=710E036344B29395BF8646F5C5")</f>
        <v>https://app.crepc.sk/?fn=detailBiblioForm&amp;sid=710E036344B29395BF8646F5C5</v>
      </c>
    </row>
    <row r="4396" spans="3:5" ht="60" x14ac:dyDescent="0.25">
      <c r="C4396" s="15">
        <v>121342</v>
      </c>
      <c r="D4396" s="4" t="s">
        <v>4400</v>
      </c>
      <c r="E4396" s="4" t="str">
        <f>HYPERLINK("https://app.crepc.sk/?fn=detailBiblioForm&amp;sid=EFDADBCCBBDB1A63BEB33C2371")</f>
        <v>https://app.crepc.sk/?fn=detailBiblioForm&amp;sid=EFDADBCCBBDB1A63BEB33C2371</v>
      </c>
    </row>
    <row r="4397" spans="3:5" ht="75" x14ac:dyDescent="0.25">
      <c r="C4397" s="15">
        <v>178464</v>
      </c>
      <c r="D4397" s="4" t="s">
        <v>4401</v>
      </c>
      <c r="E4397" s="4" t="str">
        <f>HYPERLINK("https://app.crepc.sk/?fn=detailBiblioForm&amp;sid=2D2C61E4341E53665D677A2DE0")</f>
        <v>https://app.crepc.sk/?fn=detailBiblioForm&amp;sid=2D2C61E4341E53665D677A2DE0</v>
      </c>
    </row>
    <row r="4398" spans="3:5" ht="60" x14ac:dyDescent="0.25">
      <c r="C4398" s="15">
        <v>83778</v>
      </c>
      <c r="D4398" s="4" t="s">
        <v>4402</v>
      </c>
      <c r="E4398" s="4" t="str">
        <f>HYPERLINK("https://app.crepc.sk/?fn=detailBiblioForm&amp;sid=B0FC9B1A0B4A25EBFD413E87")</f>
        <v>https://app.crepc.sk/?fn=detailBiblioForm&amp;sid=B0FC9B1A0B4A25EBFD413E87</v>
      </c>
    </row>
    <row r="4399" spans="3:5" ht="45" x14ac:dyDescent="0.25">
      <c r="C4399" s="15">
        <v>87267</v>
      </c>
      <c r="D4399" s="4" t="s">
        <v>4403</v>
      </c>
      <c r="E4399" s="4" t="str">
        <f>HYPERLINK("https://app.crepc.sk/?fn=detailBiblioForm&amp;sid=E6A98FDB81117489C173967B")</f>
        <v>https://app.crepc.sk/?fn=detailBiblioForm&amp;sid=E6A98FDB81117489C173967B</v>
      </c>
    </row>
    <row r="4400" spans="3:5" ht="75" x14ac:dyDescent="0.25">
      <c r="C4400" s="15">
        <v>424562</v>
      </c>
      <c r="D4400" s="4" t="s">
        <v>4404</v>
      </c>
      <c r="E4400" s="4" t="str">
        <f>HYPERLINK("https://app.crepc.sk/?fn=detailBiblioForm&amp;sid=012CCE62C622B6693AF059F13E")</f>
        <v>https://app.crepc.sk/?fn=detailBiblioForm&amp;sid=012CCE62C622B6693AF059F13E</v>
      </c>
    </row>
    <row r="4401" spans="3:5" ht="60" x14ac:dyDescent="0.25">
      <c r="C4401" s="15">
        <v>178318</v>
      </c>
      <c r="D4401" s="4" t="s">
        <v>4405</v>
      </c>
      <c r="E4401" s="4" t="str">
        <f>HYPERLINK("https://app.crepc.sk/?fn=detailBiblioForm&amp;sid=A5BC586C45F5195269EC45B98C")</f>
        <v>https://app.crepc.sk/?fn=detailBiblioForm&amp;sid=A5BC586C45F5195269EC45B98C</v>
      </c>
    </row>
    <row r="4402" spans="3:5" ht="75" x14ac:dyDescent="0.25">
      <c r="C4402" s="15">
        <v>152241</v>
      </c>
      <c r="D4402" s="4" t="s">
        <v>4406</v>
      </c>
      <c r="E4402" s="4" t="str">
        <f>HYPERLINK("https://app.crepc.sk/?fn=detailBiblioForm&amp;sid=C3244647CD7CB0B77D716FBDAB")</f>
        <v>https://app.crepc.sk/?fn=detailBiblioForm&amp;sid=C3244647CD7CB0B77D716FBDAB</v>
      </c>
    </row>
    <row r="4403" spans="3:5" ht="90" x14ac:dyDescent="0.25">
      <c r="C4403" s="15">
        <v>444036</v>
      </c>
      <c r="D4403" s="4" t="s">
        <v>4407</v>
      </c>
      <c r="E4403" s="4" t="str">
        <f>HYPERLINK("https://app.crepc.sk/?fn=detailBiblioForm&amp;sid=31F471C3CF40781EEECEC760B1")</f>
        <v>https://app.crepc.sk/?fn=detailBiblioForm&amp;sid=31F471C3CF40781EEECEC760B1</v>
      </c>
    </row>
    <row r="4404" spans="3:5" ht="75" x14ac:dyDescent="0.25">
      <c r="C4404" s="15">
        <v>85269</v>
      </c>
      <c r="D4404" s="4" t="s">
        <v>4408</v>
      </c>
      <c r="E4404" s="4" t="str">
        <f>HYPERLINK("https://app.crepc.sk/?fn=detailBiblioForm&amp;sid=11F83AB24F153A18FD3957C0")</f>
        <v>https://app.crepc.sk/?fn=detailBiblioForm&amp;sid=11F83AB24F153A18FD3957C0</v>
      </c>
    </row>
    <row r="4405" spans="3:5" ht="60" x14ac:dyDescent="0.25">
      <c r="C4405" s="15">
        <v>59284</v>
      </c>
      <c r="D4405" s="4" t="s">
        <v>4409</v>
      </c>
      <c r="E4405" s="4" t="str">
        <f>HYPERLINK("https://app.crepc.sk/?fn=detailBiblioForm&amp;sid=072D38A803E963FF47717C8B")</f>
        <v>https://app.crepc.sk/?fn=detailBiblioForm&amp;sid=072D38A803E963FF47717C8B</v>
      </c>
    </row>
    <row r="4406" spans="3:5" ht="75" x14ac:dyDescent="0.25">
      <c r="C4406" s="15">
        <v>438566</v>
      </c>
      <c r="D4406" s="4" t="s">
        <v>4410</v>
      </c>
      <c r="E4406" s="4" t="str">
        <f>HYPERLINK("https://app.crepc.sk/?fn=detailBiblioForm&amp;sid=A8368C59A2CFCB61881C928036")</f>
        <v>https://app.crepc.sk/?fn=detailBiblioForm&amp;sid=A8368C59A2CFCB61881C928036</v>
      </c>
    </row>
    <row r="4407" spans="3:5" ht="75" x14ac:dyDescent="0.25">
      <c r="C4407" s="15">
        <v>197357</v>
      </c>
      <c r="D4407" s="4" t="s">
        <v>4411</v>
      </c>
      <c r="E4407" s="4" t="str">
        <f>HYPERLINK("https://app.crepc.sk/?fn=detailBiblioForm&amp;sid=DC4ED816FF1BFB25860F897557")</f>
        <v>https://app.crepc.sk/?fn=detailBiblioForm&amp;sid=DC4ED816FF1BFB25860F897557</v>
      </c>
    </row>
    <row r="4408" spans="3:5" ht="120" x14ac:dyDescent="0.25">
      <c r="C4408" s="15">
        <v>185674</v>
      </c>
      <c r="D4408" s="4" t="s">
        <v>4412</v>
      </c>
      <c r="E4408" s="4" t="str">
        <f>HYPERLINK("https://app.crepc.sk/?fn=detailBiblioForm&amp;sid=34C6DEE6AF59A5FA6B0DB732A0")</f>
        <v>https://app.crepc.sk/?fn=detailBiblioForm&amp;sid=34C6DEE6AF59A5FA6B0DB732A0</v>
      </c>
    </row>
    <row r="4409" spans="3:5" ht="90" x14ac:dyDescent="0.25">
      <c r="C4409" s="15">
        <v>129209</v>
      </c>
      <c r="D4409" s="4" t="s">
        <v>4413</v>
      </c>
      <c r="E4409" s="4" t="str">
        <f>HYPERLINK("https://app.crepc.sk/?fn=detailBiblioForm&amp;sid=96D6D14AE6883BC5DF05313C59")</f>
        <v>https://app.crepc.sk/?fn=detailBiblioForm&amp;sid=96D6D14AE6883BC5DF05313C59</v>
      </c>
    </row>
    <row r="4410" spans="3:5" ht="75" x14ac:dyDescent="0.25">
      <c r="C4410" s="15">
        <v>95370</v>
      </c>
      <c r="D4410" s="4" t="s">
        <v>4414</v>
      </c>
      <c r="E4410" s="4" t="str">
        <f>HYPERLINK("https://app.crepc.sk/?fn=detailBiblioForm&amp;sid=A80C41EBAB5BEE80C3306D02")</f>
        <v>https://app.crepc.sk/?fn=detailBiblioForm&amp;sid=A80C41EBAB5BEE80C3306D02</v>
      </c>
    </row>
    <row r="4411" spans="3:5" ht="90" x14ac:dyDescent="0.25">
      <c r="C4411" s="15">
        <v>446548</v>
      </c>
      <c r="D4411" s="4" t="s">
        <v>4415</v>
      </c>
      <c r="E4411" s="4" t="str">
        <f>HYPERLINK("https://app.crepc.sk/?fn=detailBiblioForm&amp;sid=11B4CDD145850D41BD01EE5BB2")</f>
        <v>https://app.crepc.sk/?fn=detailBiblioForm&amp;sid=11B4CDD145850D41BD01EE5BB2</v>
      </c>
    </row>
    <row r="4412" spans="3:5" ht="90" x14ac:dyDescent="0.25">
      <c r="C4412" s="15">
        <v>446593</v>
      </c>
      <c r="D4412" s="4" t="s">
        <v>4416</v>
      </c>
      <c r="E4412" s="4" t="str">
        <f>HYPERLINK("https://app.crepc.sk/?fn=detailBiblioForm&amp;sid=11B4CDD145850D41B00AEE5BB2")</f>
        <v>https://app.crepc.sk/?fn=detailBiblioForm&amp;sid=11B4CDD145850D41B00AEE5BB2</v>
      </c>
    </row>
    <row r="4413" spans="3:5" ht="90" x14ac:dyDescent="0.25">
      <c r="C4413" s="15">
        <v>446526</v>
      </c>
      <c r="D4413" s="4" t="s">
        <v>4417</v>
      </c>
      <c r="E4413" s="4" t="str">
        <f>HYPERLINK("https://app.crepc.sk/?fn=detailBiblioForm&amp;sid=11B4CDD145850D41BB0FEE5BB2")</f>
        <v>https://app.crepc.sk/?fn=detailBiblioForm&amp;sid=11B4CDD145850D41BB0FEE5BB2</v>
      </c>
    </row>
    <row r="4414" spans="3:5" ht="90" x14ac:dyDescent="0.25">
      <c r="C4414" s="15">
        <v>446576</v>
      </c>
      <c r="D4414" s="4" t="s">
        <v>4418</v>
      </c>
      <c r="E4414" s="4" t="str">
        <f>HYPERLINK("https://app.crepc.sk/?fn=detailBiblioForm&amp;sid=11B4CDD145850D41BE0FEE5BB2")</f>
        <v>https://app.crepc.sk/?fn=detailBiblioForm&amp;sid=11B4CDD145850D41BE0FEE5BB2</v>
      </c>
    </row>
    <row r="4415" spans="3:5" ht="105" x14ac:dyDescent="0.25">
      <c r="C4415" s="15">
        <v>446640</v>
      </c>
      <c r="D4415" s="4" t="s">
        <v>4419</v>
      </c>
      <c r="E4415" s="4" t="str">
        <f>HYPERLINK("https://app.crepc.sk/?fn=detailBiblioForm&amp;sid=A0401751D2B5E3B706EBE5C1B5")</f>
        <v>https://app.crepc.sk/?fn=detailBiblioForm&amp;sid=A0401751D2B5E3B706EBE5C1B5</v>
      </c>
    </row>
    <row r="4416" spans="3:5" ht="90" x14ac:dyDescent="0.25">
      <c r="C4416" s="15">
        <v>446546</v>
      </c>
      <c r="D4416" s="4" t="s">
        <v>4420</v>
      </c>
      <c r="E4416" s="4" t="str">
        <f>HYPERLINK("https://app.crepc.sk/?fn=detailBiblioForm&amp;sid=11B4CDD145850D41BD0FEE5BB2")</f>
        <v>https://app.crepc.sk/?fn=detailBiblioForm&amp;sid=11B4CDD145850D41BD0FEE5BB2</v>
      </c>
    </row>
    <row r="4417" spans="3:5" ht="90" x14ac:dyDescent="0.25">
      <c r="C4417" s="15">
        <v>446587</v>
      </c>
      <c r="D4417" s="4" t="s">
        <v>4421</v>
      </c>
      <c r="E4417" s="4" t="str">
        <f>HYPERLINK("https://app.crepc.sk/?fn=detailBiblioForm&amp;sid=11B4CDD145850D41B10EEE5BB2")</f>
        <v>https://app.crepc.sk/?fn=detailBiblioForm&amp;sid=11B4CDD145850D41B10EEE5BB2</v>
      </c>
    </row>
    <row r="4418" spans="3:5" ht="90" x14ac:dyDescent="0.25">
      <c r="C4418" s="15">
        <v>446571</v>
      </c>
      <c r="D4418" s="4" t="s">
        <v>4422</v>
      </c>
      <c r="E4418" s="4" t="str">
        <f>HYPERLINK("https://app.crepc.sk/?fn=detailBiblioForm&amp;sid=11B4CDD145850D41BE08EE5BB2")</f>
        <v>https://app.crepc.sk/?fn=detailBiblioForm&amp;sid=11B4CDD145850D41BE08EE5BB2</v>
      </c>
    </row>
    <row r="4419" spans="3:5" ht="90" x14ac:dyDescent="0.25">
      <c r="C4419" s="15">
        <v>446537</v>
      </c>
      <c r="D4419" s="4" t="s">
        <v>4423</v>
      </c>
      <c r="E4419" s="4" t="str">
        <f>HYPERLINK("https://app.crepc.sk/?fn=detailBiblioForm&amp;sid=11B4CDD145850D41BA0EEE5BB2")</f>
        <v>https://app.crepc.sk/?fn=detailBiblioForm&amp;sid=11B4CDD145850D41BA0EEE5BB2</v>
      </c>
    </row>
    <row r="4420" spans="3:5" ht="75" x14ac:dyDescent="0.25">
      <c r="C4420" s="15">
        <v>95360</v>
      </c>
      <c r="D4420" s="4" t="s">
        <v>4424</v>
      </c>
      <c r="E4420" s="4" t="str">
        <f>HYPERLINK("https://app.crepc.sk/?fn=detailBiblioForm&amp;sid=97A947660A501297A98F9EA2")</f>
        <v>https://app.crepc.sk/?fn=detailBiblioForm&amp;sid=97A947660A501297A98F9EA2</v>
      </c>
    </row>
    <row r="4421" spans="3:5" ht="60" x14ac:dyDescent="0.25">
      <c r="C4421" s="15">
        <v>95353</v>
      </c>
      <c r="D4421" s="4" t="s">
        <v>4425</v>
      </c>
      <c r="E4421" s="4" t="str">
        <f>HYPERLINK("https://app.crepc.sk/?fn=detailBiblioForm&amp;sid=D02DA7499EC18FB42E6C15C8")</f>
        <v>https://app.crepc.sk/?fn=detailBiblioForm&amp;sid=D02DA7499EC18FB42E6C15C8</v>
      </c>
    </row>
    <row r="4422" spans="3:5" ht="75" x14ac:dyDescent="0.25">
      <c r="C4422" s="15">
        <v>95363</v>
      </c>
      <c r="D4422" s="4" t="s">
        <v>4426</v>
      </c>
      <c r="E4422" s="4" t="str">
        <f>HYPERLINK("https://app.crepc.sk/?fn=detailBiblioForm&amp;sid=97A947660A501297AA8F9EA2")</f>
        <v>https://app.crepc.sk/?fn=detailBiblioForm&amp;sid=97A947660A501297AA8F9EA2</v>
      </c>
    </row>
    <row r="4423" spans="3:5" ht="105" x14ac:dyDescent="0.25">
      <c r="C4423" s="15">
        <v>446539</v>
      </c>
      <c r="D4423" s="4" t="s">
        <v>4427</v>
      </c>
      <c r="E4423" s="4" t="str">
        <f>HYPERLINK("https://app.crepc.sk/?fn=detailBiblioForm&amp;sid=11B4CDD145850D41BA00EE5BB2")</f>
        <v>https://app.crepc.sk/?fn=detailBiblioForm&amp;sid=11B4CDD145850D41BA00EE5BB2</v>
      </c>
    </row>
    <row r="4424" spans="3:5" ht="105" x14ac:dyDescent="0.25">
      <c r="C4424" s="15">
        <v>446530</v>
      </c>
      <c r="D4424" s="4" t="s">
        <v>4428</v>
      </c>
      <c r="E4424" s="4" t="str">
        <f>HYPERLINK("https://app.crepc.sk/?fn=detailBiblioForm&amp;sid=11B4CDD145850D41BA09EE5BB2")</f>
        <v>https://app.crepc.sk/?fn=detailBiblioForm&amp;sid=11B4CDD145850D41BA09EE5BB2</v>
      </c>
    </row>
    <row r="4425" spans="3:5" ht="60" x14ac:dyDescent="0.25">
      <c r="C4425" s="15">
        <v>442659</v>
      </c>
      <c r="D4425" s="4" t="s">
        <v>4429</v>
      </c>
      <c r="E4425" s="4" t="str">
        <f>HYPERLINK("https://app.crepc.sk/?fn=detailBiblioForm&amp;sid=E0A737AA77CC1B733545438573")</f>
        <v>https://app.crepc.sk/?fn=detailBiblioForm&amp;sid=E0A737AA77CC1B733545438573</v>
      </c>
    </row>
    <row r="4426" spans="3:5" ht="75" x14ac:dyDescent="0.25">
      <c r="C4426" s="15">
        <v>202544</v>
      </c>
      <c r="D4426" s="4" t="s">
        <v>4430</v>
      </c>
      <c r="E4426" s="4" t="str">
        <f>HYPERLINK("https://app.crepc.sk/?fn=detailBiblioForm&amp;sid=3036734F2764D6FCC131D36630")</f>
        <v>https://app.crepc.sk/?fn=detailBiblioForm&amp;sid=3036734F2764D6FCC131D36630</v>
      </c>
    </row>
    <row r="4427" spans="3:5" ht="60" x14ac:dyDescent="0.25">
      <c r="C4427" s="15">
        <v>167494</v>
      </c>
      <c r="D4427" s="4" t="s">
        <v>4431</v>
      </c>
      <c r="E4427" s="4" t="str">
        <f>HYPERLINK("https://app.crepc.sk/?fn=detailBiblioForm&amp;sid=5C1288C836E60822DDE3CB6202")</f>
        <v>https://app.crepc.sk/?fn=detailBiblioForm&amp;sid=5C1288C836E60822DDE3CB6202</v>
      </c>
    </row>
    <row r="4428" spans="3:5" ht="90" x14ac:dyDescent="0.25">
      <c r="C4428" s="15">
        <v>242230</v>
      </c>
      <c r="D4428" s="4" t="s">
        <v>4432</v>
      </c>
      <c r="E4428" s="4" t="str">
        <f>HYPERLINK("https://app.crepc.sk/?fn=detailBiblioForm&amp;sid=231E70CAEA5D636BE455F2C2AB")</f>
        <v>https://app.crepc.sk/?fn=detailBiblioForm&amp;sid=231E70CAEA5D636BE455F2C2AB</v>
      </c>
    </row>
    <row r="4429" spans="3:5" ht="75" x14ac:dyDescent="0.25">
      <c r="C4429" s="15">
        <v>241338</v>
      </c>
      <c r="D4429" s="4" t="s">
        <v>4433</v>
      </c>
      <c r="E4429" s="4" t="str">
        <f>HYPERLINK("https://app.crepc.sk/?fn=detailBiblioForm&amp;sid=1F5434E3A3E42C7B84113B66E7")</f>
        <v>https://app.crepc.sk/?fn=detailBiblioForm&amp;sid=1F5434E3A3E42C7B84113B66E7</v>
      </c>
    </row>
    <row r="4430" spans="3:5" ht="60" x14ac:dyDescent="0.25">
      <c r="C4430" s="15">
        <v>431402</v>
      </c>
      <c r="D4430" s="4" t="s">
        <v>4434</v>
      </c>
      <c r="E4430" s="4" t="str">
        <f>HYPERLINK("https://app.crepc.sk/?fn=detailBiblioForm&amp;sid=7765475EE46A7A4F978D86F3B4")</f>
        <v>https://app.crepc.sk/?fn=detailBiblioForm&amp;sid=7765475EE46A7A4F978D86F3B4</v>
      </c>
    </row>
    <row r="4431" spans="3:5" ht="60" x14ac:dyDescent="0.25">
      <c r="C4431" s="15">
        <v>197363</v>
      </c>
      <c r="D4431" s="4" t="s">
        <v>4435</v>
      </c>
      <c r="E4431" s="4" t="str">
        <f>HYPERLINK("https://app.crepc.sk/?fn=detailBiblioForm&amp;sid=DC4ED816FF1BFB25850B897557")</f>
        <v>https://app.crepc.sk/?fn=detailBiblioForm&amp;sid=DC4ED816FF1BFB25850B897557</v>
      </c>
    </row>
    <row r="4432" spans="3:5" ht="75" x14ac:dyDescent="0.25">
      <c r="C4432" s="15">
        <v>85223</v>
      </c>
      <c r="D4432" s="4" t="s">
        <v>4436</v>
      </c>
      <c r="E4432" s="4" t="str">
        <f>HYPERLINK("https://app.crepc.sk/?fn=detailBiblioForm&amp;sid=FD3422F9837C7B13D2C2E029")</f>
        <v>https://app.crepc.sk/?fn=detailBiblioForm&amp;sid=FD3422F9837C7B13D2C2E029</v>
      </c>
    </row>
    <row r="4433" spans="3:5" ht="45" x14ac:dyDescent="0.25">
      <c r="C4433" s="15">
        <v>161974</v>
      </c>
      <c r="D4433" s="4" t="s">
        <v>4437</v>
      </c>
      <c r="E4433" s="4" t="str">
        <f>HYPERLINK("https://app.crepc.sk/?fn=detailBiblioForm&amp;sid=3BEC39B52C756B70CA0679B3D6")</f>
        <v>https://app.crepc.sk/?fn=detailBiblioForm&amp;sid=3BEC39B52C756B70CA0679B3D6</v>
      </c>
    </row>
    <row r="4434" spans="3:5" ht="60" x14ac:dyDescent="0.25">
      <c r="C4434" s="15">
        <v>84869</v>
      </c>
      <c r="D4434" s="4" t="s">
        <v>4438</v>
      </c>
      <c r="E4434" s="4" t="str">
        <f>HYPERLINK("https://app.crepc.sk/?fn=detailBiblioForm&amp;sid=91B9A75EE4F29577DB76F9B7")</f>
        <v>https://app.crepc.sk/?fn=detailBiblioForm&amp;sid=91B9A75EE4F29577DB76F9B7</v>
      </c>
    </row>
    <row r="4435" spans="3:5" ht="60" x14ac:dyDescent="0.25">
      <c r="C4435" s="15">
        <v>100647</v>
      </c>
      <c r="D4435" s="4" t="s">
        <v>4439</v>
      </c>
      <c r="E4435" s="4" t="str">
        <f>HYPERLINK("https://app.crepc.sk/?fn=detailBiblioForm&amp;sid=2204B64E72E25FC8ED6AF15BC1")</f>
        <v>https://app.crepc.sk/?fn=detailBiblioForm&amp;sid=2204B64E72E25FC8ED6AF15BC1</v>
      </c>
    </row>
    <row r="4436" spans="3:5" ht="60" x14ac:dyDescent="0.25">
      <c r="C4436" s="15">
        <v>434578</v>
      </c>
      <c r="D4436" s="4" t="s">
        <v>4440</v>
      </c>
      <c r="E4436" s="4" t="str">
        <f>HYPERLINK("https://app.crepc.sk/?fn=detailBiblioForm&amp;sid=FEF68A204C436D574DC19A2E5C")</f>
        <v>https://app.crepc.sk/?fn=detailBiblioForm&amp;sid=FEF68A204C436D574DC19A2E5C</v>
      </c>
    </row>
    <row r="4437" spans="3:5" ht="75" x14ac:dyDescent="0.25">
      <c r="C4437" s="15">
        <v>244732</v>
      </c>
      <c r="D4437" s="4" t="s">
        <v>4441</v>
      </c>
      <c r="E4437" s="4" t="str">
        <f>HYPERLINK("https://app.crepc.sk/?fn=detailBiblioForm&amp;sid=C5430B75513C4E7F23FDE1F354")</f>
        <v>https://app.crepc.sk/?fn=detailBiblioForm&amp;sid=C5430B75513C4E7F23FDE1F354</v>
      </c>
    </row>
    <row r="4438" spans="3:5" ht="75" x14ac:dyDescent="0.25">
      <c r="C4438" s="15">
        <v>180545</v>
      </c>
      <c r="D4438" s="4" t="s">
        <v>4442</v>
      </c>
      <c r="E4438" s="4" t="str">
        <f>HYPERLINK("https://app.crepc.sk/?fn=detailBiblioForm&amp;sid=F33BEAA28AB422A4F01B03D707")</f>
        <v>https://app.crepc.sk/?fn=detailBiblioForm&amp;sid=F33BEAA28AB422A4F01B03D707</v>
      </c>
    </row>
    <row r="4439" spans="3:5" ht="60" x14ac:dyDescent="0.25">
      <c r="C4439" s="15">
        <v>143196</v>
      </c>
      <c r="D4439" s="4" t="s">
        <v>4443</v>
      </c>
      <c r="E4439" s="4" t="str">
        <f>HYPERLINK("https://app.crepc.sk/?fn=detailBiblioForm&amp;sid=A2EF37C6133CFD974FFA6CA77B")</f>
        <v>https://app.crepc.sk/?fn=detailBiblioForm&amp;sid=A2EF37C6133CFD974FFA6CA77B</v>
      </c>
    </row>
    <row r="4440" spans="3:5" ht="60" x14ac:dyDescent="0.25">
      <c r="C4440" s="15">
        <v>105326</v>
      </c>
      <c r="D4440" s="4" t="s">
        <v>4444</v>
      </c>
      <c r="E4440" s="4" t="str">
        <f>HYPERLINK("https://app.crepc.sk/?fn=detailBiblioForm&amp;sid=E84B3E3EDA810AC00E6E399568")</f>
        <v>https://app.crepc.sk/?fn=detailBiblioForm&amp;sid=E84B3E3EDA810AC00E6E399568</v>
      </c>
    </row>
    <row r="4441" spans="3:5" ht="60" x14ac:dyDescent="0.25">
      <c r="C4441" s="15">
        <v>105305</v>
      </c>
      <c r="D4441" s="4" t="s">
        <v>4445</v>
      </c>
      <c r="E4441" s="4" t="str">
        <f>HYPERLINK("https://app.crepc.sk/?fn=detailBiblioForm&amp;sid=E84B3E3EDA810AC00C6D399568")</f>
        <v>https://app.crepc.sk/?fn=detailBiblioForm&amp;sid=E84B3E3EDA810AC00C6D399568</v>
      </c>
    </row>
    <row r="4442" spans="3:5" ht="60" x14ac:dyDescent="0.25">
      <c r="C4442" s="15">
        <v>95354</v>
      </c>
      <c r="D4442" s="4" t="s">
        <v>4446</v>
      </c>
      <c r="E4442" s="4" t="str">
        <f>HYPERLINK("https://app.crepc.sk/?fn=detailBiblioForm&amp;sid=D02DA7499EC18FB4296C15C8")</f>
        <v>https://app.crepc.sk/?fn=detailBiblioForm&amp;sid=D02DA7499EC18FB4296C15C8</v>
      </c>
    </row>
    <row r="4443" spans="3:5" ht="60" x14ac:dyDescent="0.25">
      <c r="C4443" s="15">
        <v>207427</v>
      </c>
      <c r="D4443" s="4" t="s">
        <v>4447</v>
      </c>
      <c r="E4443" s="4" t="str">
        <f>HYPERLINK("https://app.crepc.sk/?fn=detailBiblioForm&amp;sid=710E036344B29395B98046F5C5")</f>
        <v>https://app.crepc.sk/?fn=detailBiblioForm&amp;sid=710E036344B29395B98046F5C5</v>
      </c>
    </row>
    <row r="4444" spans="3:5" ht="60" x14ac:dyDescent="0.25">
      <c r="C4444" s="15">
        <v>181744</v>
      </c>
      <c r="D4444" s="4" t="s">
        <v>4448</v>
      </c>
      <c r="E4444" s="4" t="str">
        <f>HYPERLINK("https://app.crepc.sk/?fn=detailBiblioForm&amp;sid=D4AFBEDDECE97BC637386C8C09")</f>
        <v>https://app.crepc.sk/?fn=detailBiblioForm&amp;sid=D4AFBEDDECE97BC637386C8C09</v>
      </c>
    </row>
    <row r="4445" spans="3:5" ht="75" x14ac:dyDescent="0.25">
      <c r="C4445" s="15">
        <v>74546</v>
      </c>
      <c r="D4445" s="4" t="s">
        <v>4449</v>
      </c>
      <c r="E4445" s="4" t="str">
        <f>HYPERLINK("https://app.crepc.sk/?fn=detailBiblioForm&amp;sid=7DC6F83733C2E63A7AD65D08")</f>
        <v>https://app.crepc.sk/?fn=detailBiblioForm&amp;sid=7DC6F83733C2E63A7AD65D08</v>
      </c>
    </row>
    <row r="4446" spans="3:5" ht="105" x14ac:dyDescent="0.25">
      <c r="C4446" s="15">
        <v>446553</v>
      </c>
      <c r="D4446" s="4" t="s">
        <v>4450</v>
      </c>
      <c r="E4446" s="4" t="str">
        <f>HYPERLINK("https://app.crepc.sk/?fn=detailBiblioForm&amp;sid=11B4CDD145850D41BC0AEE5BB2")</f>
        <v>https://app.crepc.sk/?fn=detailBiblioForm&amp;sid=11B4CDD145850D41BC0AEE5BB2</v>
      </c>
    </row>
    <row r="4447" spans="3:5" ht="105" x14ac:dyDescent="0.25">
      <c r="C4447" s="15">
        <v>446555</v>
      </c>
      <c r="D4447" s="4" t="s">
        <v>4451</v>
      </c>
      <c r="E4447" s="4" t="str">
        <f>HYPERLINK("https://app.crepc.sk/?fn=detailBiblioForm&amp;sid=11B4CDD145850D41BC0CEE5BB2")</f>
        <v>https://app.crepc.sk/?fn=detailBiblioForm&amp;sid=11B4CDD145850D41BC0CEE5BB2</v>
      </c>
    </row>
    <row r="4448" spans="3:5" ht="105" x14ac:dyDescent="0.25">
      <c r="C4448" s="15">
        <v>446633</v>
      </c>
      <c r="D4448" s="4" t="s">
        <v>4452</v>
      </c>
      <c r="E4448" s="4" t="str">
        <f>HYPERLINK("https://app.crepc.sk/?fn=detailBiblioForm&amp;sid=A0401751D2B5E3B701E8E5C1B5")</f>
        <v>https://app.crepc.sk/?fn=detailBiblioForm&amp;sid=A0401751D2B5E3B701E8E5C1B5</v>
      </c>
    </row>
    <row r="4449" spans="3:5" ht="105" x14ac:dyDescent="0.25">
      <c r="C4449" s="15">
        <v>446535</v>
      </c>
      <c r="D4449" s="4" t="s">
        <v>4453</v>
      </c>
      <c r="E4449" s="4" t="str">
        <f>HYPERLINK("https://app.crepc.sk/?fn=detailBiblioForm&amp;sid=11B4CDD145850D41BA0CEE5BB2")</f>
        <v>https://app.crepc.sk/?fn=detailBiblioForm&amp;sid=11B4CDD145850D41BA0CEE5BB2</v>
      </c>
    </row>
    <row r="4450" spans="3:5" ht="105" x14ac:dyDescent="0.25">
      <c r="C4450" s="15">
        <v>446541</v>
      </c>
      <c r="D4450" s="4" t="s">
        <v>4454</v>
      </c>
      <c r="E4450" s="4" t="str">
        <f>HYPERLINK("https://app.crepc.sk/?fn=detailBiblioForm&amp;sid=11B4CDD145850D41BD08EE5BB2")</f>
        <v>https://app.crepc.sk/?fn=detailBiblioForm&amp;sid=11B4CDD145850D41BD08EE5BB2</v>
      </c>
    </row>
    <row r="4451" spans="3:5" ht="75" x14ac:dyDescent="0.25">
      <c r="C4451" s="15">
        <v>179577</v>
      </c>
      <c r="D4451" s="4" t="s">
        <v>4455</v>
      </c>
      <c r="E4451" s="4" t="str">
        <f>HYPERLINK("https://app.crepc.sk/?fn=detailBiblioForm&amp;sid=D2CDA85DA56256F2773A8485A6")</f>
        <v>https://app.crepc.sk/?fn=detailBiblioForm&amp;sid=D2CDA85DA56256F2773A8485A6</v>
      </c>
    </row>
    <row r="4452" spans="3:5" ht="60" x14ac:dyDescent="0.25">
      <c r="C4452" s="15">
        <v>95350</v>
      </c>
      <c r="D4452" s="4" t="s">
        <v>4456</v>
      </c>
      <c r="E4452" s="4" t="str">
        <f>HYPERLINK("https://app.crepc.sk/?fn=detailBiblioForm&amp;sid=D02DA7499EC18FB42D6C15C8")</f>
        <v>https://app.crepc.sk/?fn=detailBiblioForm&amp;sid=D02DA7499EC18FB42D6C15C8</v>
      </c>
    </row>
    <row r="4453" spans="3:5" ht="60" x14ac:dyDescent="0.25">
      <c r="C4453" s="15">
        <v>214215</v>
      </c>
      <c r="D4453" s="4" t="s">
        <v>4457</v>
      </c>
      <c r="E4453" s="4" t="str">
        <f>HYPERLINK("https://app.crepc.sk/?fn=detailBiblioForm&amp;sid=C1A1CE808995C9C3FC88ED1100")</f>
        <v>https://app.crepc.sk/?fn=detailBiblioForm&amp;sid=C1A1CE808995C9C3FC88ED1100</v>
      </c>
    </row>
    <row r="4454" spans="3:5" ht="60" x14ac:dyDescent="0.25">
      <c r="C4454" s="15">
        <v>129798</v>
      </c>
      <c r="D4454" s="4" t="s">
        <v>4458</v>
      </c>
      <c r="E4454" s="4" t="str">
        <f>HYPERLINK("https://app.crepc.sk/?fn=detailBiblioForm&amp;sid=C9465A2E9A03019847D80E3F37")</f>
        <v>https://app.crepc.sk/?fn=detailBiblioForm&amp;sid=C9465A2E9A03019847D80E3F37</v>
      </c>
    </row>
    <row r="4455" spans="3:5" ht="75" x14ac:dyDescent="0.25">
      <c r="C4455" s="15">
        <v>59441</v>
      </c>
      <c r="D4455" s="4" t="s">
        <v>4459</v>
      </c>
      <c r="E4455" s="4" t="str">
        <f>HYPERLINK("https://app.crepc.sk/?fn=detailBiblioForm&amp;sid=80A36274E7B3308BD836B6D6")</f>
        <v>https://app.crepc.sk/?fn=detailBiblioForm&amp;sid=80A36274E7B3308BD836B6D6</v>
      </c>
    </row>
    <row r="4456" spans="3:5" ht="90" x14ac:dyDescent="0.25">
      <c r="C4456" s="15">
        <v>461838</v>
      </c>
      <c r="D4456" s="4" t="s">
        <v>4460</v>
      </c>
      <c r="E4456" s="4" t="str">
        <f>HYPERLINK("https://app.crepc.sk/?fn=detailBiblioForm&amp;sid=1B754228BA99B53F449329B4E3")</f>
        <v>https://app.crepc.sk/?fn=detailBiblioForm&amp;sid=1B754228BA99B53F449329B4E3</v>
      </c>
    </row>
    <row r="4457" spans="3:5" ht="60" x14ac:dyDescent="0.25">
      <c r="C4457" s="15">
        <v>162239</v>
      </c>
      <c r="D4457" s="4" t="s">
        <v>4461</v>
      </c>
      <c r="E4457" s="4" t="str">
        <f>HYPERLINK("https://app.crepc.sk/?fn=detailBiblioForm&amp;sid=064839694A055E9D1204D03241")</f>
        <v>https://app.crepc.sk/?fn=detailBiblioForm&amp;sid=064839694A055E9D1204D03241</v>
      </c>
    </row>
    <row r="4458" spans="3:5" ht="60" x14ac:dyDescent="0.25">
      <c r="C4458" s="15">
        <v>231814</v>
      </c>
      <c r="D4458" s="4" t="s">
        <v>4462</v>
      </c>
      <c r="E4458" s="4" t="str">
        <f>HYPERLINK("https://app.crepc.sk/?fn=detailBiblioForm&amp;sid=5B061BA8CDFDB05EEB18B55804")</f>
        <v>https://app.crepc.sk/?fn=detailBiblioForm&amp;sid=5B061BA8CDFDB05EEB18B55804</v>
      </c>
    </row>
    <row r="4459" spans="3:5" ht="75" x14ac:dyDescent="0.25">
      <c r="C4459" s="15">
        <v>214848</v>
      </c>
      <c r="D4459" s="4" t="s">
        <v>4463</v>
      </c>
      <c r="E4459" s="4" t="str">
        <f>HYPERLINK("https://app.crepc.sk/?fn=detailBiblioForm&amp;sid=A06FA5B38568DD1495D7EE68D3")</f>
        <v>https://app.crepc.sk/?fn=detailBiblioForm&amp;sid=A06FA5B38568DD1495D7EE68D3</v>
      </c>
    </row>
    <row r="4460" spans="3:5" ht="75" x14ac:dyDescent="0.25">
      <c r="C4460" s="15">
        <v>173555</v>
      </c>
      <c r="D4460" s="4" t="s">
        <v>4464</v>
      </c>
      <c r="E4460" s="4" t="str">
        <f>HYPERLINK("https://app.crepc.sk/?fn=detailBiblioForm&amp;sid=22891320CECCAE826FCE219866")</f>
        <v>https://app.crepc.sk/?fn=detailBiblioForm&amp;sid=22891320CECCAE826FCE219866</v>
      </c>
    </row>
    <row r="4461" spans="3:5" ht="60" x14ac:dyDescent="0.25">
      <c r="C4461" s="15">
        <v>240857</v>
      </c>
      <c r="D4461" s="4" t="s">
        <v>4465</v>
      </c>
      <c r="E4461" s="4" t="str">
        <f>HYPERLINK("https://app.crepc.sk/?fn=detailBiblioForm&amp;sid=5B016660862A0AA5410222D6A0")</f>
        <v>https://app.crepc.sk/?fn=detailBiblioForm&amp;sid=5B016660862A0AA5410222D6A0</v>
      </c>
    </row>
    <row r="4462" spans="3:5" ht="60" x14ac:dyDescent="0.25">
      <c r="C4462" s="15">
        <v>163617</v>
      </c>
      <c r="D4462" s="4" t="s">
        <v>4466</v>
      </c>
      <c r="E4462" s="4" t="str">
        <f>HYPERLINK("https://app.crepc.sk/?fn=detailBiblioForm&amp;sid=4E9CAE35D73C8B4E03F233E524")</f>
        <v>https://app.crepc.sk/?fn=detailBiblioForm&amp;sid=4E9CAE35D73C8B4E03F233E524</v>
      </c>
    </row>
    <row r="4463" spans="3:5" ht="60" x14ac:dyDescent="0.25">
      <c r="C4463" s="15">
        <v>95401</v>
      </c>
      <c r="D4463" s="4" t="s">
        <v>4467</v>
      </c>
      <c r="E4463" s="4" t="str">
        <f>HYPERLINK("https://app.crepc.sk/?fn=detailBiblioForm&amp;sid=151137D9B57F488D62551E8F")</f>
        <v>https://app.crepc.sk/?fn=detailBiblioForm&amp;sid=151137D9B57F488D62551E8F</v>
      </c>
    </row>
    <row r="4464" spans="3:5" ht="75" x14ac:dyDescent="0.25">
      <c r="C4464" s="15">
        <v>105421</v>
      </c>
      <c r="D4464" s="4" t="s">
        <v>4468</v>
      </c>
      <c r="E4464" s="4" t="str">
        <f>HYPERLINK("https://app.crepc.sk/?fn=detailBiblioForm&amp;sid=C9F2ED9DAFACD725E76430F024")</f>
        <v>https://app.crepc.sk/?fn=detailBiblioForm&amp;sid=C9F2ED9DAFACD725E76430F024</v>
      </c>
    </row>
    <row r="4465" spans="3:5" ht="45" x14ac:dyDescent="0.25">
      <c r="C4465" s="15">
        <v>161978</v>
      </c>
      <c r="D4465" s="4" t="s">
        <v>4469</v>
      </c>
      <c r="E4465" s="4" t="str">
        <f>HYPERLINK("https://app.crepc.sk/?fn=detailBiblioForm&amp;sid=3BEC39B52C756B70CA0A79B3D6")</f>
        <v>https://app.crepc.sk/?fn=detailBiblioForm&amp;sid=3BEC39B52C756B70CA0A79B3D6</v>
      </c>
    </row>
    <row r="4466" spans="3:5" ht="60" x14ac:dyDescent="0.25">
      <c r="C4466" s="15">
        <v>150090</v>
      </c>
      <c r="D4466" s="4" t="s">
        <v>4470</v>
      </c>
      <c r="E4466" s="4" t="str">
        <f>HYPERLINK("https://app.crepc.sk/?fn=detailBiblioForm&amp;sid=7DA8C3B98606746B324F771817")</f>
        <v>https://app.crepc.sk/?fn=detailBiblioForm&amp;sid=7DA8C3B98606746B324F771817</v>
      </c>
    </row>
    <row r="4467" spans="3:5" ht="60" x14ac:dyDescent="0.25">
      <c r="C4467" s="15">
        <v>446779</v>
      </c>
      <c r="D4467" s="4" t="s">
        <v>4471</v>
      </c>
      <c r="E4467" s="4" t="str">
        <f>HYPERLINK("https://app.crepc.sk/?fn=detailBiblioForm&amp;sid=06FEB2A94F44E68E9D15173BCF")</f>
        <v>https://app.crepc.sk/?fn=detailBiblioForm&amp;sid=06FEB2A94F44E68E9D15173BCF</v>
      </c>
    </row>
    <row r="4468" spans="3:5" ht="60" x14ac:dyDescent="0.25">
      <c r="C4468" s="15">
        <v>121339</v>
      </c>
      <c r="D4468" s="4" t="s">
        <v>4472</v>
      </c>
      <c r="E4468" s="4" t="str">
        <f>HYPERLINK("https://app.crepc.sk/?fn=detailBiblioForm&amp;sid=EFDADBCCBBDB1A63B9B83C2371")</f>
        <v>https://app.crepc.sk/?fn=detailBiblioForm&amp;sid=EFDADBCCBBDB1A63B9B83C2371</v>
      </c>
    </row>
    <row r="4469" spans="3:5" ht="75" x14ac:dyDescent="0.25">
      <c r="C4469" s="15">
        <v>224545</v>
      </c>
      <c r="D4469" s="4" t="s">
        <v>4473</v>
      </c>
      <c r="E4469" s="4" t="str">
        <f>HYPERLINK("https://app.crepc.sk/?fn=detailBiblioForm&amp;sid=A6B051536A0DE14F516BA50085")</f>
        <v>https://app.crepc.sk/?fn=detailBiblioForm&amp;sid=A6B051536A0DE14F516BA50085</v>
      </c>
    </row>
    <row r="4470" spans="3:5" ht="60" x14ac:dyDescent="0.25">
      <c r="C4470" s="15">
        <v>191320</v>
      </c>
      <c r="D4470" s="4" t="s">
        <v>4474</v>
      </c>
      <c r="E4470" s="4" t="str">
        <f>HYPERLINK("https://app.crepc.sk/?fn=detailBiblioForm&amp;sid=36AF35A93DA567BB065FC89854")</f>
        <v>https://app.crepc.sk/?fn=detailBiblioForm&amp;sid=36AF35A93DA567BB065FC89854</v>
      </c>
    </row>
    <row r="4471" spans="3:5" ht="45" x14ac:dyDescent="0.25">
      <c r="C4471" s="15">
        <v>162006</v>
      </c>
      <c r="D4471" s="4" t="s">
        <v>4475</v>
      </c>
      <c r="E4471" s="4" t="str">
        <f>HYPERLINK("https://app.crepc.sk/?fn=detailBiblioForm&amp;sid=64F3CCE308D9C9BF45EC842526")</f>
        <v>https://app.crepc.sk/?fn=detailBiblioForm&amp;sid=64F3CCE308D9C9BF45EC842526</v>
      </c>
    </row>
    <row r="4472" spans="3:5" ht="60" x14ac:dyDescent="0.25">
      <c r="C4472" s="15">
        <v>191496</v>
      </c>
      <c r="D4472" s="4" t="s">
        <v>4476</v>
      </c>
      <c r="E4472" s="4" t="str">
        <f>HYPERLINK("https://app.crepc.sk/?fn=detailBiblioForm&amp;sid=44FC440D71D4FA2BC7FBBD0C61")</f>
        <v>https://app.crepc.sk/?fn=detailBiblioForm&amp;sid=44FC440D71D4FA2BC7FBBD0C61</v>
      </c>
    </row>
    <row r="4473" spans="3:5" ht="60" x14ac:dyDescent="0.25">
      <c r="C4473" s="15">
        <v>311780</v>
      </c>
      <c r="D4473" s="4" t="s">
        <v>4477</v>
      </c>
      <c r="E4473" s="4" t="str">
        <f>HYPERLINK("https://app.crepc.sk/?fn=detailBiblioForm&amp;sid=8EE1810944F1923626C3017A00")</f>
        <v>https://app.crepc.sk/?fn=detailBiblioForm&amp;sid=8EE1810944F1923626C3017A00</v>
      </c>
    </row>
    <row r="4474" spans="3:5" ht="75" x14ac:dyDescent="0.25">
      <c r="C4474" s="15">
        <v>162253</v>
      </c>
      <c r="D4474" s="4" t="s">
        <v>4478</v>
      </c>
      <c r="E4474" s="4" t="str">
        <f>HYPERLINK("https://app.crepc.sk/?fn=detailBiblioForm&amp;sid=064839694A055E9D140ED03241")</f>
        <v>https://app.crepc.sk/?fn=detailBiblioForm&amp;sid=064839694A055E9D140ED03241</v>
      </c>
    </row>
    <row r="4475" spans="3:5" ht="60" x14ac:dyDescent="0.25">
      <c r="C4475" s="15">
        <v>147520</v>
      </c>
      <c r="D4475" s="4" t="s">
        <v>4479</v>
      </c>
      <c r="E4475" s="4" t="str">
        <f>HYPERLINK("https://app.crepc.sk/?fn=detailBiblioForm&amp;sid=427371B0090519B80642BF379E")</f>
        <v>https://app.crepc.sk/?fn=detailBiblioForm&amp;sid=427371B0090519B80642BF379E</v>
      </c>
    </row>
    <row r="4476" spans="3:5" ht="60" x14ac:dyDescent="0.25">
      <c r="C4476" s="15">
        <v>180941</v>
      </c>
      <c r="D4476" s="4" t="s">
        <v>4480</v>
      </c>
      <c r="E4476" s="4" t="str">
        <f>HYPERLINK("https://app.crepc.sk/?fn=detailBiblioForm&amp;sid=69CB3773D22D595AC280835F18")</f>
        <v>https://app.crepc.sk/?fn=detailBiblioForm&amp;sid=69CB3773D22D595AC280835F18</v>
      </c>
    </row>
    <row r="4477" spans="3:5" ht="60" x14ac:dyDescent="0.25">
      <c r="C4477" s="15">
        <v>68999</v>
      </c>
      <c r="D4477" s="4" t="s">
        <v>4481</v>
      </c>
      <c r="E4477" s="4" t="str">
        <f>HYPERLINK("https://app.crepc.sk/?fn=detailBiblioForm&amp;sid=B3C7572BB2D3356F36C23706")</f>
        <v>https://app.crepc.sk/?fn=detailBiblioForm&amp;sid=B3C7572BB2D3356F36C23706</v>
      </c>
    </row>
    <row r="4478" spans="3:5" ht="60" x14ac:dyDescent="0.25">
      <c r="C4478" s="15">
        <v>143246</v>
      </c>
      <c r="D4478" s="4" t="s">
        <v>4482</v>
      </c>
      <c r="E4478" s="4" t="str">
        <f>HYPERLINK("https://app.crepc.sk/?fn=detailBiblioForm&amp;sid=8AAE5857BF69342076B7E25F65")</f>
        <v>https://app.crepc.sk/?fn=detailBiblioForm&amp;sid=8AAE5857BF69342076B7E25F65</v>
      </c>
    </row>
    <row r="4479" spans="3:5" ht="60" x14ac:dyDescent="0.25">
      <c r="C4479" s="15">
        <v>143244</v>
      </c>
      <c r="D4479" s="4" t="s">
        <v>4483</v>
      </c>
      <c r="E4479" s="4" t="str">
        <f>HYPERLINK("https://app.crepc.sk/?fn=detailBiblioForm&amp;sid=8AAE5857BF69342076B5E25F65")</f>
        <v>https://app.crepc.sk/?fn=detailBiblioForm&amp;sid=8AAE5857BF69342076B5E25F65</v>
      </c>
    </row>
    <row r="4480" spans="3:5" ht="75" x14ac:dyDescent="0.25">
      <c r="C4480" s="15">
        <v>208158</v>
      </c>
      <c r="D4480" s="4" t="s">
        <v>4484</v>
      </c>
      <c r="E4480" s="4" t="str">
        <f>HYPERLINK("https://app.crepc.sk/?fn=detailBiblioForm&amp;sid=D6473325855F1BB4012B8619C8")</f>
        <v>https://app.crepc.sk/?fn=detailBiblioForm&amp;sid=D6473325855F1BB4012B8619C8</v>
      </c>
    </row>
    <row r="4481" spans="3:5" ht="75" x14ac:dyDescent="0.25">
      <c r="C4481" s="15">
        <v>314635</v>
      </c>
      <c r="D4481" s="4" t="s">
        <v>4485</v>
      </c>
      <c r="E4481" s="4" t="str">
        <f>HYPERLINK("https://app.crepc.sk/?fn=detailBiblioForm&amp;sid=0D699139B41EFD4760550CC574")</f>
        <v>https://app.crepc.sk/?fn=detailBiblioForm&amp;sid=0D699139B41EFD4760550CC574</v>
      </c>
    </row>
    <row r="4482" spans="3:5" ht="45" x14ac:dyDescent="0.25">
      <c r="C4482" s="15">
        <v>137979</v>
      </c>
      <c r="D4482" s="4" t="s">
        <v>4486</v>
      </c>
      <c r="E4482" s="4" t="str">
        <f>HYPERLINK("https://app.crepc.sk/?fn=detailBiblioForm&amp;sid=8922FF609D62574E8C403E73A4")</f>
        <v>https://app.crepc.sk/?fn=detailBiblioForm&amp;sid=8922FF609D62574E8C403E73A4</v>
      </c>
    </row>
    <row r="4483" spans="3:5" ht="60" x14ac:dyDescent="0.25">
      <c r="C4483" s="15">
        <v>94987</v>
      </c>
      <c r="D4483" s="4" t="s">
        <v>4487</v>
      </c>
      <c r="E4483" s="4" t="str">
        <f>HYPERLINK("https://app.crepc.sk/?fn=detailBiblioForm&amp;sid=2580D672A967005EB5AE5E32")</f>
        <v>https://app.crepc.sk/?fn=detailBiblioForm&amp;sid=2580D672A967005EB5AE5E32</v>
      </c>
    </row>
    <row r="4484" spans="3:5" ht="60" x14ac:dyDescent="0.25">
      <c r="C4484" s="15">
        <v>234160</v>
      </c>
      <c r="D4484" s="4" t="s">
        <v>4488</v>
      </c>
      <c r="E4484" s="4" t="str">
        <f>HYPERLINK("https://app.crepc.sk/?fn=detailBiblioForm&amp;sid=296641D250251057AB522EC834")</f>
        <v>https://app.crepc.sk/?fn=detailBiblioForm&amp;sid=296641D250251057AB522EC834</v>
      </c>
    </row>
    <row r="4485" spans="3:5" ht="60" x14ac:dyDescent="0.25">
      <c r="C4485" s="15">
        <v>217843</v>
      </c>
      <c r="D4485" s="4" t="s">
        <v>4489</v>
      </c>
      <c r="E4485" s="4" t="str">
        <f>HYPERLINK("https://app.crepc.sk/?fn=detailBiblioForm&amp;sid=DD17F1AC3B2F6CB15E71480A3C")</f>
        <v>https://app.crepc.sk/?fn=detailBiblioForm&amp;sid=DD17F1AC3B2F6CB15E71480A3C</v>
      </c>
    </row>
    <row r="4486" spans="3:5" ht="60" x14ac:dyDescent="0.25">
      <c r="C4486" s="15">
        <v>143239</v>
      </c>
      <c r="D4486" s="4" t="s">
        <v>4490</v>
      </c>
      <c r="E4486" s="4" t="str">
        <f>HYPERLINK("https://app.crepc.sk/?fn=detailBiblioForm&amp;sid=8AAE5857BF69342071B8E25F65")</f>
        <v>https://app.crepc.sk/?fn=detailBiblioForm&amp;sid=8AAE5857BF69342071B8E25F65</v>
      </c>
    </row>
    <row r="4487" spans="3:5" ht="60" x14ac:dyDescent="0.25">
      <c r="C4487" s="15">
        <v>463023</v>
      </c>
      <c r="D4487" s="4" t="s">
        <v>4491</v>
      </c>
      <c r="E4487" s="4" t="str">
        <f>HYPERLINK("https://app.crepc.sk/?fn=detailBiblioForm&amp;sid=28D1F0BE244D3379C8987189EB")</f>
        <v>https://app.crepc.sk/?fn=detailBiblioForm&amp;sid=28D1F0BE244D3379C8987189EB</v>
      </c>
    </row>
    <row r="4488" spans="3:5" ht="60" x14ac:dyDescent="0.25">
      <c r="C4488" s="15">
        <v>447613</v>
      </c>
      <c r="D4488" s="4" t="s">
        <v>4492</v>
      </c>
      <c r="E4488" s="4" t="str">
        <f>HYPERLINK("https://app.crepc.sk/?fn=detailBiblioForm&amp;sid=8F81CEBCF1D2B175C1C0F3429E")</f>
        <v>https://app.crepc.sk/?fn=detailBiblioForm&amp;sid=8F81CEBCF1D2B175C1C0F3429E</v>
      </c>
    </row>
    <row r="4489" spans="3:5" ht="75" x14ac:dyDescent="0.25">
      <c r="C4489" s="15">
        <v>54455</v>
      </c>
      <c r="D4489" s="4" t="s">
        <v>4493</v>
      </c>
      <c r="E4489" s="4" t="str">
        <f>HYPERLINK("https://app.crepc.sk/?fn=detailBiblioForm&amp;sid=F8FC97925FF36C75101FF66E")</f>
        <v>https://app.crepc.sk/?fn=detailBiblioForm&amp;sid=F8FC97925FF36C75101FF66E</v>
      </c>
    </row>
    <row r="4490" spans="3:5" ht="75" x14ac:dyDescent="0.25">
      <c r="C4490" s="15">
        <v>95346</v>
      </c>
      <c r="D4490" s="4" t="s">
        <v>4494</v>
      </c>
      <c r="E4490" s="4" t="str">
        <f>HYPERLINK("https://app.crepc.sk/?fn=detailBiblioForm&amp;sid=B36598239783A045A60490CE")</f>
        <v>https://app.crepc.sk/?fn=detailBiblioForm&amp;sid=B36598239783A045A60490CE</v>
      </c>
    </row>
    <row r="4491" spans="3:5" ht="45" x14ac:dyDescent="0.25">
      <c r="C4491" s="15">
        <v>138377</v>
      </c>
      <c r="D4491" s="4" t="s">
        <v>4495</v>
      </c>
      <c r="E4491" s="4" t="str">
        <f>HYPERLINK("https://app.crepc.sk/?fn=detailBiblioForm&amp;sid=7D24A8B9D266E99510C16468AD")</f>
        <v>https://app.crepc.sk/?fn=detailBiblioForm&amp;sid=7D24A8B9D266E99510C16468AD</v>
      </c>
    </row>
    <row r="4492" spans="3:5" ht="60" x14ac:dyDescent="0.25">
      <c r="C4492" s="15">
        <v>82215</v>
      </c>
      <c r="D4492" s="4" t="s">
        <v>4496</v>
      </c>
      <c r="E4492" s="4" t="str">
        <f>HYPERLINK("https://app.crepc.sk/?fn=detailBiblioForm&amp;sid=227DBE125D99DAAFF25639C2")</f>
        <v>https://app.crepc.sk/?fn=detailBiblioForm&amp;sid=227DBE125D99DAAFF25639C2</v>
      </c>
    </row>
    <row r="4493" spans="3:5" ht="60" x14ac:dyDescent="0.25">
      <c r="C4493" s="15">
        <v>137983</v>
      </c>
      <c r="D4493" s="4" t="s">
        <v>4497</v>
      </c>
      <c r="E4493" s="4" t="str">
        <f>HYPERLINK("https://app.crepc.sk/?fn=detailBiblioForm&amp;sid=8922FF609D62574E834A3E73A4")</f>
        <v>https://app.crepc.sk/?fn=detailBiblioForm&amp;sid=8922FF609D62574E834A3E73A4</v>
      </c>
    </row>
    <row r="4494" spans="3:5" ht="75" x14ac:dyDescent="0.25">
      <c r="C4494" s="15">
        <v>309676</v>
      </c>
      <c r="D4494" s="4" t="s">
        <v>4498</v>
      </c>
      <c r="E4494" s="4" t="str">
        <f>HYPERLINK("https://app.crepc.sk/?fn=detailBiblioForm&amp;sid=0E0E5CBF9C8837E61A01165640")</f>
        <v>https://app.crepc.sk/?fn=detailBiblioForm&amp;sid=0E0E5CBF9C8837E61A01165640</v>
      </c>
    </row>
    <row r="4495" spans="3:5" ht="60" x14ac:dyDescent="0.25">
      <c r="C4495" s="15">
        <v>461261</v>
      </c>
      <c r="D4495" s="4" t="s">
        <v>4499</v>
      </c>
      <c r="E4495" s="4" t="str">
        <f>HYPERLINK("https://app.crepc.sk/?fn=detailBiblioForm&amp;sid=8537F87F3D8705D8C3BD52C7AA")</f>
        <v>https://app.crepc.sk/?fn=detailBiblioForm&amp;sid=8537F87F3D8705D8C3BD52C7AA</v>
      </c>
    </row>
    <row r="4496" spans="3:5" ht="90" x14ac:dyDescent="0.25">
      <c r="C4496" s="15">
        <v>314853</v>
      </c>
      <c r="D4496" s="4" t="s">
        <v>4500</v>
      </c>
      <c r="E4496" s="4" t="str">
        <f>HYPERLINK("https://app.crepc.sk/?fn=detailBiblioForm&amp;sid=D959D13FBEB7699751D0B04463")</f>
        <v>https://app.crepc.sk/?fn=detailBiblioForm&amp;sid=D959D13FBEB7699751D0B04463</v>
      </c>
    </row>
    <row r="4497" spans="3:5" ht="90" x14ac:dyDescent="0.25">
      <c r="C4497" s="15">
        <v>202559</v>
      </c>
      <c r="D4497" s="4" t="s">
        <v>4501</v>
      </c>
      <c r="E4497" s="4" t="str">
        <f>HYPERLINK("https://app.crepc.sk/?fn=detailBiblioForm&amp;sid=3036734F2764D6FCC03CD36630")</f>
        <v>https://app.crepc.sk/?fn=detailBiblioForm&amp;sid=3036734F2764D6FCC03CD36630</v>
      </c>
    </row>
    <row r="4498" spans="3:5" ht="90" x14ac:dyDescent="0.25">
      <c r="C4498" s="15">
        <v>443877</v>
      </c>
      <c r="D4498" s="4" t="s">
        <v>4502</v>
      </c>
      <c r="E4498" s="4" t="str">
        <f>HYPERLINK("https://app.crepc.sk/?fn=detailBiblioForm&amp;sid=537266376FD2123F569CB44E5F")</f>
        <v>https://app.crepc.sk/?fn=detailBiblioForm&amp;sid=537266376FD2123F569CB44E5F</v>
      </c>
    </row>
    <row r="4499" spans="3:5" ht="60" x14ac:dyDescent="0.25">
      <c r="C4499" s="15">
        <v>198284</v>
      </c>
      <c r="D4499" s="4" t="s">
        <v>4503</v>
      </c>
      <c r="E4499" s="4" t="str">
        <f>HYPERLINK("https://app.crepc.sk/?fn=detailBiblioForm&amp;sid=5D87752206D8162BC0B4B09268")</f>
        <v>https://app.crepc.sk/?fn=detailBiblioForm&amp;sid=5D87752206D8162BC0B4B09268</v>
      </c>
    </row>
    <row r="4500" spans="3:5" ht="90" x14ac:dyDescent="0.25">
      <c r="C4500" s="15">
        <v>225323</v>
      </c>
      <c r="D4500" s="4" t="s">
        <v>4504</v>
      </c>
      <c r="E4500" s="4" t="str">
        <f>HYPERLINK("https://app.crepc.sk/?fn=detailBiblioForm&amp;sid=B821F9E3E81A9BB8981DCA5D86")</f>
        <v>https://app.crepc.sk/?fn=detailBiblioForm&amp;sid=B821F9E3E81A9BB8981DCA5D86</v>
      </c>
    </row>
    <row r="4501" spans="3:5" ht="60" x14ac:dyDescent="0.25">
      <c r="C4501" s="15">
        <v>100572</v>
      </c>
      <c r="D4501" s="4" t="s">
        <v>4505</v>
      </c>
      <c r="E4501" s="4" t="str">
        <f>HYPERLINK("https://app.crepc.sk/?fn=detailBiblioForm&amp;sid=7CB117824CF3FE33DFCCE5F59C")</f>
        <v>https://app.crepc.sk/?fn=detailBiblioForm&amp;sid=7CB117824CF3FE33DFCCE5F59C</v>
      </c>
    </row>
    <row r="4502" spans="3:5" ht="60" x14ac:dyDescent="0.25">
      <c r="C4502" s="15">
        <v>95377</v>
      </c>
      <c r="D4502" s="4" t="s">
        <v>4506</v>
      </c>
      <c r="E4502" s="4" t="str">
        <f>HYPERLINK("https://app.crepc.sk/?fn=detailBiblioForm&amp;sid=A80C41EBAB5BEE80C4306D02")</f>
        <v>https://app.crepc.sk/?fn=detailBiblioForm&amp;sid=A80C41EBAB5BEE80C4306D02</v>
      </c>
    </row>
    <row r="4503" spans="3:5" ht="60" x14ac:dyDescent="0.25">
      <c r="C4503" s="15">
        <v>129794</v>
      </c>
      <c r="D4503" s="4" t="s">
        <v>4507</v>
      </c>
      <c r="E4503" s="4" t="str">
        <f>HYPERLINK("https://app.crepc.sk/?fn=detailBiblioForm&amp;sid=C9465A2E9A03019847D40E3F37")</f>
        <v>https://app.crepc.sk/?fn=detailBiblioForm&amp;sid=C9465A2E9A03019847D40E3F37</v>
      </c>
    </row>
    <row r="4504" spans="3:5" ht="60" x14ac:dyDescent="0.25">
      <c r="C4504" s="15">
        <v>200541</v>
      </c>
      <c r="D4504" s="4" t="s">
        <v>4508</v>
      </c>
      <c r="E4504" s="4" t="str">
        <f>HYPERLINK("https://app.crepc.sk/?fn=detailBiblioForm&amp;sid=91D350D805BE9AB6AE8A715CC5")</f>
        <v>https://app.crepc.sk/?fn=detailBiblioForm&amp;sid=91D350D805BE9AB6AE8A715CC5</v>
      </c>
    </row>
    <row r="4505" spans="3:5" ht="75" x14ac:dyDescent="0.25">
      <c r="C4505" s="15">
        <v>214305</v>
      </c>
      <c r="D4505" s="4" t="s">
        <v>4509</v>
      </c>
      <c r="E4505" s="4" t="str">
        <f>HYPERLINK("https://app.crepc.sk/?fn=detailBiblioForm&amp;sid=31660CBDAF6779FEA805F9D480")</f>
        <v>https://app.crepc.sk/?fn=detailBiblioForm&amp;sid=31660CBDAF6779FEA805F9D480</v>
      </c>
    </row>
    <row r="4506" spans="3:5" ht="75" x14ac:dyDescent="0.25">
      <c r="C4506" s="15">
        <v>192079</v>
      </c>
      <c r="D4506" s="4" t="s">
        <v>4510</v>
      </c>
      <c r="E4506" s="4" t="str">
        <f>HYPERLINK("https://app.crepc.sk/?fn=detailBiblioForm&amp;sid=B5CF2D9B99F8CE1F94E11A2492")</f>
        <v>https://app.crepc.sk/?fn=detailBiblioForm&amp;sid=B5CF2D9B99F8CE1F94E11A2492</v>
      </c>
    </row>
    <row r="4507" spans="3:5" ht="60" x14ac:dyDescent="0.25">
      <c r="C4507" s="15">
        <v>121341</v>
      </c>
      <c r="D4507" s="4" t="s">
        <v>4511</v>
      </c>
      <c r="E4507" s="4" t="str">
        <f>HYPERLINK("https://app.crepc.sk/?fn=detailBiblioForm&amp;sid=EFDADBCCBBDB1A63BEB03C2371")</f>
        <v>https://app.crepc.sk/?fn=detailBiblioForm&amp;sid=EFDADBCCBBDB1A63BEB03C2371</v>
      </c>
    </row>
    <row r="4508" spans="3:5" ht="60" x14ac:dyDescent="0.25">
      <c r="C4508" s="15">
        <v>61282</v>
      </c>
      <c r="D4508" s="4" t="s">
        <v>4512</v>
      </c>
      <c r="E4508" s="4" t="str">
        <f>HYPERLINK("https://app.crepc.sk/?fn=detailBiblioForm&amp;sid=9A8969BCDD2EA8EC66760079")</f>
        <v>https://app.crepc.sk/?fn=detailBiblioForm&amp;sid=9A8969BCDD2EA8EC66760079</v>
      </c>
    </row>
    <row r="4509" spans="3:5" ht="60" x14ac:dyDescent="0.25">
      <c r="C4509" s="15">
        <v>104358</v>
      </c>
      <c r="D4509" s="4" t="s">
        <v>4513</v>
      </c>
      <c r="E4509" s="4" t="str">
        <f>HYPERLINK("https://app.crepc.sk/?fn=detailBiblioForm&amp;sid=DD6DC1ACF31F8CDC5D9B38F016")</f>
        <v>https://app.crepc.sk/?fn=detailBiblioForm&amp;sid=DD6DC1ACF31F8CDC5D9B38F016</v>
      </c>
    </row>
    <row r="4510" spans="3:5" ht="60" x14ac:dyDescent="0.25">
      <c r="C4510" s="15">
        <v>151430</v>
      </c>
      <c r="D4510" s="4" t="s">
        <v>4514</v>
      </c>
      <c r="E4510" s="4" t="str">
        <f>HYPERLINK("https://app.crepc.sk/?fn=detailBiblioForm&amp;sid=C7FB5A0F39169367AC5F5AA4EB")</f>
        <v>https://app.crepc.sk/?fn=detailBiblioForm&amp;sid=C7FB5A0F39169367AC5F5AA4EB</v>
      </c>
    </row>
    <row r="4511" spans="3:5" ht="90" x14ac:dyDescent="0.25">
      <c r="C4511" s="15">
        <v>195129</v>
      </c>
      <c r="D4511" s="4" t="s">
        <v>4515</v>
      </c>
      <c r="E4511" s="4" t="str">
        <f>HYPERLINK("https://app.crepc.sk/?fn=detailBiblioForm&amp;sid=2AEBF607EAD1F9A01580225A25")</f>
        <v>https://app.crepc.sk/?fn=detailBiblioForm&amp;sid=2AEBF607EAD1F9A01580225A25</v>
      </c>
    </row>
    <row r="4512" spans="3:5" ht="45" x14ac:dyDescent="0.25">
      <c r="C4512" s="15">
        <v>207472</v>
      </c>
      <c r="D4512" s="4" t="s">
        <v>4516</v>
      </c>
      <c r="E4512" s="4" t="str">
        <f>HYPERLINK("https://app.crepc.sk/?fn=detailBiblioForm&amp;sid=710E036344B29395BC8546F5C5")</f>
        <v>https://app.crepc.sk/?fn=detailBiblioForm&amp;sid=710E036344B29395BC8546F5C5</v>
      </c>
    </row>
    <row r="4513" spans="3:5" ht="60" x14ac:dyDescent="0.25">
      <c r="C4513" s="15">
        <v>105627</v>
      </c>
      <c r="D4513" s="4" t="s">
        <v>4517</v>
      </c>
      <c r="E4513" s="4" t="str">
        <f>HYPERLINK("https://app.crepc.sk/?fn=detailBiblioForm&amp;sid=FD881BC05B1F2F7E46506C9F59")</f>
        <v>https://app.crepc.sk/?fn=detailBiblioForm&amp;sid=FD881BC05B1F2F7E46506C9F59</v>
      </c>
    </row>
    <row r="4514" spans="3:5" ht="60" x14ac:dyDescent="0.25">
      <c r="C4514" s="15">
        <v>144615</v>
      </c>
      <c r="D4514" s="4" t="s">
        <v>4518</v>
      </c>
      <c r="E4514" s="4" t="str">
        <f>HYPERLINK("https://app.crepc.sk/?fn=detailBiblioForm&amp;sid=F3DF709D807E60926A6BC4032A")</f>
        <v>https://app.crepc.sk/?fn=detailBiblioForm&amp;sid=F3DF709D807E60926A6BC4032A</v>
      </c>
    </row>
    <row r="4515" spans="3:5" ht="60" x14ac:dyDescent="0.25">
      <c r="C4515" s="15">
        <v>437773</v>
      </c>
      <c r="D4515" s="4" t="s">
        <v>4519</v>
      </c>
      <c r="E4515" s="4" t="str">
        <f>HYPERLINK("https://app.crepc.sk/?fn=detailBiblioForm&amp;sid=16B3066BF778562A68104F7EEC")</f>
        <v>https://app.crepc.sk/?fn=detailBiblioForm&amp;sid=16B3066BF778562A68104F7EEC</v>
      </c>
    </row>
    <row r="4516" spans="3:5" ht="60" x14ac:dyDescent="0.25">
      <c r="C4516" s="15">
        <v>182039</v>
      </c>
      <c r="D4516" s="4" t="s">
        <v>4520</v>
      </c>
      <c r="E4516" s="4" t="str">
        <f>HYPERLINK("https://app.crepc.sk/?fn=detailBiblioForm&amp;sid=AA0D9432EF6DE826C91977590B")</f>
        <v>https://app.crepc.sk/?fn=detailBiblioForm&amp;sid=AA0D9432EF6DE826C91977590B</v>
      </c>
    </row>
    <row r="4517" spans="3:5" ht="60" x14ac:dyDescent="0.25">
      <c r="C4517" s="15">
        <v>166105</v>
      </c>
      <c r="D4517" s="4" t="s">
        <v>4521</v>
      </c>
      <c r="E4517" s="4" t="str">
        <f>HYPERLINK("https://app.crepc.sk/?fn=detailBiblioForm&amp;sid=42FF770CB0BE777975F3474404")</f>
        <v>https://app.crepc.sk/?fn=detailBiblioForm&amp;sid=42FF770CB0BE777975F3474404</v>
      </c>
    </row>
    <row r="4518" spans="3:5" ht="75" x14ac:dyDescent="0.25">
      <c r="C4518" s="15">
        <v>197356</v>
      </c>
      <c r="D4518" s="4" t="s">
        <v>4522</v>
      </c>
      <c r="E4518" s="4" t="str">
        <f>HYPERLINK("https://app.crepc.sk/?fn=detailBiblioForm&amp;sid=DC4ED816FF1BFB25860E897557")</f>
        <v>https://app.crepc.sk/?fn=detailBiblioForm&amp;sid=DC4ED816FF1BFB25860E897557</v>
      </c>
    </row>
    <row r="4519" spans="3:5" ht="75" x14ac:dyDescent="0.25">
      <c r="C4519" s="15">
        <v>105457</v>
      </c>
      <c r="D4519" s="4" t="s">
        <v>4523</v>
      </c>
      <c r="E4519" s="4" t="str">
        <f>HYPERLINK("https://app.crepc.sk/?fn=detailBiblioForm&amp;sid=C9F2ED9DAFACD725E06230F024")</f>
        <v>https://app.crepc.sk/?fn=detailBiblioForm&amp;sid=C9F2ED9DAFACD725E06230F024</v>
      </c>
    </row>
    <row r="4520" spans="3:5" ht="90" x14ac:dyDescent="0.25">
      <c r="C4520" s="15">
        <v>150803</v>
      </c>
      <c r="D4520" s="4" t="s">
        <v>4524</v>
      </c>
      <c r="E4520" s="4" t="str">
        <f>HYPERLINK("https://app.crepc.sk/?fn=detailBiblioForm&amp;sid=FBA0A0C68B9B2F0CA2CC30FB6B")</f>
        <v>https://app.crepc.sk/?fn=detailBiblioForm&amp;sid=FBA0A0C68B9B2F0CA2CC30FB6B</v>
      </c>
    </row>
    <row r="4521" spans="3:5" ht="75" x14ac:dyDescent="0.25">
      <c r="C4521" s="15">
        <v>312555</v>
      </c>
      <c r="D4521" s="4" t="s">
        <v>4525</v>
      </c>
      <c r="E4521" s="4" t="str">
        <f>HYPERLINK("https://app.crepc.sk/?fn=detailBiblioForm&amp;sid=E815F94B12A202C1EE391B9965")</f>
        <v>https://app.crepc.sk/?fn=detailBiblioForm&amp;sid=E815F94B12A202C1EE391B9965</v>
      </c>
    </row>
    <row r="4522" spans="3:5" ht="75" x14ac:dyDescent="0.25">
      <c r="C4522" s="15">
        <v>312563</v>
      </c>
      <c r="D4522" s="4" t="s">
        <v>4526</v>
      </c>
      <c r="E4522" s="4" t="str">
        <f>HYPERLINK("https://app.crepc.sk/?fn=detailBiblioForm&amp;sid=E815F94B12A202C1ED3F1B9965")</f>
        <v>https://app.crepc.sk/?fn=detailBiblioForm&amp;sid=E815F94B12A202C1ED3F1B9965</v>
      </c>
    </row>
    <row r="4523" spans="3:5" ht="60" x14ac:dyDescent="0.25">
      <c r="C4523" s="15">
        <v>105429</v>
      </c>
      <c r="D4523" s="4" t="s">
        <v>4527</v>
      </c>
      <c r="E4523" s="4" t="str">
        <f>HYPERLINK("https://app.crepc.sk/?fn=detailBiblioForm&amp;sid=C9F2ED9DAFACD725E76C30F024")</f>
        <v>https://app.crepc.sk/?fn=detailBiblioForm&amp;sid=C9F2ED9DAFACD725E76C30F024</v>
      </c>
    </row>
    <row r="4524" spans="3:5" ht="60" x14ac:dyDescent="0.25">
      <c r="C4524" s="15">
        <v>105419</v>
      </c>
      <c r="D4524" s="4" t="s">
        <v>4528</v>
      </c>
      <c r="E4524" s="4" t="str">
        <f>HYPERLINK("https://app.crepc.sk/?fn=detailBiblioForm&amp;sid=C9F2ED9DAFACD725E46C30F024")</f>
        <v>https://app.crepc.sk/?fn=detailBiblioForm&amp;sid=C9F2ED9DAFACD725E46C30F024</v>
      </c>
    </row>
    <row r="4525" spans="3:5" ht="75" x14ac:dyDescent="0.25">
      <c r="C4525" s="15">
        <v>162020</v>
      </c>
      <c r="D4525" s="4" t="s">
        <v>4529</v>
      </c>
      <c r="E4525" s="4" t="str">
        <f>HYPERLINK("https://app.crepc.sk/?fn=detailBiblioForm&amp;sid=64F3CCE308D9C9BF47EA842526")</f>
        <v>https://app.crepc.sk/?fn=detailBiblioForm&amp;sid=64F3CCE308D9C9BF47EA842526</v>
      </c>
    </row>
    <row r="4526" spans="3:5" ht="75" x14ac:dyDescent="0.25">
      <c r="C4526" s="15">
        <v>312566</v>
      </c>
      <c r="D4526" s="4" t="s">
        <v>4530</v>
      </c>
      <c r="E4526" s="4" t="str">
        <f>HYPERLINK("https://app.crepc.sk/?fn=detailBiblioForm&amp;sid=E815F94B12A202C1ED3A1B9965")</f>
        <v>https://app.crepc.sk/?fn=detailBiblioForm&amp;sid=E815F94B12A202C1ED3A1B9965</v>
      </c>
    </row>
    <row r="4527" spans="3:5" ht="60" x14ac:dyDescent="0.25">
      <c r="C4527" s="15">
        <v>82534</v>
      </c>
      <c r="D4527" s="4" t="s">
        <v>4531</v>
      </c>
      <c r="E4527" s="4" t="str">
        <f>HYPERLINK("https://app.crepc.sk/?fn=detailBiblioForm&amp;sid=D83AE6FD65FD0DEAF7F12B8C")</f>
        <v>https://app.crepc.sk/?fn=detailBiblioForm&amp;sid=D83AE6FD65FD0DEAF7F12B8C</v>
      </c>
    </row>
    <row r="4528" spans="3:5" ht="60" x14ac:dyDescent="0.25">
      <c r="C4528" s="15">
        <v>206723</v>
      </c>
      <c r="D4528" s="4" t="s">
        <v>4532</v>
      </c>
      <c r="E4528" s="4" t="str">
        <f>HYPERLINK("https://app.crepc.sk/?fn=detailBiblioForm&amp;sid=DF29B71B83315C12319E6F6198")</f>
        <v>https://app.crepc.sk/?fn=detailBiblioForm&amp;sid=DF29B71B83315C12319E6F6198</v>
      </c>
    </row>
    <row r="4529" spans="3:5" ht="75" x14ac:dyDescent="0.25">
      <c r="C4529" s="15">
        <v>58143</v>
      </c>
      <c r="D4529" s="4" t="s">
        <v>4533</v>
      </c>
      <c r="E4529" s="4" t="str">
        <f>HYPERLINK("https://app.crepc.sk/?fn=detailBiblioForm&amp;sid=1D4D808FF730E4944F44D1EA")</f>
        <v>https://app.crepc.sk/?fn=detailBiblioForm&amp;sid=1D4D808FF730E4944F44D1EA</v>
      </c>
    </row>
    <row r="4530" spans="3:5" ht="75" x14ac:dyDescent="0.25">
      <c r="C4530" s="15">
        <v>197347</v>
      </c>
      <c r="D4530" s="4" t="s">
        <v>4534</v>
      </c>
      <c r="E4530" s="4" t="str">
        <f>HYPERLINK("https://app.crepc.sk/?fn=detailBiblioForm&amp;sid=DC4ED816FF1BFB25870F897557")</f>
        <v>https://app.crepc.sk/?fn=detailBiblioForm&amp;sid=DC4ED816FF1BFB25870F897557</v>
      </c>
    </row>
    <row r="4531" spans="3:5" ht="120" x14ac:dyDescent="0.25">
      <c r="C4531" s="15">
        <v>307929</v>
      </c>
      <c r="D4531" s="4" t="s">
        <v>4535</v>
      </c>
      <c r="E4531" s="4" t="str">
        <f>HYPERLINK("https://app.crepc.sk/?fn=detailBiblioForm&amp;sid=1FF851739CF3146A53C94CA079")</f>
        <v>https://app.crepc.sk/?fn=detailBiblioForm&amp;sid=1FF851739CF3146A53C94CA079</v>
      </c>
    </row>
    <row r="4532" spans="3:5" ht="60" x14ac:dyDescent="0.25">
      <c r="C4532" s="15">
        <v>144726</v>
      </c>
      <c r="D4532" s="4" t="s">
        <v>4536</v>
      </c>
      <c r="E4532" s="4" t="str">
        <f>HYPERLINK("https://app.crepc.sk/?fn=detailBiblioForm&amp;sid=E5D8B2AA72393605B81AD711C3")</f>
        <v>https://app.crepc.sk/?fn=detailBiblioForm&amp;sid=E5D8B2AA72393605B81AD711C3</v>
      </c>
    </row>
    <row r="4533" spans="3:5" ht="60" x14ac:dyDescent="0.25">
      <c r="C4533" s="15">
        <v>144722</v>
      </c>
      <c r="D4533" s="4" t="s">
        <v>4537</v>
      </c>
      <c r="E4533" s="4" t="str">
        <f>HYPERLINK("https://app.crepc.sk/?fn=detailBiblioForm&amp;sid=E5D8B2AA72393605B81ED711C3")</f>
        <v>https://app.crepc.sk/?fn=detailBiblioForm&amp;sid=E5D8B2AA72393605B81ED711C3</v>
      </c>
    </row>
    <row r="4534" spans="3:5" ht="90" x14ac:dyDescent="0.25">
      <c r="C4534" s="15">
        <v>137365</v>
      </c>
      <c r="D4534" s="4" t="s">
        <v>4538</v>
      </c>
      <c r="E4534" s="4" t="str">
        <f>HYPERLINK("https://app.crepc.sk/?fn=detailBiblioForm&amp;sid=CD0F3DD308605F9672EC7B5CB6")</f>
        <v>https://app.crepc.sk/?fn=detailBiblioForm&amp;sid=CD0F3DD308605F9672EC7B5CB6</v>
      </c>
    </row>
    <row r="4535" spans="3:5" ht="60" x14ac:dyDescent="0.25">
      <c r="C4535" s="15">
        <v>191497</v>
      </c>
      <c r="D4535" s="4" t="s">
        <v>4539</v>
      </c>
      <c r="E4535" s="4" t="str">
        <f>HYPERLINK("https://app.crepc.sk/?fn=detailBiblioForm&amp;sid=44FC440D71D4FA2BC7FABD0C61")</f>
        <v>https://app.crepc.sk/?fn=detailBiblioForm&amp;sid=44FC440D71D4FA2BC7FABD0C61</v>
      </c>
    </row>
    <row r="4536" spans="3:5" ht="60" x14ac:dyDescent="0.25">
      <c r="C4536" s="15">
        <v>163638</v>
      </c>
      <c r="D4536" s="4" t="s">
        <v>4540</v>
      </c>
      <c r="E4536" s="4" t="str">
        <f>HYPERLINK("https://app.crepc.sk/?fn=detailBiblioForm&amp;sid=4E9CAE35D73C8B4E01FD33E524")</f>
        <v>https://app.crepc.sk/?fn=detailBiblioForm&amp;sid=4E9CAE35D73C8B4E01FD33E524</v>
      </c>
    </row>
    <row r="4537" spans="3:5" ht="45" x14ac:dyDescent="0.25">
      <c r="C4537" s="15">
        <v>175804</v>
      </c>
      <c r="D4537" s="4" t="s">
        <v>4541</v>
      </c>
      <c r="E4537" s="4" t="str">
        <f>HYPERLINK("https://app.crepc.sk/?fn=detailBiblioForm&amp;sid=77472A57103095E44A090BB0E4")</f>
        <v>https://app.crepc.sk/?fn=detailBiblioForm&amp;sid=77472A57103095E44A090BB0E4</v>
      </c>
    </row>
    <row r="4538" spans="3:5" ht="60" x14ac:dyDescent="0.25">
      <c r="C4538" s="15">
        <v>84987</v>
      </c>
      <c r="D4538" s="4" t="s">
        <v>4542</v>
      </c>
      <c r="E4538" s="4" t="str">
        <f>HYPERLINK("https://app.crepc.sk/?fn=detailBiblioForm&amp;sid=2C5172867D8B9E8223C08705")</f>
        <v>https://app.crepc.sk/?fn=detailBiblioForm&amp;sid=2C5172867D8B9E8223C08705</v>
      </c>
    </row>
    <row r="4539" spans="3:5" ht="75" x14ac:dyDescent="0.25">
      <c r="C4539" s="15">
        <v>414855</v>
      </c>
      <c r="D4539" s="4" t="s">
        <v>4543</v>
      </c>
      <c r="E4539" s="4" t="str">
        <f>HYPERLINK("https://app.crepc.sk/?fn=detailBiblioForm&amp;sid=AC8D3350B73BAD6B5C679603B1")</f>
        <v>https://app.crepc.sk/?fn=detailBiblioForm&amp;sid=AC8D3350B73BAD6B5C679603B1</v>
      </c>
    </row>
    <row r="4540" spans="3:5" ht="60" x14ac:dyDescent="0.25">
      <c r="C4540" s="15">
        <v>126500</v>
      </c>
      <c r="D4540" s="4" t="s">
        <v>4544</v>
      </c>
      <c r="E4540" s="4" t="str">
        <f>HYPERLINK("https://app.crepc.sk/?fn=detailBiblioForm&amp;sid=E1EB09B8FB1C593BBC61CEBE6B")</f>
        <v>https://app.crepc.sk/?fn=detailBiblioForm&amp;sid=E1EB09B8FB1C593BBC61CEBE6B</v>
      </c>
    </row>
    <row r="4541" spans="3:5" ht="75" x14ac:dyDescent="0.25">
      <c r="C4541" s="15">
        <v>414853</v>
      </c>
      <c r="D4541" s="4" t="s">
        <v>4545</v>
      </c>
      <c r="E4541" s="4" t="str">
        <f>HYPERLINK("https://app.crepc.sk/?fn=detailBiblioForm&amp;sid=AC8D3350B73BAD6B5C619603B1")</f>
        <v>https://app.crepc.sk/?fn=detailBiblioForm&amp;sid=AC8D3350B73BAD6B5C619603B1</v>
      </c>
    </row>
    <row r="4542" spans="3:5" ht="105" x14ac:dyDescent="0.25">
      <c r="C4542" s="15">
        <v>150822</v>
      </c>
      <c r="D4542" s="4" t="s">
        <v>4546</v>
      </c>
      <c r="E4542" s="4" t="str">
        <f>HYPERLINK("https://app.crepc.sk/?fn=detailBiblioForm&amp;sid=FBA0A0C68B9B2F0CA0CD30FB6B")</f>
        <v>https://app.crepc.sk/?fn=detailBiblioForm&amp;sid=FBA0A0C68B9B2F0CA0CD30FB6B</v>
      </c>
    </row>
    <row r="4543" spans="3:5" ht="45" x14ac:dyDescent="0.25">
      <c r="C4543" s="15">
        <v>315554</v>
      </c>
      <c r="D4543" s="4" t="s">
        <v>4547</v>
      </c>
      <c r="E4543" s="4" t="str">
        <f>HYPERLINK("https://app.crepc.sk/?fn=detailBiblioForm&amp;sid=46945EB1F5D500F5907143D35F")</f>
        <v>https://app.crepc.sk/?fn=detailBiblioForm&amp;sid=46945EB1F5D500F5907143D35F</v>
      </c>
    </row>
    <row r="4544" spans="3:5" ht="45" x14ac:dyDescent="0.25">
      <c r="C4544" s="15">
        <v>185701</v>
      </c>
      <c r="D4544" s="4" t="s">
        <v>4548</v>
      </c>
      <c r="E4544" s="4" t="str">
        <f>HYPERLINK("https://app.crepc.sk/?fn=detailBiblioForm&amp;sid=D39A92077CB2E2E721418E9F9A")</f>
        <v>https://app.crepc.sk/?fn=detailBiblioForm&amp;sid=D39A92077CB2E2E721418E9F9A</v>
      </c>
    </row>
    <row r="4545" spans="3:5" ht="75" x14ac:dyDescent="0.25">
      <c r="C4545" s="15">
        <v>440178</v>
      </c>
      <c r="D4545" s="4" t="s">
        <v>4549</v>
      </c>
      <c r="E4545" s="4" t="str">
        <f>HYPERLINK("https://app.crepc.sk/?fn=detailBiblioForm&amp;sid=F54B622C6E515846623FAC0EA8")</f>
        <v>https://app.crepc.sk/?fn=detailBiblioForm&amp;sid=F54B622C6E515846623FAC0EA8</v>
      </c>
    </row>
    <row r="4546" spans="3:5" ht="105" x14ac:dyDescent="0.25">
      <c r="C4546" s="15">
        <v>137391</v>
      </c>
      <c r="D4546" s="4" t="s">
        <v>4550</v>
      </c>
      <c r="E4546" s="4" t="str">
        <f>HYPERLINK("https://app.crepc.sk/?fn=detailBiblioForm&amp;sid=CD0F3DD308605F967DE87B5CB6")</f>
        <v>https://app.crepc.sk/?fn=detailBiblioForm&amp;sid=CD0F3DD308605F967DE87B5CB6</v>
      </c>
    </row>
    <row r="4547" spans="3:5" ht="60" x14ac:dyDescent="0.25">
      <c r="C4547" s="15">
        <v>51099</v>
      </c>
      <c r="D4547" s="4" t="s">
        <v>4551</v>
      </c>
      <c r="E4547" s="4" t="str">
        <f>HYPERLINK("https://app.crepc.sk/?fn=detailBiblioForm&amp;sid=FB5377DED47B74D4DD535081")</f>
        <v>https://app.crepc.sk/?fn=detailBiblioForm&amp;sid=FB5377DED47B74D4DD535081</v>
      </c>
    </row>
    <row r="4548" spans="3:5" ht="75" x14ac:dyDescent="0.25">
      <c r="C4548" s="15">
        <v>242829</v>
      </c>
      <c r="D4548" s="4" t="s">
        <v>4552</v>
      </c>
      <c r="E4548" s="4" t="str">
        <f>HYPERLINK("https://app.crepc.sk/?fn=detailBiblioForm&amp;sid=11BB39C9E8B430AEC6F4E2A5C9")</f>
        <v>https://app.crepc.sk/?fn=detailBiblioForm&amp;sid=11BB39C9E8B430AEC6F4E2A5C9</v>
      </c>
    </row>
    <row r="4549" spans="3:5" ht="60" x14ac:dyDescent="0.25">
      <c r="C4549" s="15">
        <v>237464</v>
      </c>
      <c r="D4549" s="4" t="s">
        <v>4553</v>
      </c>
      <c r="E4549" s="4" t="str">
        <f>HYPERLINK("https://app.crepc.sk/?fn=detailBiblioForm&amp;sid=611C792FA0C4EFEE3F04B406F9")</f>
        <v>https://app.crepc.sk/?fn=detailBiblioForm&amp;sid=611C792FA0C4EFEE3F04B406F9</v>
      </c>
    </row>
    <row r="4550" spans="3:5" ht="60" x14ac:dyDescent="0.25">
      <c r="C4550" s="15">
        <v>418739</v>
      </c>
      <c r="D4550" s="4" t="s">
        <v>4554</v>
      </c>
      <c r="E4550" s="4" t="str">
        <f>HYPERLINK("https://app.crepc.sk/?fn=detailBiblioForm&amp;sid=C11F168675CD936C5EF3820E0F")</f>
        <v>https://app.crepc.sk/?fn=detailBiblioForm&amp;sid=C11F168675CD936C5EF3820E0F</v>
      </c>
    </row>
    <row r="4551" spans="3:5" ht="60" x14ac:dyDescent="0.25">
      <c r="C4551" s="15">
        <v>162245</v>
      </c>
      <c r="D4551" s="4" t="s">
        <v>4555</v>
      </c>
      <c r="E4551" s="4" t="str">
        <f>HYPERLINK("https://app.crepc.sk/?fn=detailBiblioForm&amp;sid=064839694A055E9D1508D03241")</f>
        <v>https://app.crepc.sk/?fn=detailBiblioForm&amp;sid=064839694A055E9D1508D03241</v>
      </c>
    </row>
    <row r="4552" spans="3:5" ht="45" x14ac:dyDescent="0.25">
      <c r="C4552" s="15">
        <v>152244</v>
      </c>
      <c r="D4552" s="4" t="s">
        <v>4556</v>
      </c>
      <c r="E4552" s="4" t="str">
        <f>HYPERLINK("https://app.crepc.sk/?fn=detailBiblioForm&amp;sid=C3244647CD7CB0B77D746FBDAB")</f>
        <v>https://app.crepc.sk/?fn=detailBiblioForm&amp;sid=C3244647CD7CB0B77D746FBDAB</v>
      </c>
    </row>
    <row r="4553" spans="3:5" ht="75" x14ac:dyDescent="0.25">
      <c r="C4553" s="15">
        <v>71609</v>
      </c>
      <c r="D4553" s="4" t="s">
        <v>4557</v>
      </c>
      <c r="E4553" s="4" t="str">
        <f>HYPERLINK("https://app.crepc.sk/?fn=detailBiblioForm&amp;sid=37B64B5C4F89264BF2073861")</f>
        <v>https://app.crepc.sk/?fn=detailBiblioForm&amp;sid=37B64B5C4F89264BF2073861</v>
      </c>
    </row>
    <row r="4554" spans="3:5" ht="60" x14ac:dyDescent="0.25">
      <c r="C4554" s="15">
        <v>121267</v>
      </c>
      <c r="D4554" s="4" t="s">
        <v>4558</v>
      </c>
      <c r="E4554" s="4" t="str">
        <f>HYPERLINK("https://app.crepc.sk/?fn=detailBiblioForm&amp;sid=EA4F5DCBA4E443C88C8A66ACED")</f>
        <v>https://app.crepc.sk/?fn=detailBiblioForm&amp;sid=EA4F5DCBA4E443C88C8A66ACED</v>
      </c>
    </row>
    <row r="4555" spans="3:5" ht="75" x14ac:dyDescent="0.25">
      <c r="C4555" s="15">
        <v>78894</v>
      </c>
      <c r="D4555" s="4" t="s">
        <v>4559</v>
      </c>
      <c r="E4555" s="4" t="str">
        <f>HYPERLINK("https://app.crepc.sk/?fn=detailBiblioForm&amp;sid=25FDCA8BA29934E60DA308B9")</f>
        <v>https://app.crepc.sk/?fn=detailBiblioForm&amp;sid=25FDCA8BA29934E60DA308B9</v>
      </c>
    </row>
    <row r="4556" spans="3:5" ht="75" x14ac:dyDescent="0.25">
      <c r="C4556" s="15">
        <v>79103</v>
      </c>
      <c r="D4556" s="4" t="s">
        <v>4560</v>
      </c>
      <c r="E4556" s="4" t="str">
        <f>HYPERLINK("https://app.crepc.sk/?fn=detailBiblioForm&amp;sid=D4F913960B3A29D98C76E317")</f>
        <v>https://app.crepc.sk/?fn=detailBiblioForm&amp;sid=D4F913960B3A29D98C76E317</v>
      </c>
    </row>
    <row r="4557" spans="3:5" ht="75" x14ac:dyDescent="0.25">
      <c r="C4557" s="15">
        <v>95348</v>
      </c>
      <c r="D4557" s="4" t="s">
        <v>4561</v>
      </c>
      <c r="E4557" s="4" t="str">
        <f>HYPERLINK("https://app.crepc.sk/?fn=detailBiblioForm&amp;sid=B36598239783A045A80490CE")</f>
        <v>https://app.crepc.sk/?fn=detailBiblioForm&amp;sid=B36598239783A045A80490CE</v>
      </c>
    </row>
    <row r="4558" spans="3:5" ht="75" x14ac:dyDescent="0.25">
      <c r="C4558" s="15">
        <v>79132</v>
      </c>
      <c r="D4558" s="4" t="s">
        <v>4562</v>
      </c>
      <c r="E4558" s="4" t="str">
        <f>HYPERLINK("https://app.crepc.sk/?fn=detailBiblioForm&amp;sid=36CFAD9CF24C059C34E86FE7")</f>
        <v>https://app.crepc.sk/?fn=detailBiblioForm&amp;sid=36CFAD9CF24C059C34E86FE7</v>
      </c>
    </row>
    <row r="4559" spans="3:5" ht="60" x14ac:dyDescent="0.25">
      <c r="C4559" s="15">
        <v>95349</v>
      </c>
      <c r="D4559" s="4" t="s">
        <v>4563</v>
      </c>
      <c r="E4559" s="4" t="str">
        <f>HYPERLINK("https://app.crepc.sk/?fn=detailBiblioForm&amp;sid=B36598239783A045A90490CE")</f>
        <v>https://app.crepc.sk/?fn=detailBiblioForm&amp;sid=B36598239783A045A90490CE</v>
      </c>
    </row>
    <row r="4560" spans="3:5" ht="75" x14ac:dyDescent="0.25">
      <c r="C4560" s="15">
        <v>79134</v>
      </c>
      <c r="D4560" s="4" t="s">
        <v>4564</v>
      </c>
      <c r="E4560" s="4" t="str">
        <f>HYPERLINK("https://app.crepc.sk/?fn=detailBiblioForm&amp;sid=36CFAD9CF24C059C32E86FE7")</f>
        <v>https://app.crepc.sk/?fn=detailBiblioForm&amp;sid=36CFAD9CF24C059C32E86FE7</v>
      </c>
    </row>
    <row r="4561" spans="3:5" ht="75" x14ac:dyDescent="0.25">
      <c r="C4561" s="15">
        <v>79114</v>
      </c>
      <c r="D4561" s="4" t="s">
        <v>4565</v>
      </c>
      <c r="E4561" s="4" t="str">
        <f>HYPERLINK("https://app.crepc.sk/?fn=detailBiblioForm&amp;sid=4FEE33DFA4712A39F36F561E")</f>
        <v>https://app.crepc.sk/?fn=detailBiblioForm&amp;sid=4FEE33DFA4712A39F36F561E</v>
      </c>
    </row>
    <row r="4562" spans="3:5" ht="75" x14ac:dyDescent="0.25">
      <c r="C4562" s="15">
        <v>79111</v>
      </c>
      <c r="D4562" s="4" t="s">
        <v>4566</v>
      </c>
      <c r="E4562" s="4" t="str">
        <f>HYPERLINK("https://app.crepc.sk/?fn=detailBiblioForm&amp;sid=4FEE33DFA4712A39F66F561E")</f>
        <v>https://app.crepc.sk/?fn=detailBiblioForm&amp;sid=4FEE33DFA4712A39F66F561E</v>
      </c>
    </row>
    <row r="4563" spans="3:5" ht="75" x14ac:dyDescent="0.25">
      <c r="C4563" s="15">
        <v>79105</v>
      </c>
      <c r="D4563" s="4" t="s">
        <v>4567</v>
      </c>
      <c r="E4563" s="4" t="str">
        <f>HYPERLINK("https://app.crepc.sk/?fn=detailBiblioForm&amp;sid=D4F913960B3A29D98A76E317")</f>
        <v>https://app.crepc.sk/?fn=detailBiblioForm&amp;sid=D4F913960B3A29D98A76E317</v>
      </c>
    </row>
    <row r="4564" spans="3:5" ht="75" x14ac:dyDescent="0.25">
      <c r="C4564" s="15">
        <v>79107</v>
      </c>
      <c r="D4564" s="4" t="s">
        <v>4568</v>
      </c>
      <c r="E4564" s="4" t="str">
        <f>HYPERLINK("https://app.crepc.sk/?fn=detailBiblioForm&amp;sid=D4F913960B3A29D98876E317")</f>
        <v>https://app.crepc.sk/?fn=detailBiblioForm&amp;sid=D4F913960B3A29D98876E317</v>
      </c>
    </row>
    <row r="4565" spans="3:5" ht="75" x14ac:dyDescent="0.25">
      <c r="C4565" s="15">
        <v>79109</v>
      </c>
      <c r="D4565" s="4" t="s">
        <v>4569</v>
      </c>
      <c r="E4565" s="4" t="str">
        <f>HYPERLINK("https://app.crepc.sk/?fn=detailBiblioForm&amp;sid=D4F913960B3A29D98676E317")</f>
        <v>https://app.crepc.sk/?fn=detailBiblioForm&amp;sid=D4F913960B3A29D98676E317</v>
      </c>
    </row>
    <row r="4566" spans="3:5" ht="75" x14ac:dyDescent="0.25">
      <c r="C4566" s="15">
        <v>79122</v>
      </c>
      <c r="D4566" s="4" t="s">
        <v>4570</v>
      </c>
      <c r="E4566" s="4" t="str">
        <f>HYPERLINK("https://app.crepc.sk/?fn=detailBiblioForm&amp;sid=C80B85A71A1939CDA7BA8AEF")</f>
        <v>https://app.crepc.sk/?fn=detailBiblioForm&amp;sid=C80B85A71A1939CDA7BA8AEF</v>
      </c>
    </row>
    <row r="4567" spans="3:5" ht="75" x14ac:dyDescent="0.25">
      <c r="C4567" s="15">
        <v>79124</v>
      </c>
      <c r="D4567" s="4" t="s">
        <v>4571</v>
      </c>
      <c r="E4567" s="4" t="str">
        <f>HYPERLINK("https://app.crepc.sk/?fn=detailBiblioForm&amp;sid=C80B85A71A1939CDA1BA8AEF")</f>
        <v>https://app.crepc.sk/?fn=detailBiblioForm&amp;sid=C80B85A71A1939CDA1BA8AEF</v>
      </c>
    </row>
    <row r="4568" spans="3:5" ht="75" x14ac:dyDescent="0.25">
      <c r="C4568" s="15">
        <v>79115</v>
      </c>
      <c r="D4568" s="4" t="s">
        <v>4572</v>
      </c>
      <c r="E4568" s="4" t="str">
        <f>HYPERLINK("https://app.crepc.sk/?fn=detailBiblioForm&amp;sid=4FEE33DFA4712A39F26F561E")</f>
        <v>https://app.crepc.sk/?fn=detailBiblioForm&amp;sid=4FEE33DFA4712A39F26F561E</v>
      </c>
    </row>
    <row r="4569" spans="3:5" ht="75" x14ac:dyDescent="0.25">
      <c r="C4569" s="15">
        <v>79118</v>
      </c>
      <c r="D4569" s="4" t="s">
        <v>4573</v>
      </c>
      <c r="E4569" s="4" t="str">
        <f>HYPERLINK("https://app.crepc.sk/?fn=detailBiblioForm&amp;sid=4FEE33DFA4712A39FF6F561E")</f>
        <v>https://app.crepc.sk/?fn=detailBiblioForm&amp;sid=4FEE33DFA4712A39FF6F561E</v>
      </c>
    </row>
    <row r="4570" spans="3:5" ht="75" x14ac:dyDescent="0.25">
      <c r="C4570" s="15">
        <v>79120</v>
      </c>
      <c r="D4570" s="4" t="s">
        <v>4574</v>
      </c>
      <c r="E4570" s="4" t="str">
        <f>HYPERLINK("https://app.crepc.sk/?fn=detailBiblioForm&amp;sid=C80B85A71A1939CDA5BA8AEF")</f>
        <v>https://app.crepc.sk/?fn=detailBiblioForm&amp;sid=C80B85A71A1939CDA5BA8AEF</v>
      </c>
    </row>
    <row r="4571" spans="3:5" ht="75" x14ac:dyDescent="0.25">
      <c r="C4571" s="15">
        <v>79130</v>
      </c>
      <c r="D4571" s="4" t="s">
        <v>4575</v>
      </c>
      <c r="E4571" s="4" t="str">
        <f>HYPERLINK("https://app.crepc.sk/?fn=detailBiblioForm&amp;sid=36CFAD9CF24C059C36E86FE7")</f>
        <v>https://app.crepc.sk/?fn=detailBiblioForm&amp;sid=36CFAD9CF24C059C36E86FE7</v>
      </c>
    </row>
    <row r="4572" spans="3:5" ht="45" x14ac:dyDescent="0.25">
      <c r="C4572" s="15">
        <v>161203</v>
      </c>
      <c r="D4572" s="4" t="s">
        <v>4576</v>
      </c>
      <c r="E4572" s="4" t="str">
        <f>HYPERLINK("https://app.crepc.sk/?fn=detailBiblioForm&amp;sid=C6063C7B07FFACC0484C8A30DA")</f>
        <v>https://app.crepc.sk/?fn=detailBiblioForm&amp;sid=C6063C7B07FFACC0484C8A30DA</v>
      </c>
    </row>
    <row r="4573" spans="3:5" ht="45" x14ac:dyDescent="0.25">
      <c r="C4573" s="15">
        <v>162040</v>
      </c>
      <c r="D4573" s="4" t="s">
        <v>4577</v>
      </c>
      <c r="E4573" s="4" t="str">
        <f>HYPERLINK("https://app.crepc.sk/?fn=detailBiblioForm&amp;sid=64F3CCE308D9C9BF41EA842526")</f>
        <v>https://app.crepc.sk/?fn=detailBiblioForm&amp;sid=64F3CCE308D9C9BF41EA842526</v>
      </c>
    </row>
    <row r="4574" spans="3:5" ht="45" x14ac:dyDescent="0.25">
      <c r="C4574" s="15">
        <v>162044</v>
      </c>
      <c r="D4574" s="4" t="s">
        <v>4578</v>
      </c>
      <c r="E4574" s="4" t="str">
        <f>HYPERLINK("https://app.crepc.sk/?fn=detailBiblioForm&amp;sid=64F3CCE308D9C9BF41EE842526")</f>
        <v>https://app.crepc.sk/?fn=detailBiblioForm&amp;sid=64F3CCE308D9C9BF41EE842526</v>
      </c>
    </row>
    <row r="4575" spans="3:5" ht="75" x14ac:dyDescent="0.25">
      <c r="C4575" s="15">
        <v>448670</v>
      </c>
      <c r="D4575" s="4" t="s">
        <v>4579</v>
      </c>
      <c r="E4575" s="4" t="str">
        <f>HYPERLINK("https://app.crepc.sk/?fn=detailBiblioForm&amp;sid=138BCDA9E29FCAB39C80710CCB")</f>
        <v>https://app.crepc.sk/?fn=detailBiblioForm&amp;sid=138BCDA9E29FCAB39C80710CCB</v>
      </c>
    </row>
    <row r="4576" spans="3:5" ht="60" x14ac:dyDescent="0.25">
      <c r="C4576" s="15">
        <v>212886</v>
      </c>
      <c r="D4576" s="4" t="s">
        <v>4580</v>
      </c>
      <c r="E4576" s="4" t="str">
        <f>HYPERLINK("https://app.crepc.sk/?fn=detailBiblioForm&amp;sid=31B81341D84CFED63BCBB2027B")</f>
        <v>https://app.crepc.sk/?fn=detailBiblioForm&amp;sid=31B81341D84CFED63BCBB2027B</v>
      </c>
    </row>
    <row r="4577" spans="1:5" ht="120" x14ac:dyDescent="0.25">
      <c r="C4577" s="15">
        <v>198628</v>
      </c>
      <c r="D4577" s="4" t="s">
        <v>4581</v>
      </c>
      <c r="E4577" s="4" t="str">
        <f>HYPERLINK("https://app.crepc.sk/?fn=detailBiblioForm&amp;sid=401135A7AF766B14FB16A652F8")</f>
        <v>https://app.crepc.sk/?fn=detailBiblioForm&amp;sid=401135A7AF766B14FB16A652F8</v>
      </c>
    </row>
    <row r="4578" spans="1:5" ht="75" x14ac:dyDescent="0.25">
      <c r="C4578" s="15">
        <v>74544</v>
      </c>
      <c r="D4578" s="4" t="s">
        <v>4582</v>
      </c>
      <c r="E4578" s="4" t="str">
        <f>HYPERLINK("https://app.crepc.sk/?fn=detailBiblioForm&amp;sid=7DC6F83733C2E63A78D65D08")</f>
        <v>https://app.crepc.sk/?fn=detailBiblioForm&amp;sid=7DC6F83733C2E63A78D65D08</v>
      </c>
    </row>
    <row r="4579" spans="1:5" ht="75" x14ac:dyDescent="0.25">
      <c r="C4579" s="15">
        <v>424958</v>
      </c>
      <c r="D4579" s="4" t="s">
        <v>4583</v>
      </c>
      <c r="E4579" s="4" t="str">
        <f>HYPERLINK("https://app.crepc.sk/?fn=detailBiblioForm&amp;sid=7789A5EFF79401FA6A9FE79E56")</f>
        <v>https://app.crepc.sk/?fn=detailBiblioForm&amp;sid=7789A5EFF79401FA6A9FE79E56</v>
      </c>
    </row>
    <row r="4580" spans="1:5" ht="75" x14ac:dyDescent="0.25">
      <c r="C4580" s="15">
        <v>254305</v>
      </c>
      <c r="D4580" s="4" t="s">
        <v>4584</v>
      </c>
      <c r="E4580" s="4" t="str">
        <f>HYPERLINK("https://app.crepc.sk/?fn=detailBiblioForm&amp;sid=18100A8866F2CA4CD213C8C205")</f>
        <v>https://app.crepc.sk/?fn=detailBiblioForm&amp;sid=18100A8866F2CA4CD213C8C205</v>
      </c>
    </row>
    <row r="4581" spans="1:5" ht="75" x14ac:dyDescent="0.25">
      <c r="C4581" s="15">
        <v>93741</v>
      </c>
      <c r="D4581" s="4" t="s">
        <v>4585</v>
      </c>
      <c r="E4581" s="4" t="str">
        <f>HYPERLINK("https://app.crepc.sk/?fn=detailBiblioForm&amp;sid=E6E06D477DC2F53139DD0822")</f>
        <v>https://app.crepc.sk/?fn=detailBiblioForm&amp;sid=E6E06D477DC2F53139DD0822</v>
      </c>
    </row>
    <row r="4582" spans="1:5" ht="60" x14ac:dyDescent="0.25">
      <c r="C4582" s="15">
        <v>163110</v>
      </c>
      <c r="D4582" s="4" t="s">
        <v>4586</v>
      </c>
      <c r="E4582" s="4" t="str">
        <f>HYPERLINK("https://app.crepc.sk/?fn=detailBiblioForm&amp;sid=E90F038DF6A63573E4BDF54B16")</f>
        <v>https://app.crepc.sk/?fn=detailBiblioForm&amp;sid=E90F038DF6A63573E4BDF54B16</v>
      </c>
    </row>
    <row r="4583" spans="1:5" ht="60" x14ac:dyDescent="0.25">
      <c r="C4583" s="15">
        <v>126754</v>
      </c>
      <c r="D4583" s="4" t="s">
        <v>4587</v>
      </c>
      <c r="E4583" s="4" t="str">
        <f>HYPERLINK("https://app.crepc.sk/?fn=detailBiblioForm&amp;sid=BF2E02CB30820396A8E45B7C2B")</f>
        <v>https://app.crepc.sk/?fn=detailBiblioForm&amp;sid=BF2E02CB30820396A8E45B7C2B</v>
      </c>
    </row>
    <row r="4584" spans="1:5" ht="75" x14ac:dyDescent="0.25">
      <c r="C4584" s="15">
        <v>79142</v>
      </c>
      <c r="D4584" s="4" t="s">
        <v>4588</v>
      </c>
      <c r="E4584" s="4" t="str">
        <f>HYPERLINK("https://app.crepc.sk/?fn=detailBiblioForm&amp;sid=611D18F46F2C69BFAF46D7D6")</f>
        <v>https://app.crepc.sk/?fn=detailBiblioForm&amp;sid=611D18F46F2C69BFAF46D7D6</v>
      </c>
    </row>
    <row r="4585" spans="1:5" ht="90" x14ac:dyDescent="0.25">
      <c r="C4585" s="15">
        <v>224936</v>
      </c>
      <c r="D4585" s="4" t="s">
        <v>4589</v>
      </c>
      <c r="E4585" s="4" t="str">
        <f>HYPERLINK("https://app.crepc.sk/?fn=detailBiblioForm&amp;sid=A17FDCE096B34C516C5C5AEA85")</f>
        <v>https://app.crepc.sk/?fn=detailBiblioForm&amp;sid=A17FDCE096B34C516C5C5AEA85</v>
      </c>
    </row>
    <row r="4586" spans="1:5" ht="105" x14ac:dyDescent="0.25">
      <c r="C4586" s="15">
        <v>315918</v>
      </c>
      <c r="D4586" s="4" t="s">
        <v>4590</v>
      </c>
      <c r="E4586" s="4" t="str">
        <f>HYPERLINK("https://app.crepc.sk/?fn=detailBiblioForm&amp;sid=9B988179FF02F8DEA89ED8CEF7")</f>
        <v>https://app.crepc.sk/?fn=detailBiblioForm&amp;sid=9B988179FF02F8DEA89ED8CEF7</v>
      </c>
    </row>
    <row r="4587" spans="1:5" ht="75" x14ac:dyDescent="0.25">
      <c r="C4587" s="15">
        <v>449604</v>
      </c>
      <c r="D4587" s="4" t="s">
        <v>4591</v>
      </c>
      <c r="E4587" s="4" t="str">
        <f>HYPERLINK("https://app.crepc.sk/?fn=detailBiblioForm&amp;sid=C69B2087B7631742E6563420CB")</f>
        <v>https://app.crepc.sk/?fn=detailBiblioForm&amp;sid=C69B2087B7631742E6563420CB</v>
      </c>
    </row>
    <row r="4588" spans="1:5" ht="60" x14ac:dyDescent="0.25">
      <c r="C4588" s="15">
        <v>432443</v>
      </c>
      <c r="D4588" s="4" t="s">
        <v>4592</v>
      </c>
      <c r="E4588" s="4" t="str">
        <f>HYPERLINK("https://app.crepc.sk/?fn=detailBiblioForm&amp;sid=9C6DDAD5CC83289CB04CCA964C")</f>
        <v>https://app.crepc.sk/?fn=detailBiblioForm&amp;sid=9C6DDAD5CC83289CB04CCA964C</v>
      </c>
    </row>
    <row r="4589" spans="1:5" ht="60" x14ac:dyDescent="0.25">
      <c r="C4589" s="15">
        <v>124828</v>
      </c>
      <c r="D4589" s="4" t="s">
        <v>4593</v>
      </c>
      <c r="E4589" s="4" t="str">
        <f>HYPERLINK("https://app.crepc.sk/?fn=detailBiblioForm&amp;sid=DBBA30DD5E77A138683D840F51")</f>
        <v>https://app.crepc.sk/?fn=detailBiblioForm&amp;sid=DBBA30DD5E77A138683D840F51</v>
      </c>
    </row>
    <row r="4590" spans="1:5" ht="60" x14ac:dyDescent="0.25">
      <c r="C4590" s="15">
        <v>442447</v>
      </c>
      <c r="D4590" s="4" t="s">
        <v>4594</v>
      </c>
      <c r="E4590" s="4" t="str">
        <f>HYPERLINK("https://app.crepc.sk/?fn=detailBiblioForm&amp;sid=71E4C87088576A56E428049C2E")</f>
        <v>https://app.crepc.sk/?fn=detailBiblioForm&amp;sid=71E4C87088576A56E428049C2E</v>
      </c>
    </row>
    <row r="4591" spans="1:5" ht="60" x14ac:dyDescent="0.25">
      <c r="C4591" s="15">
        <v>95384</v>
      </c>
      <c r="D4591" s="4" t="s">
        <v>4595</v>
      </c>
      <c r="E4591" s="4" t="str">
        <f>HYPERLINK("https://app.crepc.sk/?fn=detailBiblioForm&amp;sid=829639BEEE9608E5FDF47EBE")</f>
        <v>https://app.crepc.sk/?fn=detailBiblioForm&amp;sid=829639BEEE9608E5FDF47EBE</v>
      </c>
    </row>
    <row r="4592" spans="1:5" ht="30" x14ac:dyDescent="0.25">
      <c r="A4592" s="4" t="s">
        <v>4596</v>
      </c>
      <c r="B4592" s="15">
        <v>496</v>
      </c>
    </row>
    <row r="4593" spans="3:5" ht="150" x14ac:dyDescent="0.25">
      <c r="C4593" s="15">
        <v>194792</v>
      </c>
      <c r="D4593" s="4" t="s">
        <v>4597</v>
      </c>
      <c r="E4593" s="4" t="str">
        <f>HYPERLINK("https://app.crepc.sk/?fn=detailBiblioForm&amp;sid=2FEED85A3FCEFC83C8EAE02009")</f>
        <v>https://app.crepc.sk/?fn=detailBiblioForm&amp;sid=2FEED85A3FCEFC83C8EAE02009</v>
      </c>
    </row>
    <row r="4594" spans="3:5" ht="75" x14ac:dyDescent="0.25">
      <c r="C4594" s="15">
        <v>84866</v>
      </c>
      <c r="D4594" s="4" t="s">
        <v>4598</v>
      </c>
      <c r="E4594" s="4" t="str">
        <f>HYPERLINK("https://app.crepc.sk/?fn=detailBiblioForm&amp;sid=91B9A75EE4F29577D476F9B7")</f>
        <v>https://app.crepc.sk/?fn=detailBiblioForm&amp;sid=91B9A75EE4F29577D476F9B7</v>
      </c>
    </row>
    <row r="4595" spans="3:5" ht="60" x14ac:dyDescent="0.25">
      <c r="C4595" s="15">
        <v>104293</v>
      </c>
      <c r="D4595" s="4" t="s">
        <v>4599</v>
      </c>
      <c r="E4595" s="4" t="str">
        <f>HYPERLINK("https://app.crepc.sk/?fn=detailBiblioForm&amp;sid=6E72E145B6DED42F44C088103F")</f>
        <v>https://app.crepc.sk/?fn=detailBiblioForm&amp;sid=6E72E145B6DED42F44C088103F</v>
      </c>
    </row>
    <row r="4596" spans="3:5" ht="60" x14ac:dyDescent="0.25">
      <c r="C4596" s="15">
        <v>189054</v>
      </c>
      <c r="D4596" s="4" t="s">
        <v>4600</v>
      </c>
      <c r="E4596" s="4" t="str">
        <f>HYPERLINK("https://app.crepc.sk/?fn=detailBiblioForm&amp;sid=74BB039856D7C25D2118E3CE4E")</f>
        <v>https://app.crepc.sk/?fn=detailBiblioForm&amp;sid=74BB039856D7C25D2118E3CE4E</v>
      </c>
    </row>
    <row r="4597" spans="3:5" ht="75" x14ac:dyDescent="0.25">
      <c r="C4597" s="15">
        <v>426254</v>
      </c>
      <c r="D4597" s="4" t="s">
        <v>4601</v>
      </c>
      <c r="E4597" s="4" t="str">
        <f>HYPERLINK("https://app.crepc.sk/?fn=detailBiblioForm&amp;sid=E937FF83F9A75DDC60DE468A94")</f>
        <v>https://app.crepc.sk/?fn=detailBiblioForm&amp;sid=E937FF83F9A75DDC60DE468A94</v>
      </c>
    </row>
    <row r="4598" spans="3:5" ht="75" x14ac:dyDescent="0.25">
      <c r="C4598" s="15">
        <v>426238</v>
      </c>
      <c r="D4598" s="4" t="s">
        <v>4602</v>
      </c>
      <c r="E4598" s="4" t="str">
        <f>HYPERLINK("https://app.crepc.sk/?fn=detailBiblioForm&amp;sid=E937FF83F9A75DDC66D2468A94")</f>
        <v>https://app.crepc.sk/?fn=detailBiblioForm&amp;sid=E937FF83F9A75DDC66D2468A94</v>
      </c>
    </row>
    <row r="4599" spans="3:5" ht="75" x14ac:dyDescent="0.25">
      <c r="C4599" s="15">
        <v>426260</v>
      </c>
      <c r="D4599" s="4" t="s">
        <v>4603</v>
      </c>
      <c r="E4599" s="4" t="str">
        <f>HYPERLINK("https://app.crepc.sk/?fn=detailBiblioForm&amp;sid=E937FF83F9A75DDC63DA468A94")</f>
        <v>https://app.crepc.sk/?fn=detailBiblioForm&amp;sid=E937FF83F9A75DDC63DA468A94</v>
      </c>
    </row>
    <row r="4600" spans="3:5" ht="75" x14ac:dyDescent="0.25">
      <c r="C4600" s="15">
        <v>426259</v>
      </c>
      <c r="D4600" s="4" t="s">
        <v>4604</v>
      </c>
      <c r="E4600" s="4" t="str">
        <f>HYPERLINK("https://app.crepc.sk/?fn=detailBiblioForm&amp;sid=E937FF83F9A75DDC60D3468A94")</f>
        <v>https://app.crepc.sk/?fn=detailBiblioForm&amp;sid=E937FF83F9A75DDC60D3468A94</v>
      </c>
    </row>
    <row r="4601" spans="3:5" ht="60" x14ac:dyDescent="0.25">
      <c r="C4601" s="15">
        <v>244640</v>
      </c>
      <c r="D4601" s="4" t="s">
        <v>4605</v>
      </c>
      <c r="E4601" s="4" t="str">
        <f>HYPERLINK("https://app.crepc.sk/?fn=detailBiblioForm&amp;sid=5693C4557D2BC9900DB0BAE0E3")</f>
        <v>https://app.crepc.sk/?fn=detailBiblioForm&amp;sid=5693C4557D2BC9900DB0BAE0E3</v>
      </c>
    </row>
    <row r="4602" spans="3:5" ht="60" x14ac:dyDescent="0.25">
      <c r="C4602" s="15">
        <v>102470</v>
      </c>
      <c r="D4602" s="4" t="s">
        <v>4606</v>
      </c>
      <c r="E4602" s="4" t="str">
        <f>HYPERLINK("https://app.crepc.sk/?fn=detailBiblioForm&amp;sid=6869FA06720F1784B4C576ECD8")</f>
        <v>https://app.crepc.sk/?fn=detailBiblioForm&amp;sid=6869FA06720F1784B4C576ECD8</v>
      </c>
    </row>
    <row r="4603" spans="3:5" ht="60" x14ac:dyDescent="0.25">
      <c r="C4603" s="15">
        <v>144057</v>
      </c>
      <c r="D4603" s="4" t="s">
        <v>4607</v>
      </c>
      <c r="E4603" s="4" t="str">
        <f>HYPERLINK("https://app.crepc.sk/?fn=detailBiblioForm&amp;sid=3B3C390F92023FADB9FCAAFB13")</f>
        <v>https://app.crepc.sk/?fn=detailBiblioForm&amp;sid=3B3C390F92023FADB9FCAAFB13</v>
      </c>
    </row>
    <row r="4604" spans="3:5" ht="45" x14ac:dyDescent="0.25">
      <c r="C4604" s="15">
        <v>443012</v>
      </c>
      <c r="D4604" s="4" t="s">
        <v>4608</v>
      </c>
      <c r="E4604" s="4" t="str">
        <f>HYPERLINK("https://app.crepc.sk/?fn=detailBiblioForm&amp;sid=D2BE33474DF4BCB753805BFBDF")</f>
        <v>https://app.crepc.sk/?fn=detailBiblioForm&amp;sid=D2BE33474DF4BCB753805BFBDF</v>
      </c>
    </row>
    <row r="4605" spans="3:5" ht="75" x14ac:dyDescent="0.25">
      <c r="C4605" s="15">
        <v>310768</v>
      </c>
      <c r="D4605" s="4" t="s">
        <v>4609</v>
      </c>
      <c r="E4605" s="4" t="str">
        <f>HYPERLINK("https://app.crepc.sk/?fn=detailBiblioForm&amp;sid=BA568C50EF7A76E2D5FC14E589")</f>
        <v>https://app.crepc.sk/?fn=detailBiblioForm&amp;sid=BA568C50EF7A76E2D5FC14E589</v>
      </c>
    </row>
    <row r="4606" spans="3:5" ht="60" x14ac:dyDescent="0.25">
      <c r="C4606" s="15">
        <v>105855</v>
      </c>
      <c r="D4606" s="4" t="s">
        <v>4610</v>
      </c>
      <c r="E4606" s="4" t="str">
        <f>HYPERLINK("https://app.crepc.sk/?fn=detailBiblioForm&amp;sid=497BFD8B534E5A6C0A84946B09")</f>
        <v>https://app.crepc.sk/?fn=detailBiblioForm&amp;sid=497BFD8B534E5A6C0A84946B09</v>
      </c>
    </row>
    <row r="4607" spans="3:5" ht="60" x14ac:dyDescent="0.25">
      <c r="C4607" s="15">
        <v>198285</v>
      </c>
      <c r="D4607" s="4" t="s">
        <v>4611</v>
      </c>
      <c r="E4607" s="4" t="str">
        <f>HYPERLINK("https://app.crepc.sk/?fn=detailBiblioForm&amp;sid=5D87752206D8162BC0B5B09268")</f>
        <v>https://app.crepc.sk/?fn=detailBiblioForm&amp;sid=5D87752206D8162BC0B5B09268</v>
      </c>
    </row>
    <row r="4608" spans="3:5" ht="60" x14ac:dyDescent="0.25">
      <c r="C4608" s="15">
        <v>206005</v>
      </c>
      <c r="D4608" s="4" t="s">
        <v>4612</v>
      </c>
      <c r="E4608" s="4" t="str">
        <f>HYPERLINK("https://app.crepc.sk/?fn=detailBiblioForm&amp;sid=8A3D6BC1A0983428FD67184B23")</f>
        <v>https://app.crepc.sk/?fn=detailBiblioForm&amp;sid=8A3D6BC1A0983428FD67184B23</v>
      </c>
    </row>
    <row r="4609" spans="3:5" ht="75" x14ac:dyDescent="0.25">
      <c r="C4609" s="15">
        <v>96269</v>
      </c>
      <c r="D4609" s="4" t="s">
        <v>4613</v>
      </c>
      <c r="E4609" s="4" t="str">
        <f>HYPERLINK("https://app.crepc.sk/?fn=detailBiblioForm&amp;sid=238FF4A4658B30B39580ACE7")</f>
        <v>https://app.crepc.sk/?fn=detailBiblioForm&amp;sid=238FF4A4658B30B39580ACE7</v>
      </c>
    </row>
    <row r="4610" spans="3:5" ht="60" x14ac:dyDescent="0.25">
      <c r="C4610" s="15">
        <v>206777</v>
      </c>
      <c r="D4610" s="4" t="s">
        <v>4614</v>
      </c>
      <c r="E4610" s="4" t="str">
        <f>HYPERLINK("https://app.crepc.sk/?fn=detailBiblioForm&amp;sid=DF29B71B83315C12349A6F6198")</f>
        <v>https://app.crepc.sk/?fn=detailBiblioForm&amp;sid=DF29B71B83315C12349A6F6198</v>
      </c>
    </row>
    <row r="4611" spans="3:5" ht="60" x14ac:dyDescent="0.25">
      <c r="C4611" s="15">
        <v>142363</v>
      </c>
      <c r="D4611" s="4" t="s">
        <v>4615</v>
      </c>
      <c r="E4611" s="4" t="str">
        <f>HYPERLINK("https://app.crepc.sk/?fn=detailBiblioForm&amp;sid=83712EB9BC21748F2C983706BD")</f>
        <v>https://app.crepc.sk/?fn=detailBiblioForm&amp;sid=83712EB9BC21748F2C983706BD</v>
      </c>
    </row>
    <row r="4612" spans="3:5" ht="60" x14ac:dyDescent="0.25">
      <c r="C4612" s="15">
        <v>249862</v>
      </c>
      <c r="D4612" s="4" t="s">
        <v>4616</v>
      </c>
      <c r="E4612" s="4" t="str">
        <f>HYPERLINK("https://app.crepc.sk/?fn=detailBiblioForm&amp;sid=1B34BF6143476B67120B8EFAB0")</f>
        <v>https://app.crepc.sk/?fn=detailBiblioForm&amp;sid=1B34BF6143476B67120B8EFAB0</v>
      </c>
    </row>
    <row r="4613" spans="3:5" ht="90" x14ac:dyDescent="0.25">
      <c r="C4613" s="15">
        <v>116677</v>
      </c>
      <c r="D4613" s="4" t="s">
        <v>4617</v>
      </c>
      <c r="E4613" s="4" t="str">
        <f>HYPERLINK("https://app.crepc.sk/?fn=detailBiblioForm&amp;sid=C7058B2E53B5EC4D97100DAE3B")</f>
        <v>https://app.crepc.sk/?fn=detailBiblioForm&amp;sid=C7058B2E53B5EC4D97100DAE3B</v>
      </c>
    </row>
    <row r="4614" spans="3:5" ht="75" x14ac:dyDescent="0.25">
      <c r="C4614" s="15">
        <v>426243</v>
      </c>
      <c r="D4614" s="4" t="s">
        <v>4618</v>
      </c>
      <c r="E4614" s="4" t="str">
        <f>HYPERLINK("https://app.crepc.sk/?fn=detailBiblioForm&amp;sid=E937FF83F9A75DDC61D9468A94")</f>
        <v>https://app.crepc.sk/?fn=detailBiblioForm&amp;sid=E937FF83F9A75DDC61D9468A94</v>
      </c>
    </row>
    <row r="4615" spans="3:5" ht="75" x14ac:dyDescent="0.25">
      <c r="C4615" s="15">
        <v>154594</v>
      </c>
      <c r="D4615" s="4" t="s">
        <v>4619</v>
      </c>
      <c r="E4615" s="4" t="str">
        <f>HYPERLINK("https://app.crepc.sk/?fn=detailBiblioForm&amp;sid=7CD47704C688C3C83A54859C4A")</f>
        <v>https://app.crepc.sk/?fn=detailBiblioForm&amp;sid=7CD47704C688C3C83A54859C4A</v>
      </c>
    </row>
    <row r="4616" spans="3:5" ht="75" x14ac:dyDescent="0.25">
      <c r="C4616" s="15">
        <v>95526</v>
      </c>
      <c r="D4616" s="4" t="s">
        <v>4620</v>
      </c>
      <c r="E4616" s="4" t="str">
        <f>HYPERLINK("https://app.crepc.sk/?fn=detailBiblioForm&amp;sid=6805775735622CF563146B81")</f>
        <v>https://app.crepc.sk/?fn=detailBiblioForm&amp;sid=6805775735622CF563146B81</v>
      </c>
    </row>
    <row r="4617" spans="3:5" ht="90" x14ac:dyDescent="0.25">
      <c r="C4617" s="15">
        <v>232059</v>
      </c>
      <c r="D4617" s="4" t="s">
        <v>4621</v>
      </c>
      <c r="E4617" s="4" t="str">
        <f>HYPERLINK("https://app.crepc.sk/?fn=detailBiblioForm&amp;sid=C65CC4D34354C627FDEB9B975D")</f>
        <v>https://app.crepc.sk/?fn=detailBiblioForm&amp;sid=C65CC4D34354C627FDEB9B975D</v>
      </c>
    </row>
    <row r="4618" spans="3:5" ht="45" x14ac:dyDescent="0.25">
      <c r="C4618" s="15">
        <v>106358</v>
      </c>
      <c r="D4618" s="4" t="s">
        <v>4622</v>
      </c>
      <c r="E4618" s="4" t="str">
        <f>HYPERLINK("https://app.crepc.sk/?fn=detailBiblioForm&amp;sid=085E9E48F47272874CDE04A2A8")</f>
        <v>https://app.crepc.sk/?fn=detailBiblioForm&amp;sid=085E9E48F47272874CDE04A2A8</v>
      </c>
    </row>
    <row r="4619" spans="3:5" ht="60" x14ac:dyDescent="0.25">
      <c r="C4619" s="15">
        <v>51983</v>
      </c>
      <c r="D4619" s="4" t="s">
        <v>4623</v>
      </c>
      <c r="E4619" s="4" t="str">
        <f>HYPERLINK("https://app.crepc.sk/?fn=detailBiblioForm&amp;sid=8F5B623FE9669B639AB39DF5")</f>
        <v>https://app.crepc.sk/?fn=detailBiblioForm&amp;sid=8F5B623FE9669B639AB39DF5</v>
      </c>
    </row>
    <row r="4620" spans="3:5" ht="60" x14ac:dyDescent="0.25">
      <c r="C4620" s="15">
        <v>163564</v>
      </c>
      <c r="D4620" s="4" t="s">
        <v>4624</v>
      </c>
      <c r="E4620" s="4" t="str">
        <f>HYPERLINK("https://app.crepc.sk/?fn=detailBiblioForm&amp;sid=702847CDD3538CD48A31C67511")</f>
        <v>https://app.crepc.sk/?fn=detailBiblioForm&amp;sid=702847CDD3538CD48A31C67511</v>
      </c>
    </row>
    <row r="4621" spans="3:5" ht="45" x14ac:dyDescent="0.25">
      <c r="C4621" s="15">
        <v>212168</v>
      </c>
      <c r="D4621" s="4" t="s">
        <v>4625</v>
      </c>
      <c r="E4621" s="4" t="str">
        <f>HYPERLINK("https://app.crepc.sk/?fn=detailBiblioForm&amp;sid=A1202DE7B01A324D6EF687F106")</f>
        <v>https://app.crepc.sk/?fn=detailBiblioForm&amp;sid=A1202DE7B01A324D6EF687F106</v>
      </c>
    </row>
    <row r="4622" spans="3:5" ht="75" x14ac:dyDescent="0.25">
      <c r="C4622" s="15">
        <v>182122</v>
      </c>
      <c r="D4622" s="4" t="s">
        <v>4626</v>
      </c>
      <c r="E4622" s="4" t="str">
        <f>HYPERLINK("https://app.crepc.sk/?fn=detailBiblioForm&amp;sid=9A7D98113A4E7D6F02AC1FB6F1")</f>
        <v>https://app.crepc.sk/?fn=detailBiblioForm&amp;sid=9A7D98113A4E7D6F02AC1FB6F1</v>
      </c>
    </row>
    <row r="4623" spans="3:5" ht="60" x14ac:dyDescent="0.25">
      <c r="C4623" s="15">
        <v>201012</v>
      </c>
      <c r="D4623" s="4" t="s">
        <v>4627</v>
      </c>
      <c r="E4623" s="4" t="str">
        <f>HYPERLINK("https://app.crepc.sk/?fn=detailBiblioForm&amp;sid=243046BA5D04E9C171017A43A4")</f>
        <v>https://app.crepc.sk/?fn=detailBiblioForm&amp;sid=243046BA5D04E9C171017A43A4</v>
      </c>
    </row>
    <row r="4624" spans="3:5" ht="60" x14ac:dyDescent="0.25">
      <c r="C4624" s="15">
        <v>244726</v>
      </c>
      <c r="D4624" s="4" t="s">
        <v>4628</v>
      </c>
      <c r="E4624" s="4" t="str">
        <f>HYPERLINK("https://app.crepc.sk/?fn=detailBiblioForm&amp;sid=C5430B75513C4E7F22F9E1F354")</f>
        <v>https://app.crepc.sk/?fn=detailBiblioForm&amp;sid=C5430B75513C4E7F22F9E1F354</v>
      </c>
    </row>
    <row r="4625" spans="3:5" ht="60" x14ac:dyDescent="0.25">
      <c r="C4625" s="15">
        <v>98173</v>
      </c>
      <c r="D4625" s="4" t="s">
        <v>4629</v>
      </c>
      <c r="E4625" s="4" t="str">
        <f>HYPERLINK("https://app.crepc.sk/?fn=detailBiblioForm&amp;sid=3DBF62616B89AB78550F38E7")</f>
        <v>https://app.crepc.sk/?fn=detailBiblioForm&amp;sid=3DBF62616B89AB78550F38E7</v>
      </c>
    </row>
    <row r="4626" spans="3:5" ht="45" x14ac:dyDescent="0.25">
      <c r="C4626" s="15">
        <v>104212</v>
      </c>
      <c r="D4626" s="4" t="s">
        <v>4630</v>
      </c>
      <c r="E4626" s="4" t="str">
        <f>HYPERLINK("https://app.crepc.sk/?fn=detailBiblioForm&amp;sid=6E72E145B6DED42F4CC188103F")</f>
        <v>https://app.crepc.sk/?fn=detailBiblioForm&amp;sid=6E72E145B6DED42F4CC188103F</v>
      </c>
    </row>
    <row r="4627" spans="3:5" ht="60" x14ac:dyDescent="0.25">
      <c r="C4627" s="15">
        <v>183766</v>
      </c>
      <c r="D4627" s="4" t="s">
        <v>4631</v>
      </c>
      <c r="E4627" s="4" t="str">
        <f>HYPERLINK("https://app.crepc.sk/?fn=detailBiblioForm&amp;sid=8DA5F85D14F67EBBACDA8BC081")</f>
        <v>https://app.crepc.sk/?fn=detailBiblioForm&amp;sid=8DA5F85D14F67EBBACDA8BC081</v>
      </c>
    </row>
    <row r="4628" spans="3:5" ht="60" x14ac:dyDescent="0.25">
      <c r="C4628" s="15">
        <v>67894</v>
      </c>
      <c r="D4628" s="4" t="s">
        <v>4632</v>
      </c>
      <c r="E4628" s="4" t="str">
        <f>HYPERLINK("https://app.crepc.sk/?fn=detailBiblioForm&amp;sid=DB2E9AEAE4DF7AC6856D717D")</f>
        <v>https://app.crepc.sk/?fn=detailBiblioForm&amp;sid=DB2E9AEAE4DF7AC6856D717D</v>
      </c>
    </row>
    <row r="4629" spans="3:5" ht="90" x14ac:dyDescent="0.25">
      <c r="C4629" s="15">
        <v>103640</v>
      </c>
      <c r="D4629" s="4" t="s">
        <v>4633</v>
      </c>
      <c r="E4629" s="4" t="str">
        <f>HYPERLINK("https://app.crepc.sk/?fn=detailBiblioForm&amp;sid=EE3D38C86FFFC977AF894C62C6")</f>
        <v>https://app.crepc.sk/?fn=detailBiblioForm&amp;sid=EE3D38C86FFFC977AF894C62C6</v>
      </c>
    </row>
    <row r="4630" spans="3:5" ht="60" x14ac:dyDescent="0.25">
      <c r="C4630" s="15">
        <v>208518</v>
      </c>
      <c r="D4630" s="4" t="s">
        <v>4634</v>
      </c>
      <c r="E4630" s="4" t="str">
        <f>HYPERLINK("https://app.crepc.sk/?fn=detailBiblioForm&amp;sid=9498AC2C2D7C445A81718E28BD")</f>
        <v>https://app.crepc.sk/?fn=detailBiblioForm&amp;sid=9498AC2C2D7C445A81718E28BD</v>
      </c>
    </row>
    <row r="4631" spans="3:5" ht="60" x14ac:dyDescent="0.25">
      <c r="C4631" s="15">
        <v>196001</v>
      </c>
      <c r="D4631" s="4" t="s">
        <v>4635</v>
      </c>
      <c r="E4631" s="4" t="str">
        <f>HYPERLINK("https://app.crepc.sk/?fn=detailBiblioForm&amp;sid=1FF0F555295BBAD69F59175909")</f>
        <v>https://app.crepc.sk/?fn=detailBiblioForm&amp;sid=1FF0F555295BBAD69F59175909</v>
      </c>
    </row>
    <row r="4632" spans="3:5" ht="75" x14ac:dyDescent="0.25">
      <c r="C4632" s="15">
        <v>442289</v>
      </c>
      <c r="D4632" s="4" t="s">
        <v>4636</v>
      </c>
      <c r="E4632" s="4" t="str">
        <f>HYPERLINK("https://app.crepc.sk/?fn=detailBiblioForm&amp;sid=449A78BFE483A8EAF5FE49C553")</f>
        <v>https://app.crepc.sk/?fn=detailBiblioForm&amp;sid=449A78BFE483A8EAF5FE49C553</v>
      </c>
    </row>
    <row r="4633" spans="3:5" ht="75" x14ac:dyDescent="0.25">
      <c r="C4633" s="15">
        <v>51971</v>
      </c>
      <c r="D4633" s="4" t="s">
        <v>4637</v>
      </c>
      <c r="E4633" s="4" t="str">
        <f>HYPERLINK("https://app.crepc.sk/?fn=detailBiblioForm&amp;sid=3CF9681F115FD6E29909C569")</f>
        <v>https://app.crepc.sk/?fn=detailBiblioForm&amp;sid=3CF9681F115FD6E29909C569</v>
      </c>
    </row>
    <row r="4634" spans="3:5" ht="75" x14ac:dyDescent="0.25">
      <c r="C4634" s="15">
        <v>109636</v>
      </c>
      <c r="D4634" s="4" t="s">
        <v>4638</v>
      </c>
      <c r="E4634" s="4" t="str">
        <f>HYPERLINK("https://app.crepc.sk/?fn=detailBiblioForm&amp;sid=15CAFFC3B9CE7DA2372CDBD162")</f>
        <v>https://app.crepc.sk/?fn=detailBiblioForm&amp;sid=15CAFFC3B9CE7DA2372CDBD162</v>
      </c>
    </row>
    <row r="4635" spans="3:5" ht="75" x14ac:dyDescent="0.25">
      <c r="C4635" s="15">
        <v>420198</v>
      </c>
      <c r="D4635" s="4" t="s">
        <v>4639</v>
      </c>
      <c r="E4635" s="4" t="str">
        <f>HYPERLINK("https://app.crepc.sk/?fn=detailBiblioForm&amp;sid=5D2DBF2AC28D3B0753E7421D14")</f>
        <v>https://app.crepc.sk/?fn=detailBiblioForm&amp;sid=5D2DBF2AC28D3B0753E7421D14</v>
      </c>
    </row>
    <row r="4636" spans="3:5" ht="60" x14ac:dyDescent="0.25">
      <c r="C4636" s="15">
        <v>99980</v>
      </c>
      <c r="D4636" s="4" t="s">
        <v>4640</v>
      </c>
      <c r="E4636" s="4" t="str">
        <f>HYPERLINK("https://app.crepc.sk/?fn=detailBiblioForm&amp;sid=27EDB29E6D5F428A72CC13CC")</f>
        <v>https://app.crepc.sk/?fn=detailBiblioForm&amp;sid=27EDB29E6D5F428A72CC13CC</v>
      </c>
    </row>
    <row r="4637" spans="3:5" ht="60" x14ac:dyDescent="0.25">
      <c r="C4637" s="15">
        <v>207462</v>
      </c>
      <c r="D4637" s="4" t="s">
        <v>4641</v>
      </c>
      <c r="E4637" s="4" t="str">
        <f>HYPERLINK("https://app.crepc.sk/?fn=detailBiblioForm&amp;sid=710E036344B29395BD8546F5C5")</f>
        <v>https://app.crepc.sk/?fn=detailBiblioForm&amp;sid=710E036344B29395BD8546F5C5</v>
      </c>
    </row>
    <row r="4638" spans="3:5" ht="45" x14ac:dyDescent="0.25">
      <c r="C4638" s="15">
        <v>226611</v>
      </c>
      <c r="D4638" s="4" t="s">
        <v>4642</v>
      </c>
      <c r="E4638" s="4" t="str">
        <f>HYPERLINK("https://app.crepc.sk/?fn=detailBiblioForm&amp;sid=EFBE3DC7BD8E060F04E705FABD")</f>
        <v>https://app.crepc.sk/?fn=detailBiblioForm&amp;sid=EFBE3DC7BD8E060F04E705FABD</v>
      </c>
    </row>
    <row r="4639" spans="3:5" ht="75" x14ac:dyDescent="0.25">
      <c r="C4639" s="15">
        <v>315843</v>
      </c>
      <c r="D4639" s="4" t="s">
        <v>4643</v>
      </c>
      <c r="E4639" s="4" t="str">
        <f>HYPERLINK("https://app.crepc.sk/?fn=detailBiblioForm&amp;sid=86DD2B30A0B3D5650C1ABBCF36")</f>
        <v>https://app.crepc.sk/?fn=detailBiblioForm&amp;sid=86DD2B30A0B3D5650C1ABBCF36</v>
      </c>
    </row>
    <row r="4640" spans="3:5" ht="60" x14ac:dyDescent="0.25">
      <c r="C4640" s="15">
        <v>196271</v>
      </c>
      <c r="D4640" s="4" t="s">
        <v>4644</v>
      </c>
      <c r="E4640" s="4" t="str">
        <f>HYPERLINK("https://app.crepc.sk/?fn=detailBiblioForm&amp;sid=DEAAEB997C45B7BDE81BF92F8C")</f>
        <v>https://app.crepc.sk/?fn=detailBiblioForm&amp;sid=DEAAEB997C45B7BDE81BF92F8C</v>
      </c>
    </row>
    <row r="4641" spans="3:5" ht="75" x14ac:dyDescent="0.25">
      <c r="C4641" s="15">
        <v>75848</v>
      </c>
      <c r="D4641" s="4" t="s">
        <v>4645</v>
      </c>
      <c r="E4641" s="4" t="str">
        <f>HYPERLINK("https://app.crepc.sk/?fn=detailBiblioForm&amp;sid=D8417B1CBA4A4E40132ECB6D")</f>
        <v>https://app.crepc.sk/?fn=detailBiblioForm&amp;sid=D8417B1CBA4A4E40132ECB6D</v>
      </c>
    </row>
    <row r="4642" spans="3:5" ht="60" x14ac:dyDescent="0.25">
      <c r="C4642" s="15">
        <v>124446</v>
      </c>
      <c r="D4642" s="4" t="s">
        <v>4646</v>
      </c>
      <c r="E4642" s="4" t="str">
        <f>HYPERLINK("https://app.crepc.sk/?fn=detailBiblioForm&amp;sid=334EBFF4980CD77447412B0A8A")</f>
        <v>https://app.crepc.sk/?fn=detailBiblioForm&amp;sid=334EBFF4980CD77447412B0A8A</v>
      </c>
    </row>
    <row r="4643" spans="3:5" ht="45" x14ac:dyDescent="0.25">
      <c r="C4643" s="15">
        <v>143971</v>
      </c>
      <c r="D4643" s="4" t="s">
        <v>4647</v>
      </c>
      <c r="E4643" s="4" t="str">
        <f>HYPERLINK("https://app.crepc.sk/?fn=detailBiblioForm&amp;sid=41FC96EDD2671FA9894571F5E6")</f>
        <v>https://app.crepc.sk/?fn=detailBiblioForm&amp;sid=41FC96EDD2671FA9894571F5E6</v>
      </c>
    </row>
    <row r="4644" spans="3:5" ht="75" x14ac:dyDescent="0.25">
      <c r="C4644" s="15">
        <v>316158</v>
      </c>
      <c r="D4644" s="4" t="s">
        <v>4648</v>
      </c>
      <c r="E4644" s="4" t="str">
        <f>HYPERLINK("https://app.crepc.sk/?fn=detailBiblioForm&amp;sid=C23E7C285E3A8C28F262E56553")</f>
        <v>https://app.crepc.sk/?fn=detailBiblioForm&amp;sid=C23E7C285E3A8C28F262E56553</v>
      </c>
    </row>
    <row r="4645" spans="3:5" ht="90" x14ac:dyDescent="0.25">
      <c r="C4645" s="15">
        <v>210074</v>
      </c>
      <c r="D4645" s="4" t="s">
        <v>4649</v>
      </c>
      <c r="E4645" s="4" t="str">
        <f>HYPERLINK("https://app.crepc.sk/?fn=detailBiblioForm&amp;sid=1C18B4053C6402EC47665DD9F9")</f>
        <v>https://app.crepc.sk/?fn=detailBiblioForm&amp;sid=1C18B4053C6402EC47665DD9F9</v>
      </c>
    </row>
    <row r="4646" spans="3:5" ht="90" x14ac:dyDescent="0.25">
      <c r="C4646" s="15">
        <v>210090</v>
      </c>
      <c r="D4646" s="4" t="s">
        <v>4650</v>
      </c>
      <c r="E4646" s="4" t="str">
        <f>HYPERLINK("https://app.crepc.sk/?fn=detailBiblioForm&amp;sid=1C18B4053C6402EC49625DD9F9")</f>
        <v>https://app.crepc.sk/?fn=detailBiblioForm&amp;sid=1C18B4053C6402EC49625DD9F9</v>
      </c>
    </row>
    <row r="4647" spans="3:5" ht="75" x14ac:dyDescent="0.25">
      <c r="C4647" s="15">
        <v>60357</v>
      </c>
      <c r="D4647" s="4" t="s">
        <v>4651</v>
      </c>
      <c r="E4647" s="4" t="str">
        <f>HYPERLINK("https://app.crepc.sk/?fn=detailBiblioForm&amp;sid=78C9F3E8CC26E15DAE559898")</f>
        <v>https://app.crepc.sk/?fn=detailBiblioForm&amp;sid=78C9F3E8CC26E15DAE559898</v>
      </c>
    </row>
    <row r="4648" spans="3:5" ht="60" x14ac:dyDescent="0.25">
      <c r="C4648" s="15">
        <v>431833</v>
      </c>
      <c r="D4648" s="4" t="s">
        <v>4652</v>
      </c>
      <c r="E4648" s="4" t="str">
        <f>HYPERLINK("https://app.crepc.sk/?fn=detailBiblioForm&amp;sid=3DE6CF9C5F52DC5A469162B88A")</f>
        <v>https://app.crepc.sk/?fn=detailBiblioForm&amp;sid=3DE6CF9C5F52DC5A469162B88A</v>
      </c>
    </row>
    <row r="4649" spans="3:5" ht="60" x14ac:dyDescent="0.25">
      <c r="C4649" s="15">
        <v>61838</v>
      </c>
      <c r="D4649" s="4" t="s">
        <v>4653</v>
      </c>
      <c r="E4649" s="4" t="str">
        <f>HYPERLINK("https://app.crepc.sk/?fn=detailBiblioForm&amp;sid=24D7840E7B0073719EAA7332")</f>
        <v>https://app.crepc.sk/?fn=detailBiblioForm&amp;sid=24D7840E7B0073719EAA7332</v>
      </c>
    </row>
    <row r="4650" spans="3:5" ht="60" x14ac:dyDescent="0.25">
      <c r="C4650" s="15">
        <v>61850</v>
      </c>
      <c r="D4650" s="4" t="s">
        <v>4654</v>
      </c>
      <c r="E4650" s="4" t="str">
        <f>HYPERLINK("https://app.crepc.sk/?fn=detailBiblioForm&amp;sid=655CD9B4E82DCEAFC37EC1C4")</f>
        <v>https://app.crepc.sk/?fn=detailBiblioForm&amp;sid=655CD9B4E82DCEAFC37EC1C4</v>
      </c>
    </row>
    <row r="4651" spans="3:5" ht="75" x14ac:dyDescent="0.25">
      <c r="C4651" s="15">
        <v>78677</v>
      </c>
      <c r="D4651" s="4" t="s">
        <v>4655</v>
      </c>
      <c r="E4651" s="4" t="str">
        <f>HYPERLINK("https://app.crepc.sk/?fn=detailBiblioForm&amp;sid=1A12600E67EB07181F782F73")</f>
        <v>https://app.crepc.sk/?fn=detailBiblioForm&amp;sid=1A12600E67EB07181F782F73</v>
      </c>
    </row>
    <row r="4652" spans="3:5" ht="75" x14ac:dyDescent="0.25">
      <c r="C4652" s="15">
        <v>216738</v>
      </c>
      <c r="D4652" s="4" t="s">
        <v>4656</v>
      </c>
      <c r="E4652" s="4" t="str">
        <f>HYPERLINK("https://app.crepc.sk/?fn=detailBiblioForm&amp;sid=73B630D0391B7B04C9CB33631C")</f>
        <v>https://app.crepc.sk/?fn=detailBiblioForm&amp;sid=73B630D0391B7B04C9CB33631C</v>
      </c>
    </row>
    <row r="4653" spans="3:5" ht="45" x14ac:dyDescent="0.25">
      <c r="C4653" s="15">
        <v>183722</v>
      </c>
      <c r="D4653" s="4" t="s">
        <v>4657</v>
      </c>
      <c r="E4653" s="4" t="str">
        <f>HYPERLINK("https://app.crepc.sk/?fn=detailBiblioForm&amp;sid=8DA5F85D14F67EBBA8DE8BC081")</f>
        <v>https://app.crepc.sk/?fn=detailBiblioForm&amp;sid=8DA5F85D14F67EBBA8DE8BC081</v>
      </c>
    </row>
    <row r="4654" spans="3:5" ht="75" x14ac:dyDescent="0.25">
      <c r="C4654" s="15">
        <v>254041</v>
      </c>
      <c r="D4654" s="4" t="s">
        <v>4658</v>
      </c>
      <c r="E4654" s="4" t="str">
        <f>HYPERLINK("https://app.crepc.sk/?fn=detailBiblioForm&amp;sid=F93F982D1311F48FE6437FC21D")</f>
        <v>https://app.crepc.sk/?fn=detailBiblioForm&amp;sid=F93F982D1311F48FE6437FC21D</v>
      </c>
    </row>
    <row r="4655" spans="3:5" ht="75" x14ac:dyDescent="0.25">
      <c r="C4655" s="15">
        <v>211783</v>
      </c>
      <c r="D4655" s="4" t="s">
        <v>4659</v>
      </c>
      <c r="E4655" s="4" t="str">
        <f>HYPERLINK("https://app.crepc.sk/?fn=detailBiblioForm&amp;sid=936179ABD4330FC85DD109B041")</f>
        <v>https://app.crepc.sk/?fn=detailBiblioForm&amp;sid=936179ABD4330FC85DD109B041</v>
      </c>
    </row>
    <row r="4656" spans="3:5" ht="60" x14ac:dyDescent="0.25">
      <c r="C4656" s="15">
        <v>144053</v>
      </c>
      <c r="D4656" s="4" t="s">
        <v>4660</v>
      </c>
      <c r="E4656" s="4" t="str">
        <f>HYPERLINK("https://app.crepc.sk/?fn=detailBiblioForm&amp;sid=3B3C390F92023FADB9F8AAFB13")</f>
        <v>https://app.crepc.sk/?fn=detailBiblioForm&amp;sid=3B3C390F92023FADB9F8AAFB13</v>
      </c>
    </row>
    <row r="4657" spans="3:5" ht="60" x14ac:dyDescent="0.25">
      <c r="C4657" s="15">
        <v>431551</v>
      </c>
      <c r="D4657" s="4" t="s">
        <v>4661</v>
      </c>
      <c r="E4657" s="4" t="str">
        <f>HYPERLINK("https://app.crepc.sk/?fn=detailBiblioForm&amp;sid=2DB25D5D0CF930F821305944D3")</f>
        <v>https://app.crepc.sk/?fn=detailBiblioForm&amp;sid=2DB25D5D0CF930F821305944D3</v>
      </c>
    </row>
    <row r="4658" spans="3:5" ht="75" x14ac:dyDescent="0.25">
      <c r="C4658" s="15">
        <v>164957</v>
      </c>
      <c r="D4658" s="4" t="s">
        <v>4662</v>
      </c>
      <c r="E4658" s="4" t="str">
        <f>HYPERLINK("https://app.crepc.sk/?fn=detailBiblioForm&amp;sid=81B8C7E3C61A011F143E5B0DE1")</f>
        <v>https://app.crepc.sk/?fn=detailBiblioForm&amp;sid=81B8C7E3C61A011F143E5B0DE1</v>
      </c>
    </row>
    <row r="4659" spans="3:5" ht="60" x14ac:dyDescent="0.25">
      <c r="C4659" s="15">
        <v>67888</v>
      </c>
      <c r="D4659" s="4" t="s">
        <v>4663</v>
      </c>
      <c r="E4659" s="4" t="str">
        <f>HYPERLINK("https://app.crepc.sk/?fn=detailBiblioForm&amp;sid=42B7E6C01A8D7626C3031572")</f>
        <v>https://app.crepc.sk/?fn=detailBiblioForm&amp;sid=42B7E6C01A8D7626C3031572</v>
      </c>
    </row>
    <row r="4660" spans="3:5" ht="60" x14ac:dyDescent="0.25">
      <c r="C4660" s="15">
        <v>67890</v>
      </c>
      <c r="D4660" s="4" t="s">
        <v>4664</v>
      </c>
      <c r="E4660" s="4" t="str">
        <f>HYPERLINK("https://app.crepc.sk/?fn=detailBiblioForm&amp;sid=DB2E9AEAE4DF7AC6816D717D")</f>
        <v>https://app.crepc.sk/?fn=detailBiblioForm&amp;sid=DB2E9AEAE4DF7AC6816D717D</v>
      </c>
    </row>
    <row r="4661" spans="3:5" ht="60" x14ac:dyDescent="0.25">
      <c r="C4661" s="15">
        <v>67887</v>
      </c>
      <c r="D4661" s="4" t="s">
        <v>4665</v>
      </c>
      <c r="E4661" s="4" t="str">
        <f>HYPERLINK("https://app.crepc.sk/?fn=detailBiblioForm&amp;sid=42B7E6C01A8D7626CC031572")</f>
        <v>https://app.crepc.sk/?fn=detailBiblioForm&amp;sid=42B7E6C01A8D7626CC031572</v>
      </c>
    </row>
    <row r="4662" spans="3:5" ht="60" x14ac:dyDescent="0.25">
      <c r="C4662" s="15">
        <v>118944</v>
      </c>
      <c r="D4662" s="4" t="s">
        <v>4666</v>
      </c>
      <c r="E4662" s="4" t="str">
        <f>HYPERLINK("https://app.crepc.sk/?fn=detailBiblioForm&amp;sid=40DAA8F9ABC010BB4335D26456")</f>
        <v>https://app.crepc.sk/?fn=detailBiblioForm&amp;sid=40DAA8F9ABC010BB4335D26456</v>
      </c>
    </row>
    <row r="4663" spans="3:5" ht="60" x14ac:dyDescent="0.25">
      <c r="C4663" s="15">
        <v>98634</v>
      </c>
      <c r="D4663" s="4" t="s">
        <v>4667</v>
      </c>
      <c r="E4663" s="4" t="str">
        <f>HYPERLINK("https://app.crepc.sk/?fn=detailBiblioForm&amp;sid=E05A3DD1D02A35874DD9BB57")</f>
        <v>https://app.crepc.sk/?fn=detailBiblioForm&amp;sid=E05A3DD1D02A35874DD9BB57</v>
      </c>
    </row>
    <row r="4664" spans="3:5" ht="75" x14ac:dyDescent="0.25">
      <c r="C4664" s="15">
        <v>117271</v>
      </c>
      <c r="D4664" s="4" t="s">
        <v>4668</v>
      </c>
      <c r="E4664" s="4" t="str">
        <f>HYPERLINK("https://app.crepc.sk/?fn=detailBiblioForm&amp;sid=4152576857568BE6FE13899DC6")</f>
        <v>https://app.crepc.sk/?fn=detailBiblioForm&amp;sid=4152576857568BE6FE13899DC6</v>
      </c>
    </row>
    <row r="4665" spans="3:5" ht="60" x14ac:dyDescent="0.25">
      <c r="C4665" s="15">
        <v>124447</v>
      </c>
      <c r="D4665" s="4" t="s">
        <v>4669</v>
      </c>
      <c r="E4665" s="4" t="str">
        <f>HYPERLINK("https://app.crepc.sk/?fn=detailBiblioForm&amp;sid=334EBFF4980CD77447402B0A8A")</f>
        <v>https://app.crepc.sk/?fn=detailBiblioForm&amp;sid=334EBFF4980CD77447402B0A8A</v>
      </c>
    </row>
    <row r="4666" spans="3:5" ht="60" x14ac:dyDescent="0.25">
      <c r="C4666" s="15">
        <v>201140</v>
      </c>
      <c r="D4666" s="4" t="s">
        <v>4670</v>
      </c>
      <c r="E4666" s="4" t="str">
        <f>HYPERLINK("https://app.crepc.sk/?fn=detailBiblioForm&amp;sid=9B4D5C725FE964BEB78BFF9C95")</f>
        <v>https://app.crepc.sk/?fn=detailBiblioForm&amp;sid=9B4D5C725FE964BEB78BFF9C95</v>
      </c>
    </row>
    <row r="4667" spans="3:5" ht="75" x14ac:dyDescent="0.25">
      <c r="C4667" s="15">
        <v>60366</v>
      </c>
      <c r="D4667" s="4" t="s">
        <v>4671</v>
      </c>
      <c r="E4667" s="4" t="str">
        <f>HYPERLINK("https://app.crepc.sk/?fn=detailBiblioForm&amp;sid=B8C2F9F876F33F294DE17DCD")</f>
        <v>https://app.crepc.sk/?fn=detailBiblioForm&amp;sid=B8C2F9F876F33F294DE17DCD</v>
      </c>
    </row>
    <row r="4668" spans="3:5" ht="90" x14ac:dyDescent="0.25">
      <c r="C4668" s="15">
        <v>193331</v>
      </c>
      <c r="D4668" s="4" t="s">
        <v>4672</v>
      </c>
      <c r="E4668" s="4" t="str">
        <f>HYPERLINK("https://app.crepc.sk/?fn=detailBiblioForm&amp;sid=62C9246E761951300048EE17EE")</f>
        <v>https://app.crepc.sk/?fn=detailBiblioForm&amp;sid=62C9246E761951300048EE17EE</v>
      </c>
    </row>
    <row r="4669" spans="3:5" ht="60" x14ac:dyDescent="0.25">
      <c r="C4669" s="15">
        <v>66542</v>
      </c>
      <c r="D4669" s="4" t="s">
        <v>4673</v>
      </c>
      <c r="E4669" s="4" t="str">
        <f>HYPERLINK("https://app.crepc.sk/?fn=detailBiblioForm&amp;sid=1034FDA7FECE3570466DE5CF")</f>
        <v>https://app.crepc.sk/?fn=detailBiblioForm&amp;sid=1034FDA7FECE3570466DE5CF</v>
      </c>
    </row>
    <row r="4670" spans="3:5" ht="75" x14ac:dyDescent="0.25">
      <c r="C4670" s="15">
        <v>127358</v>
      </c>
      <c r="D4670" s="4" t="s">
        <v>4674</v>
      </c>
      <c r="E4670" s="4" t="str">
        <f>HYPERLINK("https://app.crepc.sk/?fn=detailBiblioForm&amp;sid=5D4D29B46C695A5DF490722909")</f>
        <v>https://app.crepc.sk/?fn=detailBiblioForm&amp;sid=5D4D29B46C695A5DF490722909</v>
      </c>
    </row>
    <row r="4671" spans="3:5" ht="75" x14ac:dyDescent="0.25">
      <c r="C4671" s="15">
        <v>138475</v>
      </c>
      <c r="D4671" s="4" t="s">
        <v>4675</v>
      </c>
      <c r="E4671" s="4" t="str">
        <f>HYPERLINK("https://app.crepc.sk/?fn=detailBiblioForm&amp;sid=3AF1A6EA9B0020D201D90DA13A")</f>
        <v>https://app.crepc.sk/?fn=detailBiblioForm&amp;sid=3AF1A6EA9B0020D201D90DA13A</v>
      </c>
    </row>
    <row r="4672" spans="3:5" ht="60" x14ac:dyDescent="0.25">
      <c r="C4672" s="15">
        <v>164954</v>
      </c>
      <c r="D4672" s="4" t="s">
        <v>4676</v>
      </c>
      <c r="E4672" s="4" t="str">
        <f>HYPERLINK("https://app.crepc.sk/?fn=detailBiblioForm&amp;sid=81B8C7E3C61A011F143D5B0DE1")</f>
        <v>https://app.crepc.sk/?fn=detailBiblioForm&amp;sid=81B8C7E3C61A011F143D5B0DE1</v>
      </c>
    </row>
    <row r="4673" spans="3:5" ht="60" x14ac:dyDescent="0.25">
      <c r="C4673" s="15">
        <v>67896</v>
      </c>
      <c r="D4673" s="4" t="s">
        <v>4677</v>
      </c>
      <c r="E4673" s="4" t="str">
        <f>HYPERLINK("https://app.crepc.sk/?fn=detailBiblioForm&amp;sid=DB2E9AEAE4DF7AC6876D717D")</f>
        <v>https://app.crepc.sk/?fn=detailBiblioForm&amp;sid=DB2E9AEAE4DF7AC6876D717D</v>
      </c>
    </row>
    <row r="4674" spans="3:5" ht="75" x14ac:dyDescent="0.25">
      <c r="C4674" s="15">
        <v>428126</v>
      </c>
      <c r="D4674" s="4" t="s">
        <v>4678</v>
      </c>
      <c r="E4674" s="4" t="str">
        <f>HYPERLINK("https://app.crepc.sk/?fn=detailBiblioForm&amp;sid=DCDDD0C427F279D0931E43A078")</f>
        <v>https://app.crepc.sk/?fn=detailBiblioForm&amp;sid=DCDDD0C427F279D0931E43A078</v>
      </c>
    </row>
    <row r="4675" spans="3:5" ht="75" x14ac:dyDescent="0.25">
      <c r="C4675" s="15">
        <v>254032</v>
      </c>
      <c r="D4675" s="4" t="s">
        <v>4679</v>
      </c>
      <c r="E4675" s="4" t="str">
        <f>HYPERLINK("https://app.crepc.sk/?fn=detailBiblioForm&amp;sid=F93F982D1311F48FE1407FC21D")</f>
        <v>https://app.crepc.sk/?fn=detailBiblioForm&amp;sid=F93F982D1311F48FE1407FC21D</v>
      </c>
    </row>
    <row r="4676" spans="3:5" ht="75" x14ac:dyDescent="0.25">
      <c r="C4676" s="15">
        <v>438773</v>
      </c>
      <c r="D4676" s="4" t="s">
        <v>4680</v>
      </c>
      <c r="E4676" s="4" t="str">
        <f>HYPERLINK("https://app.crepc.sk/?fn=detailBiblioForm&amp;sid=4D4EB440459E0EAA17879C14B4")</f>
        <v>https://app.crepc.sk/?fn=detailBiblioForm&amp;sid=4D4EB440459E0EAA17879C14B4</v>
      </c>
    </row>
    <row r="4677" spans="3:5" ht="60" x14ac:dyDescent="0.25">
      <c r="C4677" s="15">
        <v>249328</v>
      </c>
      <c r="D4677" s="4" t="s">
        <v>4681</v>
      </c>
      <c r="E4677" s="4" t="str">
        <f>HYPERLINK("https://app.crepc.sk/?fn=detailBiblioForm&amp;sid=923F6DECD2F5E1804677ED03E3")</f>
        <v>https://app.crepc.sk/?fn=detailBiblioForm&amp;sid=923F6DECD2F5E1804677ED03E3</v>
      </c>
    </row>
    <row r="4678" spans="3:5" ht="60" x14ac:dyDescent="0.25">
      <c r="C4678" s="15">
        <v>202289</v>
      </c>
      <c r="D4678" s="4" t="s">
        <v>4682</v>
      </c>
      <c r="E4678" s="4" t="str">
        <f>HYPERLINK("https://app.crepc.sk/?fn=detailBiblioForm&amp;sid=328A0EA2F0FAB7AE8C6193E35A")</f>
        <v>https://app.crepc.sk/?fn=detailBiblioForm&amp;sid=328A0EA2F0FAB7AE8C6193E35A</v>
      </c>
    </row>
    <row r="4679" spans="3:5" ht="75" x14ac:dyDescent="0.25">
      <c r="C4679" s="15">
        <v>138473</v>
      </c>
      <c r="D4679" s="4" t="s">
        <v>4683</v>
      </c>
      <c r="E4679" s="4" t="str">
        <f>HYPERLINK("https://app.crepc.sk/?fn=detailBiblioForm&amp;sid=3AF1A6EA9B0020D201DF0DA13A")</f>
        <v>https://app.crepc.sk/?fn=detailBiblioForm&amp;sid=3AF1A6EA9B0020D201DF0DA13A</v>
      </c>
    </row>
    <row r="4680" spans="3:5" ht="75" x14ac:dyDescent="0.25">
      <c r="C4680" s="15">
        <v>101799</v>
      </c>
      <c r="D4680" s="4" t="s">
        <v>4684</v>
      </c>
      <c r="E4680" s="4" t="str">
        <f>HYPERLINK("https://app.crepc.sk/?fn=detailBiblioForm&amp;sid=D451BFA92DE77BAEDBD9E88587")</f>
        <v>https://app.crepc.sk/?fn=detailBiblioForm&amp;sid=D451BFA92DE77BAEDBD9E88587</v>
      </c>
    </row>
    <row r="4681" spans="3:5" ht="60" x14ac:dyDescent="0.25">
      <c r="C4681" s="15">
        <v>104614</v>
      </c>
      <c r="D4681" s="4" t="s">
        <v>4685</v>
      </c>
      <c r="E4681" s="4" t="str">
        <f>HYPERLINK("https://app.crepc.sk/?fn=detailBiblioForm&amp;sid=5F8F25FA85E06C2F94D207F83D")</f>
        <v>https://app.crepc.sk/?fn=detailBiblioForm&amp;sid=5F8F25FA85E06C2F94D207F83D</v>
      </c>
    </row>
    <row r="4682" spans="3:5" ht="60" x14ac:dyDescent="0.25">
      <c r="C4682" s="15">
        <v>196269</v>
      </c>
      <c r="D4682" s="4" t="s">
        <v>4686</v>
      </c>
      <c r="E4682" s="4" t="str">
        <f>HYPERLINK("https://app.crepc.sk/?fn=detailBiblioForm&amp;sid=DEAAEB997C45B7BDE913F92F8C")</f>
        <v>https://app.crepc.sk/?fn=detailBiblioForm&amp;sid=DEAAEB997C45B7BDE913F92F8C</v>
      </c>
    </row>
    <row r="4683" spans="3:5" ht="60" x14ac:dyDescent="0.25">
      <c r="C4683" s="15">
        <v>454943</v>
      </c>
      <c r="D4683" s="4" t="s">
        <v>4687</v>
      </c>
      <c r="E4683" s="4" t="str">
        <f>HYPERLINK("https://app.crepc.sk/?fn=detailBiblioForm&amp;sid=9F2EDB10F68DBC5D77037E28D4")</f>
        <v>https://app.crepc.sk/?fn=detailBiblioForm&amp;sid=9F2EDB10F68DBC5D77037E28D4</v>
      </c>
    </row>
    <row r="4684" spans="3:5" ht="75" x14ac:dyDescent="0.25">
      <c r="C4684" s="15">
        <v>313783</v>
      </c>
      <c r="D4684" s="4" t="s">
        <v>4688</v>
      </c>
      <c r="E4684" s="4" t="str">
        <f>HYPERLINK("https://app.crepc.sk/?fn=detailBiblioForm&amp;sid=54D25A27962CDFF2CDC1F50D21")</f>
        <v>https://app.crepc.sk/?fn=detailBiblioForm&amp;sid=54D25A27962CDFF2CDC1F50D21</v>
      </c>
    </row>
    <row r="4685" spans="3:5" ht="165" x14ac:dyDescent="0.25">
      <c r="C4685" s="15">
        <v>422025</v>
      </c>
      <c r="D4685" s="4" t="s">
        <v>4689</v>
      </c>
      <c r="E4685" s="4" t="str">
        <f>HYPERLINK("https://app.crepc.sk/?fn=detailBiblioForm&amp;sid=E7F56019E00BBD6010197CFFC7")</f>
        <v>https://app.crepc.sk/?fn=detailBiblioForm&amp;sid=E7F56019E00BBD6010197CFFC7</v>
      </c>
    </row>
    <row r="4686" spans="3:5" ht="75" x14ac:dyDescent="0.25">
      <c r="C4686" s="15">
        <v>244585</v>
      </c>
      <c r="D4686" s="4" t="s">
        <v>4690</v>
      </c>
      <c r="E4686" s="4" t="str">
        <f>HYPERLINK("https://app.crepc.sk/?fn=detailBiblioForm&amp;sid=7CD45A5C10A06C7812F2ABC625")</f>
        <v>https://app.crepc.sk/?fn=detailBiblioForm&amp;sid=7CD45A5C10A06C7812F2ABC625</v>
      </c>
    </row>
    <row r="4687" spans="3:5" ht="45" x14ac:dyDescent="0.25">
      <c r="C4687" s="15">
        <v>95522</v>
      </c>
      <c r="D4687" s="4" t="s">
        <v>4691</v>
      </c>
      <c r="E4687" s="4" t="str">
        <f>HYPERLINK("https://app.crepc.sk/?fn=detailBiblioForm&amp;sid=6805775735622CF567146B81")</f>
        <v>https://app.crepc.sk/?fn=detailBiblioForm&amp;sid=6805775735622CF567146B81</v>
      </c>
    </row>
    <row r="4688" spans="3:5" ht="75" x14ac:dyDescent="0.25">
      <c r="C4688" s="15">
        <v>453904</v>
      </c>
      <c r="D4688" s="4" t="s">
        <v>4692</v>
      </c>
      <c r="E4688" s="4" t="str">
        <f>HYPERLINK("https://app.crepc.sk/?fn=detailBiblioForm&amp;sid=389C50F6E54043B733E22482B1")</f>
        <v>https://app.crepc.sk/?fn=detailBiblioForm&amp;sid=389C50F6E54043B733E22482B1</v>
      </c>
    </row>
    <row r="4689" spans="3:5" ht="75" x14ac:dyDescent="0.25">
      <c r="C4689" s="15">
        <v>453849</v>
      </c>
      <c r="D4689" s="4" t="s">
        <v>4693</v>
      </c>
      <c r="E4689" s="4" t="str">
        <f>HYPERLINK("https://app.crepc.sk/?fn=detailBiblioForm&amp;sid=AA0C8B67AD573C2E5B779424C4")</f>
        <v>https://app.crepc.sk/?fn=detailBiblioForm&amp;sid=AA0C8B67AD573C2E5B779424C4</v>
      </c>
    </row>
    <row r="4690" spans="3:5" ht="60" x14ac:dyDescent="0.25">
      <c r="C4690" s="15">
        <v>453841</v>
      </c>
      <c r="D4690" s="4" t="s">
        <v>4694</v>
      </c>
      <c r="E4690" s="4" t="str">
        <f>HYPERLINK("https://app.crepc.sk/?fn=detailBiblioForm&amp;sid=AA0C8B67AD573C2E5B7F9424C4")</f>
        <v>https://app.crepc.sk/?fn=detailBiblioForm&amp;sid=AA0C8B67AD573C2E5B7F9424C4</v>
      </c>
    </row>
    <row r="4691" spans="3:5" ht="60" x14ac:dyDescent="0.25">
      <c r="C4691" s="15">
        <v>65725</v>
      </c>
      <c r="D4691" s="4" t="s">
        <v>4695</v>
      </c>
      <c r="E4691" s="4" t="str">
        <f>HYPERLINK("https://app.crepc.sk/?fn=detailBiblioForm&amp;sid=1F94295352D587E84598F08C")</f>
        <v>https://app.crepc.sk/?fn=detailBiblioForm&amp;sid=1F94295352D587E84598F08C</v>
      </c>
    </row>
    <row r="4692" spans="3:5" ht="45" x14ac:dyDescent="0.25">
      <c r="C4692" s="15">
        <v>207014</v>
      </c>
      <c r="D4692" s="4" t="s">
        <v>4696</v>
      </c>
      <c r="E4692" s="4" t="str">
        <f>HYPERLINK("https://app.crepc.sk/?fn=detailBiblioForm&amp;sid=0C78960071567D8D0F13384767")</f>
        <v>https://app.crepc.sk/?fn=detailBiblioForm&amp;sid=0C78960071567D8D0F13384767</v>
      </c>
    </row>
    <row r="4693" spans="3:5" ht="60" x14ac:dyDescent="0.25">
      <c r="C4693" s="15">
        <v>432860</v>
      </c>
      <c r="D4693" s="4" t="s">
        <v>4697</v>
      </c>
      <c r="E4693" s="4" t="str">
        <f>HYPERLINK("https://app.crepc.sk/?fn=detailBiblioForm&amp;sid=60947673AC094B86B66A5A089E")</f>
        <v>https://app.crepc.sk/?fn=detailBiblioForm&amp;sid=60947673AC094B86B66A5A089E</v>
      </c>
    </row>
    <row r="4694" spans="3:5" ht="60" x14ac:dyDescent="0.25">
      <c r="C4694" s="15">
        <v>202285</v>
      </c>
      <c r="D4694" s="4" t="s">
        <v>4698</v>
      </c>
      <c r="E4694" s="4" t="str">
        <f>HYPERLINK("https://app.crepc.sk/?fn=detailBiblioForm&amp;sid=328A0EA2F0FAB7AE8C6D93E35A")</f>
        <v>https://app.crepc.sk/?fn=detailBiblioForm&amp;sid=328A0EA2F0FAB7AE8C6D93E35A</v>
      </c>
    </row>
    <row r="4695" spans="3:5" ht="60" x14ac:dyDescent="0.25">
      <c r="C4695" s="15">
        <v>61846</v>
      </c>
      <c r="D4695" s="4" t="s">
        <v>4699</v>
      </c>
      <c r="E4695" s="4" t="str">
        <f>HYPERLINK("https://app.crepc.sk/?fn=detailBiblioForm&amp;sid=0F1A74D94FE914F24B015B39")</f>
        <v>https://app.crepc.sk/?fn=detailBiblioForm&amp;sid=0F1A74D94FE914F24B015B39</v>
      </c>
    </row>
    <row r="4696" spans="3:5" ht="60" x14ac:dyDescent="0.25">
      <c r="C4696" s="15">
        <v>109531</v>
      </c>
      <c r="D4696" s="4" t="s">
        <v>4700</v>
      </c>
      <c r="E4696" s="4" t="str">
        <f>HYPERLINK("https://app.crepc.sk/?fn=detailBiblioForm&amp;sid=CF0733CC879F468F72002F5660")</f>
        <v>https://app.crepc.sk/?fn=detailBiblioForm&amp;sid=CF0733CC879F468F72002F5660</v>
      </c>
    </row>
    <row r="4697" spans="3:5" ht="60" x14ac:dyDescent="0.25">
      <c r="C4697" s="15">
        <v>100685</v>
      </c>
      <c r="D4697" s="4" t="s">
        <v>4701</v>
      </c>
      <c r="E4697" s="4" t="str">
        <f>HYPERLINK("https://app.crepc.sk/?fn=detailBiblioForm&amp;sid=2204B64E72E25FC8E168F15BC1")</f>
        <v>https://app.crepc.sk/?fn=detailBiblioForm&amp;sid=2204B64E72E25FC8E168F15BC1</v>
      </c>
    </row>
    <row r="4698" spans="3:5" ht="75" x14ac:dyDescent="0.25">
      <c r="C4698" s="15">
        <v>223948</v>
      </c>
      <c r="D4698" s="4" t="s">
        <v>4702</v>
      </c>
      <c r="E4698" s="4" t="str">
        <f>HYPERLINK("https://app.crepc.sk/?fn=detailBiblioForm&amp;sid=580091835B906452518C2973D0")</f>
        <v>https://app.crepc.sk/?fn=detailBiblioForm&amp;sid=580091835B906452518C2973D0</v>
      </c>
    </row>
    <row r="4699" spans="3:5" ht="60" x14ac:dyDescent="0.25">
      <c r="C4699" s="15">
        <v>206776</v>
      </c>
      <c r="D4699" s="4" t="s">
        <v>4703</v>
      </c>
      <c r="E4699" s="4" t="str">
        <f>HYPERLINK("https://app.crepc.sk/?fn=detailBiblioForm&amp;sid=DF29B71B83315C12349B6F6198")</f>
        <v>https://app.crepc.sk/?fn=detailBiblioForm&amp;sid=DF29B71B83315C12349B6F6198</v>
      </c>
    </row>
    <row r="4700" spans="3:5" ht="60" x14ac:dyDescent="0.25">
      <c r="C4700" s="15">
        <v>246566</v>
      </c>
      <c r="D4700" s="4" t="s">
        <v>4704</v>
      </c>
      <c r="E4700" s="4" t="str">
        <f>HYPERLINK("https://app.crepc.sk/?fn=detailBiblioForm&amp;sid=E8988A288BD898F9E5AC1789D6")</f>
        <v>https://app.crepc.sk/?fn=detailBiblioForm&amp;sid=E8988A288BD898F9E5AC1789D6</v>
      </c>
    </row>
    <row r="4701" spans="3:5" ht="75" x14ac:dyDescent="0.25">
      <c r="C4701" s="15">
        <v>415347</v>
      </c>
      <c r="D4701" s="4" t="s">
        <v>4705</v>
      </c>
      <c r="E4701" s="4" t="str">
        <f>HYPERLINK("https://app.crepc.sk/?fn=detailBiblioForm&amp;sid=9AF7CC010D05DDDC6A3580073E")</f>
        <v>https://app.crepc.sk/?fn=detailBiblioForm&amp;sid=9AF7CC010D05DDDC6A3580073E</v>
      </c>
    </row>
    <row r="4702" spans="3:5" ht="75" x14ac:dyDescent="0.25">
      <c r="C4702" s="15">
        <v>109557</v>
      </c>
      <c r="D4702" s="4" t="s">
        <v>4706</v>
      </c>
      <c r="E4702" s="4" t="str">
        <f>HYPERLINK("https://app.crepc.sk/?fn=detailBiblioForm&amp;sid=CF0733CC879F468F74062F5660")</f>
        <v>https://app.crepc.sk/?fn=detailBiblioForm&amp;sid=CF0733CC879F468F74062F5660</v>
      </c>
    </row>
    <row r="4703" spans="3:5" ht="60" x14ac:dyDescent="0.25">
      <c r="C4703" s="15">
        <v>109600</v>
      </c>
      <c r="D4703" s="4" t="s">
        <v>4707</v>
      </c>
      <c r="E4703" s="4" t="str">
        <f>HYPERLINK("https://app.crepc.sk/?fn=detailBiblioForm&amp;sid=15CAFFC3B9CE7DA2342ADBD162")</f>
        <v>https://app.crepc.sk/?fn=detailBiblioForm&amp;sid=15CAFFC3B9CE7DA2342ADBD162</v>
      </c>
    </row>
    <row r="4704" spans="3:5" ht="60" x14ac:dyDescent="0.25">
      <c r="C4704" s="15">
        <v>109539</v>
      </c>
      <c r="D4704" s="4" t="s">
        <v>4708</v>
      </c>
      <c r="E4704" s="4" t="str">
        <f>HYPERLINK("https://app.crepc.sk/?fn=detailBiblioForm&amp;sid=CF0733CC879F468F72082F5660")</f>
        <v>https://app.crepc.sk/?fn=detailBiblioForm&amp;sid=CF0733CC879F468F72082F5660</v>
      </c>
    </row>
    <row r="4705" spans="3:5" ht="75" x14ac:dyDescent="0.25">
      <c r="C4705" s="15">
        <v>308473</v>
      </c>
      <c r="D4705" s="4" t="s">
        <v>4709</v>
      </c>
      <c r="E4705" s="4" t="str">
        <f>HYPERLINK("https://app.crepc.sk/?fn=detailBiblioForm&amp;sid=F5299D43F94AC99A029E87459A")</f>
        <v>https://app.crepc.sk/?fn=detailBiblioForm&amp;sid=F5299D43F94AC99A029E87459A</v>
      </c>
    </row>
    <row r="4706" spans="3:5" ht="60" x14ac:dyDescent="0.25">
      <c r="C4706" s="15">
        <v>141460</v>
      </c>
      <c r="D4706" s="4" t="s">
        <v>4710</v>
      </c>
      <c r="E4706" s="4" t="str">
        <f>HYPERLINK("https://app.crepc.sk/?fn=detailBiblioForm&amp;sid=FF44C990A7CA883E498E308485")</f>
        <v>https://app.crepc.sk/?fn=detailBiblioForm&amp;sid=FF44C990A7CA883E498E308485</v>
      </c>
    </row>
    <row r="4707" spans="3:5" ht="60" x14ac:dyDescent="0.25">
      <c r="C4707" s="15">
        <v>62939</v>
      </c>
      <c r="D4707" s="4" t="s">
        <v>4711</v>
      </c>
      <c r="E4707" s="4" t="str">
        <f>HYPERLINK("https://app.crepc.sk/?fn=detailBiblioForm&amp;sid=1292BBF9021E46CC2D599544")</f>
        <v>https://app.crepc.sk/?fn=detailBiblioForm&amp;sid=1292BBF9021E46CC2D599544</v>
      </c>
    </row>
    <row r="4708" spans="3:5" ht="60" x14ac:dyDescent="0.25">
      <c r="C4708" s="15">
        <v>206449</v>
      </c>
      <c r="D4708" s="4" t="s">
        <v>4712</v>
      </c>
      <c r="E4708" s="4" t="str">
        <f>HYPERLINK("https://app.crepc.sk/?fn=detailBiblioForm&amp;sid=9EADD462503AFBCA235D1F908F")</f>
        <v>https://app.crepc.sk/?fn=detailBiblioForm&amp;sid=9EADD462503AFBCA235D1F908F</v>
      </c>
    </row>
    <row r="4709" spans="3:5" ht="60" x14ac:dyDescent="0.25">
      <c r="C4709" s="15">
        <v>206458</v>
      </c>
      <c r="D4709" s="4" t="s">
        <v>4713</v>
      </c>
      <c r="E4709" s="4" t="str">
        <f>HYPERLINK("https://app.crepc.sk/?fn=detailBiblioForm&amp;sid=9EADD462503AFBCA225C1F908F")</f>
        <v>https://app.crepc.sk/?fn=detailBiblioForm&amp;sid=9EADD462503AFBCA225C1F908F</v>
      </c>
    </row>
    <row r="4710" spans="3:5" ht="75" x14ac:dyDescent="0.25">
      <c r="C4710" s="15">
        <v>316161</v>
      </c>
      <c r="D4710" s="4" t="s">
        <v>4714</v>
      </c>
      <c r="E4710" s="4" t="str">
        <f>HYPERLINK("https://app.crepc.sk/?fn=detailBiblioForm&amp;sid=C23E7C285E3A8C28F16BE56553")</f>
        <v>https://app.crepc.sk/?fn=detailBiblioForm&amp;sid=C23E7C285E3A8C28F16BE56553</v>
      </c>
    </row>
    <row r="4711" spans="3:5" ht="60" x14ac:dyDescent="0.25">
      <c r="C4711" s="15">
        <v>211792</v>
      </c>
      <c r="D4711" s="4" t="s">
        <v>4715</v>
      </c>
      <c r="E4711" s="4" t="str">
        <f>HYPERLINK("https://app.crepc.sk/?fn=detailBiblioForm&amp;sid=936179ABD4330FC85CD009B041")</f>
        <v>https://app.crepc.sk/?fn=detailBiblioForm&amp;sid=936179ABD4330FC85CD009B041</v>
      </c>
    </row>
    <row r="4712" spans="3:5" ht="75" x14ac:dyDescent="0.25">
      <c r="C4712" s="15">
        <v>192752</v>
      </c>
      <c r="D4712" s="4" t="s">
        <v>4716</v>
      </c>
      <c r="E4712" s="4" t="str">
        <f>HYPERLINK("https://app.crepc.sk/?fn=detailBiblioForm&amp;sid=3354009E5CAE23384A17FB5E60")</f>
        <v>https://app.crepc.sk/?fn=detailBiblioForm&amp;sid=3354009E5CAE23384A17FB5E60</v>
      </c>
    </row>
    <row r="4713" spans="3:5" ht="45" x14ac:dyDescent="0.25">
      <c r="C4713" s="15">
        <v>206445</v>
      </c>
      <c r="D4713" s="4" t="s">
        <v>4717</v>
      </c>
      <c r="E4713" s="4" t="str">
        <f>HYPERLINK("https://app.crepc.sk/?fn=detailBiblioForm&amp;sid=9EADD462503AFBCA23511F908F")</f>
        <v>https://app.crepc.sk/?fn=detailBiblioForm&amp;sid=9EADD462503AFBCA23511F908F</v>
      </c>
    </row>
    <row r="4714" spans="3:5" ht="45" x14ac:dyDescent="0.25">
      <c r="C4714" s="15">
        <v>171704</v>
      </c>
      <c r="D4714" s="4" t="s">
        <v>4718</v>
      </c>
      <c r="E4714" s="4" t="str">
        <f>HYPERLINK("https://app.crepc.sk/?fn=detailBiblioForm&amp;sid=686F5EE91E1A998AA5F0DC7ED2")</f>
        <v>https://app.crepc.sk/?fn=detailBiblioForm&amp;sid=686F5EE91E1A998AA5F0DC7ED2</v>
      </c>
    </row>
    <row r="4715" spans="3:5" ht="90" x14ac:dyDescent="0.25">
      <c r="C4715" s="15">
        <v>427357</v>
      </c>
      <c r="D4715" s="4" t="s">
        <v>4719</v>
      </c>
      <c r="E4715" s="4" t="str">
        <f>HYPERLINK("https://app.crepc.sk/?fn=detailBiblioForm&amp;sid=906D2E96787915844235D0E9D8")</f>
        <v>https://app.crepc.sk/?fn=detailBiblioForm&amp;sid=906D2E96787915844235D0E9D8</v>
      </c>
    </row>
    <row r="4716" spans="3:5" ht="45" x14ac:dyDescent="0.25">
      <c r="C4716" s="15">
        <v>206439</v>
      </c>
      <c r="D4716" s="4" t="s">
        <v>4720</v>
      </c>
      <c r="E4716" s="4" t="str">
        <f>HYPERLINK("https://app.crepc.sk/?fn=detailBiblioForm&amp;sid=9EADD462503AFBCA245D1F908F")</f>
        <v>https://app.crepc.sk/?fn=detailBiblioForm&amp;sid=9EADD462503AFBCA245D1F908F</v>
      </c>
    </row>
    <row r="4717" spans="3:5" ht="60" x14ac:dyDescent="0.25">
      <c r="C4717" s="15">
        <v>95039</v>
      </c>
      <c r="D4717" s="4" t="s">
        <v>4721</v>
      </c>
      <c r="E4717" s="4" t="str">
        <f>HYPERLINK("https://app.crepc.sk/?fn=detailBiblioForm&amp;sid=878DABBB9941391DFEE18D47")</f>
        <v>https://app.crepc.sk/?fn=detailBiblioForm&amp;sid=878DABBB9941391DFEE18D47</v>
      </c>
    </row>
    <row r="4718" spans="3:5" ht="60" x14ac:dyDescent="0.25">
      <c r="C4718" s="15">
        <v>67900</v>
      </c>
      <c r="D4718" s="4" t="s">
        <v>4722</v>
      </c>
      <c r="E4718" s="4" t="str">
        <f>HYPERLINK("https://app.crepc.sk/?fn=detailBiblioForm&amp;sid=6452F37C6E1F698B99B36DAE")</f>
        <v>https://app.crepc.sk/?fn=detailBiblioForm&amp;sid=6452F37C6E1F698B99B36DAE</v>
      </c>
    </row>
    <row r="4719" spans="3:5" ht="45" x14ac:dyDescent="0.25">
      <c r="C4719" s="15">
        <v>164722</v>
      </c>
      <c r="D4719" s="4" t="s">
        <v>4723</v>
      </c>
      <c r="E4719" s="4" t="str">
        <f>HYPERLINK("https://app.crepc.sk/?fn=detailBiblioForm&amp;sid=FD93F7145DB9686268D45BF9A8")</f>
        <v>https://app.crepc.sk/?fn=detailBiblioForm&amp;sid=FD93F7145DB9686268D45BF9A8</v>
      </c>
    </row>
    <row r="4720" spans="3:5" ht="60" x14ac:dyDescent="0.25">
      <c r="C4720" s="15">
        <v>311934</v>
      </c>
      <c r="D4720" s="4" t="s">
        <v>4724</v>
      </c>
      <c r="E4720" s="4" t="str">
        <f>HYPERLINK("https://app.crepc.sk/?fn=detailBiblioForm&amp;sid=396B080C231206F952699ED740")</f>
        <v>https://app.crepc.sk/?fn=detailBiblioForm&amp;sid=396B080C231206F952699ED740</v>
      </c>
    </row>
    <row r="4721" spans="3:5" ht="60" x14ac:dyDescent="0.25">
      <c r="C4721" s="15">
        <v>52589</v>
      </c>
      <c r="D4721" s="4" t="s">
        <v>4725</v>
      </c>
      <c r="E4721" s="4" t="str">
        <f>HYPERLINK("https://app.crepc.sk/?fn=detailBiblioForm&amp;sid=A24CE490399954B34790461A")</f>
        <v>https://app.crepc.sk/?fn=detailBiblioForm&amp;sid=A24CE490399954B34790461A</v>
      </c>
    </row>
    <row r="4722" spans="3:5" ht="75" x14ac:dyDescent="0.25">
      <c r="C4722" s="15">
        <v>425615</v>
      </c>
      <c r="D4722" s="4" t="s">
        <v>4726</v>
      </c>
      <c r="E4722" s="4" t="str">
        <f>HYPERLINK("https://app.crepc.sk/?fn=detailBiblioForm&amp;sid=DCD87B093B43B4A7BD0C497B10")</f>
        <v>https://app.crepc.sk/?fn=detailBiblioForm&amp;sid=DCD87B093B43B4A7BD0C497B10</v>
      </c>
    </row>
    <row r="4723" spans="3:5" ht="150" x14ac:dyDescent="0.25">
      <c r="C4723" s="15">
        <v>194793</v>
      </c>
      <c r="D4723" s="4" t="s">
        <v>4727</v>
      </c>
      <c r="E4723" s="4" t="str">
        <f>HYPERLINK("https://app.crepc.sk/?fn=detailBiblioForm&amp;sid=2FEED85A3FCEFC83C8EBE02009")</f>
        <v>https://app.crepc.sk/?fn=detailBiblioForm&amp;sid=2FEED85A3FCEFC83C8EBE02009</v>
      </c>
    </row>
    <row r="4724" spans="3:5" ht="150" x14ac:dyDescent="0.25">
      <c r="C4724" s="15">
        <v>194767</v>
      </c>
      <c r="D4724" s="4" t="s">
        <v>4728</v>
      </c>
      <c r="E4724" s="4" t="str">
        <f>HYPERLINK("https://app.crepc.sk/?fn=detailBiblioForm&amp;sid=2FEED85A3FCEFC83C7EFE02009")</f>
        <v>https://app.crepc.sk/?fn=detailBiblioForm&amp;sid=2FEED85A3FCEFC83C7EFE02009</v>
      </c>
    </row>
    <row r="4725" spans="3:5" ht="60" x14ac:dyDescent="0.25">
      <c r="C4725" s="15">
        <v>114663</v>
      </c>
      <c r="D4725" s="4" t="s">
        <v>4729</v>
      </c>
      <c r="E4725" s="4" t="str">
        <f>HYPERLINK("https://app.crepc.sk/?fn=detailBiblioForm&amp;sid=70CEA5B2AD3CBF0367B952444D")</f>
        <v>https://app.crepc.sk/?fn=detailBiblioForm&amp;sid=70CEA5B2AD3CBF0367B952444D</v>
      </c>
    </row>
    <row r="4726" spans="3:5" ht="75" x14ac:dyDescent="0.25">
      <c r="C4726" s="15">
        <v>426144</v>
      </c>
      <c r="D4726" s="4" t="s">
        <v>4730</v>
      </c>
      <c r="E4726" s="4" t="str">
        <f>HYPERLINK("https://app.crepc.sk/?fn=detailBiblioForm&amp;sid=B968338996F5759C0E3639F852")</f>
        <v>https://app.crepc.sk/?fn=detailBiblioForm&amp;sid=B968338996F5759C0E3639F852</v>
      </c>
    </row>
    <row r="4727" spans="3:5" ht="60" x14ac:dyDescent="0.25">
      <c r="C4727" s="15">
        <v>143980</v>
      </c>
      <c r="D4727" s="4" t="s">
        <v>4731</v>
      </c>
      <c r="E4727" s="4" t="str">
        <f>HYPERLINK("https://app.crepc.sk/?fn=detailBiblioForm&amp;sid=41FC96EDD2671FA9864471F5E6")</f>
        <v>https://app.crepc.sk/?fn=detailBiblioForm&amp;sid=41FC96EDD2671FA9864471F5E6</v>
      </c>
    </row>
    <row r="4728" spans="3:5" ht="60" x14ac:dyDescent="0.25">
      <c r="C4728" s="15">
        <v>124450</v>
      </c>
      <c r="D4728" s="4" t="s">
        <v>4732</v>
      </c>
      <c r="E4728" s="4" t="str">
        <f>HYPERLINK("https://app.crepc.sk/?fn=detailBiblioForm&amp;sid=334EBFF4980CD77446472B0A8A")</f>
        <v>https://app.crepc.sk/?fn=detailBiblioForm&amp;sid=334EBFF4980CD77446472B0A8A</v>
      </c>
    </row>
    <row r="4729" spans="3:5" ht="60" x14ac:dyDescent="0.25">
      <c r="C4729" s="15">
        <v>95614</v>
      </c>
      <c r="D4729" s="4" t="s">
        <v>4733</v>
      </c>
      <c r="E4729" s="4" t="str">
        <f>HYPERLINK("https://app.crepc.sk/?fn=detailBiblioForm&amp;sid=25A51BE5E7E3D0FDBB0CDE07")</f>
        <v>https://app.crepc.sk/?fn=detailBiblioForm&amp;sid=25A51BE5E7E3D0FDBB0CDE07</v>
      </c>
    </row>
    <row r="4730" spans="3:5" ht="45" x14ac:dyDescent="0.25">
      <c r="C4730" s="15">
        <v>179589</v>
      </c>
      <c r="D4730" s="4" t="s">
        <v>4734</v>
      </c>
      <c r="E4730" s="4" t="str">
        <f>HYPERLINK("https://app.crepc.sk/?fn=detailBiblioForm&amp;sid=D2CDA85DA56256F278348485A6")</f>
        <v>https://app.crepc.sk/?fn=detailBiblioForm&amp;sid=D2CDA85DA56256F278348485A6</v>
      </c>
    </row>
    <row r="4731" spans="3:5" ht="60" x14ac:dyDescent="0.25">
      <c r="C4731" s="15">
        <v>57951</v>
      </c>
      <c r="D4731" s="4" t="s">
        <v>4735</v>
      </c>
      <c r="E4731" s="4" t="str">
        <f>HYPERLINK("https://app.crepc.sk/?fn=detailBiblioForm&amp;sid=201E08846A48D10426BB2949")</f>
        <v>https://app.crepc.sk/?fn=detailBiblioForm&amp;sid=201E08846A48D10426BB2949</v>
      </c>
    </row>
    <row r="4732" spans="3:5" ht="75" x14ac:dyDescent="0.25">
      <c r="C4732" s="15">
        <v>211802</v>
      </c>
      <c r="D4732" s="4" t="s">
        <v>4736</v>
      </c>
      <c r="E4732" s="4" t="str">
        <f>HYPERLINK("https://app.crepc.sk/?fn=detailBiblioForm&amp;sid=0B37DC9B180395838AEF452AC4")</f>
        <v>https://app.crepc.sk/?fn=detailBiblioForm&amp;sid=0B37DC9B180395838AEF452AC4</v>
      </c>
    </row>
    <row r="4733" spans="3:5" ht="75" x14ac:dyDescent="0.25">
      <c r="C4733" s="15">
        <v>129639</v>
      </c>
      <c r="D4733" s="4" t="s">
        <v>4737</v>
      </c>
      <c r="E4733" s="4" t="str">
        <f>HYPERLINK("https://app.crepc.sk/?fn=detailBiblioForm&amp;sid=ACAA4AF27E5710F224A18B34E5")</f>
        <v>https://app.crepc.sk/?fn=detailBiblioForm&amp;sid=ACAA4AF27E5710F224A18B34E5</v>
      </c>
    </row>
    <row r="4734" spans="3:5" ht="60" x14ac:dyDescent="0.25">
      <c r="C4734" s="15">
        <v>425964</v>
      </c>
      <c r="D4734" s="4" t="s">
        <v>4738</v>
      </c>
      <c r="E4734" s="4" t="str">
        <f>HYPERLINK("https://app.crepc.sk/?fn=detailBiblioForm&amp;sid=42EF06429873272B37E2990B8C")</f>
        <v>https://app.crepc.sk/?fn=detailBiblioForm&amp;sid=42EF06429873272B37E2990B8C</v>
      </c>
    </row>
    <row r="4735" spans="3:5" ht="60" x14ac:dyDescent="0.25">
      <c r="C4735" s="15">
        <v>206782</v>
      </c>
      <c r="D4735" s="4" t="s">
        <v>4739</v>
      </c>
      <c r="E4735" s="4" t="str">
        <f>HYPERLINK("https://app.crepc.sk/?fn=detailBiblioForm&amp;sid=DF29B71B83315C123B9F6F6198")</f>
        <v>https://app.crepc.sk/?fn=detailBiblioForm&amp;sid=DF29B71B83315C123B9F6F6198</v>
      </c>
    </row>
    <row r="4736" spans="3:5" ht="75" x14ac:dyDescent="0.25">
      <c r="C4736" s="15">
        <v>129650</v>
      </c>
      <c r="D4736" s="4" t="s">
        <v>4740</v>
      </c>
      <c r="E4736" s="4" t="str">
        <f>HYPERLINK("https://app.crepc.sk/?fn=detailBiblioForm&amp;sid=ACAA4AF27E5710F222A88B34E5")</f>
        <v>https://app.crepc.sk/?fn=detailBiblioForm&amp;sid=ACAA4AF27E5710F222A88B34E5</v>
      </c>
    </row>
    <row r="4737" spans="3:5" ht="90" x14ac:dyDescent="0.25">
      <c r="C4737" s="15">
        <v>318081</v>
      </c>
      <c r="D4737" s="4" t="s">
        <v>4741</v>
      </c>
      <c r="E4737" s="4" t="str">
        <f>HYPERLINK("https://app.crepc.sk/?fn=detailBiblioForm&amp;sid=4FD2F56B6FC316F1A2561EA618")</f>
        <v>https://app.crepc.sk/?fn=detailBiblioForm&amp;sid=4FD2F56B6FC316F1A2561EA618</v>
      </c>
    </row>
    <row r="4738" spans="3:5" ht="60" x14ac:dyDescent="0.25">
      <c r="C4738" s="15">
        <v>118794</v>
      </c>
      <c r="D4738" s="4" t="s">
        <v>4742</v>
      </c>
      <c r="E4738" s="4" t="str">
        <f>HYPERLINK("https://app.crepc.sk/?fn=detailBiblioForm&amp;sid=46EC41480997D7F109BAC7D544")</f>
        <v>https://app.crepc.sk/?fn=detailBiblioForm&amp;sid=46EC41480997D7F109BAC7D544</v>
      </c>
    </row>
    <row r="4739" spans="3:5" ht="60" x14ac:dyDescent="0.25">
      <c r="C4739" s="15">
        <v>437350</v>
      </c>
      <c r="D4739" s="4" t="s">
        <v>4743</v>
      </c>
      <c r="E4739" s="4" t="str">
        <f>HYPERLINK("https://app.crepc.sk/?fn=detailBiblioForm&amp;sid=8BC9DDCFB45BB4090066A2C05A")</f>
        <v>https://app.crepc.sk/?fn=detailBiblioForm&amp;sid=8BC9DDCFB45BB4090066A2C05A</v>
      </c>
    </row>
    <row r="4740" spans="3:5" ht="75" x14ac:dyDescent="0.25">
      <c r="C4740" s="15">
        <v>129652</v>
      </c>
      <c r="D4740" s="4" t="s">
        <v>4744</v>
      </c>
      <c r="E4740" s="4" t="str">
        <f>HYPERLINK("https://app.crepc.sk/?fn=detailBiblioForm&amp;sid=ACAA4AF27E5710F222AA8B34E5")</f>
        <v>https://app.crepc.sk/?fn=detailBiblioForm&amp;sid=ACAA4AF27E5710F222AA8B34E5</v>
      </c>
    </row>
    <row r="4741" spans="3:5" ht="90" x14ac:dyDescent="0.25">
      <c r="C4741" s="15">
        <v>316209</v>
      </c>
      <c r="D4741" s="4" t="s">
        <v>4745</v>
      </c>
      <c r="E4741" s="4" t="str">
        <f>HYPERLINK("https://app.crepc.sk/?fn=detailBiblioForm&amp;sid=791E4A260FB3471CC8BDFEBA13")</f>
        <v>https://app.crepc.sk/?fn=detailBiblioForm&amp;sid=791E4A260FB3471CC8BDFEBA13</v>
      </c>
    </row>
    <row r="4742" spans="3:5" ht="90" x14ac:dyDescent="0.25">
      <c r="C4742" s="15">
        <v>154177</v>
      </c>
      <c r="D4742" s="4" t="s">
        <v>4746</v>
      </c>
      <c r="E4742" s="4" t="str">
        <f>HYPERLINK("https://app.crepc.sk/?fn=detailBiblioForm&amp;sid=F065241B7212E93A2410022568")</f>
        <v>https://app.crepc.sk/?fn=detailBiblioForm&amp;sid=F065241B7212E93A2410022568</v>
      </c>
    </row>
    <row r="4743" spans="3:5" ht="90" x14ac:dyDescent="0.25">
      <c r="C4743" s="15">
        <v>240713</v>
      </c>
      <c r="D4743" s="4" t="s">
        <v>4747</v>
      </c>
      <c r="E4743" s="4" t="str">
        <f>HYPERLINK("https://app.crepc.sk/?fn=detailBiblioForm&amp;sid=B5C4CE62DFD1802A8021A31AF2")</f>
        <v>https://app.crepc.sk/?fn=detailBiblioForm&amp;sid=B5C4CE62DFD1802A8021A31AF2</v>
      </c>
    </row>
    <row r="4744" spans="3:5" ht="60" x14ac:dyDescent="0.25">
      <c r="C4744" s="15">
        <v>201496</v>
      </c>
      <c r="D4744" s="4" t="s">
        <v>4748</v>
      </c>
      <c r="E4744" s="4" t="str">
        <f>HYPERLINK("https://app.crepc.sk/?fn=detailBiblioForm&amp;sid=062284928B3559D18CE2A47051")</f>
        <v>https://app.crepc.sk/?fn=detailBiblioForm&amp;sid=062284928B3559D18CE2A47051</v>
      </c>
    </row>
    <row r="4745" spans="3:5" ht="75" x14ac:dyDescent="0.25">
      <c r="C4745" s="15">
        <v>426236</v>
      </c>
      <c r="D4745" s="4" t="s">
        <v>4749</v>
      </c>
      <c r="E4745" s="4" t="str">
        <f>HYPERLINK("https://app.crepc.sk/?fn=detailBiblioForm&amp;sid=E937FF83F9A75DDC66DC468A94")</f>
        <v>https://app.crepc.sk/?fn=detailBiblioForm&amp;sid=E937FF83F9A75DDC66DC468A94</v>
      </c>
    </row>
    <row r="4746" spans="3:5" ht="60" x14ac:dyDescent="0.25">
      <c r="C4746" s="15">
        <v>440092</v>
      </c>
      <c r="D4746" s="4" t="s">
        <v>4750</v>
      </c>
      <c r="E4746" s="4" t="str">
        <f>HYPERLINK("https://app.crepc.sk/?fn=detailBiblioForm&amp;sid=1F7F22C428EA4866B2FEBC7D5E")</f>
        <v>https://app.crepc.sk/?fn=detailBiblioForm&amp;sid=1F7F22C428EA4866B2FEBC7D5E</v>
      </c>
    </row>
    <row r="4747" spans="3:5" ht="60" x14ac:dyDescent="0.25">
      <c r="C4747" s="15">
        <v>211498</v>
      </c>
      <c r="D4747" s="4" t="s">
        <v>4751</v>
      </c>
      <c r="E4747" s="4" t="str">
        <f>HYPERLINK("https://app.crepc.sk/?fn=detailBiblioForm&amp;sid=E68DA448349DA48E3B30AC5BDB")</f>
        <v>https://app.crepc.sk/?fn=detailBiblioForm&amp;sid=E68DA448349DA48E3B30AC5BDB</v>
      </c>
    </row>
    <row r="4748" spans="3:5" ht="60" x14ac:dyDescent="0.25">
      <c r="C4748" s="15">
        <v>437334</v>
      </c>
      <c r="D4748" s="4" t="s">
        <v>4752</v>
      </c>
      <c r="E4748" s="4" t="str">
        <f>HYPERLINK("https://app.crepc.sk/?fn=detailBiblioForm&amp;sid=8BC9DDCFB45BB4090662A2C05A")</f>
        <v>https://app.crepc.sk/?fn=detailBiblioForm&amp;sid=8BC9DDCFB45BB4090662A2C05A</v>
      </c>
    </row>
    <row r="4749" spans="3:5" ht="75" x14ac:dyDescent="0.25">
      <c r="C4749" s="15">
        <v>179767</v>
      </c>
      <c r="D4749" s="4" t="s">
        <v>4753</v>
      </c>
      <c r="E4749" s="4" t="str">
        <f>HYPERLINK("https://app.crepc.sk/?fn=detailBiblioForm&amp;sid=1105D38F4A7A0932B8EFBCCB91")</f>
        <v>https://app.crepc.sk/?fn=detailBiblioForm&amp;sid=1105D38F4A7A0932B8EFBCCB91</v>
      </c>
    </row>
    <row r="4750" spans="3:5" ht="75" x14ac:dyDescent="0.25">
      <c r="C4750" s="15">
        <v>173845</v>
      </c>
      <c r="D4750" s="4" t="s">
        <v>4754</v>
      </c>
      <c r="E4750" s="4" t="str">
        <f>HYPERLINK("https://app.crepc.sk/?fn=detailBiblioForm&amp;sid=A8C5898CD77493B3E3FC565F0F")</f>
        <v>https://app.crepc.sk/?fn=detailBiblioForm&amp;sid=A8C5898CD77493B3E3FC565F0F</v>
      </c>
    </row>
    <row r="4751" spans="3:5" ht="60" x14ac:dyDescent="0.25">
      <c r="C4751" s="15">
        <v>418435</v>
      </c>
      <c r="D4751" s="4" t="s">
        <v>4755</v>
      </c>
      <c r="E4751" s="4" t="str">
        <f>HYPERLINK("https://app.crepc.sk/?fn=detailBiblioForm&amp;sid=1DCF9A7ED2AD566569154687C6")</f>
        <v>https://app.crepc.sk/?fn=detailBiblioForm&amp;sid=1DCF9A7ED2AD566569154687C6</v>
      </c>
    </row>
    <row r="4752" spans="3:5" ht="90" x14ac:dyDescent="0.25">
      <c r="C4752" s="15">
        <v>419544</v>
      </c>
      <c r="D4752" s="4" t="s">
        <v>4756</v>
      </c>
      <c r="E4752" s="4" t="str">
        <f>HYPERLINK("https://app.crepc.sk/?fn=detailBiblioForm&amp;sid=147DE4E58F33913E2987DCEAD2")</f>
        <v>https://app.crepc.sk/?fn=detailBiblioForm&amp;sid=147DE4E58F33913E2987DCEAD2</v>
      </c>
    </row>
    <row r="4753" spans="3:5" ht="60" x14ac:dyDescent="0.25">
      <c r="C4753" s="15">
        <v>135713</v>
      </c>
      <c r="D4753" s="4" t="s">
        <v>4757</v>
      </c>
      <c r="E4753" s="4" t="str">
        <f>HYPERLINK("https://app.crepc.sk/?fn=detailBiblioForm&amp;sid=D526CB574B7F6ABB32559B57E6")</f>
        <v>https://app.crepc.sk/?fn=detailBiblioForm&amp;sid=D526CB574B7F6ABB32559B57E6</v>
      </c>
    </row>
    <row r="4754" spans="3:5" ht="60" x14ac:dyDescent="0.25">
      <c r="C4754" s="15">
        <v>65746</v>
      </c>
      <c r="D4754" s="4" t="s">
        <v>4758</v>
      </c>
      <c r="E4754" s="4" t="str">
        <f>HYPERLINK("https://app.crepc.sk/?fn=detailBiblioForm&amp;sid=BE146DD3BACE1055555CD789")</f>
        <v>https://app.crepc.sk/?fn=detailBiblioForm&amp;sid=BE146DD3BACE1055555CD789</v>
      </c>
    </row>
    <row r="4755" spans="3:5" ht="75" x14ac:dyDescent="0.25">
      <c r="C4755" s="15">
        <v>133824</v>
      </c>
      <c r="D4755" s="4" t="s">
        <v>4759</v>
      </c>
      <c r="E4755" s="4" t="str">
        <f>HYPERLINK("https://app.crepc.sk/?fn=detailBiblioForm&amp;sid=C6384B4AD84FDE7B3EC45272DC")</f>
        <v>https://app.crepc.sk/?fn=detailBiblioForm&amp;sid=C6384B4AD84FDE7B3EC45272DC</v>
      </c>
    </row>
    <row r="4756" spans="3:5" ht="60" x14ac:dyDescent="0.25">
      <c r="C4756" s="15">
        <v>143370</v>
      </c>
      <c r="D4756" s="4" t="s">
        <v>4760</v>
      </c>
      <c r="E4756" s="4" t="str">
        <f>HYPERLINK("https://app.crepc.sk/?fn=detailBiblioForm&amp;sid=20F6D125F7A47F553498D455D1")</f>
        <v>https://app.crepc.sk/?fn=detailBiblioForm&amp;sid=20F6D125F7A47F553498D455D1</v>
      </c>
    </row>
    <row r="4757" spans="3:5" ht="75" x14ac:dyDescent="0.25">
      <c r="C4757" s="15">
        <v>87698</v>
      </c>
      <c r="D4757" s="4" t="s">
        <v>4761</v>
      </c>
      <c r="E4757" s="4" t="str">
        <f>HYPERLINK("https://app.crepc.sk/?fn=detailBiblioForm&amp;sid=C0592EF4A0D8A5E7886892C9")</f>
        <v>https://app.crepc.sk/?fn=detailBiblioForm&amp;sid=C0592EF4A0D8A5E7886892C9</v>
      </c>
    </row>
    <row r="4758" spans="3:5" ht="60" x14ac:dyDescent="0.25">
      <c r="C4758" s="15">
        <v>67901</v>
      </c>
      <c r="D4758" s="4" t="s">
        <v>4762</v>
      </c>
      <c r="E4758" s="4" t="str">
        <f>HYPERLINK("https://app.crepc.sk/?fn=detailBiblioForm&amp;sid=6452F37C6E1F698B98B36DAE")</f>
        <v>https://app.crepc.sk/?fn=detailBiblioForm&amp;sid=6452F37C6E1F698B98B36DAE</v>
      </c>
    </row>
    <row r="4759" spans="3:5" ht="75" x14ac:dyDescent="0.25">
      <c r="C4759" s="15">
        <v>453917</v>
      </c>
      <c r="D4759" s="4" t="s">
        <v>4763</v>
      </c>
      <c r="E4759" s="4" t="str">
        <f>HYPERLINK("https://app.crepc.sk/?fn=detailBiblioForm&amp;sid=389C50F6E54043B732E12482B1")</f>
        <v>https://app.crepc.sk/?fn=detailBiblioForm&amp;sid=389C50F6E54043B732E12482B1</v>
      </c>
    </row>
    <row r="4760" spans="3:5" ht="60" x14ac:dyDescent="0.25">
      <c r="C4760" s="15">
        <v>163847</v>
      </c>
      <c r="D4760" s="4" t="s">
        <v>4764</v>
      </c>
      <c r="E4760" s="4" t="str">
        <f>HYPERLINK("https://app.crepc.sk/?fn=detailBiblioForm&amp;sid=AFFB5693EB24A8FD71C67098CD")</f>
        <v>https://app.crepc.sk/?fn=detailBiblioForm&amp;sid=AFFB5693EB24A8FD71C67098CD</v>
      </c>
    </row>
    <row r="4761" spans="3:5" ht="60" x14ac:dyDescent="0.25">
      <c r="C4761" s="15">
        <v>419095</v>
      </c>
      <c r="D4761" s="4" t="s">
        <v>4765</v>
      </c>
      <c r="E4761" s="4" t="str">
        <f>HYPERLINK("https://app.crepc.sk/?fn=detailBiblioForm&amp;sid=D1A8AE86DB46EECF7867276DBF")</f>
        <v>https://app.crepc.sk/?fn=detailBiblioForm&amp;sid=D1A8AE86DB46EECF7867276DBF</v>
      </c>
    </row>
    <row r="4762" spans="3:5" ht="75" x14ac:dyDescent="0.25">
      <c r="C4762" s="15">
        <v>420039</v>
      </c>
      <c r="D4762" s="4" t="s">
        <v>4766</v>
      </c>
      <c r="E4762" s="4" t="str">
        <f>HYPERLINK("https://app.crepc.sk/?fn=detailBiblioForm&amp;sid=BC87E1A17A7C37FB648B11D17E")</f>
        <v>https://app.crepc.sk/?fn=detailBiblioForm&amp;sid=BC87E1A17A7C37FB648B11D17E</v>
      </c>
    </row>
    <row r="4763" spans="3:5" ht="45" x14ac:dyDescent="0.25">
      <c r="C4763" s="15">
        <v>161473</v>
      </c>
      <c r="D4763" s="4" t="s">
        <v>4767</v>
      </c>
      <c r="E4763" s="4" t="str">
        <f>HYPERLINK("https://app.crepc.sk/?fn=detailBiblioForm&amp;sid=72994EA9AD52E4DE4C9521105F")</f>
        <v>https://app.crepc.sk/?fn=detailBiblioForm&amp;sid=72994EA9AD52E4DE4C9521105F</v>
      </c>
    </row>
    <row r="4764" spans="3:5" ht="45" x14ac:dyDescent="0.25">
      <c r="C4764" s="15">
        <v>183744</v>
      </c>
      <c r="D4764" s="4" t="s">
        <v>4768</v>
      </c>
      <c r="E4764" s="4" t="str">
        <f>HYPERLINK("https://app.crepc.sk/?fn=detailBiblioForm&amp;sid=8DA5F85D14F67EBBAED88BC081")</f>
        <v>https://app.crepc.sk/?fn=detailBiblioForm&amp;sid=8DA5F85D14F67EBBAED88BC081</v>
      </c>
    </row>
    <row r="4765" spans="3:5" ht="60" x14ac:dyDescent="0.25">
      <c r="C4765" s="15">
        <v>244577</v>
      </c>
      <c r="D4765" s="4" t="s">
        <v>4769</v>
      </c>
      <c r="E4765" s="4" t="str">
        <f>HYPERLINK("https://app.crepc.sk/?fn=detailBiblioForm&amp;sid=7CD45A5C10A06C781DF0ABC625")</f>
        <v>https://app.crepc.sk/?fn=detailBiblioForm&amp;sid=7CD45A5C10A06C781DF0ABC625</v>
      </c>
    </row>
    <row r="4766" spans="3:5" ht="60" x14ac:dyDescent="0.25">
      <c r="C4766" s="15">
        <v>188926</v>
      </c>
      <c r="D4766" s="4" t="s">
        <v>4770</v>
      </c>
      <c r="E4766" s="4" t="str">
        <f>HYPERLINK("https://app.crepc.sk/?fn=detailBiblioForm&amp;sid=FAAE1CFD20B9329824CCB0C0C8")</f>
        <v>https://app.crepc.sk/?fn=detailBiblioForm&amp;sid=FAAE1CFD20B9329824CCB0C0C8</v>
      </c>
    </row>
    <row r="4767" spans="3:5" ht="165" x14ac:dyDescent="0.25">
      <c r="C4767" s="15">
        <v>430434</v>
      </c>
      <c r="D4767" s="4" t="s">
        <v>4771</v>
      </c>
      <c r="E4767" s="4" t="str">
        <f>HYPERLINK("https://app.crepc.sk/?fn=detailBiblioForm&amp;sid=56123830A8C00970BB06622E7E")</f>
        <v>https://app.crepc.sk/?fn=detailBiblioForm&amp;sid=56123830A8C00970BB06622E7E</v>
      </c>
    </row>
    <row r="4768" spans="3:5" ht="60" x14ac:dyDescent="0.25">
      <c r="C4768" s="15">
        <v>144981</v>
      </c>
      <c r="D4768" s="4" t="s">
        <v>4772</v>
      </c>
      <c r="E4768" s="4" t="str">
        <f>HYPERLINK("https://app.crepc.sk/?fn=detailBiblioForm&amp;sid=DC8744544C5E08693498DE903C")</f>
        <v>https://app.crepc.sk/?fn=detailBiblioForm&amp;sid=DC8744544C5E08693498DE903C</v>
      </c>
    </row>
    <row r="4769" spans="3:5" ht="60" x14ac:dyDescent="0.25">
      <c r="C4769" s="15">
        <v>419096</v>
      </c>
      <c r="D4769" s="4" t="s">
        <v>4773</v>
      </c>
      <c r="E4769" s="4" t="str">
        <f>HYPERLINK("https://app.crepc.sk/?fn=detailBiblioForm&amp;sid=D1A8AE86DB46EECF7864276DBF")</f>
        <v>https://app.crepc.sk/?fn=detailBiblioForm&amp;sid=D1A8AE86DB46EECF7864276DBF</v>
      </c>
    </row>
    <row r="4770" spans="3:5" ht="60" x14ac:dyDescent="0.25">
      <c r="C4770" s="15">
        <v>206780</v>
      </c>
      <c r="D4770" s="4" t="s">
        <v>4774</v>
      </c>
      <c r="E4770" s="4" t="str">
        <f>HYPERLINK("https://app.crepc.sk/?fn=detailBiblioForm&amp;sid=DF29B71B83315C123B9D6F6198")</f>
        <v>https://app.crepc.sk/?fn=detailBiblioForm&amp;sid=DF29B71B83315C123B9D6F6198</v>
      </c>
    </row>
    <row r="4771" spans="3:5" ht="60" x14ac:dyDescent="0.25">
      <c r="C4771" s="15">
        <v>206479</v>
      </c>
      <c r="D4771" s="4" t="s">
        <v>4775</v>
      </c>
      <c r="E4771" s="4" t="str">
        <f>HYPERLINK("https://app.crepc.sk/?fn=detailBiblioForm&amp;sid=9EADD462503AFBCA205D1F908F")</f>
        <v>https://app.crepc.sk/?fn=detailBiblioForm&amp;sid=9EADD462503AFBCA205D1F908F</v>
      </c>
    </row>
    <row r="4772" spans="3:5" ht="60" x14ac:dyDescent="0.25">
      <c r="C4772" s="15">
        <v>61848</v>
      </c>
      <c r="D4772" s="4" t="s">
        <v>4776</v>
      </c>
      <c r="E4772" s="4" t="str">
        <f>HYPERLINK("https://app.crepc.sk/?fn=detailBiblioForm&amp;sid=0F1A74D94FE914F245015B39")</f>
        <v>https://app.crepc.sk/?fn=detailBiblioForm&amp;sid=0F1A74D94FE914F245015B39</v>
      </c>
    </row>
    <row r="4773" spans="3:5" ht="75" x14ac:dyDescent="0.25">
      <c r="C4773" s="15">
        <v>129640</v>
      </c>
      <c r="D4773" s="4" t="s">
        <v>4777</v>
      </c>
      <c r="E4773" s="4" t="str">
        <f>HYPERLINK("https://app.crepc.sk/?fn=detailBiblioForm&amp;sid=ACAA4AF27E5710F223A88B34E5")</f>
        <v>https://app.crepc.sk/?fn=detailBiblioForm&amp;sid=ACAA4AF27E5710F223A88B34E5</v>
      </c>
    </row>
    <row r="4774" spans="3:5" ht="75" x14ac:dyDescent="0.25">
      <c r="C4774" s="15">
        <v>119713</v>
      </c>
      <c r="D4774" s="4" t="s">
        <v>4778</v>
      </c>
      <c r="E4774" s="4" t="str">
        <f>HYPERLINK("https://app.crepc.sk/?fn=detailBiblioForm&amp;sid=B5D677CC38484FF0569E3AF3C2")</f>
        <v>https://app.crepc.sk/?fn=detailBiblioForm&amp;sid=B5D677CC38484FF0569E3AF3C2</v>
      </c>
    </row>
    <row r="4775" spans="3:5" ht="75" x14ac:dyDescent="0.25">
      <c r="C4775" s="15">
        <v>442288</v>
      </c>
      <c r="D4775" s="4" t="s">
        <v>4779</v>
      </c>
      <c r="E4775" s="4" t="str">
        <f>HYPERLINK("https://app.crepc.sk/?fn=detailBiblioForm&amp;sid=449A78BFE483A8EAF5FF49C553")</f>
        <v>https://app.crepc.sk/?fn=detailBiblioForm&amp;sid=449A78BFE483A8EAF5FF49C553</v>
      </c>
    </row>
    <row r="4776" spans="3:5" ht="60" x14ac:dyDescent="0.25">
      <c r="C4776" s="15">
        <v>147255</v>
      </c>
      <c r="D4776" s="4" t="s">
        <v>4780</v>
      </c>
      <c r="E4776" s="4" t="str">
        <f>HYPERLINK("https://app.crepc.sk/?fn=detailBiblioForm&amp;sid=E725DF4FE130A806876E3E1791")</f>
        <v>https://app.crepc.sk/?fn=detailBiblioForm&amp;sid=E725DF4FE130A806876E3E1791</v>
      </c>
    </row>
    <row r="4777" spans="3:5" ht="75" x14ac:dyDescent="0.25">
      <c r="C4777" s="15">
        <v>85364</v>
      </c>
      <c r="D4777" s="4" t="s">
        <v>4781</v>
      </c>
      <c r="E4777" s="4" t="str">
        <f>HYPERLINK("https://app.crepc.sk/?fn=detailBiblioForm&amp;sid=49C94B416BAD88150AE262B5")</f>
        <v>https://app.crepc.sk/?fn=detailBiblioForm&amp;sid=49C94B416BAD88150AE262B5</v>
      </c>
    </row>
    <row r="4778" spans="3:5" ht="75" x14ac:dyDescent="0.25">
      <c r="C4778" s="15">
        <v>187050</v>
      </c>
      <c r="D4778" s="4" t="s">
        <v>4782</v>
      </c>
      <c r="E4778" s="4" t="str">
        <f>HYPERLINK("https://app.crepc.sk/?fn=detailBiblioForm&amp;sid=F3AF90715DF24108A23A7BFE19")</f>
        <v>https://app.crepc.sk/?fn=detailBiblioForm&amp;sid=F3AF90715DF24108A23A7BFE19</v>
      </c>
    </row>
    <row r="4779" spans="3:5" ht="75" x14ac:dyDescent="0.25">
      <c r="C4779" s="15">
        <v>119485</v>
      </c>
      <c r="D4779" s="4" t="s">
        <v>4783</v>
      </c>
      <c r="E4779" s="4" t="str">
        <f>HYPERLINK("https://app.crepc.sk/?fn=detailBiblioForm&amp;sid=F36B9AAD60772977FF564FEDDA")</f>
        <v>https://app.crepc.sk/?fn=detailBiblioForm&amp;sid=F36B9AAD60772977FF564FEDDA</v>
      </c>
    </row>
    <row r="4780" spans="3:5" ht="60" x14ac:dyDescent="0.25">
      <c r="C4780" s="15">
        <v>418995</v>
      </c>
      <c r="D4780" s="4" t="s">
        <v>4784</v>
      </c>
      <c r="E4780" s="4" t="str">
        <f>HYPERLINK("https://app.crepc.sk/?fn=detailBiblioForm&amp;sid=9AB6DF4C6BF801425A49DD71DE")</f>
        <v>https://app.crepc.sk/?fn=detailBiblioForm&amp;sid=9AB6DF4C6BF801425A49DD71DE</v>
      </c>
    </row>
    <row r="4781" spans="3:5" ht="60" x14ac:dyDescent="0.25">
      <c r="C4781" s="15">
        <v>128448</v>
      </c>
      <c r="D4781" s="4" t="s">
        <v>4785</v>
      </c>
      <c r="E4781" s="4" t="str">
        <f>HYPERLINK("https://app.crepc.sk/?fn=detailBiblioForm&amp;sid=585F9F27CC7F4CBF08364263E3")</f>
        <v>https://app.crepc.sk/?fn=detailBiblioForm&amp;sid=585F9F27CC7F4CBF08364263E3</v>
      </c>
    </row>
    <row r="4782" spans="3:5" ht="75" x14ac:dyDescent="0.25">
      <c r="C4782" s="15">
        <v>245050</v>
      </c>
      <c r="D4782" s="4" t="s">
        <v>4786</v>
      </c>
      <c r="E4782" s="4" t="str">
        <f>HYPERLINK("https://app.crepc.sk/?fn=detailBiblioForm&amp;sid=67165C9A40F2F88515934A198D")</f>
        <v>https://app.crepc.sk/?fn=detailBiblioForm&amp;sid=67165C9A40F2F88515934A198D</v>
      </c>
    </row>
    <row r="4783" spans="3:5" ht="150" x14ac:dyDescent="0.25">
      <c r="C4783" s="15">
        <v>126763</v>
      </c>
      <c r="D4783" s="4" t="s">
        <v>4787</v>
      </c>
      <c r="E4783" s="4" t="str">
        <f>HYPERLINK("https://app.crepc.sk/?fn=detailBiblioForm&amp;sid=BF2E02CB30820396ABE35B7C2B")</f>
        <v>https://app.crepc.sk/?fn=detailBiblioForm&amp;sid=BF2E02CB30820396ABE35B7C2B</v>
      </c>
    </row>
    <row r="4784" spans="3:5" ht="90" x14ac:dyDescent="0.25">
      <c r="C4784" s="15">
        <v>310439</v>
      </c>
      <c r="D4784" s="4" t="s">
        <v>4788</v>
      </c>
      <c r="E4784" s="4" t="str">
        <f>HYPERLINK("https://app.crepc.sk/?fn=detailBiblioForm&amp;sid=C99938E267445C9E73618ACEED")</f>
        <v>https://app.crepc.sk/?fn=detailBiblioForm&amp;sid=C99938E267445C9E73618ACEED</v>
      </c>
    </row>
    <row r="4785" spans="3:5" ht="75" x14ac:dyDescent="0.25">
      <c r="C4785" s="15">
        <v>419325</v>
      </c>
      <c r="D4785" s="4" t="s">
        <v>4789</v>
      </c>
      <c r="E4785" s="4" t="str">
        <f>HYPERLINK("https://app.crepc.sk/?fn=detailBiblioForm&amp;sid=D0B86A6C889D400A9FB566C23A")</f>
        <v>https://app.crepc.sk/?fn=detailBiblioForm&amp;sid=D0B86A6C889D400A9FB566C23A</v>
      </c>
    </row>
    <row r="4786" spans="3:5" ht="75" x14ac:dyDescent="0.25">
      <c r="C4786" s="15">
        <v>454285</v>
      </c>
      <c r="D4786" s="4" t="s">
        <v>4790</v>
      </c>
      <c r="E4786" s="4" t="str">
        <f>HYPERLINK("https://app.crepc.sk/?fn=detailBiblioForm&amp;sid=67D8FF390DF10D0FB2CE70F2BB")</f>
        <v>https://app.crepc.sk/?fn=detailBiblioForm&amp;sid=67D8FF390DF10D0FB2CE70F2BB</v>
      </c>
    </row>
    <row r="4787" spans="3:5" ht="60" x14ac:dyDescent="0.25">
      <c r="C4787" s="15">
        <v>140320</v>
      </c>
      <c r="D4787" s="4" t="s">
        <v>4791</v>
      </c>
      <c r="E4787" s="4" t="str">
        <f>HYPERLINK("https://app.crepc.sk/?fn=detailBiblioForm&amp;sid=06ED14E8665C76DEA6C53482C7")</f>
        <v>https://app.crepc.sk/?fn=detailBiblioForm&amp;sid=06ED14E8665C76DEA6C53482C7</v>
      </c>
    </row>
    <row r="4788" spans="3:5" ht="60" x14ac:dyDescent="0.25">
      <c r="C4788" s="15">
        <v>163560</v>
      </c>
      <c r="D4788" s="4" t="s">
        <v>4792</v>
      </c>
      <c r="E4788" s="4" t="str">
        <f>HYPERLINK("https://app.crepc.sk/?fn=detailBiblioForm&amp;sid=702847CDD3538CD48A35C67511")</f>
        <v>https://app.crepc.sk/?fn=detailBiblioForm&amp;sid=702847CDD3538CD48A35C67511</v>
      </c>
    </row>
    <row r="4789" spans="3:5" ht="45" x14ac:dyDescent="0.25">
      <c r="C4789" s="15">
        <v>253516</v>
      </c>
      <c r="D4789" s="4" t="s">
        <v>4793</v>
      </c>
      <c r="E4789" s="4" t="str">
        <f>HYPERLINK("https://app.crepc.sk/?fn=detailBiblioForm&amp;sid=CEF2DEE1832EFB79ABBE6939C9")</f>
        <v>https://app.crepc.sk/?fn=detailBiblioForm&amp;sid=CEF2DEE1832EFB79ABBE6939C9</v>
      </c>
    </row>
    <row r="4790" spans="3:5" ht="60" x14ac:dyDescent="0.25">
      <c r="C4790" s="15">
        <v>144055</v>
      </c>
      <c r="D4790" s="4" t="s">
        <v>4794</v>
      </c>
      <c r="E4790" s="4" t="str">
        <f>HYPERLINK("https://app.crepc.sk/?fn=detailBiblioForm&amp;sid=3B3C390F92023FADB9FEAAFB13")</f>
        <v>https://app.crepc.sk/?fn=detailBiblioForm&amp;sid=3B3C390F92023FADB9FEAAFB13</v>
      </c>
    </row>
    <row r="4791" spans="3:5" ht="90" x14ac:dyDescent="0.25">
      <c r="C4791" s="15">
        <v>442290</v>
      </c>
      <c r="D4791" s="4" t="s">
        <v>4795</v>
      </c>
      <c r="E4791" s="4" t="str">
        <f>HYPERLINK("https://app.crepc.sk/?fn=detailBiblioForm&amp;sid=449A78BFE483A8EAF4F749C553")</f>
        <v>https://app.crepc.sk/?fn=detailBiblioForm&amp;sid=449A78BFE483A8EAF4F749C553</v>
      </c>
    </row>
    <row r="4792" spans="3:5" ht="60" x14ac:dyDescent="0.25">
      <c r="C4792" s="15">
        <v>448483</v>
      </c>
      <c r="D4792" s="4" t="s">
        <v>4796</v>
      </c>
      <c r="E4792" s="4" t="str">
        <f>HYPERLINK("https://app.crepc.sk/?fn=detailBiblioForm&amp;sid=8F7BD044D3EF6CCC5E27597E25")</f>
        <v>https://app.crepc.sk/?fn=detailBiblioForm&amp;sid=8F7BD044D3EF6CCC5E27597E25</v>
      </c>
    </row>
    <row r="4793" spans="3:5" ht="60" x14ac:dyDescent="0.25">
      <c r="C4793" s="15">
        <v>65726</v>
      </c>
      <c r="D4793" s="4" t="s">
        <v>4797</v>
      </c>
      <c r="E4793" s="4" t="str">
        <f>HYPERLINK("https://app.crepc.sk/?fn=detailBiblioForm&amp;sid=1F94295352D587E84698F08C")</f>
        <v>https://app.crepc.sk/?fn=detailBiblioForm&amp;sid=1F94295352D587E84698F08C</v>
      </c>
    </row>
    <row r="4794" spans="3:5" ht="75" x14ac:dyDescent="0.25">
      <c r="C4794" s="15">
        <v>233031</v>
      </c>
      <c r="D4794" s="4" t="s">
        <v>4798</v>
      </c>
      <c r="E4794" s="4" t="str">
        <f>HYPERLINK("https://app.crepc.sk/?fn=detailBiblioForm&amp;sid=73D1B194BE1FA6622DF7D79808")</f>
        <v>https://app.crepc.sk/?fn=detailBiblioForm&amp;sid=73D1B194BE1FA6622DF7D79808</v>
      </c>
    </row>
    <row r="4795" spans="3:5" ht="60" x14ac:dyDescent="0.25">
      <c r="C4795" s="15">
        <v>176085</v>
      </c>
      <c r="D4795" s="4" t="s">
        <v>4799</v>
      </c>
      <c r="E4795" s="4" t="str">
        <f>HYPERLINK("https://app.crepc.sk/?fn=detailBiblioForm&amp;sid=36F4BD7000BAB49A1AC52BC6B7")</f>
        <v>https://app.crepc.sk/?fn=detailBiblioForm&amp;sid=36F4BD7000BAB49A1AC52BC6B7</v>
      </c>
    </row>
    <row r="4796" spans="3:5" ht="60" x14ac:dyDescent="0.25">
      <c r="C4796" s="15">
        <v>97947</v>
      </c>
      <c r="D4796" s="4" t="s">
        <v>4800</v>
      </c>
      <c r="E4796" s="4" t="str">
        <f>HYPERLINK("https://app.crepc.sk/?fn=detailBiblioForm&amp;sid=54035254CA923643DB2F863B")</f>
        <v>https://app.crepc.sk/?fn=detailBiblioForm&amp;sid=54035254CA923643DB2F863B</v>
      </c>
    </row>
    <row r="4797" spans="3:5" ht="60" x14ac:dyDescent="0.25">
      <c r="C4797" s="15">
        <v>75857</v>
      </c>
      <c r="D4797" s="4" t="s">
        <v>4801</v>
      </c>
      <c r="E4797" s="4" t="str">
        <f>HYPERLINK("https://app.crepc.sk/?fn=detailBiblioForm&amp;sid=A84F8E2DBF3AD6D4A522FBDD")</f>
        <v>https://app.crepc.sk/?fn=detailBiblioForm&amp;sid=A84F8E2DBF3AD6D4A522FBDD</v>
      </c>
    </row>
    <row r="4798" spans="3:5" ht="45" x14ac:dyDescent="0.25">
      <c r="C4798" s="15">
        <v>128453</v>
      </c>
      <c r="D4798" s="4" t="s">
        <v>4802</v>
      </c>
      <c r="E4798" s="4" t="str">
        <f>HYPERLINK("https://app.crepc.sk/?fn=detailBiblioForm&amp;sid=585F9F27CC7F4CBF093D4263E3")</f>
        <v>https://app.crepc.sk/?fn=detailBiblioForm&amp;sid=585F9F27CC7F4CBF093D4263E3</v>
      </c>
    </row>
    <row r="4799" spans="3:5" ht="75" x14ac:dyDescent="0.25">
      <c r="C4799" s="15">
        <v>215808</v>
      </c>
      <c r="D4799" s="4" t="s">
        <v>4803</v>
      </c>
      <c r="E4799" s="4" t="str">
        <f>HYPERLINK("https://app.crepc.sk/?fn=detailBiblioForm&amp;sid=BF21ECCDBDCC328E8387F9EB0F")</f>
        <v>https://app.crepc.sk/?fn=detailBiblioForm&amp;sid=BF21ECCDBDCC328E8387F9EB0F</v>
      </c>
    </row>
    <row r="4800" spans="3:5" ht="60" x14ac:dyDescent="0.25">
      <c r="C4800" s="15">
        <v>162412</v>
      </c>
      <c r="D4800" s="4" t="s">
        <v>4804</v>
      </c>
      <c r="E4800" s="4" t="str">
        <f>HYPERLINK("https://app.crepc.sk/?fn=detailBiblioForm&amp;sid=C6B245BF6B3D130473BA7EF62D")</f>
        <v>https://app.crepc.sk/?fn=detailBiblioForm&amp;sid=C6B245BF6B3D130473BA7EF62D</v>
      </c>
    </row>
    <row r="4801" spans="3:5" ht="60" x14ac:dyDescent="0.25">
      <c r="C4801" s="15">
        <v>65747</v>
      </c>
      <c r="D4801" s="4" t="s">
        <v>4805</v>
      </c>
      <c r="E4801" s="4" t="str">
        <f>HYPERLINK("https://app.crepc.sk/?fn=detailBiblioForm&amp;sid=BE146DD3BACE1055545CD789")</f>
        <v>https://app.crepc.sk/?fn=detailBiblioForm&amp;sid=BE146DD3BACE1055545CD789</v>
      </c>
    </row>
    <row r="4802" spans="3:5" ht="60" x14ac:dyDescent="0.25">
      <c r="C4802" s="15">
        <v>442305</v>
      </c>
      <c r="D4802" s="4" t="s">
        <v>4806</v>
      </c>
      <c r="E4802" s="4" t="str">
        <f>HYPERLINK("https://app.crepc.sk/?fn=detailBiblioForm&amp;sid=F661DE2421DD595D54C862841D")</f>
        <v>https://app.crepc.sk/?fn=detailBiblioForm&amp;sid=F661DE2421DD595D54C862841D</v>
      </c>
    </row>
    <row r="4803" spans="3:5" ht="75" x14ac:dyDescent="0.25">
      <c r="C4803" s="15">
        <v>129651</v>
      </c>
      <c r="D4803" s="4" t="s">
        <v>4807</v>
      </c>
      <c r="E4803" s="4" t="str">
        <f>HYPERLINK("https://app.crepc.sk/?fn=detailBiblioForm&amp;sid=ACAA4AF27E5710F222A98B34E5")</f>
        <v>https://app.crepc.sk/?fn=detailBiblioForm&amp;sid=ACAA4AF27E5710F222A98B34E5</v>
      </c>
    </row>
    <row r="4804" spans="3:5" ht="60" x14ac:dyDescent="0.25">
      <c r="C4804" s="15">
        <v>244728</v>
      </c>
      <c r="D4804" s="4" t="s">
        <v>4808</v>
      </c>
      <c r="E4804" s="4" t="str">
        <f>HYPERLINK("https://app.crepc.sk/?fn=detailBiblioForm&amp;sid=C5430B75513C4E7F22F7E1F354")</f>
        <v>https://app.crepc.sk/?fn=detailBiblioForm&amp;sid=C5430B75513C4E7F22F7E1F354</v>
      </c>
    </row>
    <row r="4805" spans="3:5" ht="60" x14ac:dyDescent="0.25">
      <c r="C4805" s="15">
        <v>97948</v>
      </c>
      <c r="D4805" s="4" t="s">
        <v>4809</v>
      </c>
      <c r="E4805" s="4" t="str">
        <f>HYPERLINK("https://app.crepc.sk/?fn=detailBiblioForm&amp;sid=54035254CA923643D42F863B")</f>
        <v>https://app.crepc.sk/?fn=detailBiblioForm&amp;sid=54035254CA923643D42F863B</v>
      </c>
    </row>
    <row r="4806" spans="3:5" ht="60" x14ac:dyDescent="0.25">
      <c r="C4806" s="15">
        <v>118819</v>
      </c>
      <c r="D4806" s="4" t="s">
        <v>4810</v>
      </c>
      <c r="E4806" s="4" t="str">
        <f>HYPERLINK("https://app.crepc.sk/?fn=detailBiblioForm&amp;sid=180EDEFD59FD4297492352B590")</f>
        <v>https://app.crepc.sk/?fn=detailBiblioForm&amp;sid=180EDEFD59FD4297492352B590</v>
      </c>
    </row>
    <row r="4807" spans="3:5" ht="75" x14ac:dyDescent="0.25">
      <c r="C4807" s="15">
        <v>211250</v>
      </c>
      <c r="D4807" s="4" t="s">
        <v>4811</v>
      </c>
      <c r="E4807" s="4" t="str">
        <f>HYPERLINK("https://app.crepc.sk/?fn=detailBiblioForm&amp;sid=12D43A2BF2357AAE32051CCE89")</f>
        <v>https://app.crepc.sk/?fn=detailBiblioForm&amp;sid=12D43A2BF2357AAE32051CCE89</v>
      </c>
    </row>
    <row r="4808" spans="3:5" ht="75" x14ac:dyDescent="0.25">
      <c r="C4808" s="15">
        <v>111423</v>
      </c>
      <c r="D4808" s="4" t="s">
        <v>4812</v>
      </c>
      <c r="E4808" s="4" t="str">
        <f>HYPERLINK("https://app.crepc.sk/?fn=detailBiblioForm&amp;sid=75A6713661D1AFA3C38C7DEA73")</f>
        <v>https://app.crepc.sk/?fn=detailBiblioForm&amp;sid=75A6713661D1AFA3C38C7DEA73</v>
      </c>
    </row>
    <row r="4809" spans="3:5" ht="90" x14ac:dyDescent="0.25">
      <c r="C4809" s="15">
        <v>145259</v>
      </c>
      <c r="D4809" s="4" t="s">
        <v>4813</v>
      </c>
      <c r="E4809" s="4" t="str">
        <f>HYPERLINK("https://app.crepc.sk/?fn=detailBiblioForm&amp;sid=92F98CEFD52BF35244C0C1FECC")</f>
        <v>https://app.crepc.sk/?fn=detailBiblioForm&amp;sid=92F98CEFD52BF35244C0C1FECC</v>
      </c>
    </row>
    <row r="4810" spans="3:5" ht="60" x14ac:dyDescent="0.25">
      <c r="C4810" s="15">
        <v>185309</v>
      </c>
      <c r="D4810" s="4" t="s">
        <v>4814</v>
      </c>
      <c r="E4810" s="4" t="str">
        <f>HYPERLINK("https://app.crepc.sk/?fn=detailBiblioForm&amp;sid=2669133F09816268E8A58C2A31")</f>
        <v>https://app.crepc.sk/?fn=detailBiblioForm&amp;sid=2669133F09816268E8A58C2A31</v>
      </c>
    </row>
    <row r="4811" spans="3:5" ht="60" x14ac:dyDescent="0.25">
      <c r="C4811" s="15">
        <v>96265</v>
      </c>
      <c r="D4811" s="4" t="s">
        <v>4815</v>
      </c>
      <c r="E4811" s="4" t="str">
        <f>HYPERLINK("https://app.crepc.sk/?fn=detailBiblioForm&amp;sid=238FF4A4658B30B39980ACE7")</f>
        <v>https://app.crepc.sk/?fn=detailBiblioForm&amp;sid=238FF4A4658B30B39980ACE7</v>
      </c>
    </row>
    <row r="4812" spans="3:5" ht="60" x14ac:dyDescent="0.25">
      <c r="C4812" s="15">
        <v>98176</v>
      </c>
      <c r="D4812" s="4" t="s">
        <v>4816</v>
      </c>
      <c r="E4812" s="4" t="str">
        <f>HYPERLINK("https://app.crepc.sk/?fn=detailBiblioForm&amp;sid=3DBF62616B89AB78500F38E7")</f>
        <v>https://app.crepc.sk/?fn=detailBiblioForm&amp;sid=3DBF62616B89AB78500F38E7</v>
      </c>
    </row>
    <row r="4813" spans="3:5" ht="75" x14ac:dyDescent="0.25">
      <c r="C4813" s="15">
        <v>247028</v>
      </c>
      <c r="D4813" s="4" t="s">
        <v>4817</v>
      </c>
      <c r="E4813" s="4" t="str">
        <f>HYPERLINK("https://app.crepc.sk/?fn=detailBiblioForm&amp;sid=EBEA61057054222A0C9E7935A3")</f>
        <v>https://app.crepc.sk/?fn=detailBiblioForm&amp;sid=EBEA61057054222A0C9E7935A3</v>
      </c>
    </row>
    <row r="4814" spans="3:5" ht="75" x14ac:dyDescent="0.25">
      <c r="C4814" s="15">
        <v>133057</v>
      </c>
      <c r="D4814" s="4" t="s">
        <v>4818</v>
      </c>
      <c r="E4814" s="4" t="str">
        <f>HYPERLINK("https://app.crepc.sk/?fn=detailBiblioForm&amp;sid=CACC2D03630BC76544E497FA4B")</f>
        <v>https://app.crepc.sk/?fn=detailBiblioForm&amp;sid=CACC2D03630BC76544E497FA4B</v>
      </c>
    </row>
    <row r="4815" spans="3:5" ht="60" x14ac:dyDescent="0.25">
      <c r="C4815" s="15">
        <v>65744</v>
      </c>
      <c r="D4815" s="4" t="s">
        <v>4819</v>
      </c>
      <c r="E4815" s="4" t="str">
        <f>HYPERLINK("https://app.crepc.sk/?fn=detailBiblioForm&amp;sid=BE146DD3BACE1055575CD789")</f>
        <v>https://app.crepc.sk/?fn=detailBiblioForm&amp;sid=BE146DD3BACE1055575CD789</v>
      </c>
    </row>
    <row r="4816" spans="3:5" ht="165" x14ac:dyDescent="0.25">
      <c r="C4816" s="15">
        <v>194773</v>
      </c>
      <c r="D4816" s="4" t="s">
        <v>4820</v>
      </c>
      <c r="E4816" s="4" t="str">
        <f>HYPERLINK("https://app.crepc.sk/?fn=detailBiblioForm&amp;sid=2FEED85A3FCEFC83C6EBE02009")</f>
        <v>https://app.crepc.sk/?fn=detailBiblioForm&amp;sid=2FEED85A3FCEFC83C6EBE02009</v>
      </c>
    </row>
    <row r="4817" spans="3:5" ht="60" x14ac:dyDescent="0.25">
      <c r="C4817" s="15">
        <v>67886</v>
      </c>
      <c r="D4817" s="4" t="s">
        <v>4821</v>
      </c>
      <c r="E4817" s="4" t="str">
        <f>HYPERLINK("https://app.crepc.sk/?fn=detailBiblioForm&amp;sid=42B7E6C01A8D7626CD031572")</f>
        <v>https://app.crepc.sk/?fn=detailBiblioForm&amp;sid=42B7E6C01A8D7626CD031572</v>
      </c>
    </row>
    <row r="4818" spans="3:5" ht="45" x14ac:dyDescent="0.25">
      <c r="C4818" s="15">
        <v>95519</v>
      </c>
      <c r="D4818" s="4" t="s">
        <v>4822</v>
      </c>
      <c r="E4818" s="4" t="str">
        <f>HYPERLINK("https://app.crepc.sk/?fn=detailBiblioForm&amp;sid=CCE8D2EA2E424097EB3B8936")</f>
        <v>https://app.crepc.sk/?fn=detailBiblioForm&amp;sid=CCE8D2EA2E424097EB3B8936</v>
      </c>
    </row>
    <row r="4819" spans="3:5" ht="60" x14ac:dyDescent="0.25">
      <c r="C4819" s="15">
        <v>144051</v>
      </c>
      <c r="D4819" s="4" t="s">
        <v>4823</v>
      </c>
      <c r="E4819" s="4" t="str">
        <f>HYPERLINK("https://app.crepc.sk/?fn=detailBiblioForm&amp;sid=3B3C390F92023FADB9FAAAFB13")</f>
        <v>https://app.crepc.sk/?fn=detailBiblioForm&amp;sid=3B3C390F92023FADB9FAAAFB13</v>
      </c>
    </row>
    <row r="4820" spans="3:5" ht="60" x14ac:dyDescent="0.25">
      <c r="C4820" s="15">
        <v>195999</v>
      </c>
      <c r="D4820" s="4" t="s">
        <v>4824</v>
      </c>
      <c r="E4820" s="4" t="str">
        <f>HYPERLINK("https://app.crepc.sk/?fn=detailBiblioForm&amp;sid=D0FFB1787B7ACE98B659689ACF")</f>
        <v>https://app.crepc.sk/?fn=detailBiblioForm&amp;sid=D0FFB1787B7ACE98B659689ACF</v>
      </c>
    </row>
    <row r="4821" spans="3:5" ht="75" x14ac:dyDescent="0.25">
      <c r="C4821" s="15">
        <v>129642</v>
      </c>
      <c r="D4821" s="4" t="s">
        <v>4825</v>
      </c>
      <c r="E4821" s="4" t="str">
        <f>HYPERLINK("https://app.crepc.sk/?fn=detailBiblioForm&amp;sid=ACAA4AF27E5710F223AA8B34E5")</f>
        <v>https://app.crepc.sk/?fn=detailBiblioForm&amp;sid=ACAA4AF27E5710F223AA8B34E5</v>
      </c>
    </row>
    <row r="4822" spans="3:5" ht="75" x14ac:dyDescent="0.25">
      <c r="C4822" s="15">
        <v>129645</v>
      </c>
      <c r="D4822" s="4" t="s">
        <v>4826</v>
      </c>
      <c r="E4822" s="4" t="str">
        <f>HYPERLINK("https://app.crepc.sk/?fn=detailBiblioForm&amp;sid=ACAA4AF27E5710F223AD8B34E5")</f>
        <v>https://app.crepc.sk/?fn=detailBiblioForm&amp;sid=ACAA4AF27E5710F223AD8B34E5</v>
      </c>
    </row>
    <row r="4823" spans="3:5" ht="75" x14ac:dyDescent="0.25">
      <c r="C4823" s="15">
        <v>60371</v>
      </c>
      <c r="D4823" s="4" t="s">
        <v>4827</v>
      </c>
      <c r="E4823" s="4" t="str">
        <f>HYPERLINK("https://app.crepc.sk/?fn=detailBiblioForm&amp;sid=077A618F1209FA6C352788F4")</f>
        <v>https://app.crepc.sk/?fn=detailBiblioForm&amp;sid=077A618F1209FA6C352788F4</v>
      </c>
    </row>
    <row r="4824" spans="3:5" ht="75" x14ac:dyDescent="0.25">
      <c r="C4824" s="15">
        <v>60345</v>
      </c>
      <c r="D4824" s="4" t="s">
        <v>4828</v>
      </c>
      <c r="E4824" s="4" t="str">
        <f>HYPERLINK("https://app.crepc.sk/?fn=detailBiblioForm&amp;sid=407375E86B177DB94EE8BD77")</f>
        <v>https://app.crepc.sk/?fn=detailBiblioForm&amp;sid=407375E86B177DB94EE8BD77</v>
      </c>
    </row>
    <row r="4825" spans="3:5" ht="75" x14ac:dyDescent="0.25">
      <c r="C4825" s="15">
        <v>60356</v>
      </c>
      <c r="D4825" s="4" t="s">
        <v>4829</v>
      </c>
      <c r="E4825" s="4" t="str">
        <f>HYPERLINK("https://app.crepc.sk/?fn=detailBiblioForm&amp;sid=78C9F3E8CC26E15DAF559898")</f>
        <v>https://app.crepc.sk/?fn=detailBiblioForm&amp;sid=78C9F3E8CC26E15DAF559898</v>
      </c>
    </row>
    <row r="4826" spans="3:5" ht="150" x14ac:dyDescent="0.25">
      <c r="C4826" s="15">
        <v>194808</v>
      </c>
      <c r="D4826" s="4" t="s">
        <v>4830</v>
      </c>
      <c r="E4826" s="4" t="str">
        <f>HYPERLINK("https://app.crepc.sk/?fn=detailBiblioForm&amp;sid=731BBBC0D00D7D7B0433010E9F")</f>
        <v>https://app.crepc.sk/?fn=detailBiblioForm&amp;sid=731BBBC0D00D7D7B0433010E9F</v>
      </c>
    </row>
    <row r="4827" spans="3:5" ht="165" x14ac:dyDescent="0.25">
      <c r="C4827" s="15">
        <v>314016</v>
      </c>
      <c r="D4827" s="4" t="s">
        <v>4831</v>
      </c>
      <c r="E4827" s="4" t="str">
        <f>HYPERLINK("https://app.crepc.sk/?fn=detailBiblioForm&amp;sid=52CF6327BC03DBAB5D15815F18")</f>
        <v>https://app.crepc.sk/?fn=detailBiblioForm&amp;sid=52CF6327BC03DBAB5D15815F18</v>
      </c>
    </row>
    <row r="4828" spans="3:5" ht="75" x14ac:dyDescent="0.25">
      <c r="C4828" s="15">
        <v>211799</v>
      </c>
      <c r="D4828" s="4" t="s">
        <v>4832</v>
      </c>
      <c r="E4828" s="4" t="str">
        <f>HYPERLINK("https://app.crepc.sk/?fn=detailBiblioForm&amp;sid=936179ABD4330FC85CDB09B041")</f>
        <v>https://app.crepc.sk/?fn=detailBiblioForm&amp;sid=936179ABD4330FC85CDB09B041</v>
      </c>
    </row>
    <row r="4829" spans="3:5" ht="75" x14ac:dyDescent="0.25">
      <c r="C4829" s="15">
        <v>221869</v>
      </c>
      <c r="D4829" s="4" t="s">
        <v>4833</v>
      </c>
      <c r="E4829" s="4" t="str">
        <f>HYPERLINK("https://app.crepc.sk/?fn=detailBiblioForm&amp;sid=CF8B0AA5B1679DEC07D412959B")</f>
        <v>https://app.crepc.sk/?fn=detailBiblioForm&amp;sid=CF8B0AA5B1679DEC07D412959B</v>
      </c>
    </row>
    <row r="4830" spans="3:5" ht="45" x14ac:dyDescent="0.25">
      <c r="C4830" s="15">
        <v>95436</v>
      </c>
      <c r="D4830" s="4" t="s">
        <v>4834</v>
      </c>
      <c r="E4830" s="4" t="str">
        <f>HYPERLINK("https://app.crepc.sk/?fn=detailBiblioForm&amp;sid=705AB84A07AF3D6EF4154C44")</f>
        <v>https://app.crepc.sk/?fn=detailBiblioForm&amp;sid=705AB84A07AF3D6EF4154C44</v>
      </c>
    </row>
    <row r="4831" spans="3:5" ht="60" x14ac:dyDescent="0.25">
      <c r="C4831" s="15">
        <v>433282</v>
      </c>
      <c r="D4831" s="4" t="s">
        <v>4835</v>
      </c>
      <c r="E4831" s="4" t="str">
        <f>HYPERLINK("https://app.crepc.sk/?fn=detailBiblioForm&amp;sid=530B29B90A77EF33A90E499B3B")</f>
        <v>https://app.crepc.sk/?fn=detailBiblioForm&amp;sid=530B29B90A77EF33A90E499B3B</v>
      </c>
    </row>
    <row r="4832" spans="3:5" ht="60" x14ac:dyDescent="0.25">
      <c r="C4832" s="15">
        <v>425963</v>
      </c>
      <c r="D4832" s="4" t="s">
        <v>4836</v>
      </c>
      <c r="E4832" s="4" t="str">
        <f>HYPERLINK("https://app.crepc.sk/?fn=detailBiblioForm&amp;sid=42EF06429873272B37E5990B8C")</f>
        <v>https://app.crepc.sk/?fn=detailBiblioForm&amp;sid=42EF06429873272B37E5990B8C</v>
      </c>
    </row>
    <row r="4833" spans="3:5" ht="75" x14ac:dyDescent="0.25">
      <c r="C4833" s="15">
        <v>149672</v>
      </c>
      <c r="D4833" s="4" t="s">
        <v>4837</v>
      </c>
      <c r="E4833" s="4" t="str">
        <f>HYPERLINK("https://app.crepc.sk/?fn=detailBiblioForm&amp;sid=26C7235C8E9E89C6F61A8EA616")</f>
        <v>https://app.crepc.sk/?fn=detailBiblioForm&amp;sid=26C7235C8E9E89C6F61A8EA616</v>
      </c>
    </row>
    <row r="4834" spans="3:5" ht="90" x14ac:dyDescent="0.25">
      <c r="C4834" s="15">
        <v>193323</v>
      </c>
      <c r="D4834" s="4" t="s">
        <v>4838</v>
      </c>
      <c r="E4834" s="4" t="str">
        <f>HYPERLINK("https://app.crepc.sk/?fn=detailBiblioForm&amp;sid=62C9246E76195130014AEE17EE")</f>
        <v>https://app.crepc.sk/?fn=detailBiblioForm&amp;sid=62C9246E76195130014AEE17EE</v>
      </c>
    </row>
    <row r="4835" spans="3:5" ht="105" x14ac:dyDescent="0.25">
      <c r="C4835" s="15">
        <v>193325</v>
      </c>
      <c r="D4835" s="4" t="s">
        <v>4839</v>
      </c>
      <c r="E4835" s="4" t="str">
        <f>HYPERLINK("https://app.crepc.sk/?fn=detailBiblioForm&amp;sid=62C9246E76195130014CEE17EE")</f>
        <v>https://app.crepc.sk/?fn=detailBiblioForm&amp;sid=62C9246E76195130014CEE17EE</v>
      </c>
    </row>
    <row r="4836" spans="3:5" ht="60" x14ac:dyDescent="0.25">
      <c r="C4836" s="15">
        <v>312676</v>
      </c>
      <c r="D4836" s="4" t="s">
        <v>4840</v>
      </c>
      <c r="E4836" s="4" t="str">
        <f>HYPERLINK("https://app.crepc.sk/?fn=detailBiblioForm&amp;sid=E7DC3C2FFE1E43E2931D6104AF")</f>
        <v>https://app.crepc.sk/?fn=detailBiblioForm&amp;sid=E7DC3C2FFE1E43E2931D6104AF</v>
      </c>
    </row>
    <row r="4837" spans="3:5" ht="45" x14ac:dyDescent="0.25">
      <c r="C4837" s="15">
        <v>208146</v>
      </c>
      <c r="D4837" s="4" t="s">
        <v>4841</v>
      </c>
      <c r="E4837" s="4" t="str">
        <f>HYPERLINK("https://app.crepc.sk/?fn=detailBiblioForm&amp;sid=D6473325855F1BB400258619C8")</f>
        <v>https://app.crepc.sk/?fn=detailBiblioForm&amp;sid=D6473325855F1BB400258619C8</v>
      </c>
    </row>
    <row r="4838" spans="3:5" ht="75" x14ac:dyDescent="0.25">
      <c r="C4838" s="15">
        <v>142794</v>
      </c>
      <c r="D4838" s="4" t="s">
        <v>4842</v>
      </c>
      <c r="E4838" s="4" t="str">
        <f>HYPERLINK("https://app.crepc.sk/?fn=detailBiblioForm&amp;sid=288AEB55AAC803403F0B2CA696")</f>
        <v>https://app.crepc.sk/?fn=detailBiblioForm&amp;sid=288AEB55AAC803403F0B2CA696</v>
      </c>
    </row>
    <row r="4839" spans="3:5" ht="75" x14ac:dyDescent="0.25">
      <c r="C4839" s="15">
        <v>61854</v>
      </c>
      <c r="D4839" s="4" t="s">
        <v>4843</v>
      </c>
      <c r="E4839" s="4" t="str">
        <f>HYPERLINK("https://app.crepc.sk/?fn=detailBiblioForm&amp;sid=655CD9B4E82DCEAFC77EC1C4")</f>
        <v>https://app.crepc.sk/?fn=detailBiblioForm&amp;sid=655CD9B4E82DCEAFC77EC1C4</v>
      </c>
    </row>
    <row r="4840" spans="3:5" ht="165" x14ac:dyDescent="0.25">
      <c r="C4840" s="15">
        <v>313713</v>
      </c>
      <c r="D4840" s="4" t="s">
        <v>4844</v>
      </c>
      <c r="E4840" s="4" t="str">
        <f>HYPERLINK("https://app.crepc.sk/?fn=detailBiblioForm&amp;sid=54D25A27962CDFF2C4C1F50D21")</f>
        <v>https://app.crepc.sk/?fn=detailBiblioForm&amp;sid=54D25A27962CDFF2C4C1F50D21</v>
      </c>
    </row>
    <row r="4841" spans="3:5" ht="150" x14ac:dyDescent="0.25">
      <c r="C4841" s="15">
        <v>315551</v>
      </c>
      <c r="D4841" s="4" t="s">
        <v>4845</v>
      </c>
      <c r="E4841" s="4" t="str">
        <f>HYPERLINK("https://app.crepc.sk/?fn=detailBiblioForm&amp;sid=46945EB1F5D500F5907443D35F")</f>
        <v>https://app.crepc.sk/?fn=detailBiblioForm&amp;sid=46945EB1F5D500F5907443D35F</v>
      </c>
    </row>
    <row r="4842" spans="3:5" ht="75" x14ac:dyDescent="0.25">
      <c r="C4842" s="15">
        <v>109515</v>
      </c>
      <c r="D4842" s="4" t="s">
        <v>4846</v>
      </c>
      <c r="E4842" s="4" t="str">
        <f>HYPERLINK("https://app.crepc.sk/?fn=detailBiblioForm&amp;sid=CF0733CC879F468F70042F5660")</f>
        <v>https://app.crepc.sk/?fn=detailBiblioForm&amp;sid=CF0733CC879F468F70042F5660</v>
      </c>
    </row>
    <row r="4843" spans="3:5" ht="75" x14ac:dyDescent="0.25">
      <c r="C4843" s="15">
        <v>149430</v>
      </c>
      <c r="D4843" s="4" t="s">
        <v>4847</v>
      </c>
      <c r="E4843" s="4" t="str">
        <f>HYPERLINK("https://app.crepc.sk/?fn=detailBiblioForm&amp;sid=9A235537CE409871D7744B56C9")</f>
        <v>https://app.crepc.sk/?fn=detailBiblioForm&amp;sid=9A235537CE409871D7744B56C9</v>
      </c>
    </row>
    <row r="4844" spans="3:5" ht="150" x14ac:dyDescent="0.25">
      <c r="C4844" s="15">
        <v>313720</v>
      </c>
      <c r="D4844" s="4" t="s">
        <v>4848</v>
      </c>
      <c r="E4844" s="4" t="str">
        <f>HYPERLINK("https://app.crepc.sk/?fn=detailBiblioForm&amp;sid=54D25A27962CDFF2C7C2F50D21")</f>
        <v>https://app.crepc.sk/?fn=detailBiblioForm&amp;sid=54D25A27962CDFF2C7C2F50D21</v>
      </c>
    </row>
    <row r="4845" spans="3:5" ht="60" x14ac:dyDescent="0.25">
      <c r="C4845" s="15">
        <v>61827</v>
      </c>
      <c r="D4845" s="4" t="s">
        <v>4849</v>
      </c>
      <c r="E4845" s="4" t="str">
        <f>HYPERLINK("https://app.crepc.sk/?fn=detailBiblioForm&amp;sid=408158EC7D03EF7727F9CDAD")</f>
        <v>https://app.crepc.sk/?fn=detailBiblioForm&amp;sid=408158EC7D03EF7727F9CDAD</v>
      </c>
    </row>
    <row r="4846" spans="3:5" ht="45" x14ac:dyDescent="0.25">
      <c r="C4846" s="15">
        <v>104213</v>
      </c>
      <c r="D4846" s="4" t="s">
        <v>4850</v>
      </c>
      <c r="E4846" s="4" t="str">
        <f>HYPERLINK("https://app.crepc.sk/?fn=detailBiblioForm&amp;sid=6E72E145B6DED42F4CC088103F")</f>
        <v>https://app.crepc.sk/?fn=detailBiblioForm&amp;sid=6E72E145B6DED42F4CC088103F</v>
      </c>
    </row>
    <row r="4847" spans="3:5" ht="45" x14ac:dyDescent="0.25">
      <c r="C4847" s="15">
        <v>95497</v>
      </c>
      <c r="D4847" s="4" t="s">
        <v>4851</v>
      </c>
      <c r="E4847" s="4" t="str">
        <f>HYPERLINK("https://app.crepc.sk/?fn=detailBiblioForm&amp;sid=76005098D165B57D3C4B1E45")</f>
        <v>https://app.crepc.sk/?fn=detailBiblioForm&amp;sid=76005098D165B57D3C4B1E45</v>
      </c>
    </row>
    <row r="4848" spans="3:5" ht="60" x14ac:dyDescent="0.25">
      <c r="C4848" s="15">
        <v>213084</v>
      </c>
      <c r="D4848" s="4" t="s">
        <v>4852</v>
      </c>
      <c r="E4848" s="4" t="str">
        <f>HYPERLINK("https://app.crepc.sk/?fn=detailBiblioForm&amp;sid=08CCA24EEC3F6BB4713586760C")</f>
        <v>https://app.crepc.sk/?fn=detailBiblioForm&amp;sid=08CCA24EEC3F6BB4713586760C</v>
      </c>
    </row>
    <row r="4849" spans="3:5" ht="150" x14ac:dyDescent="0.25">
      <c r="C4849" s="15">
        <v>126758</v>
      </c>
      <c r="D4849" s="4" t="s">
        <v>4853</v>
      </c>
      <c r="E4849" s="4" t="str">
        <f>HYPERLINK("https://app.crepc.sk/?fn=detailBiblioForm&amp;sid=BF2E02CB30820396A8E85B7C2B")</f>
        <v>https://app.crepc.sk/?fn=detailBiblioForm&amp;sid=BF2E02CB30820396A8E85B7C2B</v>
      </c>
    </row>
    <row r="4850" spans="3:5" ht="75" x14ac:dyDescent="0.25">
      <c r="C4850" s="15">
        <v>316211</v>
      </c>
      <c r="D4850" s="4" t="s">
        <v>4854</v>
      </c>
      <c r="E4850" s="4" t="str">
        <f>HYPERLINK("https://app.crepc.sk/?fn=detailBiblioForm&amp;sid=791E4A260FB3471CC9B5FEBA13")</f>
        <v>https://app.crepc.sk/?fn=detailBiblioForm&amp;sid=791E4A260FB3471CC9B5FEBA13</v>
      </c>
    </row>
    <row r="4851" spans="3:5" ht="60" x14ac:dyDescent="0.25">
      <c r="C4851" s="15">
        <v>65727</v>
      </c>
      <c r="D4851" s="4" t="s">
        <v>4855</v>
      </c>
      <c r="E4851" s="4" t="str">
        <f>HYPERLINK("https://app.crepc.sk/?fn=detailBiblioForm&amp;sid=1F94295352D587E84798F08C")</f>
        <v>https://app.crepc.sk/?fn=detailBiblioForm&amp;sid=1F94295352D587E84798F08C</v>
      </c>
    </row>
    <row r="4852" spans="3:5" ht="150" x14ac:dyDescent="0.25">
      <c r="C4852" s="15">
        <v>126757</v>
      </c>
      <c r="D4852" s="4" t="s">
        <v>4856</v>
      </c>
      <c r="E4852" s="4" t="str">
        <f>HYPERLINK("https://app.crepc.sk/?fn=detailBiblioForm&amp;sid=BF2E02CB30820396A8E75B7C2B")</f>
        <v>https://app.crepc.sk/?fn=detailBiblioForm&amp;sid=BF2E02CB30820396A8E75B7C2B</v>
      </c>
    </row>
    <row r="4853" spans="3:5" ht="60" x14ac:dyDescent="0.25">
      <c r="C4853" s="15">
        <v>206004</v>
      </c>
      <c r="D4853" s="4" t="s">
        <v>4857</v>
      </c>
      <c r="E4853" s="4" t="str">
        <f>HYPERLINK("https://app.crepc.sk/?fn=detailBiblioForm&amp;sid=8A3D6BC1A0983428FD66184B23")</f>
        <v>https://app.crepc.sk/?fn=detailBiblioForm&amp;sid=8A3D6BC1A0983428FD66184B23</v>
      </c>
    </row>
    <row r="4854" spans="3:5" ht="75" x14ac:dyDescent="0.25">
      <c r="C4854" s="15">
        <v>310754</v>
      </c>
      <c r="D4854" s="4" t="s">
        <v>4858</v>
      </c>
      <c r="E4854" s="4" t="str">
        <f>HYPERLINK("https://app.crepc.sk/?fn=detailBiblioForm&amp;sid=BA568C50EF7A76E2D6F014E589")</f>
        <v>https://app.crepc.sk/?fn=detailBiblioForm&amp;sid=BA568C50EF7A76E2D6F014E589</v>
      </c>
    </row>
    <row r="4855" spans="3:5" ht="75" x14ac:dyDescent="0.25">
      <c r="C4855" s="15">
        <v>211803</v>
      </c>
      <c r="D4855" s="4" t="s">
        <v>4859</v>
      </c>
      <c r="E4855" s="4" t="str">
        <f>HYPERLINK("https://app.crepc.sk/?fn=detailBiblioForm&amp;sid=0B37DC9B180395838AEE452AC4")</f>
        <v>https://app.crepc.sk/?fn=detailBiblioForm&amp;sid=0B37DC9B180395838AEE452AC4</v>
      </c>
    </row>
    <row r="4856" spans="3:5" ht="90" x14ac:dyDescent="0.25">
      <c r="C4856" s="15">
        <v>316168</v>
      </c>
      <c r="D4856" s="4" t="s">
        <v>4860</v>
      </c>
      <c r="E4856" s="4" t="str">
        <f>HYPERLINK("https://app.crepc.sk/?fn=detailBiblioForm&amp;sid=C23E7C285E3A8C28F162E56553")</f>
        <v>https://app.crepc.sk/?fn=detailBiblioForm&amp;sid=C23E7C285E3A8C28F162E56553</v>
      </c>
    </row>
    <row r="4857" spans="3:5" ht="90" x14ac:dyDescent="0.25">
      <c r="C4857" s="15">
        <v>211795</v>
      </c>
      <c r="D4857" s="4" t="s">
        <v>4861</v>
      </c>
      <c r="E4857" s="4" t="str">
        <f>HYPERLINK("https://app.crepc.sk/?fn=detailBiblioForm&amp;sid=936179ABD4330FC85CD709B041")</f>
        <v>https://app.crepc.sk/?fn=detailBiblioForm&amp;sid=936179ABD4330FC85CD709B041</v>
      </c>
    </row>
    <row r="4858" spans="3:5" ht="105" x14ac:dyDescent="0.25">
      <c r="C4858" s="15">
        <v>89174</v>
      </c>
      <c r="D4858" s="4" t="s">
        <v>4862</v>
      </c>
      <c r="E4858" s="4" t="str">
        <f>HYPERLINK("https://app.crepc.sk/?fn=detailBiblioForm&amp;sid=71BFC19BAF5D1C234870DFF5")</f>
        <v>https://app.crepc.sk/?fn=detailBiblioForm&amp;sid=71BFC19BAF5D1C234870DFF5</v>
      </c>
    </row>
    <row r="4859" spans="3:5" ht="75" x14ac:dyDescent="0.25">
      <c r="C4859" s="15">
        <v>124443</v>
      </c>
      <c r="D4859" s="4" t="s">
        <v>4863</v>
      </c>
      <c r="E4859" s="4" t="str">
        <f>HYPERLINK("https://app.crepc.sk/?fn=detailBiblioForm&amp;sid=334EBFF4980CD77447442B0A8A")</f>
        <v>https://app.crepc.sk/?fn=detailBiblioForm&amp;sid=334EBFF4980CD77447442B0A8A</v>
      </c>
    </row>
    <row r="4860" spans="3:5" ht="60" x14ac:dyDescent="0.25">
      <c r="C4860" s="15">
        <v>143979</v>
      </c>
      <c r="D4860" s="4" t="s">
        <v>4864</v>
      </c>
      <c r="E4860" s="4" t="str">
        <f>HYPERLINK("https://app.crepc.sk/?fn=detailBiblioForm&amp;sid=41FC96EDD2671FA9894D71F5E6")</f>
        <v>https://app.crepc.sk/?fn=detailBiblioForm&amp;sid=41FC96EDD2671FA9894D71F5E6</v>
      </c>
    </row>
    <row r="4861" spans="3:5" ht="75" x14ac:dyDescent="0.25">
      <c r="C4861" s="15">
        <v>84739</v>
      </c>
      <c r="D4861" s="4" t="s">
        <v>4865</v>
      </c>
      <c r="E4861" s="4" t="str">
        <f>HYPERLINK("https://app.crepc.sk/?fn=detailBiblioForm&amp;sid=4F4FA5C20D1DFB491360F0E9")</f>
        <v>https://app.crepc.sk/?fn=detailBiblioForm&amp;sid=4F4FA5C20D1DFB491360F0E9</v>
      </c>
    </row>
    <row r="4862" spans="3:5" ht="90" x14ac:dyDescent="0.25">
      <c r="C4862" s="15">
        <v>117269</v>
      </c>
      <c r="D4862" s="4" t="s">
        <v>4866</v>
      </c>
      <c r="E4862" s="4" t="str">
        <f>HYPERLINK("https://app.crepc.sk/?fn=detailBiblioForm&amp;sid=4152576857568BE6FF1B899DC6")</f>
        <v>https://app.crepc.sk/?fn=detailBiblioForm&amp;sid=4152576857568BE6FF1B899DC6</v>
      </c>
    </row>
    <row r="4863" spans="3:5" ht="60" x14ac:dyDescent="0.25">
      <c r="C4863" s="15">
        <v>143984</v>
      </c>
      <c r="D4863" s="4" t="s">
        <v>4867</v>
      </c>
      <c r="E4863" s="4" t="str">
        <f>HYPERLINK("https://app.crepc.sk/?fn=detailBiblioForm&amp;sid=41FC96EDD2671FA9864071F5E6")</f>
        <v>https://app.crepc.sk/?fn=detailBiblioForm&amp;sid=41FC96EDD2671FA9864071F5E6</v>
      </c>
    </row>
    <row r="4864" spans="3:5" ht="60" x14ac:dyDescent="0.25">
      <c r="C4864" s="15">
        <v>206003</v>
      </c>
      <c r="D4864" s="4" t="s">
        <v>4868</v>
      </c>
      <c r="E4864" s="4" t="str">
        <f>HYPERLINK("https://app.crepc.sk/?fn=detailBiblioForm&amp;sid=8A3D6BC1A0983428FD61184B23")</f>
        <v>https://app.crepc.sk/?fn=detailBiblioForm&amp;sid=8A3D6BC1A0983428FD61184B23</v>
      </c>
    </row>
    <row r="4865" spans="3:5" ht="60" x14ac:dyDescent="0.25">
      <c r="C4865" s="15">
        <v>206489</v>
      </c>
      <c r="D4865" s="4" t="s">
        <v>4869</v>
      </c>
      <c r="E4865" s="4" t="str">
        <f>HYPERLINK("https://app.crepc.sk/?fn=detailBiblioForm&amp;sid=9EADD462503AFBCA2F5D1F908F")</f>
        <v>https://app.crepc.sk/?fn=detailBiblioForm&amp;sid=9EADD462503AFBCA2F5D1F908F</v>
      </c>
    </row>
    <row r="4866" spans="3:5" ht="60" x14ac:dyDescent="0.25">
      <c r="C4866" s="15">
        <v>96258</v>
      </c>
      <c r="D4866" s="4" t="s">
        <v>4870</v>
      </c>
      <c r="E4866" s="4" t="str">
        <f>HYPERLINK("https://app.crepc.sk/?fn=detailBiblioForm&amp;sid=FD53C751529AB1BC606F3340")</f>
        <v>https://app.crepc.sk/?fn=detailBiblioForm&amp;sid=FD53C751529AB1BC606F3340</v>
      </c>
    </row>
    <row r="4867" spans="3:5" ht="60" x14ac:dyDescent="0.25">
      <c r="C4867" s="15">
        <v>202287</v>
      </c>
      <c r="D4867" s="4" t="s">
        <v>4871</v>
      </c>
      <c r="E4867" s="4" t="str">
        <f>HYPERLINK("https://app.crepc.sk/?fn=detailBiblioForm&amp;sid=328A0EA2F0FAB7AE8C6F93E35A")</f>
        <v>https://app.crepc.sk/?fn=detailBiblioForm&amp;sid=328A0EA2F0FAB7AE8C6F93E35A</v>
      </c>
    </row>
    <row r="4868" spans="3:5" ht="75" x14ac:dyDescent="0.25">
      <c r="C4868" s="15">
        <v>88341</v>
      </c>
      <c r="D4868" s="4" t="s">
        <v>4872</v>
      </c>
      <c r="E4868" s="4" t="str">
        <f>HYPERLINK("https://app.crepc.sk/?fn=detailBiblioForm&amp;sid=1B27DFA7C31CB08528FB583F")</f>
        <v>https://app.crepc.sk/?fn=detailBiblioForm&amp;sid=1B27DFA7C31CB08528FB583F</v>
      </c>
    </row>
    <row r="4869" spans="3:5" ht="60" x14ac:dyDescent="0.25">
      <c r="C4869" s="15">
        <v>309455</v>
      </c>
      <c r="D4869" s="4" t="s">
        <v>4873</v>
      </c>
      <c r="E4869" s="4" t="str">
        <f>HYPERLINK("https://app.crepc.sk/?fn=detailBiblioForm&amp;sid=A4BE3C27DBDCF4079F5F8786D9")</f>
        <v>https://app.crepc.sk/?fn=detailBiblioForm&amp;sid=A4BE3C27DBDCF4079F5F8786D9</v>
      </c>
    </row>
    <row r="4870" spans="3:5" ht="60" x14ac:dyDescent="0.25">
      <c r="C4870" s="15">
        <v>71326</v>
      </c>
      <c r="D4870" s="4" t="s">
        <v>4874</v>
      </c>
      <c r="E4870" s="4" t="str">
        <f>HYPERLINK("https://app.crepc.sk/?fn=detailBiblioForm&amp;sid=80D4D72553BDF7B801F5E454")</f>
        <v>https://app.crepc.sk/?fn=detailBiblioForm&amp;sid=80D4D72553BDF7B801F5E454</v>
      </c>
    </row>
    <row r="4871" spans="3:5" ht="75" x14ac:dyDescent="0.25">
      <c r="C4871" s="15">
        <v>437960</v>
      </c>
      <c r="D4871" s="4" t="s">
        <v>4875</v>
      </c>
      <c r="E4871" s="4" t="str">
        <f>HYPERLINK("https://app.crepc.sk/?fn=detailBiblioForm&amp;sid=C250D8BE72838170EFC9CEA6C9")</f>
        <v>https://app.crepc.sk/?fn=detailBiblioForm&amp;sid=C250D8BE72838170EFC9CEA6C9</v>
      </c>
    </row>
    <row r="4872" spans="3:5" ht="60" x14ac:dyDescent="0.25">
      <c r="C4872" s="15">
        <v>95534</v>
      </c>
      <c r="D4872" s="4" t="s">
        <v>4876</v>
      </c>
      <c r="E4872" s="4" t="str">
        <f>HYPERLINK("https://app.crepc.sk/?fn=detailBiblioForm&amp;sid=D8141F1CDC1A27C6FD854822")</f>
        <v>https://app.crepc.sk/?fn=detailBiblioForm&amp;sid=D8141F1CDC1A27C6FD854822</v>
      </c>
    </row>
    <row r="4873" spans="3:5" ht="60" x14ac:dyDescent="0.25">
      <c r="C4873" s="15">
        <v>206759</v>
      </c>
      <c r="D4873" s="4" t="s">
        <v>4877</v>
      </c>
      <c r="E4873" s="4" t="str">
        <f>HYPERLINK("https://app.crepc.sk/?fn=detailBiblioForm&amp;sid=DF29B71B83315C1236946F6198")</f>
        <v>https://app.crepc.sk/?fn=detailBiblioForm&amp;sid=DF29B71B83315C1236946F6198</v>
      </c>
    </row>
    <row r="4874" spans="3:5" ht="75" x14ac:dyDescent="0.25">
      <c r="C4874" s="15">
        <v>211798</v>
      </c>
      <c r="D4874" s="4" t="s">
        <v>4878</v>
      </c>
      <c r="E4874" s="4" t="str">
        <f>HYPERLINK("https://app.crepc.sk/?fn=detailBiblioForm&amp;sid=936179ABD4330FC85CDA09B041")</f>
        <v>https://app.crepc.sk/?fn=detailBiblioForm&amp;sid=936179ABD4330FC85CDA09B041</v>
      </c>
    </row>
    <row r="4875" spans="3:5" ht="60" x14ac:dyDescent="0.25">
      <c r="C4875" s="15">
        <v>206475</v>
      </c>
      <c r="D4875" s="4" t="s">
        <v>4879</v>
      </c>
      <c r="E4875" s="4" t="str">
        <f>HYPERLINK("https://app.crepc.sk/?fn=detailBiblioForm&amp;sid=9EADD462503AFBCA20511F908F")</f>
        <v>https://app.crepc.sk/?fn=detailBiblioForm&amp;sid=9EADD462503AFBCA20511F908F</v>
      </c>
    </row>
    <row r="4876" spans="3:5" ht="60" x14ac:dyDescent="0.25">
      <c r="C4876" s="15">
        <v>208521</v>
      </c>
      <c r="D4876" s="4" t="s">
        <v>4880</v>
      </c>
      <c r="E4876" s="4" t="str">
        <f>HYPERLINK("https://app.crepc.sk/?fn=detailBiblioForm&amp;sid=9498AC2C2D7C445A82788E28BD")</f>
        <v>https://app.crepc.sk/?fn=detailBiblioForm&amp;sid=9498AC2C2D7C445A82788E28BD</v>
      </c>
    </row>
    <row r="4877" spans="3:5" ht="150" x14ac:dyDescent="0.25">
      <c r="C4877" s="15">
        <v>194810</v>
      </c>
      <c r="D4877" s="4" t="s">
        <v>4881</v>
      </c>
      <c r="E4877" s="4" t="str">
        <f>HYPERLINK("https://app.crepc.sk/?fn=detailBiblioForm&amp;sid=731BBBC0D00D7D7B053B010E9F")</f>
        <v>https://app.crepc.sk/?fn=detailBiblioForm&amp;sid=731BBBC0D00D7D7B053B010E9F</v>
      </c>
    </row>
    <row r="4878" spans="3:5" ht="60" x14ac:dyDescent="0.25">
      <c r="C4878" s="15">
        <v>167476</v>
      </c>
      <c r="D4878" s="4" t="s">
        <v>4882</v>
      </c>
      <c r="E4878" s="4" t="str">
        <f>HYPERLINK("https://app.crepc.sk/?fn=detailBiblioForm&amp;sid=5C1288C836E60822D3E1CB6202")</f>
        <v>https://app.crepc.sk/?fn=detailBiblioForm&amp;sid=5C1288C836E60822D3E1CB6202</v>
      </c>
    </row>
    <row r="4879" spans="3:5" ht="90" x14ac:dyDescent="0.25">
      <c r="C4879" s="15">
        <v>218075</v>
      </c>
      <c r="D4879" s="4" t="s">
        <v>4883</v>
      </c>
      <c r="E4879" s="4" t="str">
        <f>HYPERLINK("https://app.crepc.sk/?fn=detailBiblioForm&amp;sid=B4AE1C6FCFC18FC5C0A9C31CB6")</f>
        <v>https://app.crepc.sk/?fn=detailBiblioForm&amp;sid=B4AE1C6FCFC18FC5C0A9C31CB6</v>
      </c>
    </row>
    <row r="4880" spans="3:5" ht="75" x14ac:dyDescent="0.25">
      <c r="C4880" s="15">
        <v>75834</v>
      </c>
      <c r="D4880" s="4" t="s">
        <v>4884</v>
      </c>
      <c r="E4880" s="4" t="str">
        <f>HYPERLINK("https://app.crepc.sk/?fn=detailBiblioForm&amp;sid=BF123B17EB3A34DB73D1E269")</f>
        <v>https://app.crepc.sk/?fn=detailBiblioForm&amp;sid=BF123B17EB3A34DB73D1E269</v>
      </c>
    </row>
    <row r="4881" spans="3:5" ht="60" x14ac:dyDescent="0.25">
      <c r="C4881" s="15">
        <v>187845</v>
      </c>
      <c r="D4881" s="4" t="s">
        <v>4885</v>
      </c>
      <c r="E4881" s="4" t="str">
        <f>HYPERLINK("https://app.crepc.sk/?fn=detailBiblioForm&amp;sid=CB4D57913478E3D225CCD6734D")</f>
        <v>https://app.crepc.sk/?fn=detailBiblioForm&amp;sid=CB4D57913478E3D225CCD6734D</v>
      </c>
    </row>
    <row r="4882" spans="3:5" ht="150" x14ac:dyDescent="0.25">
      <c r="C4882" s="15">
        <v>126761</v>
      </c>
      <c r="D4882" s="4" t="s">
        <v>4886</v>
      </c>
      <c r="E4882" s="4" t="str">
        <f>HYPERLINK("https://app.crepc.sk/?fn=detailBiblioForm&amp;sid=BF2E02CB30820396ABE15B7C2B")</f>
        <v>https://app.crepc.sk/?fn=detailBiblioForm&amp;sid=BF2E02CB30820396ABE15B7C2B</v>
      </c>
    </row>
    <row r="4883" spans="3:5" ht="90" x14ac:dyDescent="0.25">
      <c r="C4883" s="15">
        <v>442292</v>
      </c>
      <c r="D4883" s="4" t="s">
        <v>4887</v>
      </c>
      <c r="E4883" s="4" t="str">
        <f>HYPERLINK("https://app.crepc.sk/?fn=detailBiblioForm&amp;sid=449A78BFE483A8EAF4F549C553")</f>
        <v>https://app.crepc.sk/?fn=detailBiblioForm&amp;sid=449A78BFE483A8EAF4F549C553</v>
      </c>
    </row>
    <row r="4884" spans="3:5" ht="60" x14ac:dyDescent="0.25">
      <c r="C4884" s="15">
        <v>206476</v>
      </c>
      <c r="D4884" s="4" t="s">
        <v>4888</v>
      </c>
      <c r="E4884" s="4" t="str">
        <f>HYPERLINK("https://app.crepc.sk/?fn=detailBiblioForm&amp;sid=9EADD462503AFBCA20521F908F")</f>
        <v>https://app.crepc.sk/?fn=detailBiblioForm&amp;sid=9EADD462503AFBCA20521F908F</v>
      </c>
    </row>
    <row r="4885" spans="3:5" ht="90" x14ac:dyDescent="0.25">
      <c r="C4885" s="15">
        <v>450204</v>
      </c>
      <c r="D4885" s="4" t="s">
        <v>4889</v>
      </c>
      <c r="E4885" s="4" t="str">
        <f>HYPERLINK("https://app.crepc.sk/?fn=detailBiblioForm&amp;sid=E32E07FA2B7E63F0D765D94A58")</f>
        <v>https://app.crepc.sk/?fn=detailBiblioForm&amp;sid=E32E07FA2B7E63F0D765D94A58</v>
      </c>
    </row>
    <row r="4886" spans="3:5" ht="60" x14ac:dyDescent="0.25">
      <c r="C4886" s="15">
        <v>109503</v>
      </c>
      <c r="D4886" s="4" t="s">
        <v>4890</v>
      </c>
      <c r="E4886" s="4" t="str">
        <f>HYPERLINK("https://app.crepc.sk/?fn=detailBiblioForm&amp;sid=CF0733CC879F468F71022F5660")</f>
        <v>https://app.crepc.sk/?fn=detailBiblioForm&amp;sid=CF0733CC879F468F71022F5660</v>
      </c>
    </row>
    <row r="4887" spans="3:5" ht="75" x14ac:dyDescent="0.25">
      <c r="C4887" s="15">
        <v>133454</v>
      </c>
      <c r="D4887" s="4" t="s">
        <v>4891</v>
      </c>
      <c r="E4887" s="4" t="str">
        <f>HYPERLINK("https://app.crepc.sk/?fn=detailBiblioForm&amp;sid=062C1ED5E40068C512D17EA354")</f>
        <v>https://app.crepc.sk/?fn=detailBiblioForm&amp;sid=062C1ED5E40068C512D17EA354</v>
      </c>
    </row>
    <row r="4888" spans="3:5" ht="75" x14ac:dyDescent="0.25">
      <c r="C4888" s="15">
        <v>316163</v>
      </c>
      <c r="D4888" s="4" t="s">
        <v>4892</v>
      </c>
      <c r="E4888" s="4" t="str">
        <f>HYPERLINK("https://app.crepc.sk/?fn=detailBiblioForm&amp;sid=C23E7C285E3A8C28F169E56553")</f>
        <v>https://app.crepc.sk/?fn=detailBiblioForm&amp;sid=C23E7C285E3A8C28F169E56553</v>
      </c>
    </row>
    <row r="4889" spans="3:5" ht="60" x14ac:dyDescent="0.25">
      <c r="C4889" s="15">
        <v>240144</v>
      </c>
      <c r="D4889" s="4" t="s">
        <v>4893</v>
      </c>
      <c r="E4889" s="4" t="str">
        <f>HYPERLINK("https://app.crepc.sk/?fn=detailBiblioForm&amp;sid=8C03137733E1322943E9B71FC2")</f>
        <v>https://app.crepc.sk/?fn=detailBiblioForm&amp;sid=8C03137733E1322943E9B71FC2</v>
      </c>
    </row>
    <row r="4890" spans="3:5" ht="60" x14ac:dyDescent="0.25">
      <c r="C4890" s="15">
        <v>109196</v>
      </c>
      <c r="D4890" s="4" t="s">
        <v>4894</v>
      </c>
      <c r="E4890" s="4" t="str">
        <f>HYPERLINK("https://app.crepc.sk/?fn=detailBiblioForm&amp;sid=EB0C227EF6842D1C1570A8D98A")</f>
        <v>https://app.crepc.sk/?fn=detailBiblioForm&amp;sid=EB0C227EF6842D1C1570A8D98A</v>
      </c>
    </row>
    <row r="4891" spans="3:5" ht="60" x14ac:dyDescent="0.25">
      <c r="C4891" s="15">
        <v>104613</v>
      </c>
      <c r="D4891" s="4" t="s">
        <v>4895</v>
      </c>
      <c r="E4891" s="4" t="str">
        <f>HYPERLINK("https://app.crepc.sk/?fn=detailBiblioForm&amp;sid=5F8F25FA85E06C2F94D507F83D")</f>
        <v>https://app.crepc.sk/?fn=detailBiblioForm&amp;sid=5F8F25FA85E06C2F94D507F83D</v>
      </c>
    </row>
    <row r="4892" spans="3:5" ht="45" x14ac:dyDescent="0.25">
      <c r="C4892" s="15">
        <v>167199</v>
      </c>
      <c r="D4892" s="4" t="s">
        <v>4896</v>
      </c>
      <c r="E4892" s="4" t="str">
        <f>HYPERLINK("https://app.crepc.sk/?fn=detailBiblioForm&amp;sid=780C5DA7522A72A295F99DC9C0")</f>
        <v>https://app.crepc.sk/?fn=detailBiblioForm&amp;sid=780C5DA7522A72A295F99DC9C0</v>
      </c>
    </row>
    <row r="4893" spans="3:5" ht="60" x14ac:dyDescent="0.25">
      <c r="C4893" s="15">
        <v>417882</v>
      </c>
      <c r="D4893" s="4" t="s">
        <v>4897</v>
      </c>
      <c r="E4893" s="4" t="str">
        <f>HYPERLINK("https://app.crepc.sk/?fn=detailBiblioForm&amp;sid=2F54B387D39AE8BF2D8D29BD09")</f>
        <v>https://app.crepc.sk/?fn=detailBiblioForm&amp;sid=2F54B387D39AE8BF2D8D29BD09</v>
      </c>
    </row>
    <row r="4894" spans="3:5" ht="75" x14ac:dyDescent="0.25">
      <c r="C4894" s="15">
        <v>453876</v>
      </c>
      <c r="D4894" s="4" t="s">
        <v>4898</v>
      </c>
      <c r="E4894" s="4" t="str">
        <f>HYPERLINK("https://app.crepc.sk/?fn=detailBiblioForm&amp;sid=AA0C8B67AD573C2E58789424C4")</f>
        <v>https://app.crepc.sk/?fn=detailBiblioForm&amp;sid=AA0C8B67AD573C2E58789424C4</v>
      </c>
    </row>
    <row r="4895" spans="3:5" ht="105" x14ac:dyDescent="0.25">
      <c r="C4895" s="15">
        <v>122056</v>
      </c>
      <c r="D4895" s="4" t="s">
        <v>4899</v>
      </c>
      <c r="E4895" s="4" t="str">
        <f>HYPERLINK("https://app.crepc.sk/?fn=detailBiblioForm&amp;sid=889E7E0E7AB5801297F9ADA3B8")</f>
        <v>https://app.crepc.sk/?fn=detailBiblioForm&amp;sid=889E7E0E7AB5801297F9ADA3B8</v>
      </c>
    </row>
    <row r="4896" spans="3:5" ht="150" x14ac:dyDescent="0.25">
      <c r="C4896" s="15">
        <v>194812</v>
      </c>
      <c r="D4896" s="4" t="s">
        <v>4900</v>
      </c>
      <c r="E4896" s="4" t="str">
        <f>HYPERLINK("https://app.crepc.sk/?fn=detailBiblioForm&amp;sid=731BBBC0D00D7D7B0539010E9F")</f>
        <v>https://app.crepc.sk/?fn=detailBiblioForm&amp;sid=731BBBC0D00D7D7B0539010E9F</v>
      </c>
    </row>
    <row r="4897" spans="3:5" ht="150" x14ac:dyDescent="0.25">
      <c r="C4897" s="15">
        <v>126751</v>
      </c>
      <c r="D4897" s="4" t="s">
        <v>4901</v>
      </c>
      <c r="E4897" s="4" t="str">
        <f>HYPERLINK("https://app.crepc.sk/?fn=detailBiblioForm&amp;sid=BF2E02CB30820396A8E15B7C2B")</f>
        <v>https://app.crepc.sk/?fn=detailBiblioForm&amp;sid=BF2E02CB30820396A8E15B7C2B</v>
      </c>
    </row>
    <row r="4898" spans="3:5" ht="75" x14ac:dyDescent="0.25">
      <c r="C4898" s="15">
        <v>223886</v>
      </c>
      <c r="D4898" s="4" t="s">
        <v>4902</v>
      </c>
      <c r="E4898" s="4" t="str">
        <f>HYPERLINK("https://app.crepc.sk/?fn=detailBiblioForm&amp;sid=9EE4F547CBBB65E9D6A8D53878")</f>
        <v>https://app.crepc.sk/?fn=detailBiblioForm&amp;sid=9EE4F547CBBB65E9D6A8D53878</v>
      </c>
    </row>
    <row r="4899" spans="3:5" ht="60" x14ac:dyDescent="0.25">
      <c r="C4899" s="15">
        <v>463424</v>
      </c>
      <c r="D4899" s="4" t="s">
        <v>4903</v>
      </c>
      <c r="E4899" s="4" t="str">
        <f>HYPERLINK("https://app.crepc.sk/?fn=detailBiblioForm&amp;sid=796E8C6E642B47B1685E0D1BEB")</f>
        <v>https://app.crepc.sk/?fn=detailBiblioForm&amp;sid=796E8C6E642B47B1685E0D1BEB</v>
      </c>
    </row>
    <row r="4900" spans="3:5" ht="45" x14ac:dyDescent="0.25">
      <c r="C4900" s="15">
        <v>144048</v>
      </c>
      <c r="D4900" s="4" t="s">
        <v>4904</v>
      </c>
      <c r="E4900" s="4" t="str">
        <f>HYPERLINK("https://app.crepc.sk/?fn=detailBiblioForm&amp;sid=3B3C390F92023FADB8F3AAFB13")</f>
        <v>https://app.crepc.sk/?fn=detailBiblioForm&amp;sid=3B3C390F92023FADB8F3AAFB13</v>
      </c>
    </row>
    <row r="4901" spans="3:5" ht="60" x14ac:dyDescent="0.25">
      <c r="C4901" s="15">
        <v>104605</v>
      </c>
      <c r="D4901" s="4" t="s">
        <v>4905</v>
      </c>
      <c r="E4901" s="4" t="str">
        <f>HYPERLINK("https://app.crepc.sk/?fn=detailBiblioForm&amp;sid=5F8F25FA85E06C2F95D307F83D")</f>
        <v>https://app.crepc.sk/?fn=detailBiblioForm&amp;sid=5F8F25FA85E06C2F95D307F83D</v>
      </c>
    </row>
    <row r="4902" spans="3:5" ht="75" x14ac:dyDescent="0.25">
      <c r="C4902" s="15">
        <v>117267</v>
      </c>
      <c r="D4902" s="4" t="s">
        <v>4906</v>
      </c>
      <c r="E4902" s="4" t="str">
        <f>HYPERLINK("https://app.crepc.sk/?fn=detailBiblioForm&amp;sid=4152576857568BE6FF15899DC6")</f>
        <v>https://app.crepc.sk/?fn=detailBiblioForm&amp;sid=4152576857568BE6FF15899DC6</v>
      </c>
    </row>
    <row r="4903" spans="3:5" ht="60" x14ac:dyDescent="0.25">
      <c r="C4903" s="15">
        <v>143986</v>
      </c>
      <c r="D4903" s="4" t="s">
        <v>4907</v>
      </c>
      <c r="E4903" s="4" t="str">
        <f>HYPERLINK("https://app.crepc.sk/?fn=detailBiblioForm&amp;sid=41FC96EDD2671FA9864271F5E6")</f>
        <v>https://app.crepc.sk/?fn=detailBiblioForm&amp;sid=41FC96EDD2671FA9864271F5E6</v>
      </c>
    </row>
    <row r="4904" spans="3:5" ht="60" x14ac:dyDescent="0.25">
      <c r="C4904" s="15">
        <v>206484</v>
      </c>
      <c r="D4904" s="4" t="s">
        <v>4908</v>
      </c>
      <c r="E4904" s="4" t="str">
        <f>HYPERLINK("https://app.crepc.sk/?fn=detailBiblioForm&amp;sid=9EADD462503AFBCA2F501F908F")</f>
        <v>https://app.crepc.sk/?fn=detailBiblioForm&amp;sid=9EADD462503AFBCA2F501F908F</v>
      </c>
    </row>
    <row r="4905" spans="3:5" ht="60" x14ac:dyDescent="0.25">
      <c r="C4905" s="15">
        <v>206465</v>
      </c>
      <c r="D4905" s="4" t="s">
        <v>4909</v>
      </c>
      <c r="E4905" s="4" t="str">
        <f>HYPERLINK("https://app.crepc.sk/?fn=detailBiblioForm&amp;sid=9EADD462503AFBCA21511F908F")</f>
        <v>https://app.crepc.sk/?fn=detailBiblioForm&amp;sid=9EADD462503AFBCA21511F908F</v>
      </c>
    </row>
    <row r="4906" spans="3:5" ht="60" x14ac:dyDescent="0.25">
      <c r="C4906" s="15">
        <v>431827</v>
      </c>
      <c r="D4906" s="4" t="s">
        <v>4910</v>
      </c>
      <c r="E4906" s="4" t="str">
        <f>HYPERLINK("https://app.crepc.sk/?fn=detailBiblioForm&amp;sid=3DE6CF9C5F52DC5A479562B88A")</f>
        <v>https://app.crepc.sk/?fn=detailBiblioForm&amp;sid=3DE6CF9C5F52DC5A479562B88A</v>
      </c>
    </row>
    <row r="4907" spans="3:5" ht="60" x14ac:dyDescent="0.25">
      <c r="C4907" s="15">
        <v>137563</v>
      </c>
      <c r="D4907" s="4" t="s">
        <v>4911</v>
      </c>
      <c r="E4907" s="4" t="str">
        <f>HYPERLINK("https://app.crepc.sk/?fn=detailBiblioForm&amp;sid=3E9AEE53085E0AC85D9B91864D")</f>
        <v>https://app.crepc.sk/?fn=detailBiblioForm&amp;sid=3E9AEE53085E0AC85D9B91864D</v>
      </c>
    </row>
    <row r="4908" spans="3:5" ht="60" x14ac:dyDescent="0.25">
      <c r="C4908" s="15">
        <v>109547</v>
      </c>
      <c r="D4908" s="4" t="s">
        <v>4912</v>
      </c>
      <c r="E4908" s="4" t="str">
        <f>HYPERLINK("https://app.crepc.sk/?fn=detailBiblioForm&amp;sid=CF0733CC879F468F75062F5660")</f>
        <v>https://app.crepc.sk/?fn=detailBiblioForm&amp;sid=CF0733CC879F468F75062F5660</v>
      </c>
    </row>
    <row r="4909" spans="3:5" ht="60" x14ac:dyDescent="0.25">
      <c r="C4909" s="15">
        <v>196265</v>
      </c>
      <c r="D4909" s="4" t="s">
        <v>4913</v>
      </c>
      <c r="E4909" s="4" t="str">
        <f>HYPERLINK("https://app.crepc.sk/?fn=detailBiblioForm&amp;sid=DEAAEB997C45B7BDE91FF92F8C")</f>
        <v>https://app.crepc.sk/?fn=detailBiblioForm&amp;sid=DEAAEB997C45B7BDE91FF92F8C</v>
      </c>
    </row>
    <row r="4910" spans="3:5" ht="75" x14ac:dyDescent="0.25">
      <c r="C4910" s="15">
        <v>109553</v>
      </c>
      <c r="D4910" s="4" t="s">
        <v>4914</v>
      </c>
      <c r="E4910" s="4" t="str">
        <f>HYPERLINK("https://app.crepc.sk/?fn=detailBiblioForm&amp;sid=CF0733CC879F468F74022F5660")</f>
        <v>https://app.crepc.sk/?fn=detailBiblioForm&amp;sid=CF0733CC879F468F74022F5660</v>
      </c>
    </row>
    <row r="4911" spans="3:5" ht="60" x14ac:dyDescent="0.25">
      <c r="C4911" s="15">
        <v>417871</v>
      </c>
      <c r="D4911" s="4" t="s">
        <v>4915</v>
      </c>
      <c r="E4911" s="4" t="str">
        <f>HYPERLINK("https://app.crepc.sk/?fn=detailBiblioForm&amp;sid=2F54B387D39AE8BF228E29BD09")</f>
        <v>https://app.crepc.sk/?fn=detailBiblioForm&amp;sid=2F54B387D39AE8BF228E29BD09</v>
      </c>
    </row>
    <row r="4912" spans="3:5" ht="60" x14ac:dyDescent="0.25">
      <c r="C4912" s="15">
        <v>61822</v>
      </c>
      <c r="D4912" s="4" t="s">
        <v>4916</v>
      </c>
      <c r="E4912" s="4" t="str">
        <f>HYPERLINK("https://app.crepc.sk/?fn=detailBiblioForm&amp;sid=408158EC7D03EF7722F9CDAD")</f>
        <v>https://app.crepc.sk/?fn=detailBiblioForm&amp;sid=408158EC7D03EF7722F9CDAD</v>
      </c>
    </row>
    <row r="4913" spans="3:5" ht="60" x14ac:dyDescent="0.25">
      <c r="C4913" s="15">
        <v>216372</v>
      </c>
      <c r="D4913" s="4" t="s">
        <v>4917</v>
      </c>
      <c r="E4913" s="4" t="str">
        <f>HYPERLINK("https://app.crepc.sk/?fn=detailBiblioForm&amp;sid=B3C0B14686B6D9E38D2B044AD4")</f>
        <v>https://app.crepc.sk/?fn=detailBiblioForm&amp;sid=B3C0B14686B6D9E38D2B044AD4</v>
      </c>
    </row>
    <row r="4914" spans="3:5" ht="45" x14ac:dyDescent="0.25">
      <c r="C4914" s="15">
        <v>95507</v>
      </c>
      <c r="D4914" s="4" t="s">
        <v>4918</v>
      </c>
      <c r="E4914" s="4" t="str">
        <f>HYPERLINK("https://app.crepc.sk/?fn=detailBiblioForm&amp;sid=76A7C3685D569810CB4AB0E0")</f>
        <v>https://app.crepc.sk/?fn=detailBiblioForm&amp;sid=76A7C3685D569810CB4AB0E0</v>
      </c>
    </row>
    <row r="4915" spans="3:5" ht="45" x14ac:dyDescent="0.25">
      <c r="C4915" s="15">
        <v>207019</v>
      </c>
      <c r="D4915" s="4" t="s">
        <v>4919</v>
      </c>
      <c r="E4915" s="4" t="str">
        <f>HYPERLINK("https://app.crepc.sk/?fn=detailBiblioForm&amp;sid=0C78960071567D8D0F1E384767")</f>
        <v>https://app.crepc.sk/?fn=detailBiblioForm&amp;sid=0C78960071567D8D0F1E384767</v>
      </c>
    </row>
    <row r="4916" spans="3:5" ht="60" x14ac:dyDescent="0.25">
      <c r="C4916" s="15">
        <v>206496</v>
      </c>
      <c r="D4916" s="4" t="s">
        <v>4920</v>
      </c>
      <c r="E4916" s="4" t="str">
        <f>HYPERLINK("https://app.crepc.sk/?fn=detailBiblioForm&amp;sid=9EADD462503AFBCA2E521F908F")</f>
        <v>https://app.crepc.sk/?fn=detailBiblioForm&amp;sid=9EADD462503AFBCA2E521F908F</v>
      </c>
    </row>
    <row r="4917" spans="3:5" ht="60" x14ac:dyDescent="0.25">
      <c r="C4917" s="15">
        <v>113943</v>
      </c>
      <c r="D4917" s="4" t="s">
        <v>4921</v>
      </c>
      <c r="E4917" s="4" t="str">
        <f>HYPERLINK("https://app.crepc.sk/?fn=detailBiblioForm&amp;sid=7B7A9511E55C101CDB1DC367D7")</f>
        <v>https://app.crepc.sk/?fn=detailBiblioForm&amp;sid=7B7A9511E55C101CDB1DC367D7</v>
      </c>
    </row>
    <row r="4918" spans="3:5" ht="60" x14ac:dyDescent="0.25">
      <c r="C4918" s="15">
        <v>121808</v>
      </c>
      <c r="D4918" s="4" t="s">
        <v>4922</v>
      </c>
      <c r="E4918" s="4" t="str">
        <f>HYPERLINK("https://app.crepc.sk/?fn=detailBiblioForm&amp;sid=FB227A2458B7F9F4106F2D5E19")</f>
        <v>https://app.crepc.sk/?fn=detailBiblioForm&amp;sid=FB227A2458B7F9F4106F2D5E19</v>
      </c>
    </row>
    <row r="4919" spans="3:5" ht="150" x14ac:dyDescent="0.25">
      <c r="C4919" s="15">
        <v>194815</v>
      </c>
      <c r="D4919" s="4" t="s">
        <v>4923</v>
      </c>
      <c r="E4919" s="4" t="str">
        <f>HYPERLINK("https://app.crepc.sk/?fn=detailBiblioForm&amp;sid=731BBBC0D00D7D7B053E010E9F")</f>
        <v>https://app.crepc.sk/?fn=detailBiblioForm&amp;sid=731BBBC0D00D7D7B053E010E9F</v>
      </c>
    </row>
    <row r="4920" spans="3:5" ht="165" x14ac:dyDescent="0.25">
      <c r="C4920" s="15">
        <v>194809</v>
      </c>
      <c r="D4920" s="4" t="s">
        <v>4924</v>
      </c>
      <c r="E4920" s="4" t="str">
        <f>HYPERLINK("https://app.crepc.sk/?fn=detailBiblioForm&amp;sid=731BBBC0D00D7D7B0432010E9F")</f>
        <v>https://app.crepc.sk/?fn=detailBiblioForm&amp;sid=731BBBC0D00D7D7B0432010E9F</v>
      </c>
    </row>
    <row r="4921" spans="3:5" ht="75" x14ac:dyDescent="0.25">
      <c r="C4921" s="15">
        <v>208249</v>
      </c>
      <c r="D4921" s="4" t="s">
        <v>4925</v>
      </c>
      <c r="E4921" s="4" t="str">
        <f>HYPERLINK("https://app.crepc.sk/?fn=detailBiblioForm&amp;sid=9AB3B7EDD72446F7CD4CC323B2")</f>
        <v>https://app.crepc.sk/?fn=detailBiblioForm&amp;sid=9AB3B7EDD72446F7CD4CC323B2</v>
      </c>
    </row>
    <row r="4922" spans="3:5" ht="60" x14ac:dyDescent="0.25">
      <c r="C4922" s="15">
        <v>61840</v>
      </c>
      <c r="D4922" s="4" t="s">
        <v>4926</v>
      </c>
      <c r="E4922" s="4" t="str">
        <f>HYPERLINK("https://app.crepc.sk/?fn=detailBiblioForm&amp;sid=0F1A74D94FE914F24D015B39")</f>
        <v>https://app.crepc.sk/?fn=detailBiblioForm&amp;sid=0F1A74D94FE914F24D015B39</v>
      </c>
    </row>
    <row r="4923" spans="3:5" ht="75" x14ac:dyDescent="0.25">
      <c r="C4923" s="15">
        <v>129646</v>
      </c>
      <c r="D4923" s="4" t="s">
        <v>4927</v>
      </c>
      <c r="E4923" s="4" t="str">
        <f>HYPERLINK("https://app.crepc.sk/?fn=detailBiblioForm&amp;sid=ACAA4AF27E5710F223AE8B34E5")</f>
        <v>https://app.crepc.sk/?fn=detailBiblioForm&amp;sid=ACAA4AF27E5710F223AE8B34E5</v>
      </c>
    </row>
    <row r="4924" spans="3:5" ht="60" x14ac:dyDescent="0.25">
      <c r="C4924" s="15">
        <v>85769</v>
      </c>
      <c r="D4924" s="4" t="s">
        <v>4928</v>
      </c>
      <c r="E4924" s="4" t="str">
        <f>HYPERLINK("https://app.crepc.sk/?fn=detailBiblioForm&amp;sid=8BF1488BC5A7F79D52EA59CB")</f>
        <v>https://app.crepc.sk/?fn=detailBiblioForm&amp;sid=8BF1488BC5A7F79D52EA59CB</v>
      </c>
    </row>
    <row r="4925" spans="3:5" ht="105" x14ac:dyDescent="0.25">
      <c r="C4925" s="15">
        <v>89194</v>
      </c>
      <c r="D4925" s="4" t="s">
        <v>4929</v>
      </c>
      <c r="E4925" s="4" t="str">
        <f>HYPERLINK("https://app.crepc.sk/?fn=detailBiblioForm&amp;sid=DD2FB79AAADB4813CE275FAB")</f>
        <v>https://app.crepc.sk/?fn=detailBiblioForm&amp;sid=DD2FB79AAADB4813CE275FAB</v>
      </c>
    </row>
    <row r="4926" spans="3:5" ht="90" x14ac:dyDescent="0.25">
      <c r="C4926" s="15">
        <v>78570</v>
      </c>
      <c r="D4926" s="4" t="s">
        <v>4930</v>
      </c>
      <c r="E4926" s="4" t="str">
        <f>HYPERLINK("https://app.crepc.sk/?fn=detailBiblioForm&amp;sid=2881CAC50F28AE568C873397")</f>
        <v>https://app.crepc.sk/?fn=detailBiblioForm&amp;sid=2881CAC50F28AE568C873397</v>
      </c>
    </row>
    <row r="4927" spans="3:5" ht="60" x14ac:dyDescent="0.25">
      <c r="C4927" s="15">
        <v>143987</v>
      </c>
      <c r="D4927" s="4" t="s">
        <v>4931</v>
      </c>
      <c r="E4927" s="4" t="str">
        <f>HYPERLINK("https://app.crepc.sk/?fn=detailBiblioForm&amp;sid=41FC96EDD2671FA9864371F5E6")</f>
        <v>https://app.crepc.sk/?fn=detailBiblioForm&amp;sid=41FC96EDD2671FA9864371F5E6</v>
      </c>
    </row>
    <row r="4928" spans="3:5" ht="60" x14ac:dyDescent="0.25">
      <c r="C4928" s="15">
        <v>138330</v>
      </c>
      <c r="D4928" s="4" t="s">
        <v>4932</v>
      </c>
      <c r="E4928" s="4" t="str">
        <f>HYPERLINK("https://app.crepc.sk/?fn=detailBiblioForm&amp;sid=7D24A8B9D266E99514C66468AD")</f>
        <v>https://app.crepc.sk/?fn=detailBiblioForm&amp;sid=7D24A8B9D266E99514C66468AD</v>
      </c>
    </row>
    <row r="4929" spans="3:5" ht="60" x14ac:dyDescent="0.25">
      <c r="C4929" s="15">
        <v>100694</v>
      </c>
      <c r="D4929" s="4" t="s">
        <v>4933</v>
      </c>
      <c r="E4929" s="4" t="str">
        <f>HYPERLINK("https://app.crepc.sk/?fn=detailBiblioForm&amp;sid=2204B64E72E25FC8E069F15BC1")</f>
        <v>https://app.crepc.sk/?fn=detailBiblioForm&amp;sid=2204B64E72E25FC8E069F15BC1</v>
      </c>
    </row>
    <row r="4930" spans="3:5" ht="60" x14ac:dyDescent="0.25">
      <c r="C4930" s="15">
        <v>67892</v>
      </c>
      <c r="D4930" s="4" t="s">
        <v>4934</v>
      </c>
      <c r="E4930" s="4" t="str">
        <f>HYPERLINK("https://app.crepc.sk/?fn=detailBiblioForm&amp;sid=DB2E9AEAE4DF7AC6836D717D")</f>
        <v>https://app.crepc.sk/?fn=detailBiblioForm&amp;sid=DB2E9AEAE4DF7AC6836D717D</v>
      </c>
    </row>
    <row r="4931" spans="3:5" ht="60" x14ac:dyDescent="0.25">
      <c r="C4931" s="15">
        <v>170215</v>
      </c>
      <c r="D4931" s="4" t="s">
        <v>4935</v>
      </c>
      <c r="E4931" s="4" t="str">
        <f>HYPERLINK("https://app.crepc.sk/?fn=detailBiblioForm&amp;sid=1CB25EF4639541CD2AC8D9150E")</f>
        <v>https://app.crepc.sk/?fn=detailBiblioForm&amp;sid=1CB25EF4639541CD2AC8D9150E</v>
      </c>
    </row>
    <row r="4932" spans="3:5" ht="45" x14ac:dyDescent="0.25">
      <c r="C4932" s="15">
        <v>161493</v>
      </c>
      <c r="D4932" s="4" t="s">
        <v>4936</v>
      </c>
      <c r="E4932" s="4" t="str">
        <f>HYPERLINK("https://app.crepc.sk/?fn=detailBiblioForm&amp;sid=72994EA9AD52E4DE429521105F")</f>
        <v>https://app.crepc.sk/?fn=detailBiblioForm&amp;sid=72994EA9AD52E4DE429521105F</v>
      </c>
    </row>
    <row r="4933" spans="3:5" ht="45" x14ac:dyDescent="0.25">
      <c r="C4933" s="15">
        <v>162367</v>
      </c>
      <c r="D4933" s="4" t="s">
        <v>4937</v>
      </c>
      <c r="E4933" s="4" t="str">
        <f>HYPERLINK("https://app.crepc.sk/?fn=detailBiblioForm&amp;sid=5379D0B7E3C25FE39236D05CA5")</f>
        <v>https://app.crepc.sk/?fn=detailBiblioForm&amp;sid=5379D0B7E3C25FE39236D05CA5</v>
      </c>
    </row>
    <row r="4934" spans="3:5" ht="60" x14ac:dyDescent="0.25">
      <c r="C4934" s="15">
        <v>244588</v>
      </c>
      <c r="D4934" s="4" t="s">
        <v>4938</v>
      </c>
      <c r="E4934" s="4" t="str">
        <f>HYPERLINK("https://app.crepc.sk/?fn=detailBiblioForm&amp;sid=7CD45A5C10A06C7812FFABC625")</f>
        <v>https://app.crepc.sk/?fn=detailBiblioForm&amp;sid=7CD45A5C10A06C7812FFABC625</v>
      </c>
    </row>
    <row r="4935" spans="3:5" ht="75" x14ac:dyDescent="0.25">
      <c r="C4935" s="15">
        <v>95529</v>
      </c>
      <c r="D4935" s="4" t="s">
        <v>4939</v>
      </c>
      <c r="E4935" s="4" t="str">
        <f>HYPERLINK("https://app.crepc.sk/?fn=detailBiblioForm&amp;sid=6805775735622CF56C146B81")</f>
        <v>https://app.crepc.sk/?fn=detailBiblioForm&amp;sid=6805775735622CF56C146B81</v>
      </c>
    </row>
    <row r="4936" spans="3:5" ht="60" x14ac:dyDescent="0.25">
      <c r="C4936" s="15">
        <v>109571</v>
      </c>
      <c r="D4936" s="4" t="s">
        <v>4940</v>
      </c>
      <c r="E4936" s="4" t="str">
        <f>HYPERLINK("https://app.crepc.sk/?fn=detailBiblioForm&amp;sid=CF0733CC879F468F76002F5660")</f>
        <v>https://app.crepc.sk/?fn=detailBiblioForm&amp;sid=CF0733CC879F468F76002F5660</v>
      </c>
    </row>
    <row r="4937" spans="3:5" ht="45" x14ac:dyDescent="0.25">
      <c r="C4937" s="15">
        <v>109193</v>
      </c>
      <c r="D4937" s="4" t="s">
        <v>4941</v>
      </c>
      <c r="E4937" s="4" t="str">
        <f>HYPERLINK("https://app.crepc.sk/?fn=detailBiblioForm&amp;sid=EB0C227EF6842D1C1575A8D98A")</f>
        <v>https://app.crepc.sk/?fn=detailBiblioForm&amp;sid=EB0C227EF6842D1C1575A8D98A</v>
      </c>
    </row>
    <row r="4938" spans="3:5" ht="60" x14ac:dyDescent="0.25">
      <c r="C4938" s="15">
        <v>145217</v>
      </c>
      <c r="D4938" s="4" t="s">
        <v>4942</v>
      </c>
      <c r="E4938" s="4" t="str">
        <f>HYPERLINK("https://app.crepc.sk/?fn=detailBiblioForm&amp;sid=92F98CEFD52BF35240CEC1FECC")</f>
        <v>https://app.crepc.sk/?fn=detailBiblioForm&amp;sid=92F98CEFD52BF35240CEC1FECC</v>
      </c>
    </row>
    <row r="4939" spans="3:5" ht="60" x14ac:dyDescent="0.25">
      <c r="C4939" s="15">
        <v>312143</v>
      </c>
      <c r="D4939" s="4" t="s">
        <v>4943</v>
      </c>
      <c r="E4939" s="4" t="str">
        <f>HYPERLINK("https://app.crepc.sk/?fn=detailBiblioForm&amp;sid=F437EB8E22CB50A25CCFD95AC6")</f>
        <v>https://app.crepc.sk/?fn=detailBiblioForm&amp;sid=F437EB8E22CB50A25CCFD95AC6</v>
      </c>
    </row>
    <row r="4940" spans="3:5" ht="60" x14ac:dyDescent="0.25">
      <c r="C4940" s="15">
        <v>176301</v>
      </c>
      <c r="D4940" s="4" t="s">
        <v>4944</v>
      </c>
      <c r="E4940" s="4" t="str">
        <f>HYPERLINK("https://app.crepc.sk/?fn=detailBiblioForm&amp;sid=768340A98F933D661940899D3F")</f>
        <v>https://app.crepc.sk/?fn=detailBiblioForm&amp;sid=768340A98F933D661940899D3F</v>
      </c>
    </row>
    <row r="4941" spans="3:5" ht="75" x14ac:dyDescent="0.25">
      <c r="C4941" s="15">
        <v>220428</v>
      </c>
      <c r="D4941" s="4" t="s">
        <v>4945</v>
      </c>
      <c r="E4941" s="4" t="str">
        <f>HYPERLINK("https://app.crepc.sk/?fn=detailBiblioForm&amp;sid=0EDF4BE237DC9302C495804500")</f>
        <v>https://app.crepc.sk/?fn=detailBiblioForm&amp;sid=0EDF4BE237DC9302C495804500</v>
      </c>
    </row>
    <row r="4942" spans="3:5" ht="75" x14ac:dyDescent="0.25">
      <c r="C4942" s="15">
        <v>241128</v>
      </c>
      <c r="D4942" s="4" t="s">
        <v>4946</v>
      </c>
      <c r="E4942" s="4" t="str">
        <f>HYPERLINK("https://app.crepc.sk/?fn=detailBiblioForm&amp;sid=65CC8B494803E9B1E6F5404186")</f>
        <v>https://app.crepc.sk/?fn=detailBiblioForm&amp;sid=65CC8B494803E9B1E6F5404186</v>
      </c>
    </row>
    <row r="4943" spans="3:5" ht="60" x14ac:dyDescent="0.25">
      <c r="C4943" s="15">
        <v>150941</v>
      </c>
      <c r="D4943" s="4" t="s">
        <v>4947</v>
      </c>
      <c r="E4943" s="4" t="str">
        <f>HYPERLINK("https://app.crepc.sk/?fn=detailBiblioForm&amp;sid=1DDC86077D8354F3A7FBF2B260")</f>
        <v>https://app.crepc.sk/?fn=detailBiblioForm&amp;sid=1DDC86077D8354F3A7FBF2B260</v>
      </c>
    </row>
    <row r="4944" spans="3:5" ht="75" x14ac:dyDescent="0.25">
      <c r="C4944" s="15">
        <v>184218</v>
      </c>
      <c r="D4944" s="4" t="s">
        <v>4948</v>
      </c>
      <c r="E4944" s="4" t="str">
        <f>HYPERLINK("https://app.crepc.sk/?fn=detailBiblioForm&amp;sid=51C176E8478ABC8F837F63848B")</f>
        <v>https://app.crepc.sk/?fn=detailBiblioForm&amp;sid=51C176E8478ABC8F837F63848B</v>
      </c>
    </row>
    <row r="4945" spans="3:5" ht="75" x14ac:dyDescent="0.25">
      <c r="C4945" s="15">
        <v>102742</v>
      </c>
      <c r="D4945" s="4" t="s">
        <v>4949</v>
      </c>
      <c r="E4945" s="4" t="str">
        <f>HYPERLINK("https://app.crepc.sk/?fn=detailBiblioForm&amp;sid=B7849FF1DE1334BAB4A84EB383")</f>
        <v>https://app.crepc.sk/?fn=detailBiblioForm&amp;sid=B7849FF1DE1334BAB4A84EB383</v>
      </c>
    </row>
    <row r="4946" spans="3:5" ht="60" x14ac:dyDescent="0.25">
      <c r="C4946" s="15">
        <v>243300</v>
      </c>
      <c r="D4946" s="4" t="s">
        <v>4950</v>
      </c>
      <c r="E4946" s="4" t="str">
        <f>HYPERLINK("https://app.crepc.sk/?fn=detailBiblioForm&amp;sid=11F485BF0264172675CC2AC569")</f>
        <v>https://app.crepc.sk/?fn=detailBiblioForm&amp;sid=11F485BF0264172675CC2AC569</v>
      </c>
    </row>
    <row r="4947" spans="3:5" ht="60" x14ac:dyDescent="0.25">
      <c r="C4947" s="15">
        <v>435519</v>
      </c>
      <c r="D4947" s="4" t="s">
        <v>4951</v>
      </c>
      <c r="E4947" s="4" t="str">
        <f>HYPERLINK("https://app.crepc.sk/?fn=detailBiblioForm&amp;sid=CBCC4E2F87C3739923CECFBB27")</f>
        <v>https://app.crepc.sk/?fn=detailBiblioForm&amp;sid=CBCC4E2F87C3739923CECFBB27</v>
      </c>
    </row>
    <row r="4948" spans="3:5" ht="60" x14ac:dyDescent="0.25">
      <c r="C4948" s="15">
        <v>67891</v>
      </c>
      <c r="D4948" s="4" t="s">
        <v>4952</v>
      </c>
      <c r="E4948" s="4" t="str">
        <f>HYPERLINK("https://app.crepc.sk/?fn=detailBiblioForm&amp;sid=DB2E9AEAE4DF7AC6806D717D")</f>
        <v>https://app.crepc.sk/?fn=detailBiblioForm&amp;sid=DB2E9AEAE4DF7AC6806D717D</v>
      </c>
    </row>
    <row r="4949" spans="3:5" ht="45" x14ac:dyDescent="0.25">
      <c r="C4949" s="15">
        <v>167086</v>
      </c>
      <c r="D4949" s="4" t="s">
        <v>4953</v>
      </c>
      <c r="E4949" s="4" t="str">
        <f>HYPERLINK("https://app.crepc.sk/?fn=detailBiblioForm&amp;sid=D51B19479514986186F91F45CE")</f>
        <v>https://app.crepc.sk/?fn=detailBiblioForm&amp;sid=D51B19479514986186F91F45CE</v>
      </c>
    </row>
    <row r="4950" spans="3:5" ht="60" x14ac:dyDescent="0.25">
      <c r="C4950" s="15">
        <v>104301</v>
      </c>
      <c r="D4950" s="4" t="s">
        <v>4954</v>
      </c>
      <c r="E4950" s="4" t="str">
        <f>HYPERLINK("https://app.crepc.sk/?fn=detailBiblioForm&amp;sid=DD6DC1ACF31F8CDC589238F016")</f>
        <v>https://app.crepc.sk/?fn=detailBiblioForm&amp;sid=DD6DC1ACF31F8CDC589238F016</v>
      </c>
    </row>
    <row r="4951" spans="3:5" ht="75" x14ac:dyDescent="0.25">
      <c r="C4951" s="15">
        <v>211789</v>
      </c>
      <c r="D4951" s="4" t="s">
        <v>4955</v>
      </c>
      <c r="E4951" s="4" t="str">
        <f>HYPERLINK("https://app.crepc.sk/?fn=detailBiblioForm&amp;sid=936179ABD4330FC85DDB09B041")</f>
        <v>https://app.crepc.sk/?fn=detailBiblioForm&amp;sid=936179ABD4330FC85DDB09B041</v>
      </c>
    </row>
    <row r="4952" spans="3:5" ht="60" x14ac:dyDescent="0.25">
      <c r="C4952" s="15">
        <v>244639</v>
      </c>
      <c r="D4952" s="4" t="s">
        <v>4956</v>
      </c>
      <c r="E4952" s="4" t="str">
        <f>HYPERLINK("https://app.crepc.sk/?fn=detailBiblioForm&amp;sid=5693C4557D2BC9900AB9BAE0E3")</f>
        <v>https://app.crepc.sk/?fn=detailBiblioForm&amp;sid=5693C4557D2BC9900AB9BAE0E3</v>
      </c>
    </row>
    <row r="4953" spans="3:5" ht="75" x14ac:dyDescent="0.25">
      <c r="C4953" s="15">
        <v>453787</v>
      </c>
      <c r="D4953" s="4" t="s">
        <v>4957</v>
      </c>
      <c r="E4953" s="4" t="str">
        <f>HYPERLINK("https://app.crepc.sk/?fn=detailBiblioForm&amp;sid=2CDF48EDF69E3B9796D8A5BF19")</f>
        <v>https://app.crepc.sk/?fn=detailBiblioForm&amp;sid=2CDF48EDF69E3B9796D8A5BF19</v>
      </c>
    </row>
    <row r="4954" spans="3:5" ht="75" x14ac:dyDescent="0.25">
      <c r="C4954" s="15">
        <v>51966</v>
      </c>
      <c r="D4954" s="4" t="s">
        <v>4958</v>
      </c>
      <c r="E4954" s="4" t="str">
        <f>HYPERLINK("https://app.crepc.sk/?fn=detailBiblioForm&amp;sid=88B0466A87B45794058FE6A3")</f>
        <v>https://app.crepc.sk/?fn=detailBiblioForm&amp;sid=88B0466A87B45794058FE6A3</v>
      </c>
    </row>
    <row r="4955" spans="3:5" ht="60" x14ac:dyDescent="0.25">
      <c r="C4955" s="15">
        <v>65539</v>
      </c>
      <c r="D4955" s="4" t="s">
        <v>4959</v>
      </c>
      <c r="E4955" s="4" t="str">
        <f>HYPERLINK("https://app.crepc.sk/?fn=detailBiblioForm&amp;sid=0138E1543FA19F180680AD53")</f>
        <v>https://app.crepc.sk/?fn=detailBiblioForm&amp;sid=0138E1543FA19F180680AD53</v>
      </c>
    </row>
    <row r="4956" spans="3:5" ht="75" x14ac:dyDescent="0.25">
      <c r="C4956" s="15">
        <v>163164</v>
      </c>
      <c r="D4956" s="4" t="s">
        <v>4960</v>
      </c>
      <c r="E4956" s="4" t="str">
        <f>HYPERLINK("https://app.crepc.sk/?fn=detailBiblioForm&amp;sid=E90F038DF6A63573E3B9F54B16")</f>
        <v>https://app.crepc.sk/?fn=detailBiblioForm&amp;sid=E90F038DF6A63573E3B9F54B16</v>
      </c>
    </row>
    <row r="4957" spans="3:5" ht="60" x14ac:dyDescent="0.25">
      <c r="C4957" s="15">
        <v>167172</v>
      </c>
      <c r="D4957" s="4" t="s">
        <v>4961</v>
      </c>
      <c r="E4957" s="4" t="str">
        <f>HYPERLINK("https://app.crepc.sk/?fn=detailBiblioForm&amp;sid=780C5DA7522A72A29BF29DC9C0")</f>
        <v>https://app.crepc.sk/?fn=detailBiblioForm&amp;sid=780C5DA7522A72A29BF29DC9C0</v>
      </c>
    </row>
    <row r="4958" spans="3:5" ht="60" x14ac:dyDescent="0.25">
      <c r="C4958" s="15">
        <v>125446</v>
      </c>
      <c r="D4958" s="4" t="s">
        <v>4962</v>
      </c>
      <c r="E4958" s="4" t="str">
        <f>HYPERLINK("https://app.crepc.sk/?fn=detailBiblioForm&amp;sid=F2C5C64D9C64B04EA1792133DE")</f>
        <v>https://app.crepc.sk/?fn=detailBiblioForm&amp;sid=F2C5C64D9C64B04EA1792133DE</v>
      </c>
    </row>
    <row r="4959" spans="3:5" ht="60" x14ac:dyDescent="0.25">
      <c r="C4959" s="15">
        <v>450081</v>
      </c>
      <c r="D4959" s="4" t="s">
        <v>4963</v>
      </c>
      <c r="E4959" s="4" t="str">
        <f>HYPERLINK("https://app.crepc.sk/?fn=detailBiblioForm&amp;sid=17D51798FBDCAF6041AC7CB596")</f>
        <v>https://app.crepc.sk/?fn=detailBiblioForm&amp;sid=17D51798FBDCAF6041AC7CB596</v>
      </c>
    </row>
    <row r="4960" spans="3:5" ht="60" x14ac:dyDescent="0.25">
      <c r="C4960" s="15">
        <v>311935</v>
      </c>
      <c r="D4960" s="4" t="s">
        <v>4964</v>
      </c>
      <c r="E4960" s="4" t="str">
        <f>HYPERLINK("https://app.crepc.sk/?fn=detailBiblioForm&amp;sid=396B080C231206F952689ED740")</f>
        <v>https://app.crepc.sk/?fn=detailBiblioForm&amp;sid=396B080C231206F952689ED740</v>
      </c>
    </row>
    <row r="4961" spans="3:5" ht="90" x14ac:dyDescent="0.25">
      <c r="C4961" s="15">
        <v>210067</v>
      </c>
      <c r="D4961" s="4" t="s">
        <v>4965</v>
      </c>
      <c r="E4961" s="4" t="str">
        <f>HYPERLINK("https://app.crepc.sk/?fn=detailBiblioForm&amp;sid=1C18B4053C6402EC46655DD9F9")</f>
        <v>https://app.crepc.sk/?fn=detailBiblioForm&amp;sid=1C18B4053C6402EC46655DD9F9</v>
      </c>
    </row>
    <row r="4962" spans="3:5" ht="165" x14ac:dyDescent="0.25">
      <c r="C4962" s="15">
        <v>194770</v>
      </c>
      <c r="D4962" s="4" t="s">
        <v>4966</v>
      </c>
      <c r="E4962" s="4" t="str">
        <f>HYPERLINK("https://app.crepc.sk/?fn=detailBiblioForm&amp;sid=2FEED85A3FCEFC83C6E8E02009")</f>
        <v>https://app.crepc.sk/?fn=detailBiblioForm&amp;sid=2FEED85A3FCEFC83C6E8E02009</v>
      </c>
    </row>
    <row r="4963" spans="3:5" ht="60" x14ac:dyDescent="0.25">
      <c r="C4963" s="15">
        <v>244641</v>
      </c>
      <c r="D4963" s="4" t="s">
        <v>4967</v>
      </c>
      <c r="E4963" s="4" t="str">
        <f>HYPERLINK("https://app.crepc.sk/?fn=detailBiblioForm&amp;sid=5693C4557D2BC9900DB1BAE0E3")</f>
        <v>https://app.crepc.sk/?fn=detailBiblioForm&amp;sid=5693C4557D2BC9900DB1BAE0E3</v>
      </c>
    </row>
    <row r="4964" spans="3:5" ht="165" x14ac:dyDescent="0.25">
      <c r="C4964" s="15">
        <v>313717</v>
      </c>
      <c r="D4964" s="4" t="s">
        <v>4968</v>
      </c>
      <c r="E4964" s="4" t="str">
        <f>HYPERLINK("https://app.crepc.sk/?fn=detailBiblioForm&amp;sid=54D25A27962CDFF2C4C5F50D21")</f>
        <v>https://app.crepc.sk/?fn=detailBiblioForm&amp;sid=54D25A27962CDFF2C4C5F50D21</v>
      </c>
    </row>
    <row r="4965" spans="3:5" ht="75" x14ac:dyDescent="0.25">
      <c r="C4965" s="15">
        <v>60353</v>
      </c>
      <c r="D4965" s="4" t="s">
        <v>4969</v>
      </c>
      <c r="E4965" s="4" t="str">
        <f>HYPERLINK("https://app.crepc.sk/?fn=detailBiblioForm&amp;sid=78C9F3E8CC26E15DAA559898")</f>
        <v>https://app.crepc.sk/?fn=detailBiblioForm&amp;sid=78C9F3E8CC26E15DAA559898</v>
      </c>
    </row>
    <row r="4966" spans="3:5" ht="60" x14ac:dyDescent="0.25">
      <c r="C4966" s="15">
        <v>251036</v>
      </c>
      <c r="D4966" s="4" t="s">
        <v>4970</v>
      </c>
      <c r="E4966" s="4" t="str">
        <f>HYPERLINK("https://app.crepc.sk/?fn=detailBiblioForm&amp;sid=588CBEA82AF39A89B3176B13C0")</f>
        <v>https://app.crepc.sk/?fn=detailBiblioForm&amp;sid=588CBEA82AF39A89B3176B13C0</v>
      </c>
    </row>
    <row r="4967" spans="3:5" ht="75" x14ac:dyDescent="0.25">
      <c r="C4967" s="15">
        <v>220419</v>
      </c>
      <c r="D4967" s="4" t="s">
        <v>4971</v>
      </c>
      <c r="E4967" s="4" t="str">
        <f>HYPERLINK("https://app.crepc.sk/?fn=detailBiblioForm&amp;sid=0EDF4BE237DC9302C794804500")</f>
        <v>https://app.crepc.sk/?fn=detailBiblioForm&amp;sid=0EDF4BE237DC9302C794804500</v>
      </c>
    </row>
    <row r="4968" spans="3:5" ht="60" x14ac:dyDescent="0.25">
      <c r="C4968" s="15">
        <v>187792</v>
      </c>
      <c r="D4968" s="4" t="s">
        <v>4972</v>
      </c>
      <c r="E4968" s="4" t="str">
        <f>HYPERLINK("https://app.crepc.sk/?fn=detailBiblioForm&amp;sid=DC84C828B12A860AC6E9A1F70D")</f>
        <v>https://app.crepc.sk/?fn=detailBiblioForm&amp;sid=DC84C828B12A860AC6E9A1F70D</v>
      </c>
    </row>
    <row r="4969" spans="3:5" ht="60" x14ac:dyDescent="0.25">
      <c r="C4969" s="15">
        <v>97394</v>
      </c>
      <c r="D4969" s="4" t="s">
        <v>4973</v>
      </c>
      <c r="E4969" s="4" t="str">
        <f>HYPERLINK("https://app.crepc.sk/?fn=detailBiblioForm&amp;sid=F85F55F80A5D926661FF754A")</f>
        <v>https://app.crepc.sk/?fn=detailBiblioForm&amp;sid=F85F55F80A5D926661FF754A</v>
      </c>
    </row>
    <row r="4970" spans="3:5" ht="60" x14ac:dyDescent="0.25">
      <c r="C4970" s="15">
        <v>306282</v>
      </c>
      <c r="D4970" s="4" t="s">
        <v>4974</v>
      </c>
      <c r="E4970" s="4" t="str">
        <f>HYPERLINK("https://app.crepc.sk/?fn=detailBiblioForm&amp;sid=2BC820A3AFEB8539DCB1A78DDC")</f>
        <v>https://app.crepc.sk/?fn=detailBiblioForm&amp;sid=2BC820A3AFEB8539DCB1A78DDC</v>
      </c>
    </row>
    <row r="4971" spans="3:5" ht="75" x14ac:dyDescent="0.25">
      <c r="C4971" s="15">
        <v>164948</v>
      </c>
      <c r="D4971" s="4" t="s">
        <v>4975</v>
      </c>
      <c r="E4971" s="4" t="str">
        <f>HYPERLINK("https://app.crepc.sk/?fn=detailBiblioForm&amp;sid=81B8C7E3C61A011F15315B0DE1")</f>
        <v>https://app.crepc.sk/?fn=detailBiblioForm&amp;sid=81B8C7E3C61A011F15315B0DE1</v>
      </c>
    </row>
    <row r="4972" spans="3:5" ht="60" x14ac:dyDescent="0.25">
      <c r="C4972" s="15">
        <v>164944</v>
      </c>
      <c r="D4972" s="4" t="s">
        <v>4976</v>
      </c>
      <c r="E4972" s="4" t="str">
        <f>HYPERLINK("https://app.crepc.sk/?fn=detailBiblioForm&amp;sid=81B8C7E3C61A011F153D5B0DE1")</f>
        <v>https://app.crepc.sk/?fn=detailBiblioForm&amp;sid=81B8C7E3C61A011F153D5B0DE1</v>
      </c>
    </row>
    <row r="4973" spans="3:5" ht="75" x14ac:dyDescent="0.25">
      <c r="C4973" s="15">
        <v>146241</v>
      </c>
      <c r="D4973" s="4" t="s">
        <v>4977</v>
      </c>
      <c r="E4973" s="4" t="str">
        <f>HYPERLINK("https://app.crepc.sk/?fn=detailBiblioForm&amp;sid=0847CB681108BF2ACE635F0E3C")</f>
        <v>https://app.crepc.sk/?fn=detailBiblioForm&amp;sid=0847CB681108BF2ACE635F0E3C</v>
      </c>
    </row>
    <row r="4974" spans="3:5" ht="60" x14ac:dyDescent="0.25">
      <c r="C4974" s="15">
        <v>163395</v>
      </c>
      <c r="D4974" s="4" t="s">
        <v>4978</v>
      </c>
      <c r="E4974" s="4" t="str">
        <f>HYPERLINK("https://app.crepc.sk/?fn=detailBiblioForm&amp;sid=459330289182F8C1E7D12E0501")</f>
        <v>https://app.crepc.sk/?fn=detailBiblioForm&amp;sid=459330289182F8C1E7D12E0501</v>
      </c>
    </row>
    <row r="4975" spans="3:5" ht="60" x14ac:dyDescent="0.25">
      <c r="C4975" s="15">
        <v>161631</v>
      </c>
      <c r="D4975" s="4" t="s">
        <v>4979</v>
      </c>
      <c r="E4975" s="4" t="str">
        <f>HYPERLINK("https://app.crepc.sk/?fn=detailBiblioForm&amp;sid=1D69B1A76ABEB527B36FBB2E6D")</f>
        <v>https://app.crepc.sk/?fn=detailBiblioForm&amp;sid=1D69B1A76ABEB527B36FBB2E6D</v>
      </c>
    </row>
    <row r="4976" spans="3:5" ht="75" x14ac:dyDescent="0.25">
      <c r="C4976" s="15">
        <v>109577</v>
      </c>
      <c r="D4976" s="4" t="s">
        <v>4980</v>
      </c>
      <c r="E4976" s="4" t="str">
        <f>HYPERLINK("https://app.crepc.sk/?fn=detailBiblioForm&amp;sid=CF0733CC879F468F76062F5660")</f>
        <v>https://app.crepc.sk/?fn=detailBiblioForm&amp;sid=CF0733CC879F468F76062F5660</v>
      </c>
    </row>
    <row r="4977" spans="3:5" ht="75" x14ac:dyDescent="0.25">
      <c r="C4977" s="15">
        <v>139458</v>
      </c>
      <c r="D4977" s="4" t="s">
        <v>4981</v>
      </c>
      <c r="E4977" s="4" t="str">
        <f>HYPERLINK("https://app.crepc.sk/?fn=detailBiblioForm&amp;sid=A3F3DC538E4836F27A9EBE03C8")</f>
        <v>https://app.crepc.sk/?fn=detailBiblioForm&amp;sid=A3F3DC538E4836F27A9EBE03C8</v>
      </c>
    </row>
    <row r="4978" spans="3:5" ht="75" x14ac:dyDescent="0.25">
      <c r="C4978" s="15">
        <v>146242</v>
      </c>
      <c r="D4978" s="4" t="s">
        <v>4982</v>
      </c>
      <c r="E4978" s="4" t="str">
        <f>HYPERLINK("https://app.crepc.sk/?fn=detailBiblioForm&amp;sid=0847CB681108BF2ACE605F0E3C")</f>
        <v>https://app.crepc.sk/?fn=detailBiblioForm&amp;sid=0847CB681108BF2ACE605F0E3C</v>
      </c>
    </row>
    <row r="4979" spans="3:5" ht="45" x14ac:dyDescent="0.25">
      <c r="C4979" s="15">
        <v>183712</v>
      </c>
      <c r="D4979" s="4" t="s">
        <v>4983</v>
      </c>
      <c r="E4979" s="4" t="str">
        <f>HYPERLINK("https://app.crepc.sk/?fn=detailBiblioForm&amp;sid=8DA5F85D14F67EBBABDE8BC081")</f>
        <v>https://app.crepc.sk/?fn=detailBiblioForm&amp;sid=8DA5F85D14F67EBBABDE8BC081</v>
      </c>
    </row>
    <row r="4980" spans="3:5" ht="60" x14ac:dyDescent="0.25">
      <c r="C4980" s="15">
        <v>164953</v>
      </c>
      <c r="D4980" s="4" t="s">
        <v>4984</v>
      </c>
      <c r="E4980" s="4" t="str">
        <f>HYPERLINK("https://app.crepc.sk/?fn=detailBiblioForm&amp;sid=81B8C7E3C61A011F143A5B0DE1")</f>
        <v>https://app.crepc.sk/?fn=detailBiblioForm&amp;sid=81B8C7E3C61A011F143A5B0DE1</v>
      </c>
    </row>
    <row r="4981" spans="3:5" ht="60" x14ac:dyDescent="0.25">
      <c r="C4981" s="15">
        <v>432861</v>
      </c>
      <c r="D4981" s="4" t="s">
        <v>4985</v>
      </c>
      <c r="E4981" s="4" t="str">
        <f>HYPERLINK("https://app.crepc.sk/?fn=detailBiblioForm&amp;sid=60947673AC094B86B66B5A089E")</f>
        <v>https://app.crepc.sk/?fn=detailBiblioForm&amp;sid=60947673AC094B86B66B5A089E</v>
      </c>
    </row>
    <row r="4982" spans="3:5" ht="60" x14ac:dyDescent="0.25">
      <c r="C4982" s="15">
        <v>95545</v>
      </c>
      <c r="D4982" s="4" t="s">
        <v>4986</v>
      </c>
      <c r="E4982" s="4" t="str">
        <f>HYPERLINK("https://app.crepc.sk/?fn=detailBiblioForm&amp;sid=5404121DCCB876953B0CBF93")</f>
        <v>https://app.crepc.sk/?fn=detailBiblioForm&amp;sid=5404121DCCB876953B0CBF93</v>
      </c>
    </row>
    <row r="4983" spans="3:5" ht="60" x14ac:dyDescent="0.25">
      <c r="C4983" s="15">
        <v>116017</v>
      </c>
      <c r="D4983" s="4" t="s">
        <v>4987</v>
      </c>
      <c r="E4983" s="4" t="str">
        <f>HYPERLINK("https://app.crepc.sk/?fn=detailBiblioForm&amp;sid=DB956CD42FEEE009119FE724F4")</f>
        <v>https://app.crepc.sk/?fn=detailBiblioForm&amp;sid=DB956CD42FEEE009119FE724F4</v>
      </c>
    </row>
    <row r="4984" spans="3:5" ht="60" x14ac:dyDescent="0.25">
      <c r="C4984" s="15">
        <v>311070</v>
      </c>
      <c r="D4984" s="4" t="s">
        <v>4988</v>
      </c>
      <c r="E4984" s="4" t="str">
        <f>HYPERLINK("https://app.crepc.sk/?fn=detailBiblioForm&amp;sid=2D3067B65E7513C569B1F81B67")</f>
        <v>https://app.crepc.sk/?fn=detailBiblioForm&amp;sid=2D3067B65E7513C569B1F81B67</v>
      </c>
    </row>
    <row r="4985" spans="3:5" ht="60" x14ac:dyDescent="0.25">
      <c r="C4985" s="15">
        <v>434439</v>
      </c>
      <c r="D4985" s="4" t="s">
        <v>4989</v>
      </c>
      <c r="E4985" s="4" t="str">
        <f>HYPERLINK("https://app.crepc.sk/?fn=detailBiblioForm&amp;sid=F0BEE93CA1F04CFF71F34245EB")</f>
        <v>https://app.crepc.sk/?fn=detailBiblioForm&amp;sid=F0BEE93CA1F04CFF71F34245EB</v>
      </c>
    </row>
    <row r="4986" spans="3:5" ht="60" x14ac:dyDescent="0.25">
      <c r="C4986" s="15">
        <v>309304</v>
      </c>
      <c r="D4986" s="4" t="s">
        <v>4990</v>
      </c>
      <c r="E4986" s="4" t="str">
        <f>HYPERLINK("https://app.crepc.sk/?fn=detailBiblioForm&amp;sid=3106B7E81CE24AA368DDECAD02")</f>
        <v>https://app.crepc.sk/?fn=detailBiblioForm&amp;sid=3106B7E81CE24AA368DDECAD02</v>
      </c>
    </row>
    <row r="4987" spans="3:5" ht="75" x14ac:dyDescent="0.25">
      <c r="C4987" s="15">
        <v>213079</v>
      </c>
      <c r="D4987" s="4" t="s">
        <v>4991</v>
      </c>
      <c r="E4987" s="4" t="str">
        <f>HYPERLINK("https://app.crepc.sk/?fn=detailBiblioForm&amp;sid=08CCA24EEC3F6BB47E3886760C")</f>
        <v>https://app.crepc.sk/?fn=detailBiblioForm&amp;sid=08CCA24EEC3F6BB47E3886760C</v>
      </c>
    </row>
    <row r="4988" spans="3:5" ht="105" x14ac:dyDescent="0.25">
      <c r="C4988" s="15">
        <v>245015</v>
      </c>
      <c r="D4988" s="4" t="s">
        <v>4992</v>
      </c>
      <c r="E4988" s="4" t="str">
        <f>HYPERLINK("https://app.crepc.sk/?fn=detailBiblioForm&amp;sid=67165C9A40F2F88511964A198D")</f>
        <v>https://app.crepc.sk/?fn=detailBiblioForm&amp;sid=67165C9A40F2F88511964A198D</v>
      </c>
    </row>
    <row r="4989" spans="3:5" ht="60" x14ac:dyDescent="0.25">
      <c r="C4989" s="15">
        <v>311187</v>
      </c>
      <c r="D4989" s="4" t="s">
        <v>4993</v>
      </c>
      <c r="E4989" s="4" t="str">
        <f>HYPERLINK("https://app.crepc.sk/?fn=detailBiblioForm&amp;sid=EDC641B86B12B5F85141D27856")</f>
        <v>https://app.crepc.sk/?fn=detailBiblioForm&amp;sid=EDC641B86B12B5F85141D27856</v>
      </c>
    </row>
    <row r="4990" spans="3:5" ht="60" x14ac:dyDescent="0.25">
      <c r="C4990" s="15">
        <v>77833</v>
      </c>
      <c r="D4990" s="4" t="s">
        <v>4994</v>
      </c>
      <c r="E4990" s="4" t="str">
        <f>HYPERLINK("https://app.crepc.sk/?fn=detailBiblioForm&amp;sid=B905EA1BB8B43283AE20FD8C")</f>
        <v>https://app.crepc.sk/?fn=detailBiblioForm&amp;sid=B905EA1BB8B43283AE20FD8C</v>
      </c>
    </row>
    <row r="4991" spans="3:5" ht="60" x14ac:dyDescent="0.25">
      <c r="C4991" s="15">
        <v>419072</v>
      </c>
      <c r="D4991" s="4" t="s">
        <v>4995</v>
      </c>
      <c r="E4991" s="4" t="str">
        <f>HYPERLINK("https://app.crepc.sk/?fn=detailBiblioForm&amp;sid=D1A8AE86DB46EECF7660276DBF")</f>
        <v>https://app.crepc.sk/?fn=detailBiblioForm&amp;sid=D1A8AE86DB46EECF7660276DBF</v>
      </c>
    </row>
    <row r="4992" spans="3:5" ht="45" x14ac:dyDescent="0.25">
      <c r="C4992" s="15">
        <v>456586</v>
      </c>
      <c r="D4992" s="4" t="s">
        <v>4996</v>
      </c>
      <c r="E4992" s="4" t="str">
        <f>HYPERLINK("https://app.crepc.sk/?fn=detailBiblioForm&amp;sid=4C570C27BE8B39D37C9D381812")</f>
        <v>https://app.crepc.sk/?fn=detailBiblioForm&amp;sid=4C570C27BE8B39D37C9D381812</v>
      </c>
    </row>
    <row r="4993" spans="3:5" ht="75" x14ac:dyDescent="0.25">
      <c r="C4993" s="15">
        <v>129648</v>
      </c>
      <c r="D4993" s="4" t="s">
        <v>4997</v>
      </c>
      <c r="E4993" s="4" t="str">
        <f>HYPERLINK("https://app.crepc.sk/?fn=detailBiblioForm&amp;sid=ACAA4AF27E5710F223A08B34E5")</f>
        <v>https://app.crepc.sk/?fn=detailBiblioForm&amp;sid=ACAA4AF27E5710F223A08B34E5</v>
      </c>
    </row>
    <row r="4994" spans="3:5" ht="60" x14ac:dyDescent="0.25">
      <c r="C4994" s="15">
        <v>104204</v>
      </c>
      <c r="D4994" s="4" t="s">
        <v>4998</v>
      </c>
      <c r="E4994" s="4" t="str">
        <f>HYPERLINK("https://app.crepc.sk/?fn=detailBiblioForm&amp;sid=6E72E145B6DED42F4DC788103F")</f>
        <v>https://app.crepc.sk/?fn=detailBiblioForm&amp;sid=6E72E145B6DED42F4DC788103F</v>
      </c>
    </row>
    <row r="4995" spans="3:5" ht="60" x14ac:dyDescent="0.25">
      <c r="C4995" s="15">
        <v>440806</v>
      </c>
      <c r="D4995" s="4" t="s">
        <v>4999</v>
      </c>
      <c r="E4995" s="4" t="str">
        <f>HYPERLINK("https://app.crepc.sk/?fn=detailBiblioForm&amp;sid=3884B1408591AB8AAB02FAA661")</f>
        <v>https://app.crepc.sk/?fn=detailBiblioForm&amp;sid=3884B1408591AB8AAB02FAA661</v>
      </c>
    </row>
    <row r="4996" spans="3:5" ht="60" x14ac:dyDescent="0.25">
      <c r="C4996" s="15">
        <v>163547</v>
      </c>
      <c r="D4996" s="4" t="s">
        <v>5000</v>
      </c>
      <c r="E4996" s="4" t="str">
        <f>HYPERLINK("https://app.crepc.sk/?fn=detailBiblioForm&amp;sid=702847CDD3538CD48832C67511")</f>
        <v>https://app.crepc.sk/?fn=detailBiblioForm&amp;sid=702847CDD3538CD48832C67511</v>
      </c>
    </row>
    <row r="4997" spans="3:5" ht="150" x14ac:dyDescent="0.25">
      <c r="C4997" s="15">
        <v>126750</v>
      </c>
      <c r="D4997" s="4" t="s">
        <v>5001</v>
      </c>
      <c r="E4997" s="4" t="str">
        <f>HYPERLINK("https://app.crepc.sk/?fn=detailBiblioForm&amp;sid=BF2E02CB30820396A8E05B7C2B")</f>
        <v>https://app.crepc.sk/?fn=detailBiblioForm&amp;sid=BF2E02CB30820396A8E05B7C2B</v>
      </c>
    </row>
    <row r="4998" spans="3:5" ht="60" x14ac:dyDescent="0.25">
      <c r="C4998" s="15">
        <v>61823</v>
      </c>
      <c r="D4998" s="4" t="s">
        <v>5002</v>
      </c>
      <c r="E4998" s="4" t="str">
        <f>HYPERLINK("https://app.crepc.sk/?fn=detailBiblioForm&amp;sid=408158EC7D03EF7723F9CDAD")</f>
        <v>https://app.crepc.sk/?fn=detailBiblioForm&amp;sid=408158EC7D03EF7723F9CDAD</v>
      </c>
    </row>
    <row r="4999" spans="3:5" ht="150" x14ac:dyDescent="0.25">
      <c r="C4999" s="15">
        <v>126760</v>
      </c>
      <c r="D4999" s="4" t="s">
        <v>5003</v>
      </c>
      <c r="E4999" s="4" t="str">
        <f>HYPERLINK("https://app.crepc.sk/?fn=detailBiblioForm&amp;sid=BF2E02CB30820396ABE05B7C2B")</f>
        <v>https://app.crepc.sk/?fn=detailBiblioForm&amp;sid=BF2E02CB30820396ABE05B7C2B</v>
      </c>
    </row>
    <row r="5000" spans="3:5" ht="165" x14ac:dyDescent="0.25">
      <c r="C5000" s="15">
        <v>126755</v>
      </c>
      <c r="D5000" s="4" t="s">
        <v>5004</v>
      </c>
      <c r="E5000" s="4" t="str">
        <f>HYPERLINK("https://app.crepc.sk/?fn=detailBiblioForm&amp;sid=BF2E02CB30820396A8E55B7C2B")</f>
        <v>https://app.crepc.sk/?fn=detailBiblioForm&amp;sid=BF2E02CB30820396A8E55B7C2B</v>
      </c>
    </row>
    <row r="5001" spans="3:5" ht="165" x14ac:dyDescent="0.25">
      <c r="C5001" s="15">
        <v>313703</v>
      </c>
      <c r="D5001" s="4" t="s">
        <v>5005</v>
      </c>
      <c r="E5001" s="4" t="str">
        <f>HYPERLINK("https://app.crepc.sk/?fn=detailBiblioForm&amp;sid=54D25A27962CDFF2C5C1F50D21")</f>
        <v>https://app.crepc.sk/?fn=detailBiblioForm&amp;sid=54D25A27962CDFF2C5C1F50D21</v>
      </c>
    </row>
    <row r="5002" spans="3:5" ht="150" x14ac:dyDescent="0.25">
      <c r="C5002" s="15">
        <v>126768</v>
      </c>
      <c r="D5002" s="4" t="s">
        <v>5006</v>
      </c>
      <c r="E5002" s="4" t="str">
        <f>HYPERLINK("https://app.crepc.sk/?fn=detailBiblioForm&amp;sid=BF2E02CB30820396ABE85B7C2B")</f>
        <v>https://app.crepc.sk/?fn=detailBiblioForm&amp;sid=BF2E02CB30820396ABE85B7C2B</v>
      </c>
    </row>
    <row r="5003" spans="3:5" ht="90" x14ac:dyDescent="0.25">
      <c r="C5003" s="15">
        <v>119490</v>
      </c>
      <c r="D5003" s="4" t="s">
        <v>5007</v>
      </c>
      <c r="E5003" s="4" t="str">
        <f>HYPERLINK("https://app.crepc.sk/?fn=detailBiblioForm&amp;sid=F36B9AAD60772977FE534FEDDA")</f>
        <v>https://app.crepc.sk/?fn=detailBiblioForm&amp;sid=F36B9AAD60772977FE534FEDDA</v>
      </c>
    </row>
    <row r="5004" spans="3:5" ht="75" x14ac:dyDescent="0.25">
      <c r="C5004" s="15">
        <v>88117</v>
      </c>
      <c r="D5004" s="4" t="s">
        <v>5008</v>
      </c>
      <c r="E5004" s="4" t="str">
        <f>HYPERLINK("https://app.crepc.sk/?fn=detailBiblioForm&amp;sid=8558EB376AB5D393826D6F05")</f>
        <v>https://app.crepc.sk/?fn=detailBiblioForm&amp;sid=8558EB376AB5D393826D6F05</v>
      </c>
    </row>
    <row r="5005" spans="3:5" ht="60" x14ac:dyDescent="0.25">
      <c r="C5005" s="15">
        <v>425958</v>
      </c>
      <c r="D5005" s="4" t="s">
        <v>5009</v>
      </c>
      <c r="E5005" s="4" t="str">
        <f>HYPERLINK("https://app.crepc.sk/?fn=detailBiblioForm&amp;sid=42EF06429873272B34EE990B8C")</f>
        <v>https://app.crepc.sk/?fn=detailBiblioForm&amp;sid=42EF06429873272B34EE990B8C</v>
      </c>
    </row>
    <row r="5006" spans="3:5" ht="60" x14ac:dyDescent="0.25">
      <c r="C5006" s="15">
        <v>314484</v>
      </c>
      <c r="D5006" s="4" t="s">
        <v>5010</v>
      </c>
      <c r="E5006" s="4" t="str">
        <f>HYPERLINK("https://app.crepc.sk/?fn=detailBiblioForm&amp;sid=C7E6A58A421B623365C6B6DFEA")</f>
        <v>https://app.crepc.sk/?fn=detailBiblioForm&amp;sid=C7E6A58A421B623365C6B6DFEA</v>
      </c>
    </row>
    <row r="5007" spans="3:5" ht="90" x14ac:dyDescent="0.25">
      <c r="C5007" s="15">
        <v>316212</v>
      </c>
      <c r="D5007" s="4" t="s">
        <v>5011</v>
      </c>
      <c r="E5007" s="4" t="str">
        <f>HYPERLINK("https://app.crepc.sk/?fn=detailBiblioForm&amp;sid=791E4A260FB3471CC9B6FEBA13")</f>
        <v>https://app.crepc.sk/?fn=detailBiblioForm&amp;sid=791E4A260FB3471CC9B6FEBA13</v>
      </c>
    </row>
    <row r="5008" spans="3:5" ht="60" x14ac:dyDescent="0.25">
      <c r="C5008" s="15">
        <v>417877</v>
      </c>
      <c r="D5008" s="4" t="s">
        <v>5012</v>
      </c>
      <c r="E5008" s="4" t="str">
        <f>HYPERLINK("https://app.crepc.sk/?fn=detailBiblioForm&amp;sid=2F54B387D39AE8BF228829BD09")</f>
        <v>https://app.crepc.sk/?fn=detailBiblioForm&amp;sid=2F54B387D39AE8BF228829BD09</v>
      </c>
    </row>
    <row r="5009" spans="3:5" ht="45" x14ac:dyDescent="0.25">
      <c r="C5009" s="15">
        <v>51624</v>
      </c>
      <c r="D5009" s="4" t="s">
        <v>5013</v>
      </c>
      <c r="E5009" s="4" t="str">
        <f>HYPERLINK("https://app.crepc.sk/?fn=detailBiblioForm&amp;sid=DBB707ABF7C726FCC4B3B87C")</f>
        <v>https://app.crepc.sk/?fn=detailBiblioForm&amp;sid=DBB707ABF7C726FCC4B3B87C</v>
      </c>
    </row>
    <row r="5010" spans="3:5" ht="90" x14ac:dyDescent="0.25">
      <c r="C5010" s="15">
        <v>129635</v>
      </c>
      <c r="D5010" s="4" t="s">
        <v>5014</v>
      </c>
      <c r="E5010" s="4" t="str">
        <f>HYPERLINK("https://app.crepc.sk/?fn=detailBiblioForm&amp;sid=ACAA4AF27E5710F224AD8B34E5")</f>
        <v>https://app.crepc.sk/?fn=detailBiblioForm&amp;sid=ACAA4AF27E5710F224AD8B34E5</v>
      </c>
    </row>
    <row r="5011" spans="3:5" ht="90" x14ac:dyDescent="0.25">
      <c r="C5011" s="15">
        <v>60338</v>
      </c>
      <c r="D5011" s="4" t="s">
        <v>5015</v>
      </c>
      <c r="E5011" s="4" t="str">
        <f>HYPERLINK("https://app.crepc.sk/?fn=detailBiblioForm&amp;sid=4B4C576FB34CA0F3A2FF411E")</f>
        <v>https://app.crepc.sk/?fn=detailBiblioForm&amp;sid=4B4C576FB34CA0F3A2FF411E</v>
      </c>
    </row>
    <row r="5012" spans="3:5" ht="75" x14ac:dyDescent="0.25">
      <c r="C5012" s="15">
        <v>129641</v>
      </c>
      <c r="D5012" s="4" t="s">
        <v>5016</v>
      </c>
      <c r="E5012" s="4" t="str">
        <f>HYPERLINK("https://app.crepc.sk/?fn=detailBiblioForm&amp;sid=ACAA4AF27E5710F223A98B34E5")</f>
        <v>https://app.crepc.sk/?fn=detailBiblioForm&amp;sid=ACAA4AF27E5710F223A98B34E5</v>
      </c>
    </row>
    <row r="5013" spans="3:5" ht="75" x14ac:dyDescent="0.25">
      <c r="C5013" s="15">
        <v>129644</v>
      </c>
      <c r="D5013" s="4" t="s">
        <v>5017</v>
      </c>
      <c r="E5013" s="4" t="str">
        <f>HYPERLINK("https://app.crepc.sk/?fn=detailBiblioForm&amp;sid=ACAA4AF27E5710F223AC8B34E5")</f>
        <v>https://app.crepc.sk/?fn=detailBiblioForm&amp;sid=ACAA4AF27E5710F223AC8B34E5</v>
      </c>
    </row>
    <row r="5014" spans="3:5" ht="90" x14ac:dyDescent="0.25">
      <c r="C5014" s="15">
        <v>60365</v>
      </c>
      <c r="D5014" s="4" t="s">
        <v>5018</v>
      </c>
      <c r="E5014" s="4" t="str">
        <f>HYPERLINK("https://app.crepc.sk/?fn=detailBiblioForm&amp;sid=B8C2F9F876F33F294EE17DCD")</f>
        <v>https://app.crepc.sk/?fn=detailBiblioForm&amp;sid=B8C2F9F876F33F294EE17DCD</v>
      </c>
    </row>
    <row r="5015" spans="3:5" ht="90" x14ac:dyDescent="0.25">
      <c r="C5015" s="15">
        <v>60350</v>
      </c>
      <c r="D5015" s="4" t="s">
        <v>5019</v>
      </c>
      <c r="E5015" s="4" t="str">
        <f>HYPERLINK("https://app.crepc.sk/?fn=detailBiblioForm&amp;sid=78C9F3E8CC26E15DA9559898")</f>
        <v>https://app.crepc.sk/?fn=detailBiblioForm&amp;sid=78C9F3E8CC26E15DA9559898</v>
      </c>
    </row>
    <row r="5016" spans="3:5" ht="75" x14ac:dyDescent="0.25">
      <c r="C5016" s="15">
        <v>60363</v>
      </c>
      <c r="D5016" s="4" t="s">
        <v>5020</v>
      </c>
      <c r="E5016" s="4" t="str">
        <f>HYPERLINK("https://app.crepc.sk/?fn=detailBiblioForm&amp;sid=B8C2F9F876F33F2948E17DCD")</f>
        <v>https://app.crepc.sk/?fn=detailBiblioForm&amp;sid=B8C2F9F876F33F2948E17DCD</v>
      </c>
    </row>
    <row r="5017" spans="3:5" ht="90" x14ac:dyDescent="0.25">
      <c r="C5017" s="15">
        <v>129649</v>
      </c>
      <c r="D5017" s="4" t="s">
        <v>5021</v>
      </c>
      <c r="E5017" s="4" t="str">
        <f>HYPERLINK("https://app.crepc.sk/?fn=detailBiblioForm&amp;sid=ACAA4AF27E5710F223A18B34E5")</f>
        <v>https://app.crepc.sk/?fn=detailBiblioForm&amp;sid=ACAA4AF27E5710F223A18B34E5</v>
      </c>
    </row>
    <row r="5018" spans="3:5" ht="60" x14ac:dyDescent="0.25">
      <c r="C5018" s="15">
        <v>51968</v>
      </c>
      <c r="D5018" s="4" t="s">
        <v>5022</v>
      </c>
      <c r="E5018" s="4" t="str">
        <f>HYPERLINK("https://app.crepc.sk/?fn=detailBiblioForm&amp;sid=88B0466A87B457940B8FE6A3")</f>
        <v>https://app.crepc.sk/?fn=detailBiblioForm&amp;sid=88B0466A87B457940B8FE6A3</v>
      </c>
    </row>
    <row r="5019" spans="3:5" ht="75" x14ac:dyDescent="0.25">
      <c r="C5019" s="15">
        <v>425891</v>
      </c>
      <c r="D5019" s="4" t="s">
        <v>5023</v>
      </c>
      <c r="E5019" s="4" t="str">
        <f>HYPERLINK("https://app.crepc.sk/?fn=detailBiblioForm&amp;sid=8DE77488E7939B18C798344B3D")</f>
        <v>https://app.crepc.sk/?fn=detailBiblioForm&amp;sid=8DE77488E7939B18C798344B3D</v>
      </c>
    </row>
    <row r="5020" spans="3:5" ht="90" x14ac:dyDescent="0.25">
      <c r="C5020" s="15">
        <v>217872</v>
      </c>
      <c r="D5020" s="4" t="s">
        <v>5024</v>
      </c>
      <c r="E5020" s="4" t="str">
        <f>HYPERLINK("https://app.crepc.sk/?fn=detailBiblioForm&amp;sid=DD17F1AC3B2F6CB15D70480A3C")</f>
        <v>https://app.crepc.sk/?fn=detailBiblioForm&amp;sid=DD17F1AC3B2F6CB15D70480A3C</v>
      </c>
    </row>
    <row r="5021" spans="3:5" ht="60" x14ac:dyDescent="0.25">
      <c r="C5021" s="15">
        <v>115685</v>
      </c>
      <c r="D5021" s="4" t="s">
        <v>5025</v>
      </c>
      <c r="E5021" s="4" t="str">
        <f>HYPERLINK("https://app.crepc.sk/?fn=detailBiblioForm&amp;sid=8B887CD3FF777E505CB17BD084")</f>
        <v>https://app.crepc.sk/?fn=detailBiblioForm&amp;sid=8B887CD3FF777E505CB17BD084</v>
      </c>
    </row>
    <row r="5022" spans="3:5" ht="60" x14ac:dyDescent="0.25">
      <c r="C5022" s="15">
        <v>446109</v>
      </c>
      <c r="D5022" s="4" t="s">
        <v>5026</v>
      </c>
      <c r="E5022" s="4" t="str">
        <f>HYPERLINK("https://app.crepc.sk/?fn=detailBiblioForm&amp;sid=78EA7041B85B7B09CFAC1A8FE3")</f>
        <v>https://app.crepc.sk/?fn=detailBiblioForm&amp;sid=78EA7041B85B7B09CFAC1A8FE3</v>
      </c>
    </row>
    <row r="5023" spans="3:5" ht="75" x14ac:dyDescent="0.25">
      <c r="C5023" s="15">
        <v>109630</v>
      </c>
      <c r="D5023" s="4" t="s">
        <v>5027</v>
      </c>
      <c r="E5023" s="4" t="str">
        <f>HYPERLINK("https://app.crepc.sk/?fn=detailBiblioForm&amp;sid=15CAFFC3B9CE7DA2372ADBD162")</f>
        <v>https://app.crepc.sk/?fn=detailBiblioForm&amp;sid=15CAFFC3B9CE7DA2372ADBD162</v>
      </c>
    </row>
    <row r="5024" spans="3:5" ht="45" x14ac:dyDescent="0.25">
      <c r="C5024" s="15">
        <v>183758</v>
      </c>
      <c r="D5024" s="4" t="s">
        <v>5028</v>
      </c>
      <c r="E5024" s="4" t="str">
        <f>HYPERLINK("https://app.crepc.sk/?fn=detailBiblioForm&amp;sid=8DA5F85D14F67EBBAFD48BC081")</f>
        <v>https://app.crepc.sk/?fn=detailBiblioForm&amp;sid=8DA5F85D14F67EBBAFD48BC081</v>
      </c>
    </row>
    <row r="5025" spans="3:5" ht="150" x14ac:dyDescent="0.25">
      <c r="C5025" s="15">
        <v>126762</v>
      </c>
      <c r="D5025" s="4" t="s">
        <v>5029</v>
      </c>
      <c r="E5025" s="4" t="str">
        <f>HYPERLINK("https://app.crepc.sk/?fn=detailBiblioForm&amp;sid=BF2E02CB30820396ABE25B7C2B")</f>
        <v>https://app.crepc.sk/?fn=detailBiblioForm&amp;sid=BF2E02CB30820396ABE25B7C2B</v>
      </c>
    </row>
    <row r="5026" spans="3:5" ht="60" x14ac:dyDescent="0.25">
      <c r="C5026" s="15">
        <v>61843</v>
      </c>
      <c r="D5026" s="4" t="s">
        <v>5030</v>
      </c>
      <c r="E5026" s="4" t="str">
        <f>HYPERLINK("https://app.crepc.sk/?fn=detailBiblioForm&amp;sid=0F1A74D94FE914F24E015B39")</f>
        <v>https://app.crepc.sk/?fn=detailBiblioForm&amp;sid=0F1A74D94FE914F24E015B39</v>
      </c>
    </row>
    <row r="5027" spans="3:5" ht="165" x14ac:dyDescent="0.25">
      <c r="C5027" s="15">
        <v>313706</v>
      </c>
      <c r="D5027" s="4" t="s">
        <v>5031</v>
      </c>
      <c r="E5027" s="4" t="str">
        <f>HYPERLINK("https://app.crepc.sk/?fn=detailBiblioForm&amp;sid=54D25A27962CDFF2C5C4F50D21")</f>
        <v>https://app.crepc.sk/?fn=detailBiblioForm&amp;sid=54D25A27962CDFF2C5C4F50D21</v>
      </c>
    </row>
    <row r="5028" spans="3:5" ht="150" x14ac:dyDescent="0.25">
      <c r="C5028" s="15">
        <v>194803</v>
      </c>
      <c r="D5028" s="4" t="s">
        <v>5032</v>
      </c>
      <c r="E5028" s="4" t="str">
        <f>HYPERLINK("https://app.crepc.sk/?fn=detailBiblioForm&amp;sid=731BBBC0D00D7D7B0438010E9F")</f>
        <v>https://app.crepc.sk/?fn=detailBiblioForm&amp;sid=731BBBC0D00D7D7B0438010E9F</v>
      </c>
    </row>
    <row r="5029" spans="3:5" ht="45" x14ac:dyDescent="0.25">
      <c r="C5029" s="15">
        <v>104219</v>
      </c>
      <c r="D5029" s="4" t="s">
        <v>5033</v>
      </c>
      <c r="E5029" s="4" t="str">
        <f>HYPERLINK("https://app.crepc.sk/?fn=detailBiblioForm&amp;sid=6E72E145B6DED42F4CCA88103F")</f>
        <v>https://app.crepc.sk/?fn=detailBiblioForm&amp;sid=6E72E145B6DED42F4CCA88103F</v>
      </c>
    </row>
    <row r="5030" spans="3:5" ht="75" x14ac:dyDescent="0.25">
      <c r="C5030" s="15">
        <v>61834</v>
      </c>
      <c r="D5030" s="4" t="s">
        <v>5034</v>
      </c>
      <c r="E5030" s="4" t="str">
        <f>HYPERLINK("https://app.crepc.sk/?fn=detailBiblioForm&amp;sid=24D7840E7B00737192AA7332")</f>
        <v>https://app.crepc.sk/?fn=detailBiblioForm&amp;sid=24D7840E7B00737192AA7332</v>
      </c>
    </row>
    <row r="5031" spans="3:5" ht="165" x14ac:dyDescent="0.25">
      <c r="C5031" s="15">
        <v>315552</v>
      </c>
      <c r="D5031" s="4" t="s">
        <v>5035</v>
      </c>
      <c r="E5031" s="4" t="str">
        <f>HYPERLINK("https://app.crepc.sk/?fn=detailBiblioForm&amp;sid=46945EB1F5D500F5907743D35F")</f>
        <v>https://app.crepc.sk/?fn=detailBiblioForm&amp;sid=46945EB1F5D500F5907743D35F</v>
      </c>
    </row>
    <row r="5032" spans="3:5" ht="165" x14ac:dyDescent="0.25">
      <c r="C5032" s="15">
        <v>126752</v>
      </c>
      <c r="D5032" s="4" t="s">
        <v>5036</v>
      </c>
      <c r="E5032" s="4" t="str">
        <f>HYPERLINK("https://app.crepc.sk/?fn=detailBiblioForm&amp;sid=BF2E02CB30820396A8E25B7C2B")</f>
        <v>https://app.crepc.sk/?fn=detailBiblioForm&amp;sid=BF2E02CB30820396A8E25B7C2B</v>
      </c>
    </row>
    <row r="5033" spans="3:5" ht="120" x14ac:dyDescent="0.25">
      <c r="C5033" s="15">
        <v>127989</v>
      </c>
      <c r="D5033" s="4" t="s">
        <v>5037</v>
      </c>
      <c r="E5033" s="4" t="str">
        <f>HYPERLINK("https://app.crepc.sk/?fn=detailBiblioForm&amp;sid=24C6E28F89ED84B9256C59EEF1")</f>
        <v>https://app.crepc.sk/?fn=detailBiblioForm&amp;sid=24C6E28F89ED84B9256C59EEF1</v>
      </c>
    </row>
    <row r="5034" spans="3:5" ht="150" x14ac:dyDescent="0.25">
      <c r="C5034" s="15">
        <v>194786</v>
      </c>
      <c r="D5034" s="4" t="s">
        <v>5038</v>
      </c>
      <c r="E5034" s="4" t="str">
        <f>HYPERLINK("https://app.crepc.sk/?fn=detailBiblioForm&amp;sid=2FEED85A3FCEFC83C9EEE02009")</f>
        <v>https://app.crepc.sk/?fn=detailBiblioForm&amp;sid=2FEED85A3FCEFC83C9EEE02009</v>
      </c>
    </row>
    <row r="5035" spans="3:5" ht="165" x14ac:dyDescent="0.25">
      <c r="C5035" s="15">
        <v>422017</v>
      </c>
      <c r="D5035" s="4" t="s">
        <v>5039</v>
      </c>
      <c r="E5035" s="4" t="str">
        <f>HYPERLINK("https://app.crepc.sk/?fn=detailBiblioForm&amp;sid=E7F56019E00BBD60131B7CFFC7")</f>
        <v>https://app.crepc.sk/?fn=detailBiblioForm&amp;sid=E7F56019E00BBD60131B7CFFC7</v>
      </c>
    </row>
    <row r="5036" spans="3:5" ht="60" x14ac:dyDescent="0.25">
      <c r="C5036" s="15">
        <v>419074</v>
      </c>
      <c r="D5036" s="4" t="s">
        <v>5040</v>
      </c>
      <c r="E5036" s="4" t="str">
        <f>HYPERLINK("https://app.crepc.sk/?fn=detailBiblioForm&amp;sid=D1A8AE86DB46EECF7666276DBF")</f>
        <v>https://app.crepc.sk/?fn=detailBiblioForm&amp;sid=D1A8AE86DB46EECF7666276DBF</v>
      </c>
    </row>
    <row r="5037" spans="3:5" ht="90" x14ac:dyDescent="0.25">
      <c r="C5037" s="15">
        <v>189102</v>
      </c>
      <c r="D5037" s="4" t="s">
        <v>5041</v>
      </c>
      <c r="E5037" s="4" t="str">
        <f>HYPERLINK("https://app.crepc.sk/?fn=detailBiblioForm&amp;sid=5F8A474E6167CAF511C6F143D7")</f>
        <v>https://app.crepc.sk/?fn=detailBiblioForm&amp;sid=5F8A474E6167CAF511C6F143D7</v>
      </c>
    </row>
    <row r="5038" spans="3:5" ht="60" x14ac:dyDescent="0.25">
      <c r="C5038" s="15">
        <v>124449</v>
      </c>
      <c r="D5038" s="4" t="s">
        <v>5042</v>
      </c>
      <c r="E5038" s="4" t="str">
        <f>HYPERLINK("https://app.crepc.sk/?fn=detailBiblioForm&amp;sid=334EBFF4980CD774474E2B0A8A")</f>
        <v>https://app.crepc.sk/?fn=detailBiblioForm&amp;sid=334EBFF4980CD774474E2B0A8A</v>
      </c>
    </row>
    <row r="5039" spans="3:5" ht="105" x14ac:dyDescent="0.25">
      <c r="C5039" s="15">
        <v>78762</v>
      </c>
      <c r="D5039" s="4" t="s">
        <v>5043</v>
      </c>
      <c r="E5039" s="4" t="str">
        <f>HYPERLINK("https://app.crepc.sk/?fn=detailBiblioForm&amp;sid=C460633CD420275AA1A6522E")</f>
        <v>https://app.crepc.sk/?fn=detailBiblioForm&amp;sid=C460633CD420275AA1A6522E</v>
      </c>
    </row>
    <row r="5040" spans="3:5" ht="60" x14ac:dyDescent="0.25">
      <c r="C5040" s="15">
        <v>419005</v>
      </c>
      <c r="D5040" s="4" t="s">
        <v>5044</v>
      </c>
      <c r="E5040" s="4" t="str">
        <f>HYPERLINK("https://app.crepc.sk/?fn=detailBiblioForm&amp;sid=D1A8AE86DB46EECF7167276DBF")</f>
        <v>https://app.crepc.sk/?fn=detailBiblioForm&amp;sid=D1A8AE86DB46EECF7167276DBF</v>
      </c>
    </row>
    <row r="5041" spans="3:5" ht="60" x14ac:dyDescent="0.25">
      <c r="C5041" s="15">
        <v>67895</v>
      </c>
      <c r="D5041" s="4" t="s">
        <v>5045</v>
      </c>
      <c r="E5041" s="4" t="str">
        <f>HYPERLINK("https://app.crepc.sk/?fn=detailBiblioForm&amp;sid=DB2E9AEAE4DF7AC6846D717D")</f>
        <v>https://app.crepc.sk/?fn=detailBiblioForm&amp;sid=DB2E9AEAE4DF7AC6846D717D</v>
      </c>
    </row>
    <row r="5042" spans="3:5" ht="120" x14ac:dyDescent="0.25">
      <c r="C5042" s="15">
        <v>122059</v>
      </c>
      <c r="D5042" s="4" t="s">
        <v>5046</v>
      </c>
      <c r="E5042" s="4" t="str">
        <f>HYPERLINK("https://app.crepc.sk/?fn=detailBiblioForm&amp;sid=889E7E0E7AB5801297F6ADA3B8")</f>
        <v>https://app.crepc.sk/?fn=detailBiblioForm&amp;sid=889E7E0E7AB5801297F6ADA3B8</v>
      </c>
    </row>
    <row r="5043" spans="3:5" ht="75" x14ac:dyDescent="0.25">
      <c r="C5043" s="15">
        <v>71085</v>
      </c>
      <c r="D5043" s="4" t="s">
        <v>5047</v>
      </c>
      <c r="E5043" s="4" t="str">
        <f>HYPERLINK("https://app.crepc.sk/?fn=detailBiblioForm&amp;sid=33185F99303E7766E45D79B3")</f>
        <v>https://app.crepc.sk/?fn=detailBiblioForm&amp;sid=33185F99303E7766E45D79B3</v>
      </c>
    </row>
    <row r="5044" spans="3:5" ht="60" x14ac:dyDescent="0.25">
      <c r="C5044" s="15">
        <v>211300</v>
      </c>
      <c r="D5044" s="4" t="s">
        <v>5048</v>
      </c>
      <c r="E5044" s="4" t="str">
        <f>HYPERLINK("https://app.crepc.sk/?fn=detailBiblioForm&amp;sid=607F6B6A1832FEA875C83AD1B4")</f>
        <v>https://app.crepc.sk/?fn=detailBiblioForm&amp;sid=607F6B6A1832FEA875C83AD1B4</v>
      </c>
    </row>
    <row r="5045" spans="3:5" ht="75" x14ac:dyDescent="0.25">
      <c r="C5045" s="15">
        <v>75852</v>
      </c>
      <c r="D5045" s="4" t="s">
        <v>5049</v>
      </c>
      <c r="E5045" s="4" t="str">
        <f>HYPERLINK("https://app.crepc.sk/?fn=detailBiblioForm&amp;sid=A84F8E2DBF3AD6D4A022FBDD")</f>
        <v>https://app.crepc.sk/?fn=detailBiblioForm&amp;sid=A84F8E2DBF3AD6D4A022FBDD</v>
      </c>
    </row>
    <row r="5046" spans="3:5" ht="90" x14ac:dyDescent="0.25">
      <c r="C5046" s="15">
        <v>245237</v>
      </c>
      <c r="D5046" s="4" t="s">
        <v>5050</v>
      </c>
      <c r="E5046" s="4" t="str">
        <f>HYPERLINK("https://app.crepc.sk/?fn=detailBiblioForm&amp;sid=BDD02C6927F03517720F5D9292")</f>
        <v>https://app.crepc.sk/?fn=detailBiblioForm&amp;sid=BDD02C6927F03517720F5D9292</v>
      </c>
    </row>
    <row r="5047" spans="3:5" ht="60" x14ac:dyDescent="0.25">
      <c r="C5047" s="15">
        <v>206825</v>
      </c>
      <c r="D5047" s="4" t="s">
        <v>5051</v>
      </c>
      <c r="E5047" s="4" t="str">
        <f>HYPERLINK("https://app.crepc.sk/?fn=detailBiblioForm&amp;sid=01F693E10B74071541B1413BCF")</f>
        <v>https://app.crepc.sk/?fn=detailBiblioForm&amp;sid=01F693E10B74071541B1413BCF</v>
      </c>
    </row>
    <row r="5048" spans="3:5" ht="75" x14ac:dyDescent="0.25">
      <c r="C5048" s="15">
        <v>424066</v>
      </c>
      <c r="D5048" s="4" t="s">
        <v>5052</v>
      </c>
      <c r="E5048" s="4" t="str">
        <f>HYPERLINK("https://app.crepc.sk/?fn=detailBiblioForm&amp;sid=BA457766276C186FCF5C02CEDF")</f>
        <v>https://app.crepc.sk/?fn=detailBiblioForm&amp;sid=BA457766276C186FCF5C02CEDF</v>
      </c>
    </row>
    <row r="5049" spans="3:5" ht="150" x14ac:dyDescent="0.25">
      <c r="C5049" s="15">
        <v>126759</v>
      </c>
      <c r="D5049" s="4" t="s">
        <v>5053</v>
      </c>
      <c r="E5049" s="4" t="str">
        <f>HYPERLINK("https://app.crepc.sk/?fn=detailBiblioForm&amp;sid=BF2E02CB30820396A8E95B7C2B")</f>
        <v>https://app.crepc.sk/?fn=detailBiblioForm&amp;sid=BF2E02CB30820396A8E95B7C2B</v>
      </c>
    </row>
    <row r="5050" spans="3:5" ht="75" x14ac:dyDescent="0.25">
      <c r="C5050" s="15">
        <v>103113</v>
      </c>
      <c r="D5050" s="4" t="s">
        <v>5054</v>
      </c>
      <c r="E5050" s="4" t="str">
        <f>HYPERLINK("https://app.crepc.sk/?fn=detailBiblioForm&amp;sid=1C4C6AA85D9A3B933692B2703D")</f>
        <v>https://app.crepc.sk/?fn=detailBiblioForm&amp;sid=1C4C6AA85D9A3B933692B2703D</v>
      </c>
    </row>
    <row r="5051" spans="3:5" ht="75" x14ac:dyDescent="0.25">
      <c r="C5051" s="15">
        <v>421694</v>
      </c>
      <c r="D5051" s="4" t="s">
        <v>5055</v>
      </c>
      <c r="E5051" s="4" t="str">
        <f>HYPERLINK("https://app.crepc.sk/?fn=detailBiblioForm&amp;sid=A4672E8036526CDA2A3BF2FB32")</f>
        <v>https://app.crepc.sk/?fn=detailBiblioForm&amp;sid=A4672E8036526CDA2A3BF2FB32</v>
      </c>
    </row>
    <row r="5052" spans="3:5" ht="75" x14ac:dyDescent="0.25">
      <c r="C5052" s="15">
        <v>52168</v>
      </c>
      <c r="D5052" s="4" t="s">
        <v>5056</v>
      </c>
      <c r="E5052" s="4" t="str">
        <f>HYPERLINK("https://app.crepc.sk/?fn=detailBiblioForm&amp;sid=423AC1F5D235D0E645D4B2CD")</f>
        <v>https://app.crepc.sk/?fn=detailBiblioForm&amp;sid=423AC1F5D235D0E645D4B2CD</v>
      </c>
    </row>
    <row r="5053" spans="3:5" ht="60" x14ac:dyDescent="0.25">
      <c r="C5053" s="15">
        <v>144047</v>
      </c>
      <c r="D5053" s="4" t="s">
        <v>5057</v>
      </c>
      <c r="E5053" s="4" t="str">
        <f>HYPERLINK("https://app.crepc.sk/?fn=detailBiblioForm&amp;sid=3B3C390F92023FADB8FCAAFB13")</f>
        <v>https://app.crepc.sk/?fn=detailBiblioForm&amp;sid=3B3C390F92023FADB8FCAAFB13</v>
      </c>
    </row>
    <row r="5054" spans="3:5" ht="75" x14ac:dyDescent="0.25">
      <c r="C5054" s="15">
        <v>117264</v>
      </c>
      <c r="D5054" s="4" t="s">
        <v>5058</v>
      </c>
      <c r="E5054" s="4" t="str">
        <f>HYPERLINK("https://app.crepc.sk/?fn=detailBiblioForm&amp;sid=4152576857568BE6FF16899DC6")</f>
        <v>https://app.crepc.sk/?fn=detailBiblioForm&amp;sid=4152576857568BE6FF16899DC6</v>
      </c>
    </row>
    <row r="5055" spans="3:5" ht="90" x14ac:dyDescent="0.25">
      <c r="C5055" s="15">
        <v>316166</v>
      </c>
      <c r="D5055" s="4" t="s">
        <v>5059</v>
      </c>
      <c r="E5055" s="4" t="str">
        <f>HYPERLINK("https://app.crepc.sk/?fn=detailBiblioForm&amp;sid=C23E7C285E3A8C28F16CE56553")</f>
        <v>https://app.crepc.sk/?fn=detailBiblioForm&amp;sid=C23E7C285E3A8C28F16CE56553</v>
      </c>
    </row>
    <row r="5056" spans="3:5" ht="60" x14ac:dyDescent="0.25">
      <c r="C5056" s="15">
        <v>184220</v>
      </c>
      <c r="D5056" s="4" t="s">
        <v>5060</v>
      </c>
      <c r="E5056" s="4" t="str">
        <f>HYPERLINK("https://app.crepc.sk/?fn=detailBiblioForm&amp;sid=51C176E8478ABC8F807763848B")</f>
        <v>https://app.crepc.sk/?fn=detailBiblioForm&amp;sid=51C176E8478ABC8F807763848B</v>
      </c>
    </row>
    <row r="5057" spans="3:5" ht="60" x14ac:dyDescent="0.25">
      <c r="C5057" s="15">
        <v>423757</v>
      </c>
      <c r="D5057" s="4" t="s">
        <v>5061</v>
      </c>
      <c r="E5057" s="4" t="str">
        <f>HYPERLINK("https://app.crepc.sk/?fn=detailBiblioForm&amp;sid=6E519627E417BE688392413E4C")</f>
        <v>https://app.crepc.sk/?fn=detailBiblioForm&amp;sid=6E519627E417BE688392413E4C</v>
      </c>
    </row>
    <row r="5058" spans="3:5" ht="60" x14ac:dyDescent="0.25">
      <c r="C5058" s="15">
        <v>314270</v>
      </c>
      <c r="D5058" s="4" t="s">
        <v>5062</v>
      </c>
      <c r="E5058" s="4" t="str">
        <f>HYPERLINK("https://app.crepc.sk/?fn=detailBiblioForm&amp;sid=419E9F8D80140914ABF4ADB681")</f>
        <v>https://app.crepc.sk/?fn=detailBiblioForm&amp;sid=419E9F8D80140914ABF4ADB681</v>
      </c>
    </row>
    <row r="5059" spans="3:5" ht="60" x14ac:dyDescent="0.25">
      <c r="C5059" s="15">
        <v>253574</v>
      </c>
      <c r="D5059" s="4" t="s">
        <v>5063</v>
      </c>
      <c r="E5059" s="4" t="str">
        <f>HYPERLINK("https://app.crepc.sk/?fn=detailBiblioForm&amp;sid=CEF2DEE1832EFB79ADBC6939C9")</f>
        <v>https://app.crepc.sk/?fn=detailBiblioForm&amp;sid=CEF2DEE1832EFB79ADBC6939C9</v>
      </c>
    </row>
    <row r="5060" spans="3:5" ht="60" x14ac:dyDescent="0.25">
      <c r="C5060" s="15">
        <v>175112</v>
      </c>
      <c r="D5060" s="4" t="s">
        <v>5064</v>
      </c>
      <c r="E5060" s="4" t="str">
        <f>HYPERLINK("https://app.crepc.sk/?fn=detailBiblioForm&amp;sid=A3900C45A119566173F2918F0F")</f>
        <v>https://app.crepc.sk/?fn=detailBiblioForm&amp;sid=A3900C45A119566173F2918F0F</v>
      </c>
    </row>
    <row r="5061" spans="3:5" ht="90" x14ac:dyDescent="0.25">
      <c r="C5061" s="15">
        <v>182123</v>
      </c>
      <c r="D5061" s="4" t="s">
        <v>5065</v>
      </c>
      <c r="E5061" s="4" t="str">
        <f>HYPERLINK("https://app.crepc.sk/?fn=detailBiblioForm&amp;sid=9A7D98113A4E7D6F02AD1FB6F1")</f>
        <v>https://app.crepc.sk/?fn=detailBiblioForm&amp;sid=9A7D98113A4E7D6F02AD1FB6F1</v>
      </c>
    </row>
    <row r="5062" spans="3:5" ht="75" x14ac:dyDescent="0.25">
      <c r="C5062" s="15">
        <v>129643</v>
      </c>
      <c r="D5062" s="4" t="s">
        <v>5066</v>
      </c>
      <c r="E5062" s="4" t="str">
        <f>HYPERLINK("https://app.crepc.sk/?fn=detailBiblioForm&amp;sid=ACAA4AF27E5710F223AB8B34E5")</f>
        <v>https://app.crepc.sk/?fn=detailBiblioForm&amp;sid=ACAA4AF27E5710F223AB8B34E5</v>
      </c>
    </row>
    <row r="5063" spans="3:5" ht="75" x14ac:dyDescent="0.25">
      <c r="C5063" s="15">
        <v>457234</v>
      </c>
      <c r="D5063" s="4" t="s">
        <v>5067</v>
      </c>
      <c r="E5063" s="4" t="str">
        <f>HYPERLINK("https://app.crepc.sk/?fn=detailBiblioForm&amp;sid=A3FD0E4E43B8895663C0AEF09F")</f>
        <v>https://app.crepc.sk/?fn=detailBiblioForm&amp;sid=A3FD0E4E43B8895663C0AEF09F</v>
      </c>
    </row>
    <row r="5064" spans="3:5" ht="60" x14ac:dyDescent="0.25">
      <c r="C5064" s="15">
        <v>417857</v>
      </c>
      <c r="D5064" s="4" t="s">
        <v>5068</v>
      </c>
      <c r="E5064" s="4" t="str">
        <f>HYPERLINK("https://app.crepc.sk/?fn=detailBiblioForm&amp;sid=2F54B387D39AE8BF208829BD09")</f>
        <v>https://app.crepc.sk/?fn=detailBiblioForm&amp;sid=2F54B387D39AE8BF208829BD09</v>
      </c>
    </row>
    <row r="5065" spans="3:5" ht="60" x14ac:dyDescent="0.25">
      <c r="C5065" s="15">
        <v>431561</v>
      </c>
      <c r="D5065" s="4" t="s">
        <v>5069</v>
      </c>
      <c r="E5065" s="4" t="str">
        <f>HYPERLINK("https://app.crepc.sk/?fn=detailBiblioForm&amp;sid=2DB25D5D0CF930F822305944D3")</f>
        <v>https://app.crepc.sk/?fn=detailBiblioForm&amp;sid=2DB25D5D0CF930F822305944D3</v>
      </c>
    </row>
    <row r="5066" spans="3:5" ht="60" x14ac:dyDescent="0.25">
      <c r="C5066" s="15">
        <v>431564</v>
      </c>
      <c r="D5066" s="4" t="s">
        <v>5070</v>
      </c>
      <c r="E5066" s="4" t="str">
        <f>HYPERLINK("https://app.crepc.sk/?fn=detailBiblioForm&amp;sid=2DB25D5D0CF930F822355944D3")</f>
        <v>https://app.crepc.sk/?fn=detailBiblioForm&amp;sid=2DB25D5D0CF930F822355944D3</v>
      </c>
    </row>
    <row r="5067" spans="3:5" ht="75" x14ac:dyDescent="0.25">
      <c r="C5067" s="15">
        <v>206482</v>
      </c>
      <c r="D5067" s="4" t="s">
        <v>5071</v>
      </c>
      <c r="E5067" s="4" t="str">
        <f>HYPERLINK("https://app.crepc.sk/?fn=detailBiblioForm&amp;sid=9EADD462503AFBCA2F561F908F")</f>
        <v>https://app.crepc.sk/?fn=detailBiblioForm&amp;sid=9EADD462503AFBCA2F561F908F</v>
      </c>
    </row>
    <row r="5068" spans="3:5" ht="60" x14ac:dyDescent="0.25">
      <c r="C5068" s="15">
        <v>206775</v>
      </c>
      <c r="D5068" s="4" t="s">
        <v>5072</v>
      </c>
      <c r="E5068" s="4" t="str">
        <f>HYPERLINK("https://app.crepc.sk/?fn=detailBiblioForm&amp;sid=DF29B71B83315C1234986F6198")</f>
        <v>https://app.crepc.sk/?fn=detailBiblioForm&amp;sid=DF29B71B83315C1234986F6198</v>
      </c>
    </row>
    <row r="5069" spans="3:5" ht="120" x14ac:dyDescent="0.25">
      <c r="C5069" s="15">
        <v>243266</v>
      </c>
      <c r="D5069" s="4" t="s">
        <v>5073</v>
      </c>
      <c r="E5069" s="4" t="str">
        <f>HYPERLINK("https://app.crepc.sk/?fn=detailBiblioForm&amp;sid=4F38C3384D93E0C3E8164743EB")</f>
        <v>https://app.crepc.sk/?fn=detailBiblioForm&amp;sid=4F38C3384D93E0C3E8164743EB</v>
      </c>
    </row>
    <row r="5070" spans="3:5" ht="60" x14ac:dyDescent="0.25">
      <c r="C5070" s="15">
        <v>206770</v>
      </c>
      <c r="D5070" s="4" t="s">
        <v>5074</v>
      </c>
      <c r="E5070" s="4" t="str">
        <f>HYPERLINK("https://app.crepc.sk/?fn=detailBiblioForm&amp;sid=DF29B71B83315C12349D6F6198")</f>
        <v>https://app.crepc.sk/?fn=detailBiblioForm&amp;sid=DF29B71B83315C12349D6F6198</v>
      </c>
    </row>
    <row r="5071" spans="3:5" ht="90" x14ac:dyDescent="0.25">
      <c r="C5071" s="15">
        <v>244735</v>
      </c>
      <c r="D5071" s="4" t="s">
        <v>5075</v>
      </c>
      <c r="E5071" s="4" t="str">
        <f>HYPERLINK("https://app.crepc.sk/?fn=detailBiblioForm&amp;sid=C5430B75513C4E7F23FAE1F354")</f>
        <v>https://app.crepc.sk/?fn=detailBiblioForm&amp;sid=C5430B75513C4E7F23FAE1F354</v>
      </c>
    </row>
    <row r="5072" spans="3:5" ht="60" x14ac:dyDescent="0.25">
      <c r="C5072" s="15">
        <v>244729</v>
      </c>
      <c r="D5072" s="4" t="s">
        <v>5076</v>
      </c>
      <c r="E5072" s="4" t="str">
        <f>HYPERLINK("https://app.crepc.sk/?fn=detailBiblioForm&amp;sid=C5430B75513C4E7F22F6E1F354")</f>
        <v>https://app.crepc.sk/?fn=detailBiblioForm&amp;sid=C5430B75513C4E7F22F6E1F354</v>
      </c>
    </row>
    <row r="5073" spans="3:5" ht="60" x14ac:dyDescent="0.25">
      <c r="C5073" s="15">
        <v>79780</v>
      </c>
      <c r="D5073" s="4" t="s">
        <v>5077</v>
      </c>
      <c r="E5073" s="4" t="str">
        <f>HYPERLINK("https://app.crepc.sk/?fn=detailBiblioForm&amp;sid=1E7CDEC61636829689240553")</f>
        <v>https://app.crepc.sk/?fn=detailBiblioForm&amp;sid=1E7CDEC61636829689240553</v>
      </c>
    </row>
    <row r="5074" spans="3:5" ht="90" x14ac:dyDescent="0.25">
      <c r="C5074" s="15">
        <v>182120</v>
      </c>
      <c r="D5074" s="4" t="s">
        <v>5078</v>
      </c>
      <c r="E5074" s="4" t="str">
        <f>HYPERLINK("https://app.crepc.sk/?fn=detailBiblioForm&amp;sid=9A7D98113A4E7D6F02AE1FB6F1")</f>
        <v>https://app.crepc.sk/?fn=detailBiblioForm&amp;sid=9A7D98113A4E7D6F02AE1FB6F1</v>
      </c>
    </row>
    <row r="5075" spans="3:5" ht="75" x14ac:dyDescent="0.25">
      <c r="C5075" s="15">
        <v>186688</v>
      </c>
      <c r="D5075" s="4" t="s">
        <v>5079</v>
      </c>
      <c r="E5075" s="4" t="str">
        <f>HYPERLINK("https://app.crepc.sk/?fn=detailBiblioForm&amp;sid=226A7A544DA3649F675852FFEC")</f>
        <v>https://app.crepc.sk/?fn=detailBiblioForm&amp;sid=226A7A544DA3649F675852FFEC</v>
      </c>
    </row>
    <row r="5076" spans="3:5" ht="60" x14ac:dyDescent="0.25">
      <c r="C5076" s="15">
        <v>109622</v>
      </c>
      <c r="D5076" s="4" t="s">
        <v>5080</v>
      </c>
      <c r="E5076" s="4" t="str">
        <f>HYPERLINK("https://app.crepc.sk/?fn=detailBiblioForm&amp;sid=15CAFFC3B9CE7DA23628DBD162")</f>
        <v>https://app.crepc.sk/?fn=detailBiblioForm&amp;sid=15CAFFC3B9CE7DA23628DBD162</v>
      </c>
    </row>
    <row r="5077" spans="3:5" ht="90" x14ac:dyDescent="0.25">
      <c r="C5077" s="15">
        <v>154289</v>
      </c>
      <c r="D5077" s="4" t="s">
        <v>5081</v>
      </c>
      <c r="E5077" s="4" t="str">
        <f>HYPERLINK("https://app.crepc.sk/?fn=detailBiblioForm&amp;sid=257C140978EBB75C0B559283D6")</f>
        <v>https://app.crepc.sk/?fn=detailBiblioForm&amp;sid=257C140978EBB75C0B559283D6</v>
      </c>
    </row>
    <row r="5078" spans="3:5" ht="150" x14ac:dyDescent="0.25">
      <c r="C5078" s="15">
        <v>126769</v>
      </c>
      <c r="D5078" s="4" t="s">
        <v>5082</v>
      </c>
      <c r="E5078" s="4" t="str">
        <f>HYPERLINK("https://app.crepc.sk/?fn=detailBiblioForm&amp;sid=BF2E02CB30820396ABE95B7C2B")</f>
        <v>https://app.crepc.sk/?fn=detailBiblioForm&amp;sid=BF2E02CB30820396ABE95B7C2B</v>
      </c>
    </row>
    <row r="5079" spans="3:5" ht="60" x14ac:dyDescent="0.25">
      <c r="C5079" s="15">
        <v>61853</v>
      </c>
      <c r="D5079" s="4" t="s">
        <v>5083</v>
      </c>
      <c r="E5079" s="4" t="str">
        <f>HYPERLINK("https://app.crepc.sk/?fn=detailBiblioForm&amp;sid=655CD9B4E82DCEAFC07EC1C4")</f>
        <v>https://app.crepc.sk/?fn=detailBiblioForm&amp;sid=655CD9B4E82DCEAFC07EC1C4</v>
      </c>
    </row>
    <row r="5080" spans="3:5" ht="90" x14ac:dyDescent="0.25">
      <c r="C5080" s="15">
        <v>211800</v>
      </c>
      <c r="D5080" s="4" t="s">
        <v>5084</v>
      </c>
      <c r="E5080" s="4" t="str">
        <f>HYPERLINK("https://app.crepc.sk/?fn=detailBiblioForm&amp;sid=0B37DC9B180395838AED452AC4")</f>
        <v>https://app.crepc.sk/?fn=detailBiblioForm&amp;sid=0B37DC9B180395838AED452AC4</v>
      </c>
    </row>
    <row r="5081" spans="3:5" ht="60" x14ac:dyDescent="0.25">
      <c r="C5081" s="15">
        <v>453899</v>
      </c>
      <c r="D5081" s="4" t="s">
        <v>5085</v>
      </c>
      <c r="E5081" s="4" t="str">
        <f>HYPERLINK("https://app.crepc.sk/?fn=detailBiblioForm&amp;sid=AA0C8B67AD573C2E56779424C4")</f>
        <v>https://app.crepc.sk/?fn=detailBiblioForm&amp;sid=AA0C8B67AD573C2E56779424C4</v>
      </c>
    </row>
    <row r="5082" spans="3:5" ht="60" x14ac:dyDescent="0.25">
      <c r="C5082" s="15">
        <v>182843</v>
      </c>
      <c r="D5082" s="4" t="s">
        <v>5086</v>
      </c>
      <c r="E5082" s="4" t="str">
        <f>HYPERLINK("https://app.crepc.sk/?fn=detailBiblioForm&amp;sid=A6A9937D4AB687F47FCFE5BFFE")</f>
        <v>https://app.crepc.sk/?fn=detailBiblioForm&amp;sid=A6A9937D4AB687F47FCFE5BFFE</v>
      </c>
    </row>
    <row r="5083" spans="3:5" ht="45" x14ac:dyDescent="0.25">
      <c r="C5083" s="15">
        <v>424651</v>
      </c>
      <c r="D5083" s="4" t="s">
        <v>5087</v>
      </c>
      <c r="E5083" s="4" t="str">
        <f>HYPERLINK("https://app.crepc.sk/?fn=detailBiblioForm&amp;sid=CC1B3F91A32071DE4CD5F9FB02")</f>
        <v>https://app.crepc.sk/?fn=detailBiblioForm&amp;sid=CC1B3F91A32071DE4CD5F9FB02</v>
      </c>
    </row>
    <row r="5084" spans="3:5" ht="60" x14ac:dyDescent="0.25">
      <c r="C5084" s="15">
        <v>309819</v>
      </c>
      <c r="D5084" s="4" t="s">
        <v>5088</v>
      </c>
      <c r="E5084" s="4" t="str">
        <f>HYPERLINK("https://app.crepc.sk/?fn=detailBiblioForm&amp;sid=0CAC617D75594C49BF4B5C6EC4")</f>
        <v>https://app.crepc.sk/?fn=detailBiblioForm&amp;sid=0CAC617D75594C49BF4B5C6EC4</v>
      </c>
    </row>
    <row r="5085" spans="3:5" ht="75" x14ac:dyDescent="0.25">
      <c r="C5085" s="15">
        <v>183524</v>
      </c>
      <c r="D5085" s="4" t="s">
        <v>5089</v>
      </c>
      <c r="E5085" s="4" t="str">
        <f>HYPERLINK("https://app.crepc.sk/?fn=detailBiblioForm&amp;sid=B6792D53D67A57D8E0AAA8192A")</f>
        <v>https://app.crepc.sk/?fn=detailBiblioForm&amp;sid=B6792D53D67A57D8E0AAA8192A</v>
      </c>
    </row>
    <row r="5086" spans="3:5" ht="45" x14ac:dyDescent="0.25">
      <c r="C5086" s="15">
        <v>207018</v>
      </c>
      <c r="D5086" s="4" t="s">
        <v>5090</v>
      </c>
      <c r="E5086" s="4" t="str">
        <f>HYPERLINK("https://app.crepc.sk/?fn=detailBiblioForm&amp;sid=0C78960071567D8D0F1F384767")</f>
        <v>https://app.crepc.sk/?fn=detailBiblioForm&amp;sid=0C78960071567D8D0F1F384767</v>
      </c>
    </row>
    <row r="5087" spans="3:5" ht="150" x14ac:dyDescent="0.25">
      <c r="C5087" s="15">
        <v>194784</v>
      </c>
      <c r="D5087" s="4" t="s">
        <v>5091</v>
      </c>
      <c r="E5087" s="4" t="str">
        <f>HYPERLINK("https://app.crepc.sk/?fn=detailBiblioForm&amp;sid=2FEED85A3FCEFC83C9ECE02009")</f>
        <v>https://app.crepc.sk/?fn=detailBiblioForm&amp;sid=2FEED85A3FCEFC83C9ECE02009</v>
      </c>
    </row>
    <row r="5088" spans="3:5" ht="60" x14ac:dyDescent="0.25">
      <c r="C5088" s="15">
        <v>212683</v>
      </c>
      <c r="D5088" s="4" t="s">
        <v>5092</v>
      </c>
      <c r="E5088" s="4" t="str">
        <f>HYPERLINK("https://app.crepc.sk/?fn=detailBiblioForm&amp;sid=98C1BC1B72D21E093FA40A25E5")</f>
        <v>https://app.crepc.sk/?fn=detailBiblioForm&amp;sid=98C1BC1B72D21E093FA40A25E5</v>
      </c>
    </row>
    <row r="5089" spans="1:5" ht="30" x14ac:dyDescent="0.25">
      <c r="A5089" s="4" t="s">
        <v>5093</v>
      </c>
      <c r="B5089" s="15">
        <v>7</v>
      </c>
    </row>
    <row r="5090" spans="1:5" ht="90" x14ac:dyDescent="0.25">
      <c r="C5090" s="15">
        <v>225775</v>
      </c>
      <c r="D5090" s="4" t="s">
        <v>5094</v>
      </c>
      <c r="E5090" s="4" t="str">
        <f>HYPERLINK("https://app.crepc.sk/?fn=detailBiblioForm&amp;sid=A02FDD97A14D5247036B018373")</f>
        <v>https://app.crepc.sk/?fn=detailBiblioForm&amp;sid=A02FDD97A14D5247036B018373</v>
      </c>
    </row>
    <row r="5091" spans="1:5" ht="135" x14ac:dyDescent="0.25">
      <c r="C5091" s="15">
        <v>414600</v>
      </c>
      <c r="D5091" s="4" t="s">
        <v>5095</v>
      </c>
      <c r="E5091" s="4" t="str">
        <f>HYPERLINK("https://app.crepc.sk/?fn=detailBiblioForm&amp;sid=D055E8D04F57D3DD00A0C71B9C")</f>
        <v>https://app.crepc.sk/?fn=detailBiblioForm&amp;sid=D055E8D04F57D3DD00A0C71B9C</v>
      </c>
    </row>
    <row r="5092" spans="1:5" ht="90" x14ac:dyDescent="0.25">
      <c r="C5092" s="15">
        <v>219479</v>
      </c>
      <c r="D5092" s="4" t="s">
        <v>5096</v>
      </c>
      <c r="E5092" s="4" t="str">
        <f>HYPERLINK("https://app.crepc.sk/?fn=detailBiblioForm&amp;sid=8474A37DD4CFE785115C8DE929")</f>
        <v>https://app.crepc.sk/?fn=detailBiblioForm&amp;sid=8474A37DD4CFE785115C8DE929</v>
      </c>
    </row>
    <row r="5093" spans="1:5" ht="90" x14ac:dyDescent="0.25">
      <c r="C5093" s="15">
        <v>175445</v>
      </c>
      <c r="D5093" s="4" t="s">
        <v>5097</v>
      </c>
      <c r="E5093" s="4" t="str">
        <f>HYPERLINK("https://app.crepc.sk/?fn=detailBiblioForm&amp;sid=5E8AE344A08831ABC98E03A46F")</f>
        <v>https://app.crepc.sk/?fn=detailBiblioForm&amp;sid=5E8AE344A08831ABC98E03A46F</v>
      </c>
    </row>
    <row r="5094" spans="1:5" ht="90" x14ac:dyDescent="0.25">
      <c r="C5094" s="15">
        <v>219481</v>
      </c>
      <c r="D5094" s="4" t="s">
        <v>5098</v>
      </c>
      <c r="E5094" s="4" t="str">
        <f>HYPERLINK("https://app.crepc.sk/?fn=detailBiblioForm&amp;sid=8474A37DD4CFE7851E548DE929")</f>
        <v>https://app.crepc.sk/?fn=detailBiblioForm&amp;sid=8474A37DD4CFE7851E548DE929</v>
      </c>
    </row>
    <row r="5095" spans="1:5" ht="90" x14ac:dyDescent="0.25">
      <c r="C5095" s="15">
        <v>219476</v>
      </c>
      <c r="D5095" s="4" t="s">
        <v>5099</v>
      </c>
      <c r="E5095" s="4" t="str">
        <f>HYPERLINK("https://app.crepc.sk/?fn=detailBiblioForm&amp;sid=8474A37DD4CFE78511538DE929")</f>
        <v>https://app.crepc.sk/?fn=detailBiblioForm&amp;sid=8474A37DD4CFE78511538DE929</v>
      </c>
    </row>
    <row r="5096" spans="1:5" ht="105" x14ac:dyDescent="0.25">
      <c r="C5096" s="15">
        <v>138865</v>
      </c>
      <c r="D5096" s="4" t="s">
        <v>5100</v>
      </c>
      <c r="E5096" s="4" t="str">
        <f>HYPERLINK("https://app.crepc.sk/?fn=detailBiblioForm&amp;sid=AA7BC2660C5D798CF6F1F1C62C")</f>
        <v>https://app.crepc.sk/?fn=detailBiblioForm&amp;sid=AA7BC2660C5D798CF6F1F1C62C</v>
      </c>
    </row>
    <row r="5097" spans="1:5" ht="30" x14ac:dyDescent="0.25">
      <c r="A5097" s="4" t="s">
        <v>5101</v>
      </c>
      <c r="B5097" s="15">
        <v>30</v>
      </c>
    </row>
    <row r="5098" spans="1:5" ht="75" x14ac:dyDescent="0.25">
      <c r="C5098" s="15">
        <v>174084</v>
      </c>
      <c r="D5098" s="4" t="s">
        <v>5102</v>
      </c>
      <c r="E5098" s="4" t="str">
        <f>HYPERLINK("https://app.crepc.sk/?fn=detailBiblioForm&amp;sid=2990E1F3D3E255467181594FF3")</f>
        <v>https://app.crepc.sk/?fn=detailBiblioForm&amp;sid=2990E1F3D3E255467181594FF3</v>
      </c>
    </row>
    <row r="5099" spans="1:5" ht="90" x14ac:dyDescent="0.25">
      <c r="C5099" s="15">
        <v>59324</v>
      </c>
      <c r="D5099" s="4" t="s">
        <v>5103</v>
      </c>
      <c r="E5099" s="4" t="str">
        <f>HYPERLINK("https://app.crepc.sk/?fn=detailBiblioForm&amp;sid=829A20C97E290C9C5BFE70D8")</f>
        <v>https://app.crepc.sk/?fn=detailBiblioForm&amp;sid=829A20C97E290C9C5BFE70D8</v>
      </c>
    </row>
    <row r="5100" spans="1:5" ht="75" x14ac:dyDescent="0.25">
      <c r="C5100" s="15">
        <v>182399</v>
      </c>
      <c r="D5100" s="4" t="s">
        <v>5104</v>
      </c>
      <c r="E5100" s="4" t="str">
        <f>HYPERLINK("https://app.crepc.sk/?fn=detailBiblioForm&amp;sid=53EEEDF946F250FB488445B5AD")</f>
        <v>https://app.crepc.sk/?fn=detailBiblioForm&amp;sid=53EEEDF946F250FB488445B5AD</v>
      </c>
    </row>
    <row r="5101" spans="1:5" ht="75" x14ac:dyDescent="0.25">
      <c r="C5101" s="15">
        <v>55441</v>
      </c>
      <c r="D5101" s="4" t="s">
        <v>5105</v>
      </c>
      <c r="E5101" s="4" t="str">
        <f>HYPERLINK("https://app.crepc.sk/?fn=detailBiblioForm&amp;sid=7B5169134261EF6CC58D1DC5")</f>
        <v>https://app.crepc.sk/?fn=detailBiblioForm&amp;sid=7B5169134261EF6CC58D1DC5</v>
      </c>
    </row>
    <row r="5102" spans="1:5" ht="75" x14ac:dyDescent="0.25">
      <c r="C5102" s="15">
        <v>182402</v>
      </c>
      <c r="D5102" s="4" t="s">
        <v>5106</v>
      </c>
      <c r="E5102" s="4" t="str">
        <f>HYPERLINK("https://app.crepc.sk/?fn=detailBiblioForm&amp;sid=4F9CB80EDA44B4B66D0B506F6D")</f>
        <v>https://app.crepc.sk/?fn=detailBiblioForm&amp;sid=4F9CB80EDA44B4B66D0B506F6D</v>
      </c>
    </row>
    <row r="5103" spans="1:5" ht="75" x14ac:dyDescent="0.25">
      <c r="C5103" s="15">
        <v>209134</v>
      </c>
      <c r="D5103" s="4" t="s">
        <v>5107</v>
      </c>
      <c r="E5103" s="4" t="str">
        <f>HYPERLINK("https://app.crepc.sk/?fn=detailBiblioForm&amp;sid=CEB008BA03D41FE3DE4746E343")</f>
        <v>https://app.crepc.sk/?fn=detailBiblioForm&amp;sid=CEB008BA03D41FE3DE4746E343</v>
      </c>
    </row>
    <row r="5104" spans="1:5" ht="75" x14ac:dyDescent="0.25">
      <c r="C5104" s="15">
        <v>247527</v>
      </c>
      <c r="D5104" s="4" t="s">
        <v>5108</v>
      </c>
      <c r="E5104" s="4" t="str">
        <f>HYPERLINK("https://app.crepc.sk/?fn=detailBiblioForm&amp;sid=2C6BFF773E4A2445FE3A0BC3DC")</f>
        <v>https://app.crepc.sk/?fn=detailBiblioForm&amp;sid=2C6BFF773E4A2445FE3A0BC3DC</v>
      </c>
    </row>
    <row r="5105" spans="3:5" ht="75" x14ac:dyDescent="0.25">
      <c r="C5105" s="15">
        <v>252016</v>
      </c>
      <c r="D5105" s="4" t="s">
        <v>5109</v>
      </c>
      <c r="E5105" s="4" t="str">
        <f>HYPERLINK("https://app.crepc.sk/?fn=detailBiblioForm&amp;sid=71A15F8E919EB76CA1068A003E")</f>
        <v>https://app.crepc.sk/?fn=detailBiblioForm&amp;sid=71A15F8E919EB76CA1068A003E</v>
      </c>
    </row>
    <row r="5106" spans="3:5" ht="105" x14ac:dyDescent="0.25">
      <c r="C5106" s="15">
        <v>112223</v>
      </c>
      <c r="D5106" s="4" t="s">
        <v>5110</v>
      </c>
      <c r="E5106" s="4" t="str">
        <f>HYPERLINK("https://app.crepc.sk/?fn=detailBiblioForm&amp;sid=7CA613A94B8F9B6E98C2E5F3EF")</f>
        <v>https://app.crepc.sk/?fn=detailBiblioForm&amp;sid=7CA613A94B8F9B6E98C2E5F3EF</v>
      </c>
    </row>
    <row r="5107" spans="3:5" ht="90" x14ac:dyDescent="0.25">
      <c r="C5107" s="15">
        <v>311430</v>
      </c>
      <c r="D5107" s="4" t="s">
        <v>5111</v>
      </c>
      <c r="E5107" s="4" t="str">
        <f>HYPERLINK("https://app.crepc.sk/?fn=detailBiblioForm&amp;sid=0ECF837769D87CF04B1DD0BD57")</f>
        <v>https://app.crepc.sk/?fn=detailBiblioForm&amp;sid=0ECF837769D87CF04B1DD0BD57</v>
      </c>
    </row>
    <row r="5108" spans="3:5" ht="75" x14ac:dyDescent="0.25">
      <c r="C5108" s="15">
        <v>182401</v>
      </c>
      <c r="D5108" s="4" t="s">
        <v>5112</v>
      </c>
      <c r="E5108" s="4" t="str">
        <f>HYPERLINK("https://app.crepc.sk/?fn=detailBiblioForm&amp;sid=4F9CB80EDA44B4B66D08506F6D")</f>
        <v>https://app.crepc.sk/?fn=detailBiblioForm&amp;sid=4F9CB80EDA44B4B66D08506F6D</v>
      </c>
    </row>
    <row r="5109" spans="3:5" ht="90" x14ac:dyDescent="0.25">
      <c r="C5109" s="15">
        <v>133196</v>
      </c>
      <c r="D5109" s="4" t="s">
        <v>5113</v>
      </c>
      <c r="E5109" s="4" t="str">
        <f>HYPERLINK("https://app.crepc.sk/?fn=detailBiblioForm&amp;sid=A87535322FFBFE64C3D4F88649")</f>
        <v>https://app.crepc.sk/?fn=detailBiblioForm&amp;sid=A87535322FFBFE64C3D4F88649</v>
      </c>
    </row>
    <row r="5110" spans="3:5" ht="90" x14ac:dyDescent="0.25">
      <c r="C5110" s="15">
        <v>68386</v>
      </c>
      <c r="D5110" s="4" t="s">
        <v>5114</v>
      </c>
      <c r="E5110" s="4" t="str">
        <f>HYPERLINK("https://app.crepc.sk/?fn=detailBiblioForm&amp;sid=2439399AE8D39F397D8E5C10")</f>
        <v>https://app.crepc.sk/?fn=detailBiblioForm&amp;sid=2439399AE8D39F397D8E5C10</v>
      </c>
    </row>
    <row r="5111" spans="3:5" ht="90" x14ac:dyDescent="0.25">
      <c r="C5111" s="15">
        <v>421729</v>
      </c>
      <c r="D5111" s="4" t="s">
        <v>5115</v>
      </c>
      <c r="E5111" s="4" t="str">
        <f>HYPERLINK("https://app.crepc.sk/?fn=detailBiblioForm&amp;sid=6818999F04FDBFDCF45694F8E3")</f>
        <v>https://app.crepc.sk/?fn=detailBiblioForm&amp;sid=6818999F04FDBFDCF45694F8E3</v>
      </c>
    </row>
    <row r="5112" spans="3:5" ht="75" x14ac:dyDescent="0.25">
      <c r="C5112" s="15">
        <v>182397</v>
      </c>
      <c r="D5112" s="4" t="s">
        <v>5116</v>
      </c>
      <c r="E5112" s="4" t="str">
        <f>HYPERLINK("https://app.crepc.sk/?fn=detailBiblioForm&amp;sid=53EEEDF946F250FB488A45B5AD")</f>
        <v>https://app.crepc.sk/?fn=detailBiblioForm&amp;sid=53EEEDF946F250FB488A45B5AD</v>
      </c>
    </row>
    <row r="5113" spans="3:5" ht="75" x14ac:dyDescent="0.25">
      <c r="C5113" s="15">
        <v>131493</v>
      </c>
      <c r="D5113" s="4" t="s">
        <v>5117</v>
      </c>
      <c r="E5113" s="4" t="str">
        <f>HYPERLINK("https://app.crepc.sk/?fn=detailBiblioForm&amp;sid=EAA72B33C8E68BF1ABAFA23E30")</f>
        <v>https://app.crepc.sk/?fn=detailBiblioForm&amp;sid=EAA72B33C8E68BF1ABAFA23E30</v>
      </c>
    </row>
    <row r="5114" spans="3:5" ht="75" x14ac:dyDescent="0.25">
      <c r="C5114" s="15">
        <v>145988</v>
      </c>
      <c r="D5114" s="4" t="s">
        <v>5118</v>
      </c>
      <c r="E5114" s="4" t="str">
        <f>HYPERLINK("https://app.crepc.sk/?fn=detailBiblioForm&amp;sid=05297BE28FB73DDACFC8AC146C")</f>
        <v>https://app.crepc.sk/?fn=detailBiblioForm&amp;sid=05297BE28FB73DDACFC8AC146C</v>
      </c>
    </row>
    <row r="5115" spans="3:5" ht="90" x14ac:dyDescent="0.25">
      <c r="C5115" s="15">
        <v>188240</v>
      </c>
      <c r="D5115" s="4" t="s">
        <v>5119</v>
      </c>
      <c r="E5115" s="4" t="str">
        <f>HYPERLINK("https://app.crepc.sk/?fn=detailBiblioForm&amp;sid=490AB1A220388CE10707A75B20")</f>
        <v>https://app.crepc.sk/?fn=detailBiblioForm&amp;sid=490AB1A220388CE10707A75B20</v>
      </c>
    </row>
    <row r="5116" spans="3:5" ht="90" x14ac:dyDescent="0.25">
      <c r="C5116" s="15">
        <v>86868</v>
      </c>
      <c r="D5116" s="4" t="s">
        <v>5120</v>
      </c>
      <c r="E5116" s="4" t="str">
        <f>HYPERLINK("https://app.crepc.sk/?fn=detailBiblioForm&amp;sid=EF896F5CAA621E598E881BD5")</f>
        <v>https://app.crepc.sk/?fn=detailBiblioForm&amp;sid=EF896F5CAA621E598E881BD5</v>
      </c>
    </row>
    <row r="5117" spans="3:5" ht="90" x14ac:dyDescent="0.25">
      <c r="C5117" s="15">
        <v>133194</v>
      </c>
      <c r="D5117" s="4" t="s">
        <v>5121</v>
      </c>
      <c r="E5117" s="4" t="str">
        <f>HYPERLINK("https://app.crepc.sk/?fn=detailBiblioForm&amp;sid=A87535322FFBFE64C3D6F88649")</f>
        <v>https://app.crepc.sk/?fn=detailBiblioForm&amp;sid=A87535322FFBFE64C3D6F88649</v>
      </c>
    </row>
    <row r="5118" spans="3:5" ht="75" x14ac:dyDescent="0.25">
      <c r="C5118" s="15">
        <v>442303</v>
      </c>
      <c r="D5118" s="4" t="s">
        <v>5122</v>
      </c>
      <c r="E5118" s="4" t="str">
        <f>HYPERLINK("https://app.crepc.sk/?fn=detailBiblioForm&amp;sid=F661DE2421DD595D54CE62841D")</f>
        <v>https://app.crepc.sk/?fn=detailBiblioForm&amp;sid=F661DE2421DD595D54CE62841D</v>
      </c>
    </row>
    <row r="5119" spans="3:5" ht="90" x14ac:dyDescent="0.25">
      <c r="C5119" s="15">
        <v>133463</v>
      </c>
      <c r="D5119" s="4" t="s">
        <v>5123</v>
      </c>
      <c r="E5119" s="4" t="str">
        <f>HYPERLINK("https://app.crepc.sk/?fn=detailBiblioForm&amp;sid=062C1ED5E40068C511D67EA354")</f>
        <v>https://app.crepc.sk/?fn=detailBiblioForm&amp;sid=062C1ED5E40068C511D67EA354</v>
      </c>
    </row>
    <row r="5120" spans="3:5" ht="75" x14ac:dyDescent="0.25">
      <c r="C5120" s="15">
        <v>143044</v>
      </c>
      <c r="D5120" s="4" t="s">
        <v>5124</v>
      </c>
      <c r="E5120" s="4" t="str">
        <f>HYPERLINK("https://app.crepc.sk/?fn=detailBiblioForm&amp;sid=0EA7DBD32D42EAF6E9E8224B52")</f>
        <v>https://app.crepc.sk/?fn=detailBiblioForm&amp;sid=0EA7DBD32D42EAF6E9E8224B52</v>
      </c>
    </row>
    <row r="5121" spans="1:5" ht="75" x14ac:dyDescent="0.25">
      <c r="C5121" s="15">
        <v>80471</v>
      </c>
      <c r="D5121" s="4" t="s">
        <v>5125</v>
      </c>
      <c r="E5121" s="4" t="str">
        <f>HYPERLINK("https://app.crepc.sk/?fn=detailBiblioForm&amp;sid=83BD17D2F0EE7DDDBDAD7462")</f>
        <v>https://app.crepc.sk/?fn=detailBiblioForm&amp;sid=83BD17D2F0EE7DDDBDAD7462</v>
      </c>
    </row>
    <row r="5122" spans="1:5" ht="75" x14ac:dyDescent="0.25">
      <c r="C5122" s="15">
        <v>252015</v>
      </c>
      <c r="D5122" s="4" t="s">
        <v>5126</v>
      </c>
      <c r="E5122" s="4" t="str">
        <f>HYPERLINK("https://app.crepc.sk/?fn=detailBiblioForm&amp;sid=71A15F8E919EB76CA1058A003E")</f>
        <v>https://app.crepc.sk/?fn=detailBiblioForm&amp;sid=71A15F8E919EB76CA1058A003E</v>
      </c>
    </row>
    <row r="5123" spans="1:5" ht="75" x14ac:dyDescent="0.25">
      <c r="C5123" s="15">
        <v>182400</v>
      </c>
      <c r="D5123" s="4" t="s">
        <v>5127</v>
      </c>
      <c r="E5123" s="4" t="str">
        <f>HYPERLINK("https://app.crepc.sk/?fn=detailBiblioForm&amp;sid=4F9CB80EDA44B4B66D09506F6D")</f>
        <v>https://app.crepc.sk/?fn=detailBiblioForm&amp;sid=4F9CB80EDA44B4B66D09506F6D</v>
      </c>
    </row>
    <row r="5124" spans="1:5" ht="90" x14ac:dyDescent="0.25">
      <c r="C5124" s="15">
        <v>133460</v>
      </c>
      <c r="D5124" s="4" t="s">
        <v>5128</v>
      </c>
      <c r="E5124" s="4" t="str">
        <f>HYPERLINK("https://app.crepc.sk/?fn=detailBiblioForm&amp;sid=062C1ED5E40068C511D57EA354")</f>
        <v>https://app.crepc.sk/?fn=detailBiblioForm&amp;sid=062C1ED5E40068C511D57EA354</v>
      </c>
    </row>
    <row r="5125" spans="1:5" ht="105" x14ac:dyDescent="0.25">
      <c r="C5125" s="15">
        <v>133461</v>
      </c>
      <c r="D5125" s="4" t="s">
        <v>5129</v>
      </c>
      <c r="E5125" s="4" t="str">
        <f>HYPERLINK("https://app.crepc.sk/?fn=detailBiblioForm&amp;sid=062C1ED5E40068C511D47EA354")</f>
        <v>https://app.crepc.sk/?fn=detailBiblioForm&amp;sid=062C1ED5E40068C511D47EA354</v>
      </c>
    </row>
    <row r="5126" spans="1:5" ht="75" x14ac:dyDescent="0.25">
      <c r="C5126" s="15">
        <v>140103</v>
      </c>
      <c r="D5126" s="4" t="s">
        <v>5130</v>
      </c>
      <c r="E5126" s="4" t="str">
        <f>HYPERLINK("https://app.crepc.sk/?fn=detailBiblioForm&amp;sid=17899838D38E4BD1561CEAAA4C")</f>
        <v>https://app.crepc.sk/?fn=detailBiblioForm&amp;sid=17899838D38E4BD1561CEAAA4C</v>
      </c>
    </row>
    <row r="5127" spans="1:5" ht="105" x14ac:dyDescent="0.25">
      <c r="C5127" s="15">
        <v>133191</v>
      </c>
      <c r="D5127" s="4" t="s">
        <v>5131</v>
      </c>
      <c r="E5127" s="4" t="str">
        <f>HYPERLINK("https://app.crepc.sk/?fn=detailBiblioForm&amp;sid=A87535322FFBFE64C3D3F88649")</f>
        <v>https://app.crepc.sk/?fn=detailBiblioForm&amp;sid=A87535322FFBFE64C3D3F88649</v>
      </c>
    </row>
    <row r="5128" spans="1:5" ht="30" x14ac:dyDescent="0.25">
      <c r="A5128" s="4" t="s">
        <v>5132</v>
      </c>
      <c r="B5128" s="15">
        <v>15</v>
      </c>
    </row>
    <row r="5129" spans="1:5" ht="60" x14ac:dyDescent="0.25">
      <c r="C5129" s="15">
        <v>224775</v>
      </c>
      <c r="D5129" s="4" t="s">
        <v>5133</v>
      </c>
      <c r="E5129" s="4" t="str">
        <f>HYPERLINK("https://app.crepc.sk/?fn=detailBiblioForm&amp;sid=68194651F96F8DBEF12C5DD8C8")</f>
        <v>https://app.crepc.sk/?fn=detailBiblioForm&amp;sid=68194651F96F8DBEF12C5DD8C8</v>
      </c>
    </row>
    <row r="5130" spans="1:5" ht="90" x14ac:dyDescent="0.25">
      <c r="C5130" s="15">
        <v>174567</v>
      </c>
      <c r="D5130" s="4" t="s">
        <v>5134</v>
      </c>
      <c r="E5130" s="4" t="str">
        <f>HYPERLINK("https://app.crepc.sk/?fn=detailBiblioForm&amp;sid=72A4E145D65F5DA0B048551D33")</f>
        <v>https://app.crepc.sk/?fn=detailBiblioForm&amp;sid=72A4E145D65F5DA0B048551D33</v>
      </c>
    </row>
    <row r="5131" spans="1:5" ht="90" x14ac:dyDescent="0.25">
      <c r="C5131" s="15">
        <v>430732</v>
      </c>
      <c r="D5131" s="4" t="s">
        <v>5135</v>
      </c>
      <c r="E5131" s="4" t="str">
        <f>HYPERLINK("https://app.crepc.sk/?fn=detailBiblioForm&amp;sid=589F18BBC5A86022D032B181DA")</f>
        <v>https://app.crepc.sk/?fn=detailBiblioForm&amp;sid=589F18BBC5A86022D032B181DA</v>
      </c>
    </row>
    <row r="5132" spans="1:5" ht="75" x14ac:dyDescent="0.25">
      <c r="C5132" s="15">
        <v>161404</v>
      </c>
      <c r="D5132" s="4" t="s">
        <v>5136</v>
      </c>
      <c r="E5132" s="4" t="str">
        <f>HYPERLINK("https://app.crepc.sk/?fn=detailBiblioForm&amp;sid=72994EA9AD52E4DE4B9221105F")</f>
        <v>https://app.crepc.sk/?fn=detailBiblioForm&amp;sid=72994EA9AD52E4DE4B9221105F</v>
      </c>
    </row>
    <row r="5133" spans="1:5" ht="90" x14ac:dyDescent="0.25">
      <c r="C5133" s="15">
        <v>127602</v>
      </c>
      <c r="D5133" s="4" t="s">
        <v>5137</v>
      </c>
      <c r="E5133" s="4" t="str">
        <f>HYPERLINK("https://app.crepc.sk/?fn=detailBiblioForm&amp;sid=A61021784F381E68C70DE78699")</f>
        <v>https://app.crepc.sk/?fn=detailBiblioForm&amp;sid=A61021784F381E68C70DE78699</v>
      </c>
    </row>
    <row r="5134" spans="1:5" ht="90" x14ac:dyDescent="0.25">
      <c r="C5134" s="15">
        <v>95654</v>
      </c>
      <c r="D5134" s="4" t="s">
        <v>5138</v>
      </c>
      <c r="E5134" s="4" t="str">
        <f>HYPERLINK("https://app.crepc.sk/?fn=detailBiblioForm&amp;sid=82CA683D5E29ED0938748879")</f>
        <v>https://app.crepc.sk/?fn=detailBiblioForm&amp;sid=82CA683D5E29ED0938748879</v>
      </c>
    </row>
    <row r="5135" spans="1:5" ht="60" x14ac:dyDescent="0.25">
      <c r="C5135" s="15">
        <v>118812</v>
      </c>
      <c r="D5135" s="4" t="s">
        <v>5139</v>
      </c>
      <c r="E5135" s="4" t="str">
        <f>HYPERLINK("https://app.crepc.sk/?fn=detailBiblioForm&amp;sid=180EDEFD59FD4297492852B590")</f>
        <v>https://app.crepc.sk/?fn=detailBiblioForm&amp;sid=180EDEFD59FD4297492852B590</v>
      </c>
    </row>
    <row r="5136" spans="1:5" ht="60" x14ac:dyDescent="0.25">
      <c r="C5136" s="15">
        <v>87283</v>
      </c>
      <c r="D5136" s="4" t="s">
        <v>5140</v>
      </c>
      <c r="E5136" s="4" t="str">
        <f>HYPERLINK("https://app.crepc.sk/?fn=detailBiblioForm&amp;sid=1F592BA2AD09A8C8EF755A5B")</f>
        <v>https://app.crepc.sk/?fn=detailBiblioForm&amp;sid=1F592BA2AD09A8C8EF755A5B</v>
      </c>
    </row>
    <row r="5137" spans="1:5" ht="105" x14ac:dyDescent="0.25">
      <c r="C5137" s="15">
        <v>310033</v>
      </c>
      <c r="D5137" s="4" t="s">
        <v>5141</v>
      </c>
      <c r="E5137" s="4" t="str">
        <f>HYPERLINK("https://app.crepc.sk/?fn=detailBiblioForm&amp;sid=F566C6E0CB47072BFFED22F69C")</f>
        <v>https://app.crepc.sk/?fn=detailBiblioForm&amp;sid=F566C6E0CB47072BFFED22F69C</v>
      </c>
    </row>
    <row r="5138" spans="1:5" ht="60" x14ac:dyDescent="0.25">
      <c r="C5138" s="15">
        <v>57248</v>
      </c>
      <c r="D5138" s="4" t="s">
        <v>5142</v>
      </c>
      <c r="E5138" s="4" t="str">
        <f>HYPERLINK("https://app.crepc.sk/?fn=detailBiblioForm&amp;sid=1FA163EFDD88345AF4628FA5")</f>
        <v>https://app.crepc.sk/?fn=detailBiblioForm&amp;sid=1FA163EFDD88345AF4628FA5</v>
      </c>
    </row>
    <row r="5139" spans="1:5" ht="75" x14ac:dyDescent="0.25">
      <c r="C5139" s="15">
        <v>205999</v>
      </c>
      <c r="D5139" s="4" t="s">
        <v>5143</v>
      </c>
      <c r="E5139" s="4" t="str">
        <f>HYPERLINK("https://app.crepc.sk/?fn=detailBiblioForm&amp;sid=AAF6961B393DDE887AE47A4103")</f>
        <v>https://app.crepc.sk/?fn=detailBiblioForm&amp;sid=AAF6961B393DDE887AE47A4103</v>
      </c>
    </row>
    <row r="5140" spans="1:5" ht="75" x14ac:dyDescent="0.25">
      <c r="C5140" s="15">
        <v>415351</v>
      </c>
      <c r="D5140" s="4" t="s">
        <v>5144</v>
      </c>
      <c r="E5140" s="4" t="str">
        <f>HYPERLINK("https://app.crepc.sk/?fn=detailBiblioForm&amp;sid=9AF7CC010D05DDDC6B3380073E")</f>
        <v>https://app.crepc.sk/?fn=detailBiblioForm&amp;sid=9AF7CC010D05DDDC6B3380073E</v>
      </c>
    </row>
    <row r="5141" spans="1:5" ht="105" x14ac:dyDescent="0.25">
      <c r="C5141" s="15">
        <v>170248</v>
      </c>
      <c r="D5141" s="4" t="s">
        <v>5145</v>
      </c>
      <c r="E5141" s="4" t="str">
        <f>HYPERLINK("https://app.crepc.sk/?fn=detailBiblioForm&amp;sid=1CB25EF4639541CD2FC5D9150E")</f>
        <v>https://app.crepc.sk/?fn=detailBiblioForm&amp;sid=1CB25EF4639541CD2FC5D9150E</v>
      </c>
    </row>
    <row r="5142" spans="1:5" ht="105" x14ac:dyDescent="0.25">
      <c r="C5142" s="15">
        <v>167192</v>
      </c>
      <c r="D5142" s="4" t="s">
        <v>5146</v>
      </c>
      <c r="E5142" s="4" t="str">
        <f>HYPERLINK("https://app.crepc.sk/?fn=detailBiblioForm&amp;sid=780C5DA7522A72A295F29DC9C0")</f>
        <v>https://app.crepc.sk/?fn=detailBiblioForm&amp;sid=780C5DA7522A72A295F29DC9C0</v>
      </c>
    </row>
    <row r="5143" spans="1:5" ht="90" x14ac:dyDescent="0.25">
      <c r="C5143" s="15">
        <v>309386</v>
      </c>
      <c r="D5143" s="4" t="s">
        <v>5147</v>
      </c>
      <c r="E5143" s="4" t="str">
        <f>HYPERLINK("https://app.crepc.sk/?fn=detailBiblioForm&amp;sid=3106B7E81CE24AA360DFECAD02")</f>
        <v>https://app.crepc.sk/?fn=detailBiblioForm&amp;sid=3106B7E81CE24AA360DFECAD02</v>
      </c>
    </row>
    <row r="5144" spans="1:5" ht="30" x14ac:dyDescent="0.25">
      <c r="A5144" s="4" t="s">
        <v>5148</v>
      </c>
      <c r="B5144" s="15">
        <v>1027</v>
      </c>
    </row>
    <row r="5145" spans="1:5" ht="90" x14ac:dyDescent="0.25">
      <c r="C5145" s="15">
        <v>190439</v>
      </c>
      <c r="D5145" s="4" t="s">
        <v>5149</v>
      </c>
      <c r="E5145" s="4" t="str">
        <f>HYPERLINK("https://app.crepc.sk/?fn=detailBiblioForm&amp;sid=44C906722BA4054C5B1A3B52D0")</f>
        <v>https://app.crepc.sk/?fn=detailBiblioForm&amp;sid=44C906722BA4054C5B1A3B52D0</v>
      </c>
    </row>
    <row r="5146" spans="1:5" ht="120" x14ac:dyDescent="0.25">
      <c r="C5146" s="15">
        <v>220933</v>
      </c>
      <c r="D5146" s="4" t="s">
        <v>5150</v>
      </c>
      <c r="E5146" s="4" t="str">
        <f>HYPERLINK("https://app.crepc.sk/?fn=detailBiblioForm&amp;sid=0A2191265DCECE3E6EE63553D4")</f>
        <v>https://app.crepc.sk/?fn=detailBiblioForm&amp;sid=0A2191265DCECE3E6EE63553D4</v>
      </c>
    </row>
    <row r="5147" spans="1:5" ht="75" x14ac:dyDescent="0.25">
      <c r="C5147" s="15">
        <v>161427</v>
      </c>
      <c r="D5147" s="4" t="s">
        <v>5151</v>
      </c>
      <c r="E5147" s="4" t="str">
        <f>HYPERLINK("https://app.crepc.sk/?fn=detailBiblioForm&amp;sid=72994EA9AD52E4DE499121105F")</f>
        <v>https://app.crepc.sk/?fn=detailBiblioForm&amp;sid=72994EA9AD52E4DE499121105F</v>
      </c>
    </row>
    <row r="5148" spans="1:5" ht="75" x14ac:dyDescent="0.25">
      <c r="C5148" s="15">
        <v>62600</v>
      </c>
      <c r="D5148" s="4" t="s">
        <v>5152</v>
      </c>
      <c r="E5148" s="4" t="str">
        <f>HYPERLINK("https://app.crepc.sk/?fn=detailBiblioForm&amp;sid=CFDB6A684000E1FCC33AAAC3")</f>
        <v>https://app.crepc.sk/?fn=detailBiblioForm&amp;sid=CFDB6A684000E1FCC33AAAC3</v>
      </c>
    </row>
    <row r="5149" spans="1:5" ht="75" x14ac:dyDescent="0.25">
      <c r="C5149" s="15">
        <v>314146</v>
      </c>
      <c r="D5149" s="4" t="s">
        <v>5153</v>
      </c>
      <c r="E5149" s="4" t="str">
        <f>HYPERLINK("https://app.crepc.sk/?fn=detailBiblioForm&amp;sid=C11437276931E1270A3519387C")</f>
        <v>https://app.crepc.sk/?fn=detailBiblioForm&amp;sid=C11437276931E1270A3519387C</v>
      </c>
    </row>
    <row r="5150" spans="1:5" ht="105" x14ac:dyDescent="0.25">
      <c r="C5150" s="15">
        <v>155417</v>
      </c>
      <c r="D5150" s="4" t="s">
        <v>5154</v>
      </c>
      <c r="E5150" s="4" t="str">
        <f>HYPERLINK("https://app.crepc.sk/?fn=detailBiblioForm&amp;sid=3E2A224FFF078FAB5FCB34B012")</f>
        <v>https://app.crepc.sk/?fn=detailBiblioForm&amp;sid=3E2A224FFF078FAB5FCB34B012</v>
      </c>
    </row>
    <row r="5151" spans="1:5" ht="75" x14ac:dyDescent="0.25">
      <c r="C5151" s="15">
        <v>95740</v>
      </c>
      <c r="D5151" s="4" t="s">
        <v>5155</v>
      </c>
      <c r="E5151" s="4" t="str">
        <f>HYPERLINK("https://app.crepc.sk/?fn=detailBiblioForm&amp;sid=93122A8531EBC983096D6010")</f>
        <v>https://app.crepc.sk/?fn=detailBiblioForm&amp;sid=93122A8531EBC983096D6010</v>
      </c>
    </row>
    <row r="5152" spans="1:5" ht="75" x14ac:dyDescent="0.25">
      <c r="C5152" s="15">
        <v>131035</v>
      </c>
      <c r="D5152" s="4" t="s">
        <v>5156</v>
      </c>
      <c r="E5152" s="4" t="str">
        <f>HYPERLINK("https://app.crepc.sk/?fn=detailBiblioForm&amp;sid=A8CFFD80ABEAC294BB8A4D0AAA")</f>
        <v>https://app.crepc.sk/?fn=detailBiblioForm&amp;sid=A8CFFD80ABEAC294BB8A4D0AAA</v>
      </c>
    </row>
    <row r="5153" spans="3:5" ht="90" x14ac:dyDescent="0.25">
      <c r="C5153" s="15">
        <v>152844</v>
      </c>
      <c r="D5153" s="4" t="s">
        <v>5157</v>
      </c>
      <c r="E5153" s="4" t="str">
        <f>HYPERLINK("https://app.crepc.sk/?fn=detailBiblioForm&amp;sid=4CB0668AE2C8F277BEA0C0BA9E")</f>
        <v>https://app.crepc.sk/?fn=detailBiblioForm&amp;sid=4CB0668AE2C8F277BEA0C0BA9E</v>
      </c>
    </row>
    <row r="5154" spans="3:5" ht="75" x14ac:dyDescent="0.25">
      <c r="C5154" s="15">
        <v>427818</v>
      </c>
      <c r="D5154" s="4" t="s">
        <v>5158</v>
      </c>
      <c r="E5154" s="4" t="str">
        <f>HYPERLINK("https://app.crepc.sk/?fn=detailBiblioForm&amp;sid=A3FE647AA373B738298C1C7CC3")</f>
        <v>https://app.crepc.sk/?fn=detailBiblioForm&amp;sid=A3FE647AA373B738298C1C7CC3</v>
      </c>
    </row>
    <row r="5155" spans="3:5" ht="75" x14ac:dyDescent="0.25">
      <c r="C5155" s="15">
        <v>161542</v>
      </c>
      <c r="D5155" s="4" t="s">
        <v>5159</v>
      </c>
      <c r="E5155" s="4" t="str">
        <f>HYPERLINK("https://app.crepc.sk/?fn=detailBiblioForm&amp;sid=BB60B769A491B65141F153E40D")</f>
        <v>https://app.crepc.sk/?fn=detailBiblioForm&amp;sid=BB60B769A491B65141F153E40D</v>
      </c>
    </row>
    <row r="5156" spans="3:5" ht="105" x14ac:dyDescent="0.25">
      <c r="C5156" s="15">
        <v>186155</v>
      </c>
      <c r="D5156" s="4" t="s">
        <v>5160</v>
      </c>
      <c r="E5156" s="4" t="str">
        <f>HYPERLINK("https://app.crepc.sk/?fn=detailBiblioForm&amp;sid=EE8AF2E76B4BE2A869A7A88598")</f>
        <v>https://app.crepc.sk/?fn=detailBiblioForm&amp;sid=EE8AF2E76B4BE2A869A7A88598</v>
      </c>
    </row>
    <row r="5157" spans="3:5" ht="90" x14ac:dyDescent="0.25">
      <c r="C5157" s="15">
        <v>112220</v>
      </c>
      <c r="D5157" s="4" t="s">
        <v>5161</v>
      </c>
      <c r="E5157" s="4" t="str">
        <f>HYPERLINK("https://app.crepc.sk/?fn=detailBiblioForm&amp;sid=7CA613A94B8F9B6E98C1E5F3EF")</f>
        <v>https://app.crepc.sk/?fn=detailBiblioForm&amp;sid=7CA613A94B8F9B6E98C1E5F3EF</v>
      </c>
    </row>
    <row r="5158" spans="3:5" ht="75" x14ac:dyDescent="0.25">
      <c r="C5158" s="15">
        <v>132784</v>
      </c>
      <c r="D5158" s="4" t="s">
        <v>5162</v>
      </c>
      <c r="E5158" s="4" t="str">
        <f>HYPERLINK("https://app.crepc.sk/?fn=detailBiblioForm&amp;sid=A207B7B68D6DA0A20F6FC1C57A")</f>
        <v>https://app.crepc.sk/?fn=detailBiblioForm&amp;sid=A207B7B68D6DA0A20F6FC1C57A</v>
      </c>
    </row>
    <row r="5159" spans="3:5" ht="75" x14ac:dyDescent="0.25">
      <c r="C5159" s="15">
        <v>161641</v>
      </c>
      <c r="D5159" s="4" t="s">
        <v>5163</v>
      </c>
      <c r="E5159" s="4" t="str">
        <f>HYPERLINK("https://app.crepc.sk/?fn=detailBiblioForm&amp;sid=1D69B1A76ABEB527B46FBB2E6D")</f>
        <v>https://app.crepc.sk/?fn=detailBiblioForm&amp;sid=1D69B1A76ABEB527B46FBB2E6D</v>
      </c>
    </row>
    <row r="5160" spans="3:5" ht="75" x14ac:dyDescent="0.25">
      <c r="C5160" s="15">
        <v>91450</v>
      </c>
      <c r="D5160" s="4" t="s">
        <v>5164</v>
      </c>
      <c r="E5160" s="4" t="str">
        <f>HYPERLINK("https://app.crepc.sk/?fn=detailBiblioForm&amp;sid=149F41B7A10B31A700F16A50")</f>
        <v>https://app.crepc.sk/?fn=detailBiblioForm&amp;sid=149F41B7A10B31A700F16A50</v>
      </c>
    </row>
    <row r="5161" spans="3:5" ht="60" x14ac:dyDescent="0.25">
      <c r="C5161" s="15">
        <v>220205</v>
      </c>
      <c r="D5161" s="4" t="s">
        <v>5165</v>
      </c>
      <c r="E5161" s="4" t="str">
        <f>HYPERLINK("https://app.crepc.sk/?fn=detailBiblioForm&amp;sid=4B38D0D8E81E294B143584EA31")</f>
        <v>https://app.crepc.sk/?fn=detailBiblioForm&amp;sid=4B38D0D8E81E294B143584EA31</v>
      </c>
    </row>
    <row r="5162" spans="3:5" ht="90" x14ac:dyDescent="0.25">
      <c r="C5162" s="15">
        <v>315645</v>
      </c>
      <c r="D5162" s="4" t="s">
        <v>5166</v>
      </c>
      <c r="E5162" s="4" t="str">
        <f>HYPERLINK("https://app.crepc.sk/?fn=detailBiblioForm&amp;sid=529BAC41B3BEAAB58E2C1F4001")</f>
        <v>https://app.crepc.sk/?fn=detailBiblioForm&amp;sid=529BAC41B3BEAAB58E2C1F4001</v>
      </c>
    </row>
    <row r="5163" spans="3:5" ht="75" x14ac:dyDescent="0.25">
      <c r="C5163" s="15">
        <v>431703</v>
      </c>
      <c r="D5163" s="4" t="s">
        <v>5167</v>
      </c>
      <c r="E5163" s="4" t="str">
        <f>HYPERLINK("https://app.crepc.sk/?fn=detailBiblioForm&amp;sid=EDCDE057DAD49984F13279003F")</f>
        <v>https://app.crepc.sk/?fn=detailBiblioForm&amp;sid=EDCDE057DAD49984F13279003F</v>
      </c>
    </row>
    <row r="5164" spans="3:5" ht="90" x14ac:dyDescent="0.25">
      <c r="C5164" s="15">
        <v>424425</v>
      </c>
      <c r="D5164" s="4" t="s">
        <v>5168</v>
      </c>
      <c r="E5164" s="4" t="str">
        <f>HYPERLINK("https://app.crepc.sk/?fn=detailBiblioForm&amp;sid=40A350F05C48D697DD2F47D983")</f>
        <v>https://app.crepc.sk/?fn=detailBiblioForm&amp;sid=40A350F05C48D697DD2F47D983</v>
      </c>
    </row>
    <row r="5165" spans="3:5" ht="105" x14ac:dyDescent="0.25">
      <c r="C5165" s="15">
        <v>442011</v>
      </c>
      <c r="D5165" s="4" t="s">
        <v>5169</v>
      </c>
      <c r="E5165" s="4" t="str">
        <f>HYPERLINK("https://app.crepc.sk/?fn=detailBiblioForm&amp;sid=ED9C4DCA7369AD6DB06EA6E649")</f>
        <v>https://app.crepc.sk/?fn=detailBiblioForm&amp;sid=ED9C4DCA7369AD6DB06EA6E649</v>
      </c>
    </row>
    <row r="5166" spans="3:5" ht="75" x14ac:dyDescent="0.25">
      <c r="C5166" s="15">
        <v>74298</v>
      </c>
      <c r="D5166" s="4" t="s">
        <v>5170</v>
      </c>
      <c r="E5166" s="4" t="str">
        <f>HYPERLINK("https://app.crepc.sk/?fn=detailBiblioForm&amp;sid=3B0B95B37B0FA879AC5635F3")</f>
        <v>https://app.crepc.sk/?fn=detailBiblioForm&amp;sid=3B0B95B37B0FA879AC5635F3</v>
      </c>
    </row>
    <row r="5167" spans="3:5" ht="90" x14ac:dyDescent="0.25">
      <c r="C5167" s="15">
        <v>224690</v>
      </c>
      <c r="D5167" s="4" t="s">
        <v>5171</v>
      </c>
      <c r="E5167" s="4" t="str">
        <f>HYPERLINK("https://app.crepc.sk/?fn=detailBiblioForm&amp;sid=88B39BDB284DEDE949BD744A95")</f>
        <v>https://app.crepc.sk/?fn=detailBiblioForm&amp;sid=88B39BDB284DEDE949BD744A95</v>
      </c>
    </row>
    <row r="5168" spans="3:5" ht="75" x14ac:dyDescent="0.25">
      <c r="C5168" s="15">
        <v>70614</v>
      </c>
      <c r="D5168" s="4" t="s">
        <v>5172</v>
      </c>
      <c r="E5168" s="4" t="str">
        <f>HYPERLINK("https://app.crepc.sk/?fn=detailBiblioForm&amp;sid=7529044B0A12D2B5C2DD4B18")</f>
        <v>https://app.crepc.sk/?fn=detailBiblioForm&amp;sid=7529044B0A12D2B5C2DD4B18</v>
      </c>
    </row>
    <row r="5169" spans="3:5" ht="90" x14ac:dyDescent="0.25">
      <c r="C5169" s="15">
        <v>57761</v>
      </c>
      <c r="D5169" s="4" t="s">
        <v>5173</v>
      </c>
      <c r="E5169" s="4" t="str">
        <f>HYPERLINK("https://app.crepc.sk/?fn=detailBiblioForm&amp;sid=64B319EFD13F3B071901C44F")</f>
        <v>https://app.crepc.sk/?fn=detailBiblioForm&amp;sid=64B319EFD13F3B071901C44F</v>
      </c>
    </row>
    <row r="5170" spans="3:5" ht="105" x14ac:dyDescent="0.25">
      <c r="C5170" s="15">
        <v>421534</v>
      </c>
      <c r="D5170" s="4" t="s">
        <v>5174</v>
      </c>
      <c r="E5170" s="4" t="str">
        <f>HYPERLINK("https://app.crepc.sk/?fn=detailBiblioForm&amp;sid=336A6FAB9BB8BEE4591A092CE8")</f>
        <v>https://app.crepc.sk/?fn=detailBiblioForm&amp;sid=336A6FAB9BB8BEE4591A092CE8</v>
      </c>
    </row>
    <row r="5171" spans="3:5" ht="105" x14ac:dyDescent="0.25">
      <c r="C5171" s="15">
        <v>315464</v>
      </c>
      <c r="D5171" s="4" t="s">
        <v>5175</v>
      </c>
      <c r="E5171" s="4" t="str">
        <f>HYPERLINK("https://app.crepc.sk/?fn=detailBiblioForm&amp;sid=D6A415B53B85E30B9DD962509B")</f>
        <v>https://app.crepc.sk/?fn=detailBiblioForm&amp;sid=D6A415B53B85E30B9DD962509B</v>
      </c>
    </row>
    <row r="5172" spans="3:5" ht="90" x14ac:dyDescent="0.25">
      <c r="C5172" s="15">
        <v>135645</v>
      </c>
      <c r="D5172" s="4" t="s">
        <v>5176</v>
      </c>
      <c r="E5172" s="4" t="str">
        <f>HYPERLINK("https://app.crepc.sk/?fn=detailBiblioForm&amp;sid=501BC45481E06D382419111596")</f>
        <v>https://app.crepc.sk/?fn=detailBiblioForm&amp;sid=501BC45481E06D382419111596</v>
      </c>
    </row>
    <row r="5173" spans="3:5" ht="90" x14ac:dyDescent="0.25">
      <c r="C5173" s="15">
        <v>151435</v>
      </c>
      <c r="D5173" s="4" t="s">
        <v>5177</v>
      </c>
      <c r="E5173" s="4" t="str">
        <f>HYPERLINK("https://app.crepc.sk/?fn=detailBiblioForm&amp;sid=C7FB5A0F39169367AC5A5AA4EB")</f>
        <v>https://app.crepc.sk/?fn=detailBiblioForm&amp;sid=C7FB5A0F39169367AC5A5AA4EB</v>
      </c>
    </row>
    <row r="5174" spans="3:5" ht="75" x14ac:dyDescent="0.25">
      <c r="C5174" s="15">
        <v>229837</v>
      </c>
      <c r="D5174" s="4" t="s">
        <v>5178</v>
      </c>
      <c r="E5174" s="4" t="str">
        <f>HYPERLINK("https://app.crepc.sk/?fn=detailBiblioForm&amp;sid=3EB293E291071F59850789FBD2")</f>
        <v>https://app.crepc.sk/?fn=detailBiblioForm&amp;sid=3EB293E291071F59850789FBD2</v>
      </c>
    </row>
    <row r="5175" spans="3:5" ht="75" x14ac:dyDescent="0.25">
      <c r="C5175" s="15">
        <v>129079</v>
      </c>
      <c r="D5175" s="4" t="s">
        <v>5179</v>
      </c>
      <c r="E5175" s="4" t="str">
        <f>HYPERLINK("https://app.crepc.sk/?fn=detailBiblioForm&amp;sid=8ED2C2B0C8CAA517FD636E93E7")</f>
        <v>https://app.crepc.sk/?fn=detailBiblioForm&amp;sid=8ED2C2B0C8CAA517FD636E93E7</v>
      </c>
    </row>
    <row r="5176" spans="3:5" ht="120" x14ac:dyDescent="0.25">
      <c r="C5176" s="15">
        <v>70644</v>
      </c>
      <c r="D5176" s="4" t="s">
        <v>5180</v>
      </c>
      <c r="E5176" s="4" t="str">
        <f>HYPERLINK("https://app.crepc.sk/?fn=detailBiblioForm&amp;sid=6E38B49D40DD841832F1AD92")</f>
        <v>https://app.crepc.sk/?fn=detailBiblioForm&amp;sid=6E38B49D40DD841832F1AD92</v>
      </c>
    </row>
    <row r="5177" spans="3:5" ht="90" x14ac:dyDescent="0.25">
      <c r="C5177" s="15">
        <v>214179</v>
      </c>
      <c r="D5177" s="4" t="s">
        <v>5181</v>
      </c>
      <c r="E5177" s="4" t="str">
        <f>HYPERLINK("https://app.crepc.sk/?fn=detailBiblioForm&amp;sid=0BE591AD4FD969D74F53DA6597")</f>
        <v>https://app.crepc.sk/?fn=detailBiblioForm&amp;sid=0BE591AD4FD969D74F53DA6597</v>
      </c>
    </row>
    <row r="5178" spans="3:5" ht="75" x14ac:dyDescent="0.25">
      <c r="C5178" s="15">
        <v>183155</v>
      </c>
      <c r="D5178" s="4" t="s">
        <v>5182</v>
      </c>
      <c r="E5178" s="4" t="str">
        <f>HYPERLINK("https://app.crepc.sk/?fn=detailBiblioForm&amp;sid=38EFE54B98F197D5BE16EA12EF")</f>
        <v>https://app.crepc.sk/?fn=detailBiblioForm&amp;sid=38EFE54B98F197D5BE16EA12EF</v>
      </c>
    </row>
    <row r="5179" spans="3:5" ht="90" x14ac:dyDescent="0.25">
      <c r="C5179" s="15">
        <v>168381</v>
      </c>
      <c r="D5179" s="4" t="s">
        <v>5183</v>
      </c>
      <c r="E5179" s="4" t="str">
        <f>HYPERLINK("https://app.crepc.sk/?fn=detailBiblioForm&amp;sid=5795EDEC5E3EE6CF7FB106C750")</f>
        <v>https://app.crepc.sk/?fn=detailBiblioForm&amp;sid=5795EDEC5E3EE6CF7FB106C750</v>
      </c>
    </row>
    <row r="5180" spans="3:5" ht="75" x14ac:dyDescent="0.25">
      <c r="C5180" s="15">
        <v>95810</v>
      </c>
      <c r="D5180" s="4" t="s">
        <v>5184</v>
      </c>
      <c r="E5180" s="4" t="str">
        <f>HYPERLINK("https://app.crepc.sk/?fn=detailBiblioForm&amp;sid=0D1DFBD5CE92A955EA49E887")</f>
        <v>https://app.crepc.sk/?fn=detailBiblioForm&amp;sid=0D1DFBD5CE92A955EA49E887</v>
      </c>
    </row>
    <row r="5181" spans="3:5" ht="90" x14ac:dyDescent="0.25">
      <c r="C5181" s="15">
        <v>128403</v>
      </c>
      <c r="D5181" s="4" t="s">
        <v>5185</v>
      </c>
      <c r="E5181" s="4" t="str">
        <f>HYPERLINK("https://app.crepc.sk/?fn=detailBiblioForm&amp;sid=585F9F27CC7F4CBF0C3D4263E3")</f>
        <v>https://app.crepc.sk/?fn=detailBiblioForm&amp;sid=585F9F27CC7F4CBF0C3D4263E3</v>
      </c>
    </row>
    <row r="5182" spans="3:5" ht="105" x14ac:dyDescent="0.25">
      <c r="C5182" s="15">
        <v>193273</v>
      </c>
      <c r="D5182" s="4" t="s">
        <v>5186</v>
      </c>
      <c r="E5182" s="4" t="str">
        <f>HYPERLINK("https://app.crepc.sk/?fn=detailBiblioForm&amp;sid=C548C0F9FD696643F9B5CC8CCF")</f>
        <v>https://app.crepc.sk/?fn=detailBiblioForm&amp;sid=C548C0F9FD696643F9B5CC8CCF</v>
      </c>
    </row>
    <row r="5183" spans="3:5" ht="105" x14ac:dyDescent="0.25">
      <c r="C5183" s="15">
        <v>83185</v>
      </c>
      <c r="D5183" s="4" t="s">
        <v>5187</v>
      </c>
      <c r="E5183" s="4" t="str">
        <f>HYPERLINK("https://app.crepc.sk/?fn=detailBiblioForm&amp;sid=00B1942FEEE8EFE5FBFBA393")</f>
        <v>https://app.crepc.sk/?fn=detailBiblioForm&amp;sid=00B1942FEEE8EFE5FBFBA393</v>
      </c>
    </row>
    <row r="5184" spans="3:5" ht="90" x14ac:dyDescent="0.25">
      <c r="C5184" s="15">
        <v>205155</v>
      </c>
      <c r="D5184" s="4" t="s">
        <v>5188</v>
      </c>
      <c r="E5184" s="4" t="str">
        <f>HYPERLINK("https://app.crepc.sk/?fn=detailBiblioForm&amp;sid=87F6E5AB1B6D9B8B4468DC61F9")</f>
        <v>https://app.crepc.sk/?fn=detailBiblioForm&amp;sid=87F6E5AB1B6D9B8B4468DC61F9</v>
      </c>
    </row>
    <row r="5185" spans="3:5" ht="90" x14ac:dyDescent="0.25">
      <c r="C5185" s="15">
        <v>414293</v>
      </c>
      <c r="D5185" s="4" t="s">
        <v>5189</v>
      </c>
      <c r="E5185" s="4" t="str">
        <f>HYPERLINK("https://app.crepc.sk/?fn=detailBiblioForm&amp;sid=951BAAB49B09D7D1D33226EDE3")</f>
        <v>https://app.crepc.sk/?fn=detailBiblioForm&amp;sid=951BAAB49B09D7D1D33226EDE3</v>
      </c>
    </row>
    <row r="5186" spans="3:5" ht="105" x14ac:dyDescent="0.25">
      <c r="C5186" s="15">
        <v>315465</v>
      </c>
      <c r="D5186" s="4" t="s">
        <v>5190</v>
      </c>
      <c r="E5186" s="4" t="str">
        <f>HYPERLINK("https://app.crepc.sk/?fn=detailBiblioForm&amp;sid=D6A415B53B85E30B9DD862509B")</f>
        <v>https://app.crepc.sk/?fn=detailBiblioForm&amp;sid=D6A415B53B85E30B9DD862509B</v>
      </c>
    </row>
    <row r="5187" spans="3:5" ht="90" x14ac:dyDescent="0.25">
      <c r="C5187" s="15">
        <v>433319</v>
      </c>
      <c r="D5187" s="4" t="s">
        <v>5191</v>
      </c>
      <c r="E5187" s="4" t="str">
        <f>HYPERLINK("https://app.crepc.sk/?fn=detailBiblioForm&amp;sid=E96E6EA66B9B1358756874684F")</f>
        <v>https://app.crepc.sk/?fn=detailBiblioForm&amp;sid=E96E6EA66B9B1358756874684F</v>
      </c>
    </row>
    <row r="5188" spans="3:5" ht="75" x14ac:dyDescent="0.25">
      <c r="C5188" s="15">
        <v>122557</v>
      </c>
      <c r="D5188" s="4" t="s">
        <v>5192</v>
      </c>
      <c r="E5188" s="4" t="str">
        <f>HYPERLINK("https://app.crepc.sk/?fn=detailBiblioForm&amp;sid=6C0594DA955AD34A4578C5FCEF")</f>
        <v>https://app.crepc.sk/?fn=detailBiblioForm&amp;sid=6C0594DA955AD34A4578C5FCEF</v>
      </c>
    </row>
    <row r="5189" spans="3:5" ht="120" x14ac:dyDescent="0.25">
      <c r="C5189" s="15">
        <v>129381</v>
      </c>
      <c r="D5189" s="4" t="s">
        <v>5193</v>
      </c>
      <c r="E5189" s="4" t="str">
        <f>HYPERLINK("https://app.crepc.sk/?fn=detailBiblioForm&amp;sid=9B6D79FADC5C6A59822FE9DE88")</f>
        <v>https://app.crepc.sk/?fn=detailBiblioForm&amp;sid=9B6D79FADC5C6A59822FE9DE88</v>
      </c>
    </row>
    <row r="5190" spans="3:5" ht="90" x14ac:dyDescent="0.25">
      <c r="C5190" s="15">
        <v>73310</v>
      </c>
      <c r="D5190" s="4" t="s">
        <v>5194</v>
      </c>
      <c r="E5190" s="4" t="str">
        <f>HYPERLINK("https://app.crepc.sk/?fn=detailBiblioForm&amp;sid=D3E21870F38B65392D911595")</f>
        <v>https://app.crepc.sk/?fn=detailBiblioForm&amp;sid=D3E21870F38B65392D911595</v>
      </c>
    </row>
    <row r="5191" spans="3:5" ht="90" x14ac:dyDescent="0.25">
      <c r="C5191" s="15">
        <v>56425</v>
      </c>
      <c r="D5191" s="4" t="s">
        <v>5195</v>
      </c>
      <c r="E5191" s="4" t="str">
        <f>HYPERLINK("https://app.crepc.sk/?fn=detailBiblioForm&amp;sid=AADCC566D9D2A5C539B56AB7")</f>
        <v>https://app.crepc.sk/?fn=detailBiblioForm&amp;sid=AADCC566D9D2A5C539B56AB7</v>
      </c>
    </row>
    <row r="5192" spans="3:5" ht="75" x14ac:dyDescent="0.25">
      <c r="C5192" s="15">
        <v>199439</v>
      </c>
      <c r="D5192" s="4" t="s">
        <v>5196</v>
      </c>
      <c r="E5192" s="4" t="str">
        <f>HYPERLINK("https://app.crepc.sk/?fn=detailBiblioForm&amp;sid=93146A2D1CAB818AFE9C1AF6CB")</f>
        <v>https://app.crepc.sk/?fn=detailBiblioForm&amp;sid=93146A2D1CAB818AFE9C1AF6CB</v>
      </c>
    </row>
    <row r="5193" spans="3:5" ht="75" x14ac:dyDescent="0.25">
      <c r="C5193" s="15">
        <v>150755</v>
      </c>
      <c r="D5193" s="4" t="s">
        <v>5197</v>
      </c>
      <c r="E5193" s="4" t="str">
        <f>HYPERLINK("https://app.crepc.sk/?fn=detailBiblioForm&amp;sid=4ABE047C0F04576E290B55E493")</f>
        <v>https://app.crepc.sk/?fn=detailBiblioForm&amp;sid=4ABE047C0F04576E290B55E493</v>
      </c>
    </row>
    <row r="5194" spans="3:5" ht="105" x14ac:dyDescent="0.25">
      <c r="C5194" s="15">
        <v>175896</v>
      </c>
      <c r="D5194" s="4" t="s">
        <v>5198</v>
      </c>
      <c r="E5194" s="4" t="str">
        <f>HYPERLINK("https://app.crepc.sk/?fn=detailBiblioForm&amp;sid=77472A57103095E4430B0BB0E4")</f>
        <v>https://app.crepc.sk/?fn=detailBiblioForm&amp;sid=77472A57103095E4430B0BB0E4</v>
      </c>
    </row>
    <row r="5195" spans="3:5" ht="90" x14ac:dyDescent="0.25">
      <c r="C5195" s="15">
        <v>445472</v>
      </c>
      <c r="D5195" s="4" t="s">
        <v>5199</v>
      </c>
      <c r="E5195" s="4" t="str">
        <f>HYPERLINK("https://app.crepc.sk/?fn=detailBiblioForm&amp;sid=C526A7C23BB2EDD7E4B5DE77FA")</f>
        <v>https://app.crepc.sk/?fn=detailBiblioForm&amp;sid=C526A7C23BB2EDD7E4B5DE77FA</v>
      </c>
    </row>
    <row r="5196" spans="3:5" ht="75" x14ac:dyDescent="0.25">
      <c r="C5196" s="15">
        <v>155928</v>
      </c>
      <c r="D5196" s="4" t="s">
        <v>5200</v>
      </c>
      <c r="E5196" s="4" t="str">
        <f>HYPERLINK("https://app.crepc.sk/?fn=detailBiblioForm&amp;sid=FDC7ADC0B55BA46B13DDD9F72D")</f>
        <v>https://app.crepc.sk/?fn=detailBiblioForm&amp;sid=FDC7ADC0B55BA46B13DDD9F72D</v>
      </c>
    </row>
    <row r="5197" spans="3:5" ht="105" x14ac:dyDescent="0.25">
      <c r="C5197" s="15">
        <v>134834</v>
      </c>
      <c r="D5197" s="4" t="s">
        <v>5201</v>
      </c>
      <c r="E5197" s="4" t="str">
        <f>HYPERLINK("https://app.crepc.sk/?fn=detailBiblioForm&amp;sid=CBD6E88493DC1C70E277533178")</f>
        <v>https://app.crepc.sk/?fn=detailBiblioForm&amp;sid=CBD6E88493DC1C70E277533178</v>
      </c>
    </row>
    <row r="5198" spans="3:5" ht="105" x14ac:dyDescent="0.25">
      <c r="C5198" s="15">
        <v>218238</v>
      </c>
      <c r="D5198" s="4" t="s">
        <v>5202</v>
      </c>
      <c r="E5198" s="4" t="str">
        <f>HYPERLINK("https://app.crepc.sk/?fn=detailBiblioForm&amp;sid=2506B099E56293C87B418BEA9E")</f>
        <v>https://app.crepc.sk/?fn=detailBiblioForm&amp;sid=2506B099E56293C87B418BEA9E</v>
      </c>
    </row>
    <row r="5199" spans="3:5" ht="75" x14ac:dyDescent="0.25">
      <c r="C5199" s="15">
        <v>116486</v>
      </c>
      <c r="D5199" s="4" t="s">
        <v>5203</v>
      </c>
      <c r="E5199" s="4" t="str">
        <f>HYPERLINK("https://app.crepc.sk/?fn=detailBiblioForm&amp;sid=E2F93AEC495D93B32B46774800")</f>
        <v>https://app.crepc.sk/?fn=detailBiblioForm&amp;sid=E2F93AEC495D93B32B46774800</v>
      </c>
    </row>
    <row r="5200" spans="3:5" ht="105" x14ac:dyDescent="0.25">
      <c r="C5200" s="15">
        <v>192770</v>
      </c>
      <c r="D5200" s="4" t="s">
        <v>5204</v>
      </c>
      <c r="E5200" s="4" t="str">
        <f>HYPERLINK("https://app.crepc.sk/?fn=detailBiblioForm&amp;sid=3354009E5CAE23384815FB5E60")</f>
        <v>https://app.crepc.sk/?fn=detailBiblioForm&amp;sid=3354009E5CAE23384815FB5E60</v>
      </c>
    </row>
    <row r="5201" spans="3:5" ht="90" x14ac:dyDescent="0.25">
      <c r="C5201" s="15">
        <v>125612</v>
      </c>
      <c r="D5201" s="4" t="s">
        <v>5205</v>
      </c>
      <c r="E5201" s="4" t="str">
        <f>HYPERLINK("https://app.crepc.sk/?fn=detailBiblioForm&amp;sid=107B16852C902CE89C6495D686")</f>
        <v>https://app.crepc.sk/?fn=detailBiblioForm&amp;sid=107B16852C902CE89C6495D686</v>
      </c>
    </row>
    <row r="5202" spans="3:5" ht="90" x14ac:dyDescent="0.25">
      <c r="C5202" s="15">
        <v>96642</v>
      </c>
      <c r="D5202" s="4" t="s">
        <v>5206</v>
      </c>
      <c r="E5202" s="4" t="str">
        <f>HYPERLINK("https://app.crepc.sk/?fn=detailBiblioForm&amp;sid=D508AB38C1B2E1FE4C5104FA")</f>
        <v>https://app.crepc.sk/?fn=detailBiblioForm&amp;sid=D508AB38C1B2E1FE4C5104FA</v>
      </c>
    </row>
    <row r="5203" spans="3:5" ht="75" x14ac:dyDescent="0.25">
      <c r="C5203" s="15">
        <v>150934</v>
      </c>
      <c r="D5203" s="4" t="s">
        <v>5207</v>
      </c>
      <c r="E5203" s="4" t="str">
        <f>HYPERLINK("https://app.crepc.sk/?fn=detailBiblioForm&amp;sid=1DDC86077D8354F3A0FEF2B260")</f>
        <v>https://app.crepc.sk/?fn=detailBiblioForm&amp;sid=1DDC86077D8354F3A0FEF2B260</v>
      </c>
    </row>
    <row r="5204" spans="3:5" ht="75" x14ac:dyDescent="0.25">
      <c r="C5204" s="15">
        <v>222173</v>
      </c>
      <c r="D5204" s="4" t="s">
        <v>5208</v>
      </c>
      <c r="E5204" s="4" t="str">
        <f>HYPERLINK("https://app.crepc.sk/?fn=detailBiblioForm&amp;sid=E8E9ABE8FCE661A05C9906B5A6")</f>
        <v>https://app.crepc.sk/?fn=detailBiblioForm&amp;sid=E8E9ABE8FCE661A05C9906B5A6</v>
      </c>
    </row>
    <row r="5205" spans="3:5" ht="90" x14ac:dyDescent="0.25">
      <c r="C5205" s="15">
        <v>433323</v>
      </c>
      <c r="D5205" s="4" t="s">
        <v>5209</v>
      </c>
      <c r="E5205" s="4" t="str">
        <f>HYPERLINK("https://app.crepc.sk/?fn=detailBiblioForm&amp;sid=E96E6EA66B9B1358766274684F")</f>
        <v>https://app.crepc.sk/?fn=detailBiblioForm&amp;sid=E96E6EA66B9B1358766274684F</v>
      </c>
    </row>
    <row r="5206" spans="3:5" ht="90" x14ac:dyDescent="0.25">
      <c r="C5206" s="15">
        <v>192775</v>
      </c>
      <c r="D5206" s="4" t="s">
        <v>5210</v>
      </c>
      <c r="E5206" s="4" t="str">
        <f>HYPERLINK("https://app.crepc.sk/?fn=detailBiblioForm&amp;sid=3354009E5CAE23384810FB5E60")</f>
        <v>https://app.crepc.sk/?fn=detailBiblioForm&amp;sid=3354009E5CAE23384810FB5E60</v>
      </c>
    </row>
    <row r="5207" spans="3:5" ht="75" x14ac:dyDescent="0.25">
      <c r="C5207" s="15">
        <v>125911</v>
      </c>
      <c r="D5207" s="4" t="s">
        <v>5211</v>
      </c>
      <c r="E5207" s="4" t="str">
        <f>HYPERLINK("https://app.crepc.sk/?fn=detailBiblioForm&amp;sid=CAA13C70E4379491E28A8A0CB9")</f>
        <v>https://app.crepc.sk/?fn=detailBiblioForm&amp;sid=CAA13C70E4379491E28A8A0CB9</v>
      </c>
    </row>
    <row r="5208" spans="3:5" ht="90" x14ac:dyDescent="0.25">
      <c r="C5208" s="15">
        <v>176900</v>
      </c>
      <c r="D5208" s="4" t="s">
        <v>5212</v>
      </c>
      <c r="E5208" s="4" t="str">
        <f>HYPERLINK("https://app.crepc.sk/?fn=detailBiblioForm&amp;sid=D98A4A9B442AA1687A532F7CC7")</f>
        <v>https://app.crepc.sk/?fn=detailBiblioForm&amp;sid=D98A4A9B442AA1687A532F7CC7</v>
      </c>
    </row>
    <row r="5209" spans="3:5" ht="90" x14ac:dyDescent="0.25">
      <c r="C5209" s="15">
        <v>68353</v>
      </c>
      <c r="D5209" s="4" t="s">
        <v>5213</v>
      </c>
      <c r="E5209" s="4" t="str">
        <f>HYPERLINK("https://app.crepc.sk/?fn=detailBiblioForm&amp;sid=111404E8CA9F29EDCA5B8794")</f>
        <v>https://app.crepc.sk/?fn=detailBiblioForm&amp;sid=111404E8CA9F29EDCA5B8794</v>
      </c>
    </row>
    <row r="5210" spans="3:5" ht="90" x14ac:dyDescent="0.25">
      <c r="C5210" s="15">
        <v>166037</v>
      </c>
      <c r="D5210" s="4" t="s">
        <v>5214</v>
      </c>
      <c r="E5210" s="4" t="str">
        <f>HYPERLINK("https://app.crepc.sk/?fn=detailBiblioForm&amp;sid=AFB64E0160B4F4E92548BB898C")</f>
        <v>https://app.crepc.sk/?fn=detailBiblioForm&amp;sid=AFB64E0160B4F4E92548BB898C</v>
      </c>
    </row>
    <row r="5211" spans="3:5" ht="90" x14ac:dyDescent="0.25">
      <c r="C5211" s="15">
        <v>306676</v>
      </c>
      <c r="D5211" s="4" t="s">
        <v>5215</v>
      </c>
      <c r="E5211" s="4" t="str">
        <f>HYPERLINK("https://app.crepc.sk/?fn=detailBiblioForm&amp;sid=A2D662D54D3F147FFA294E5A0C")</f>
        <v>https://app.crepc.sk/?fn=detailBiblioForm&amp;sid=A2D662D54D3F147FFA294E5A0C</v>
      </c>
    </row>
    <row r="5212" spans="3:5" ht="75" x14ac:dyDescent="0.25">
      <c r="C5212" s="15">
        <v>195947</v>
      </c>
      <c r="D5212" s="4" t="s">
        <v>5216</v>
      </c>
      <c r="E5212" s="4" t="str">
        <f>HYPERLINK("https://app.crepc.sk/?fn=detailBiblioForm&amp;sid=D0FFB1787B7ACE98BB57689ACF")</f>
        <v>https://app.crepc.sk/?fn=detailBiblioForm&amp;sid=D0FFB1787B7ACE98BB57689ACF</v>
      </c>
    </row>
    <row r="5213" spans="3:5" ht="75" x14ac:dyDescent="0.25">
      <c r="C5213" s="15">
        <v>168359</v>
      </c>
      <c r="D5213" s="4" t="s">
        <v>5217</v>
      </c>
      <c r="E5213" s="4" t="str">
        <f>HYPERLINK("https://app.crepc.sk/?fn=detailBiblioForm&amp;sid=5795EDEC5E3EE6CF72B906C750")</f>
        <v>https://app.crepc.sk/?fn=detailBiblioForm&amp;sid=5795EDEC5E3EE6CF72B906C750</v>
      </c>
    </row>
    <row r="5214" spans="3:5" ht="75" x14ac:dyDescent="0.25">
      <c r="C5214" s="15">
        <v>207003</v>
      </c>
      <c r="D5214" s="4" t="s">
        <v>5218</v>
      </c>
      <c r="E5214" s="4" t="str">
        <f>HYPERLINK("https://app.crepc.sk/?fn=detailBiblioForm&amp;sid=0C78960071567D8D0E14384767")</f>
        <v>https://app.crepc.sk/?fn=detailBiblioForm&amp;sid=0C78960071567D8D0E14384767</v>
      </c>
    </row>
    <row r="5215" spans="3:5" ht="75" x14ac:dyDescent="0.25">
      <c r="C5215" s="15">
        <v>72083</v>
      </c>
      <c r="D5215" s="4" t="s">
        <v>5219</v>
      </c>
      <c r="E5215" s="4" t="str">
        <f>HYPERLINK("https://app.crepc.sk/?fn=detailBiblioForm&amp;sid=6A30D35B9E82C2A18718A18D")</f>
        <v>https://app.crepc.sk/?fn=detailBiblioForm&amp;sid=6A30D35B9E82C2A18718A18D</v>
      </c>
    </row>
    <row r="5216" spans="3:5" ht="75" x14ac:dyDescent="0.25">
      <c r="C5216" s="15">
        <v>199618</v>
      </c>
      <c r="D5216" s="4" t="s">
        <v>5220</v>
      </c>
      <c r="E5216" s="4" t="str">
        <f>HYPERLINK("https://app.crepc.sk/?fn=detailBiblioForm&amp;sid=8825A9ADCAF72872EE191ABF2C")</f>
        <v>https://app.crepc.sk/?fn=detailBiblioForm&amp;sid=8825A9ADCAF72872EE191ABF2C</v>
      </c>
    </row>
    <row r="5217" spans="3:5" ht="75" x14ac:dyDescent="0.25">
      <c r="C5217" s="15">
        <v>453616</v>
      </c>
      <c r="D5217" s="4" t="s">
        <v>5221</v>
      </c>
      <c r="E5217" s="4" t="str">
        <f>HYPERLINK("https://app.crepc.sk/?fn=detailBiblioForm&amp;sid=137952DF015BC625DE32D8D3CA")</f>
        <v>https://app.crepc.sk/?fn=detailBiblioForm&amp;sid=137952DF015BC625DE32D8D3CA</v>
      </c>
    </row>
    <row r="5218" spans="3:5" ht="75" x14ac:dyDescent="0.25">
      <c r="C5218" s="15">
        <v>223092</v>
      </c>
      <c r="D5218" s="4" t="s">
        <v>5222</v>
      </c>
      <c r="E5218" s="4" t="str">
        <f>HYPERLINK("https://app.crepc.sk/?fn=detailBiblioForm&amp;sid=798E363B8459E66AC8AFA73AAF")</f>
        <v>https://app.crepc.sk/?fn=detailBiblioForm&amp;sid=798E363B8459E66AC8AFA73AAF</v>
      </c>
    </row>
    <row r="5219" spans="3:5" ht="90" x14ac:dyDescent="0.25">
      <c r="C5219" s="15">
        <v>219752</v>
      </c>
      <c r="D5219" s="4" t="s">
        <v>5223</v>
      </c>
      <c r="E5219" s="4" t="str">
        <f>HYPERLINK("https://app.crepc.sk/?fn=detailBiblioForm&amp;sid=8507D8D83F66E08A1B2DD1D393")</f>
        <v>https://app.crepc.sk/?fn=detailBiblioForm&amp;sid=8507D8D83F66E08A1B2DD1D393</v>
      </c>
    </row>
    <row r="5220" spans="3:5" ht="90" x14ac:dyDescent="0.25">
      <c r="C5220" s="15">
        <v>445888</v>
      </c>
      <c r="D5220" s="4" t="s">
        <v>5224</v>
      </c>
      <c r="E5220" s="4" t="str">
        <f>HYPERLINK("https://app.crepc.sk/?fn=detailBiblioForm&amp;sid=DEAAD5F98658C8900F3A13DA4E")</f>
        <v>https://app.crepc.sk/?fn=detailBiblioForm&amp;sid=DEAAD5F98658C8900F3A13DA4E</v>
      </c>
    </row>
    <row r="5221" spans="3:5" ht="105" x14ac:dyDescent="0.25">
      <c r="C5221" s="15">
        <v>249629</v>
      </c>
      <c r="D5221" s="4" t="s">
        <v>5225</v>
      </c>
      <c r="E5221" s="4" t="str">
        <f>HYPERLINK("https://app.crepc.sk/?fn=detailBiblioForm&amp;sid=A43C6767581FABD008AB6DF55F")</f>
        <v>https://app.crepc.sk/?fn=detailBiblioForm&amp;sid=A43C6767581FABD008AB6DF55F</v>
      </c>
    </row>
    <row r="5222" spans="3:5" ht="60" x14ac:dyDescent="0.25">
      <c r="C5222" s="15">
        <v>130991</v>
      </c>
      <c r="D5222" s="4" t="s">
        <v>5226</v>
      </c>
      <c r="E5222" s="4" t="str">
        <f>HYPERLINK("https://app.crepc.sk/?fn=detailBiblioForm&amp;sid=124634ADD5218DF99A422AEB7E")</f>
        <v>https://app.crepc.sk/?fn=detailBiblioForm&amp;sid=124634ADD5218DF99A422AEB7E</v>
      </c>
    </row>
    <row r="5223" spans="3:5" ht="75" x14ac:dyDescent="0.25">
      <c r="C5223" s="15">
        <v>240141</v>
      </c>
      <c r="D5223" s="4" t="s">
        <v>5227</v>
      </c>
      <c r="E5223" s="4" t="str">
        <f>HYPERLINK("https://app.crepc.sk/?fn=detailBiblioForm&amp;sid=8C03137733E1322943ECB71FC2")</f>
        <v>https://app.crepc.sk/?fn=detailBiblioForm&amp;sid=8C03137733E1322943ECB71FC2</v>
      </c>
    </row>
    <row r="5224" spans="3:5" ht="90" x14ac:dyDescent="0.25">
      <c r="C5224" s="15">
        <v>244329</v>
      </c>
      <c r="D5224" s="4" t="s">
        <v>5228</v>
      </c>
      <c r="E5224" s="4" t="str">
        <f>HYPERLINK("https://app.crepc.sk/?fn=detailBiblioForm&amp;sid=D2DC4D701735EE7500006534E5")</f>
        <v>https://app.crepc.sk/?fn=detailBiblioForm&amp;sid=D2DC4D701735EE7500006534E5</v>
      </c>
    </row>
    <row r="5225" spans="3:5" ht="75" x14ac:dyDescent="0.25">
      <c r="C5225" s="15">
        <v>420237</v>
      </c>
      <c r="D5225" s="4" t="s">
        <v>5229</v>
      </c>
      <c r="E5225" s="4" t="str">
        <f>HYPERLINK("https://app.crepc.sk/?fn=detailBiblioForm&amp;sid=50D168C6DED1E9D8D8CD6C1ABF")</f>
        <v>https://app.crepc.sk/?fn=detailBiblioForm&amp;sid=50D168C6DED1E9D8D8CD6C1ABF</v>
      </c>
    </row>
    <row r="5226" spans="3:5" ht="90" x14ac:dyDescent="0.25">
      <c r="C5226" s="15">
        <v>201129</v>
      </c>
      <c r="D5226" s="4" t="s">
        <v>5230</v>
      </c>
      <c r="E5226" s="4" t="str">
        <f>HYPERLINK("https://app.crepc.sk/?fn=detailBiblioForm&amp;sid=9B4D5C725FE964BEB182FF9C95")</f>
        <v>https://app.crepc.sk/?fn=detailBiblioForm&amp;sid=9B4D5C725FE964BEB182FF9C95</v>
      </c>
    </row>
    <row r="5227" spans="3:5" ht="90" x14ac:dyDescent="0.25">
      <c r="C5227" s="15">
        <v>220622</v>
      </c>
      <c r="D5227" s="4" t="s">
        <v>5231</v>
      </c>
      <c r="E5227" s="4" t="str">
        <f>HYPERLINK("https://app.crepc.sk/?fn=detailBiblioForm&amp;sid=43F06B994359F424AF7DDF3CE4")</f>
        <v>https://app.crepc.sk/?fn=detailBiblioForm&amp;sid=43F06B994359F424AF7DDF3CE4</v>
      </c>
    </row>
    <row r="5228" spans="3:5" ht="90" x14ac:dyDescent="0.25">
      <c r="C5228" s="15">
        <v>317852</v>
      </c>
      <c r="D5228" s="4" t="s">
        <v>5232</v>
      </c>
      <c r="E5228" s="4" t="str">
        <f>HYPERLINK("https://app.crepc.sk/?fn=detailBiblioForm&amp;sid=16DCB3C1E3D673D861DC18F93B")</f>
        <v>https://app.crepc.sk/?fn=detailBiblioForm&amp;sid=16DCB3C1E3D673D861DC18F93B</v>
      </c>
    </row>
    <row r="5229" spans="3:5" ht="105" x14ac:dyDescent="0.25">
      <c r="C5229" s="15">
        <v>440723</v>
      </c>
      <c r="D5229" s="4" t="s">
        <v>5233</v>
      </c>
      <c r="E5229" s="4" t="str">
        <f>HYPERLINK("https://app.crepc.sk/?fn=detailBiblioForm&amp;sid=C3C046FDC00D8772CC32A536D3")</f>
        <v>https://app.crepc.sk/?fn=detailBiblioForm&amp;sid=C3C046FDC00D8772CC32A536D3</v>
      </c>
    </row>
    <row r="5230" spans="3:5" ht="90" x14ac:dyDescent="0.25">
      <c r="C5230" s="15">
        <v>150757</v>
      </c>
      <c r="D5230" s="4" t="s">
        <v>5234</v>
      </c>
      <c r="E5230" s="4" t="str">
        <f>HYPERLINK("https://app.crepc.sk/?fn=detailBiblioForm&amp;sid=4ABE047C0F04576E290955E493")</f>
        <v>https://app.crepc.sk/?fn=detailBiblioForm&amp;sid=4ABE047C0F04576E290955E493</v>
      </c>
    </row>
    <row r="5231" spans="3:5" ht="90" x14ac:dyDescent="0.25">
      <c r="C5231" s="15">
        <v>216399</v>
      </c>
      <c r="D5231" s="4" t="s">
        <v>5235</v>
      </c>
      <c r="E5231" s="4" t="str">
        <f>HYPERLINK("https://app.crepc.sk/?fn=detailBiblioForm&amp;sid=B3C0B14686B6D9E38320044AD4")</f>
        <v>https://app.crepc.sk/?fn=detailBiblioForm&amp;sid=B3C0B14686B6D9E38320044AD4</v>
      </c>
    </row>
    <row r="5232" spans="3:5" ht="75" x14ac:dyDescent="0.25">
      <c r="C5232" s="15">
        <v>128460</v>
      </c>
      <c r="D5232" s="4" t="s">
        <v>5236</v>
      </c>
      <c r="E5232" s="4" t="str">
        <f>HYPERLINK("https://app.crepc.sk/?fn=detailBiblioForm&amp;sid=585F9F27CC7F4CBF0A3E4263E3")</f>
        <v>https://app.crepc.sk/?fn=detailBiblioForm&amp;sid=585F9F27CC7F4CBF0A3E4263E3</v>
      </c>
    </row>
    <row r="5233" spans="3:5" ht="90" x14ac:dyDescent="0.25">
      <c r="C5233" s="15">
        <v>120872</v>
      </c>
      <c r="D5233" s="4" t="s">
        <v>5237</v>
      </c>
      <c r="E5233" s="4" t="str">
        <f>HYPERLINK("https://app.crepc.sk/?fn=detailBiblioForm&amp;sid=0A8AE641E757DE606FB479B0B3")</f>
        <v>https://app.crepc.sk/?fn=detailBiblioForm&amp;sid=0A8AE641E757DE606FB479B0B3</v>
      </c>
    </row>
    <row r="5234" spans="3:5" ht="105" x14ac:dyDescent="0.25">
      <c r="C5234" s="15">
        <v>173220</v>
      </c>
      <c r="D5234" s="4" t="s">
        <v>5238</v>
      </c>
      <c r="E5234" s="4" t="str">
        <f>HYPERLINK("https://app.crepc.sk/?fn=detailBiblioForm&amp;sid=7950E184AA7EAF4CBF80985512")</f>
        <v>https://app.crepc.sk/?fn=detailBiblioForm&amp;sid=7950E184AA7EAF4CBF80985512</v>
      </c>
    </row>
    <row r="5235" spans="3:5" ht="75" x14ac:dyDescent="0.25">
      <c r="C5235" s="15">
        <v>206996</v>
      </c>
      <c r="D5235" s="4" t="s">
        <v>5239</v>
      </c>
      <c r="E5235" s="4" t="str">
        <f>HYPERLINK("https://app.crepc.sk/?fn=detailBiblioForm&amp;sid=C3A916DF7A5355BD54183ED7A5")</f>
        <v>https://app.crepc.sk/?fn=detailBiblioForm&amp;sid=C3A916DF7A5355BD54183ED7A5</v>
      </c>
    </row>
    <row r="5236" spans="3:5" ht="75" x14ac:dyDescent="0.25">
      <c r="C5236" s="15">
        <v>227395</v>
      </c>
      <c r="D5236" s="4" t="s">
        <v>5240</v>
      </c>
      <c r="E5236" s="4" t="str">
        <f>HYPERLINK("https://app.crepc.sk/?fn=detailBiblioForm&amp;sid=6CA30878C8FDE196AA190AE199")</f>
        <v>https://app.crepc.sk/?fn=detailBiblioForm&amp;sid=6CA30878C8FDE196AA190AE199</v>
      </c>
    </row>
    <row r="5237" spans="3:5" ht="90" x14ac:dyDescent="0.25">
      <c r="C5237" s="15">
        <v>131031</v>
      </c>
      <c r="D5237" s="4" t="s">
        <v>5241</v>
      </c>
      <c r="E5237" s="4" t="str">
        <f>HYPERLINK("https://app.crepc.sk/?fn=detailBiblioForm&amp;sid=A8CFFD80ABEAC294BB8E4D0AAA")</f>
        <v>https://app.crepc.sk/?fn=detailBiblioForm&amp;sid=A8CFFD80ABEAC294BB8E4D0AAA</v>
      </c>
    </row>
    <row r="5238" spans="3:5" ht="75" x14ac:dyDescent="0.25">
      <c r="C5238" s="15">
        <v>146034</v>
      </c>
      <c r="D5238" s="4" t="s">
        <v>5242</v>
      </c>
      <c r="E5238" s="4" t="str">
        <f>HYPERLINK("https://app.crepc.sk/?fn=detailBiblioForm&amp;sid=6F91D8ED6CD6362D932B31705F")</f>
        <v>https://app.crepc.sk/?fn=detailBiblioForm&amp;sid=6F91D8ED6CD6362D932B31705F</v>
      </c>
    </row>
    <row r="5239" spans="3:5" ht="90" x14ac:dyDescent="0.25">
      <c r="C5239" s="15">
        <v>117230</v>
      </c>
      <c r="D5239" s="4" t="s">
        <v>5243</v>
      </c>
      <c r="E5239" s="4" t="str">
        <f>HYPERLINK("https://app.crepc.sk/?fn=detailBiblioForm&amp;sid=4152576857568BE6FA12899DC6")</f>
        <v>https://app.crepc.sk/?fn=detailBiblioForm&amp;sid=4152576857568BE6FA12899DC6</v>
      </c>
    </row>
    <row r="5240" spans="3:5" ht="90" x14ac:dyDescent="0.25">
      <c r="C5240" s="15">
        <v>153617</v>
      </c>
      <c r="D5240" s="4" t="s">
        <v>5244</v>
      </c>
      <c r="E5240" s="4" t="str">
        <f>HYPERLINK("https://app.crepc.sk/?fn=detailBiblioForm&amp;sid=7F4700268CB7D7D1F75CCFB32F")</f>
        <v>https://app.crepc.sk/?fn=detailBiblioForm&amp;sid=7F4700268CB7D7D1F75CCFB32F</v>
      </c>
    </row>
    <row r="5241" spans="3:5" ht="75" x14ac:dyDescent="0.25">
      <c r="C5241" s="15">
        <v>51084</v>
      </c>
      <c r="D5241" s="4" t="s">
        <v>5245</v>
      </c>
      <c r="E5241" s="4" t="str">
        <f>HYPERLINK("https://app.crepc.sk/?fn=detailBiblioForm&amp;sid=8098A5EBC517294D5A65490C")</f>
        <v>https://app.crepc.sk/?fn=detailBiblioForm&amp;sid=8098A5EBC517294D5A65490C</v>
      </c>
    </row>
    <row r="5242" spans="3:5" ht="105" x14ac:dyDescent="0.25">
      <c r="C5242" s="15">
        <v>59460</v>
      </c>
      <c r="D5242" s="4" t="s">
        <v>5246</v>
      </c>
      <c r="E5242" s="4" t="str">
        <f>HYPERLINK("https://app.crepc.sk/?fn=detailBiblioForm&amp;sid=A2EDB778FFCE9B83BC2F8D88")</f>
        <v>https://app.crepc.sk/?fn=detailBiblioForm&amp;sid=A2EDB778FFCE9B83BC2F8D88</v>
      </c>
    </row>
    <row r="5243" spans="3:5" ht="90" x14ac:dyDescent="0.25">
      <c r="C5243" s="15">
        <v>57274</v>
      </c>
      <c r="D5243" s="4" t="s">
        <v>5247</v>
      </c>
      <c r="E5243" s="4" t="str">
        <f>HYPERLINK("https://app.crepc.sk/?fn=detailBiblioForm&amp;sid=1601040EFD2ADB2054ADC187")</f>
        <v>https://app.crepc.sk/?fn=detailBiblioForm&amp;sid=1601040EFD2ADB2054ADC187</v>
      </c>
    </row>
    <row r="5244" spans="3:5" ht="90" x14ac:dyDescent="0.25">
      <c r="C5244" s="15">
        <v>166095</v>
      </c>
      <c r="D5244" s="4" t="s">
        <v>5248</v>
      </c>
      <c r="E5244" s="4" t="str">
        <f>HYPERLINK("https://app.crepc.sk/?fn=detailBiblioForm&amp;sid=AFB64E0160B4F4E92F4ABB898C")</f>
        <v>https://app.crepc.sk/?fn=detailBiblioForm&amp;sid=AFB64E0160B4F4E92F4ABB898C</v>
      </c>
    </row>
    <row r="5245" spans="3:5" ht="75" x14ac:dyDescent="0.25">
      <c r="C5245" s="15">
        <v>186442</v>
      </c>
      <c r="D5245" s="4" t="s">
        <v>5249</v>
      </c>
      <c r="E5245" s="4" t="str">
        <f>HYPERLINK("https://app.crepc.sk/?fn=detailBiblioForm&amp;sid=71F69C32541FA5093F6411A618")</f>
        <v>https://app.crepc.sk/?fn=detailBiblioForm&amp;sid=71F69C32541FA5093F6411A618</v>
      </c>
    </row>
    <row r="5246" spans="3:5" ht="75" x14ac:dyDescent="0.25">
      <c r="C5246" s="15">
        <v>155811</v>
      </c>
      <c r="D5246" s="4" t="s">
        <v>5250</v>
      </c>
      <c r="E5246" s="4" t="str">
        <f>HYPERLINK("https://app.crepc.sk/?fn=detailBiblioForm&amp;sid=E6565C9ED97EA02FC603D38A9D")</f>
        <v>https://app.crepc.sk/?fn=detailBiblioForm&amp;sid=E6565C9ED97EA02FC603D38A9D</v>
      </c>
    </row>
    <row r="5247" spans="3:5" ht="90" x14ac:dyDescent="0.25">
      <c r="C5247" s="15">
        <v>161598</v>
      </c>
      <c r="D5247" s="4" t="s">
        <v>5251</v>
      </c>
      <c r="E5247" s="4" t="str">
        <f>HYPERLINK("https://app.crepc.sk/?fn=detailBiblioForm&amp;sid=BB60B769A491B6514CFB53E40D")</f>
        <v>https://app.crepc.sk/?fn=detailBiblioForm&amp;sid=BB60B769A491B6514CFB53E40D</v>
      </c>
    </row>
    <row r="5248" spans="3:5" ht="90" x14ac:dyDescent="0.25">
      <c r="C5248" s="15">
        <v>95708</v>
      </c>
      <c r="D5248" s="4" t="s">
        <v>5252</v>
      </c>
      <c r="E5248" s="4" t="str">
        <f>HYPERLINK("https://app.crepc.sk/?fn=detailBiblioForm&amp;sid=F0EFCC41968AB21661F57D9C")</f>
        <v>https://app.crepc.sk/?fn=detailBiblioForm&amp;sid=F0EFCC41968AB21661F57D9C</v>
      </c>
    </row>
    <row r="5249" spans="3:5" ht="90" x14ac:dyDescent="0.25">
      <c r="C5249" s="15">
        <v>179823</v>
      </c>
      <c r="D5249" s="4" t="s">
        <v>5253</v>
      </c>
      <c r="E5249" s="4" t="str">
        <f>HYPERLINK("https://app.crepc.sk/?fn=detailBiblioForm&amp;sid=1EA8DF3C7C88A4423DA243445F")</f>
        <v>https://app.crepc.sk/?fn=detailBiblioForm&amp;sid=1EA8DF3C7C88A4423DA243445F</v>
      </c>
    </row>
    <row r="5250" spans="3:5" ht="90" x14ac:dyDescent="0.25">
      <c r="C5250" s="15">
        <v>433318</v>
      </c>
      <c r="D5250" s="4" t="s">
        <v>5254</v>
      </c>
      <c r="E5250" s="4" t="str">
        <f>HYPERLINK("https://app.crepc.sk/?fn=detailBiblioForm&amp;sid=E96E6EA66B9B1358756974684F")</f>
        <v>https://app.crepc.sk/?fn=detailBiblioForm&amp;sid=E96E6EA66B9B1358756974684F</v>
      </c>
    </row>
    <row r="5251" spans="3:5" ht="105" x14ac:dyDescent="0.25">
      <c r="C5251" s="15">
        <v>197078</v>
      </c>
      <c r="D5251" s="4" t="s">
        <v>5255</v>
      </c>
      <c r="E5251" s="4" t="str">
        <f>HYPERLINK("https://app.crepc.sk/?fn=detailBiblioForm&amp;sid=29BF53461DA84817B9D192EC81")</f>
        <v>https://app.crepc.sk/?fn=detailBiblioForm&amp;sid=29BF53461DA84817B9D192EC81</v>
      </c>
    </row>
    <row r="5252" spans="3:5" ht="120" x14ac:dyDescent="0.25">
      <c r="C5252" s="15">
        <v>60630</v>
      </c>
      <c r="D5252" s="4" t="s">
        <v>5256</v>
      </c>
      <c r="E5252" s="4" t="str">
        <f>HYPERLINK("https://app.crepc.sk/?fn=detailBiblioForm&amp;sid=EAE4D06F6137FE172FB1AABA")</f>
        <v>https://app.crepc.sk/?fn=detailBiblioForm&amp;sid=EAE4D06F6137FE172FB1AABA</v>
      </c>
    </row>
    <row r="5253" spans="3:5" ht="75" x14ac:dyDescent="0.25">
      <c r="C5253" s="15">
        <v>433664</v>
      </c>
      <c r="D5253" s="4" t="s">
        <v>5257</v>
      </c>
      <c r="E5253" s="4" t="str">
        <f>HYPERLINK("https://app.crepc.sk/?fn=detailBiblioForm&amp;sid=51B873D3F437233C6992CB1DA8")</f>
        <v>https://app.crepc.sk/?fn=detailBiblioForm&amp;sid=51B873D3F437233C6992CB1DA8</v>
      </c>
    </row>
    <row r="5254" spans="3:5" ht="90" x14ac:dyDescent="0.25">
      <c r="C5254" s="15">
        <v>219768</v>
      </c>
      <c r="D5254" s="4" t="s">
        <v>5258</v>
      </c>
      <c r="E5254" s="4" t="str">
        <f>HYPERLINK("https://app.crepc.sk/?fn=detailBiblioForm&amp;sid=8507D8D83F66E08A1827D1D393")</f>
        <v>https://app.crepc.sk/?fn=detailBiblioForm&amp;sid=8507D8D83F66E08A1827D1D393</v>
      </c>
    </row>
    <row r="5255" spans="3:5" ht="90" x14ac:dyDescent="0.25">
      <c r="C5255" s="15">
        <v>445902</v>
      </c>
      <c r="D5255" s="4" t="s">
        <v>5259</v>
      </c>
      <c r="E5255" s="4" t="str">
        <f>HYPERLINK("https://app.crepc.sk/?fn=detailBiblioForm&amp;sid=E1FF2EA0965A7DA5F9C40201A3")</f>
        <v>https://app.crepc.sk/?fn=detailBiblioForm&amp;sid=E1FF2EA0965A7DA5F9C40201A3</v>
      </c>
    </row>
    <row r="5256" spans="3:5" ht="90" x14ac:dyDescent="0.25">
      <c r="C5256" s="15">
        <v>91740</v>
      </c>
      <c r="D5256" s="4" t="s">
        <v>5260</v>
      </c>
      <c r="E5256" s="4" t="str">
        <f>HYPERLINK("https://app.crepc.sk/?fn=detailBiblioForm&amp;sid=7EAECA81A1652D96F21BC485")</f>
        <v>https://app.crepc.sk/?fn=detailBiblioForm&amp;sid=7EAECA81A1652D96F21BC485</v>
      </c>
    </row>
    <row r="5257" spans="3:5" ht="75" x14ac:dyDescent="0.25">
      <c r="C5257" s="15">
        <v>196695</v>
      </c>
      <c r="D5257" s="4" t="s">
        <v>5261</v>
      </c>
      <c r="E5257" s="4" t="str">
        <f>HYPERLINK("https://app.crepc.sk/?fn=detailBiblioForm&amp;sid=8A8E655A3835503C4EDBDE9D4A")</f>
        <v>https://app.crepc.sk/?fn=detailBiblioForm&amp;sid=8A8E655A3835503C4EDBDE9D4A</v>
      </c>
    </row>
    <row r="5258" spans="3:5" ht="75" x14ac:dyDescent="0.25">
      <c r="C5258" s="15">
        <v>445763</v>
      </c>
      <c r="D5258" s="4" t="s">
        <v>5262</v>
      </c>
      <c r="E5258" s="4" t="str">
        <f>HYPERLINK("https://app.crepc.sk/?fn=detailBiblioForm&amp;sid=1281F4184BCA3CDC8F8815CD82")</f>
        <v>https://app.crepc.sk/?fn=detailBiblioForm&amp;sid=1281F4184BCA3CDC8F8815CD82</v>
      </c>
    </row>
    <row r="5259" spans="3:5" ht="120" x14ac:dyDescent="0.25">
      <c r="C5259" s="15">
        <v>51693</v>
      </c>
      <c r="D5259" s="4" t="s">
        <v>5263</v>
      </c>
      <c r="E5259" s="4" t="str">
        <f>HYPERLINK("https://app.crepc.sk/?fn=detailBiblioForm&amp;sid=7F5FF1F0B0E8C62F4B025A6E")</f>
        <v>https://app.crepc.sk/?fn=detailBiblioForm&amp;sid=7F5FF1F0B0E8C62F4B025A6E</v>
      </c>
    </row>
    <row r="5260" spans="3:5" ht="75" x14ac:dyDescent="0.25">
      <c r="C5260" s="15">
        <v>126364</v>
      </c>
      <c r="D5260" s="4" t="s">
        <v>5264</v>
      </c>
      <c r="E5260" s="4" t="str">
        <f>HYPERLINK("https://app.crepc.sk/?fn=detailBiblioForm&amp;sid=728DDAFCA0C23A4507FD0D4373")</f>
        <v>https://app.crepc.sk/?fn=detailBiblioForm&amp;sid=728DDAFCA0C23A4507FD0D4373</v>
      </c>
    </row>
    <row r="5261" spans="3:5" ht="90" x14ac:dyDescent="0.25">
      <c r="C5261" s="15">
        <v>68384</v>
      </c>
      <c r="D5261" s="4" t="s">
        <v>5265</v>
      </c>
      <c r="E5261" s="4" t="str">
        <f>HYPERLINK("https://app.crepc.sk/?fn=detailBiblioForm&amp;sid=2439399AE8D39F397F8E5C10")</f>
        <v>https://app.crepc.sk/?fn=detailBiblioForm&amp;sid=2439399AE8D39F397F8E5C10</v>
      </c>
    </row>
    <row r="5262" spans="3:5" ht="75" x14ac:dyDescent="0.25">
      <c r="C5262" s="15">
        <v>434451</v>
      </c>
      <c r="D5262" s="4" t="s">
        <v>5266</v>
      </c>
      <c r="E5262" s="4" t="str">
        <f>HYPERLINK("https://app.crepc.sk/?fn=detailBiblioForm&amp;sid=F0BEE93CA1F04CFF77FB4245EB")</f>
        <v>https://app.crepc.sk/?fn=detailBiblioForm&amp;sid=F0BEE93CA1F04CFF77FB4245EB</v>
      </c>
    </row>
    <row r="5263" spans="3:5" ht="90" x14ac:dyDescent="0.25">
      <c r="C5263" s="15">
        <v>62569</v>
      </c>
      <c r="D5263" s="4" t="s">
        <v>5267</v>
      </c>
      <c r="E5263" s="4" t="str">
        <f>HYPERLINK("https://app.crepc.sk/?fn=detailBiblioForm&amp;sid=21C6583A02F0CD689A58BC1D")</f>
        <v>https://app.crepc.sk/?fn=detailBiblioForm&amp;sid=21C6583A02F0CD689A58BC1D</v>
      </c>
    </row>
    <row r="5264" spans="3:5" ht="90" x14ac:dyDescent="0.25">
      <c r="C5264" s="15">
        <v>164905</v>
      </c>
      <c r="D5264" s="4" t="s">
        <v>5268</v>
      </c>
      <c r="E5264" s="4" t="str">
        <f>HYPERLINK("https://app.crepc.sk/?fn=detailBiblioForm&amp;sid=81B8C7E3C61A011F113C5B0DE1")</f>
        <v>https://app.crepc.sk/?fn=detailBiblioForm&amp;sid=81B8C7E3C61A011F113C5B0DE1</v>
      </c>
    </row>
    <row r="5265" spans="3:5" ht="90" x14ac:dyDescent="0.25">
      <c r="C5265" s="15">
        <v>91269</v>
      </c>
      <c r="D5265" s="4" t="s">
        <v>5269</v>
      </c>
      <c r="E5265" s="4" t="str">
        <f>HYPERLINK("https://app.crepc.sk/?fn=detailBiblioForm&amp;sid=EB2140B37C6C9A915F953634")</f>
        <v>https://app.crepc.sk/?fn=detailBiblioForm&amp;sid=EB2140B37C6C9A915F953634</v>
      </c>
    </row>
    <row r="5266" spans="3:5" ht="75" x14ac:dyDescent="0.25">
      <c r="C5266" s="15">
        <v>80642</v>
      </c>
      <c r="D5266" s="4" t="s">
        <v>5270</v>
      </c>
      <c r="E5266" s="4" t="str">
        <f>HYPERLINK("https://app.crepc.sk/?fn=detailBiblioForm&amp;sid=4C988482330C04851F80A100")</f>
        <v>https://app.crepc.sk/?fn=detailBiblioForm&amp;sid=4C988482330C04851F80A100</v>
      </c>
    </row>
    <row r="5267" spans="3:5" ht="90" x14ac:dyDescent="0.25">
      <c r="C5267" s="15">
        <v>126342</v>
      </c>
      <c r="D5267" s="4" t="s">
        <v>5271</v>
      </c>
      <c r="E5267" s="4" t="str">
        <f>HYPERLINK("https://app.crepc.sk/?fn=detailBiblioForm&amp;sid=728DDAFCA0C23A4505FB0D4373")</f>
        <v>https://app.crepc.sk/?fn=detailBiblioForm&amp;sid=728DDAFCA0C23A4505FB0D4373</v>
      </c>
    </row>
    <row r="5268" spans="3:5" ht="90" x14ac:dyDescent="0.25">
      <c r="C5268" s="15">
        <v>179600</v>
      </c>
      <c r="D5268" s="4" t="s">
        <v>5272</v>
      </c>
      <c r="E5268" s="4" t="str">
        <f>HYPERLINK("https://app.crepc.sk/?fn=detailBiblioForm&amp;sid=E800E35B75A4A8F937082F3FB2")</f>
        <v>https://app.crepc.sk/?fn=detailBiblioForm&amp;sid=E800E35B75A4A8F937082F3FB2</v>
      </c>
    </row>
    <row r="5269" spans="3:5" ht="75" x14ac:dyDescent="0.25">
      <c r="C5269" s="15">
        <v>183184</v>
      </c>
      <c r="D5269" s="4" t="s">
        <v>5273</v>
      </c>
      <c r="E5269" s="4" t="str">
        <f>HYPERLINK("https://app.crepc.sk/?fn=detailBiblioForm&amp;sid=38EFE54B98F197D5B317EA12EF")</f>
        <v>https://app.crepc.sk/?fn=detailBiblioForm&amp;sid=38EFE54B98F197D5B317EA12EF</v>
      </c>
    </row>
    <row r="5270" spans="3:5" ht="90" x14ac:dyDescent="0.25">
      <c r="C5270" s="15">
        <v>148333</v>
      </c>
      <c r="D5270" s="4" t="s">
        <v>5274</v>
      </c>
      <c r="E5270" s="4" t="str">
        <f>HYPERLINK("https://app.crepc.sk/?fn=detailBiblioForm&amp;sid=80CDED8A8239348A63B952B4DF")</f>
        <v>https://app.crepc.sk/?fn=detailBiblioForm&amp;sid=80CDED8A8239348A63B952B4DF</v>
      </c>
    </row>
    <row r="5271" spans="3:5" ht="90" x14ac:dyDescent="0.25">
      <c r="C5271" s="15">
        <v>74312</v>
      </c>
      <c r="D5271" s="4" t="s">
        <v>5275</v>
      </c>
      <c r="E5271" s="4" t="str">
        <f>HYPERLINK("https://app.crepc.sk/?fn=detailBiblioForm&amp;sid=B1E05061884180F4D3BD9511")</f>
        <v>https://app.crepc.sk/?fn=detailBiblioForm&amp;sid=B1E05061884180F4D3BD9511</v>
      </c>
    </row>
    <row r="5272" spans="3:5" ht="75" x14ac:dyDescent="0.25">
      <c r="C5272" s="15">
        <v>88268</v>
      </c>
      <c r="D5272" s="4" t="s">
        <v>5276</v>
      </c>
      <c r="E5272" s="4" t="str">
        <f>HYPERLINK("https://app.crepc.sk/?fn=detailBiblioForm&amp;sid=D1CFA2C0538D9116BF0F08E4")</f>
        <v>https://app.crepc.sk/?fn=detailBiblioForm&amp;sid=D1CFA2C0538D9116BF0F08E4</v>
      </c>
    </row>
    <row r="5273" spans="3:5" ht="75" x14ac:dyDescent="0.25">
      <c r="C5273" s="15">
        <v>52269</v>
      </c>
      <c r="D5273" s="4" t="s">
        <v>5277</v>
      </c>
      <c r="E5273" s="4" t="str">
        <f>HYPERLINK("https://app.crepc.sk/?fn=detailBiblioForm&amp;sid=3F2BC5F499B74289861192D0")</f>
        <v>https://app.crepc.sk/?fn=detailBiblioForm&amp;sid=3F2BC5F499B74289861192D0</v>
      </c>
    </row>
    <row r="5274" spans="3:5" ht="90" x14ac:dyDescent="0.25">
      <c r="C5274" s="15">
        <v>434448</v>
      </c>
      <c r="D5274" s="4" t="s">
        <v>5278</v>
      </c>
      <c r="E5274" s="4" t="str">
        <f>HYPERLINK("https://app.crepc.sk/?fn=detailBiblioForm&amp;sid=F0BEE93CA1F04CFF76F24245EB")</f>
        <v>https://app.crepc.sk/?fn=detailBiblioForm&amp;sid=F0BEE93CA1F04CFF76F24245EB</v>
      </c>
    </row>
    <row r="5275" spans="3:5" ht="75" x14ac:dyDescent="0.25">
      <c r="C5275" s="15">
        <v>186456</v>
      </c>
      <c r="D5275" s="4" t="s">
        <v>5279</v>
      </c>
      <c r="E5275" s="4" t="str">
        <f>HYPERLINK("https://app.crepc.sk/?fn=detailBiblioForm&amp;sid=71F69C32541FA5093E6011A618")</f>
        <v>https://app.crepc.sk/?fn=detailBiblioForm&amp;sid=71F69C32541FA5093E6011A618</v>
      </c>
    </row>
    <row r="5276" spans="3:5" ht="75" x14ac:dyDescent="0.25">
      <c r="C5276" s="15">
        <v>219143</v>
      </c>
      <c r="D5276" s="4" t="s">
        <v>5280</v>
      </c>
      <c r="E5276" s="4" t="str">
        <f>HYPERLINK("https://app.crepc.sk/?fn=detailBiblioForm&amp;sid=CA821E2D0F99DD049D1C62CF5A")</f>
        <v>https://app.crepc.sk/?fn=detailBiblioForm&amp;sid=CA821E2D0F99DD049D1C62CF5A</v>
      </c>
    </row>
    <row r="5277" spans="3:5" ht="90" x14ac:dyDescent="0.25">
      <c r="C5277" s="15">
        <v>445503</v>
      </c>
      <c r="D5277" s="4" t="s">
        <v>5281</v>
      </c>
      <c r="E5277" s="4" t="str">
        <f>HYPERLINK("https://app.crepc.sk/?fn=detailBiblioForm&amp;sid=8D2AC4920F73DA82EF146A262A")</f>
        <v>https://app.crepc.sk/?fn=detailBiblioForm&amp;sid=8D2AC4920F73DA82EF146A262A</v>
      </c>
    </row>
    <row r="5278" spans="3:5" ht="75" x14ac:dyDescent="0.25">
      <c r="C5278" s="15">
        <v>172918</v>
      </c>
      <c r="D5278" s="4" t="s">
        <v>5282</v>
      </c>
      <c r="E5278" s="4" t="str">
        <f>HYPERLINK("https://app.crepc.sk/?fn=detailBiblioForm&amp;sid=D6903242A3B61C7D26C180C097")</f>
        <v>https://app.crepc.sk/?fn=detailBiblioForm&amp;sid=D6903242A3B61C7D26C180C097</v>
      </c>
    </row>
    <row r="5279" spans="3:5" ht="90" x14ac:dyDescent="0.25">
      <c r="C5279" s="15">
        <v>152361</v>
      </c>
      <c r="D5279" s="4" t="s">
        <v>5283</v>
      </c>
      <c r="E5279" s="4" t="str">
        <f>HYPERLINK("https://app.crepc.sk/?fn=detailBiblioForm&amp;sid=B7A4F0D5DE0EE4D8FF5718DB64")</f>
        <v>https://app.crepc.sk/?fn=detailBiblioForm&amp;sid=B7A4F0D5DE0EE4D8FF5718DB64</v>
      </c>
    </row>
    <row r="5280" spans="3:5" ht="90" x14ac:dyDescent="0.25">
      <c r="C5280" s="15">
        <v>55022</v>
      </c>
      <c r="D5280" s="4" t="s">
        <v>5284</v>
      </c>
      <c r="E5280" s="4" t="str">
        <f>HYPERLINK("https://app.crepc.sk/?fn=detailBiblioForm&amp;sid=694A59148D00A3CD1DB6B499")</f>
        <v>https://app.crepc.sk/?fn=detailBiblioForm&amp;sid=694A59148D00A3CD1DB6B499</v>
      </c>
    </row>
    <row r="5281" spans="3:5" ht="105" x14ac:dyDescent="0.25">
      <c r="C5281" s="15">
        <v>230967</v>
      </c>
      <c r="D5281" s="4" t="s">
        <v>5285</v>
      </c>
      <c r="E5281" s="4" t="str">
        <f>HYPERLINK("https://app.crepc.sk/?fn=detailBiblioForm&amp;sid=2B17DFAD060151C286986EC811")</f>
        <v>https://app.crepc.sk/?fn=detailBiblioForm&amp;sid=2B17DFAD060151C286986EC811</v>
      </c>
    </row>
    <row r="5282" spans="3:5" ht="135" x14ac:dyDescent="0.25">
      <c r="C5282" s="15">
        <v>51510</v>
      </c>
      <c r="D5282" s="4" t="s">
        <v>5286</v>
      </c>
      <c r="E5282" s="4" t="str">
        <f>HYPERLINK("https://app.crepc.sk/?fn=detailBiblioForm&amp;sid=343705CA675215C526F6D325")</f>
        <v>https://app.crepc.sk/?fn=detailBiblioForm&amp;sid=343705CA675215C526F6D325</v>
      </c>
    </row>
    <row r="5283" spans="3:5" ht="90" x14ac:dyDescent="0.25">
      <c r="C5283" s="15">
        <v>432726</v>
      </c>
      <c r="D5283" s="4" t="s">
        <v>5287</v>
      </c>
      <c r="E5283" s="4" t="str">
        <f>HYPERLINK("https://app.crepc.sk/?fn=detailBiblioForm&amp;sid=91973449B9DED6545616A96A9B")</f>
        <v>https://app.crepc.sk/?fn=detailBiblioForm&amp;sid=91973449B9DED6545616A96A9B</v>
      </c>
    </row>
    <row r="5284" spans="3:5" ht="90" x14ac:dyDescent="0.25">
      <c r="C5284" s="15">
        <v>130873</v>
      </c>
      <c r="D5284" s="4" t="s">
        <v>5288</v>
      </c>
      <c r="E5284" s="4" t="str">
        <f>HYPERLINK("https://app.crepc.sk/?fn=detailBiblioForm&amp;sid=118F2A3D570393A65C7701C907")</f>
        <v>https://app.crepc.sk/?fn=detailBiblioForm&amp;sid=118F2A3D570393A65C7701C907</v>
      </c>
    </row>
    <row r="5285" spans="3:5" ht="120" x14ac:dyDescent="0.25">
      <c r="C5285" s="15">
        <v>192767</v>
      </c>
      <c r="D5285" s="4" t="s">
        <v>5289</v>
      </c>
      <c r="E5285" s="4" t="str">
        <f>HYPERLINK("https://app.crepc.sk/?fn=detailBiblioForm&amp;sid=3354009E5CAE23384912FB5E60")</f>
        <v>https://app.crepc.sk/?fn=detailBiblioForm&amp;sid=3354009E5CAE23384912FB5E60</v>
      </c>
    </row>
    <row r="5286" spans="3:5" ht="90" x14ac:dyDescent="0.25">
      <c r="C5286" s="15">
        <v>83312</v>
      </c>
      <c r="D5286" s="4" t="s">
        <v>5290</v>
      </c>
      <c r="E5286" s="4" t="str">
        <f>HYPERLINK("https://app.crepc.sk/?fn=detailBiblioForm&amp;sid=ACF841C358CF137073A7D5AE")</f>
        <v>https://app.crepc.sk/?fn=detailBiblioForm&amp;sid=ACF841C358CF137073A7D5AE</v>
      </c>
    </row>
    <row r="5287" spans="3:5" ht="90" x14ac:dyDescent="0.25">
      <c r="C5287" s="15">
        <v>316012</v>
      </c>
      <c r="D5287" s="4" t="s">
        <v>5291</v>
      </c>
      <c r="E5287" s="4" t="str">
        <f>HYPERLINK("https://app.crepc.sk/?fn=detailBiblioForm&amp;sid=4D9B05127AD9AB96429BE53772")</f>
        <v>https://app.crepc.sk/?fn=detailBiblioForm&amp;sid=4D9B05127AD9AB96429BE53772</v>
      </c>
    </row>
    <row r="5288" spans="3:5" ht="75" x14ac:dyDescent="0.25">
      <c r="C5288" s="15">
        <v>84754</v>
      </c>
      <c r="D5288" s="4" t="s">
        <v>5292</v>
      </c>
      <c r="E5288" s="4" t="str">
        <f>HYPERLINK("https://app.crepc.sk/?fn=detailBiblioForm&amp;sid=5C7B27D7F362DC1CC1CDD31F")</f>
        <v>https://app.crepc.sk/?fn=detailBiblioForm&amp;sid=5C7B27D7F362DC1CC1CDD31F</v>
      </c>
    </row>
    <row r="5289" spans="3:5" ht="90" x14ac:dyDescent="0.25">
      <c r="C5289" s="15">
        <v>207583</v>
      </c>
      <c r="D5289" s="4" t="s">
        <v>5293</v>
      </c>
      <c r="E5289" s="4" t="str">
        <f>HYPERLINK("https://app.crepc.sk/?fn=detailBiblioForm&amp;sid=D6FCED7F84B4E5B71DDD874076")</f>
        <v>https://app.crepc.sk/?fn=detailBiblioForm&amp;sid=D6FCED7F84B4E5B71DDD874076</v>
      </c>
    </row>
    <row r="5290" spans="3:5" ht="75" x14ac:dyDescent="0.25">
      <c r="C5290" s="15">
        <v>435433</v>
      </c>
      <c r="D5290" s="4" t="s">
        <v>5294</v>
      </c>
      <c r="E5290" s="4" t="str">
        <f>HYPERLINK("https://app.crepc.sk/?fn=detailBiblioForm&amp;sid=DB4CEA49FC08B62DD2FA80D54C")</f>
        <v>https://app.crepc.sk/?fn=detailBiblioForm&amp;sid=DB4CEA49FC08B62DD2FA80D54C</v>
      </c>
    </row>
    <row r="5291" spans="3:5" ht="75" x14ac:dyDescent="0.25">
      <c r="C5291" s="15">
        <v>193048</v>
      </c>
      <c r="D5291" s="4" t="s">
        <v>5295</v>
      </c>
      <c r="E5291" s="4" t="str">
        <f>HYPERLINK("https://app.crepc.sk/?fn=detailBiblioForm&amp;sid=574F2F10DB8DFA9B7132A06CC1")</f>
        <v>https://app.crepc.sk/?fn=detailBiblioForm&amp;sid=574F2F10DB8DFA9B7132A06CC1</v>
      </c>
    </row>
    <row r="5292" spans="3:5" ht="90" x14ac:dyDescent="0.25">
      <c r="C5292" s="15">
        <v>91746</v>
      </c>
      <c r="D5292" s="4" t="s">
        <v>5296</v>
      </c>
      <c r="E5292" s="4" t="str">
        <f>HYPERLINK("https://app.crepc.sk/?fn=detailBiblioForm&amp;sid=7EAECA81A1652D96F41BC485")</f>
        <v>https://app.crepc.sk/?fn=detailBiblioForm&amp;sid=7EAECA81A1652D96F41BC485</v>
      </c>
    </row>
    <row r="5293" spans="3:5" ht="90" x14ac:dyDescent="0.25">
      <c r="C5293" s="15">
        <v>218986</v>
      </c>
      <c r="D5293" s="4" t="s">
        <v>5297</v>
      </c>
      <c r="E5293" s="4" t="str">
        <f>HYPERLINK("https://app.crepc.sk/?fn=detailBiblioForm&amp;sid=26870146E1F58F01902A6F5660")</f>
        <v>https://app.crepc.sk/?fn=detailBiblioForm&amp;sid=26870146E1F58F01902A6F5660</v>
      </c>
    </row>
    <row r="5294" spans="3:5" ht="75" x14ac:dyDescent="0.25">
      <c r="C5294" s="15">
        <v>162277</v>
      </c>
      <c r="D5294" s="4" t="s">
        <v>5298</v>
      </c>
      <c r="E5294" s="4" t="str">
        <f>HYPERLINK("https://app.crepc.sk/?fn=detailBiblioForm&amp;sid=064839694A055E9D160AD03241")</f>
        <v>https://app.crepc.sk/?fn=detailBiblioForm&amp;sid=064839694A055E9D160AD03241</v>
      </c>
    </row>
    <row r="5295" spans="3:5" ht="75" x14ac:dyDescent="0.25">
      <c r="C5295" s="15">
        <v>445536</v>
      </c>
      <c r="D5295" s="4" t="s">
        <v>5299</v>
      </c>
      <c r="E5295" s="4" t="str">
        <f>HYPERLINK("https://app.crepc.sk/?fn=detailBiblioForm&amp;sid=8D2AC4920F73DA82EC116A262A")</f>
        <v>https://app.crepc.sk/?fn=detailBiblioForm&amp;sid=8D2AC4920F73DA82EC116A262A</v>
      </c>
    </row>
    <row r="5296" spans="3:5" ht="150" x14ac:dyDescent="0.25">
      <c r="C5296" s="15">
        <v>133620</v>
      </c>
      <c r="D5296" s="4" t="s">
        <v>5300</v>
      </c>
      <c r="E5296" s="4" t="str">
        <f>HYPERLINK("https://app.crepc.sk/?fn=detailBiblioForm&amp;sid=843FECD318613D3B15ECA125F3")</f>
        <v>https://app.crepc.sk/?fn=detailBiblioForm&amp;sid=843FECD318613D3B15ECA125F3</v>
      </c>
    </row>
    <row r="5297" spans="3:5" ht="90" x14ac:dyDescent="0.25">
      <c r="C5297" s="15">
        <v>315432</v>
      </c>
      <c r="D5297" s="4" t="s">
        <v>5301</v>
      </c>
      <c r="E5297" s="4" t="str">
        <f>HYPERLINK("https://app.crepc.sk/?fn=detailBiblioForm&amp;sid=D6A415B53B85E30B98DF62509B")</f>
        <v>https://app.crepc.sk/?fn=detailBiblioForm&amp;sid=D6A415B53B85E30B98DF62509B</v>
      </c>
    </row>
    <row r="5298" spans="3:5" ht="90" x14ac:dyDescent="0.25">
      <c r="C5298" s="15">
        <v>435132</v>
      </c>
      <c r="D5298" s="4" t="s">
        <v>5302</v>
      </c>
      <c r="E5298" s="4" t="str">
        <f>HYPERLINK("https://app.crepc.sk/?fn=detailBiblioForm&amp;sid=AD8868FB556EBD592C38BB48EF")</f>
        <v>https://app.crepc.sk/?fn=detailBiblioForm&amp;sid=AD8868FB556EBD592C38BB48EF</v>
      </c>
    </row>
    <row r="5299" spans="3:5" ht="90" x14ac:dyDescent="0.25">
      <c r="C5299" s="15">
        <v>125639</v>
      </c>
      <c r="D5299" s="4" t="s">
        <v>5303</v>
      </c>
      <c r="E5299" s="4" t="str">
        <f>HYPERLINK("https://app.crepc.sk/?fn=detailBiblioForm&amp;sid=107B16852C902CE89E6F95D686")</f>
        <v>https://app.crepc.sk/?fn=detailBiblioForm&amp;sid=107B16852C902CE89E6F95D686</v>
      </c>
    </row>
    <row r="5300" spans="3:5" ht="90" x14ac:dyDescent="0.25">
      <c r="C5300" s="15">
        <v>415267</v>
      </c>
      <c r="D5300" s="4" t="s">
        <v>5304</v>
      </c>
      <c r="E5300" s="4" t="str">
        <f>HYPERLINK("https://app.crepc.sk/?fn=detailBiblioForm&amp;sid=4F97C066411C5C0172857AA5ED")</f>
        <v>https://app.crepc.sk/?fn=detailBiblioForm&amp;sid=4F97C066411C5C0172857AA5ED</v>
      </c>
    </row>
    <row r="5301" spans="3:5" ht="75" x14ac:dyDescent="0.25">
      <c r="C5301" s="15">
        <v>114189</v>
      </c>
      <c r="D5301" s="4" t="s">
        <v>5305</v>
      </c>
      <c r="E5301" s="4" t="str">
        <f>HYPERLINK("https://app.crepc.sk/?fn=detailBiblioForm&amp;sid=502CD2BEFE4C860B091118E448")</f>
        <v>https://app.crepc.sk/?fn=detailBiblioForm&amp;sid=502CD2BEFE4C860B091118E448</v>
      </c>
    </row>
    <row r="5302" spans="3:5" ht="90" x14ac:dyDescent="0.25">
      <c r="C5302" s="15">
        <v>219773</v>
      </c>
      <c r="D5302" s="4" t="s">
        <v>5306</v>
      </c>
      <c r="E5302" s="4" t="str">
        <f>HYPERLINK("https://app.crepc.sk/?fn=detailBiblioForm&amp;sid=8507D8D83F66E08A192CD1D393")</f>
        <v>https://app.crepc.sk/?fn=detailBiblioForm&amp;sid=8507D8D83F66E08A192CD1D393</v>
      </c>
    </row>
    <row r="5303" spans="3:5" ht="90" x14ac:dyDescent="0.25">
      <c r="C5303" s="15">
        <v>315829</v>
      </c>
      <c r="D5303" s="4" t="s">
        <v>5307</v>
      </c>
      <c r="E5303" s="4" t="str">
        <f>HYPERLINK("https://app.crepc.sk/?fn=detailBiblioForm&amp;sid=86DD2B30A0B3D5650A10BBCF36")</f>
        <v>https://app.crepc.sk/?fn=detailBiblioForm&amp;sid=86DD2B30A0B3D5650A10BBCF36</v>
      </c>
    </row>
    <row r="5304" spans="3:5" ht="75" x14ac:dyDescent="0.25">
      <c r="C5304" s="15">
        <v>199474</v>
      </c>
      <c r="D5304" s="4" t="s">
        <v>5308</v>
      </c>
      <c r="E5304" s="4" t="str">
        <f>HYPERLINK("https://app.crepc.sk/?fn=detailBiblioForm&amp;sid=93146A2D1CAB818AFA911AF6CB")</f>
        <v>https://app.crepc.sk/?fn=detailBiblioForm&amp;sid=93146A2D1CAB818AFA911AF6CB</v>
      </c>
    </row>
    <row r="5305" spans="3:5" ht="75" x14ac:dyDescent="0.25">
      <c r="C5305" s="15">
        <v>77942</v>
      </c>
      <c r="D5305" s="4" t="s">
        <v>5309</v>
      </c>
      <c r="E5305" s="4" t="str">
        <f>HYPERLINK("https://app.crepc.sk/?fn=detailBiblioForm&amp;sid=A7463652D981220988B5615F")</f>
        <v>https://app.crepc.sk/?fn=detailBiblioForm&amp;sid=A7463652D981220988B5615F</v>
      </c>
    </row>
    <row r="5306" spans="3:5" ht="90" x14ac:dyDescent="0.25">
      <c r="C5306" s="15">
        <v>315447</v>
      </c>
      <c r="D5306" s="4" t="s">
        <v>5310</v>
      </c>
      <c r="E5306" s="4" t="str">
        <f>HYPERLINK("https://app.crepc.sk/?fn=detailBiblioForm&amp;sid=D6A415B53B85E30B9FDA62509B")</f>
        <v>https://app.crepc.sk/?fn=detailBiblioForm&amp;sid=D6A415B53B85E30B9FDA62509B</v>
      </c>
    </row>
    <row r="5307" spans="3:5" ht="75" x14ac:dyDescent="0.25">
      <c r="C5307" s="15">
        <v>216552</v>
      </c>
      <c r="D5307" s="4" t="s">
        <v>5311</v>
      </c>
      <c r="E5307" s="4" t="str">
        <f>HYPERLINK("https://app.crepc.sk/?fn=detailBiblioForm&amp;sid=DB4D8F4994840F8431D5054E4E")</f>
        <v>https://app.crepc.sk/?fn=detailBiblioForm&amp;sid=DB4D8F4994840F8431D5054E4E</v>
      </c>
    </row>
    <row r="5308" spans="3:5" ht="90" x14ac:dyDescent="0.25">
      <c r="C5308" s="15">
        <v>230129</v>
      </c>
      <c r="D5308" s="4" t="s">
        <v>5312</v>
      </c>
      <c r="E5308" s="4" t="str">
        <f>HYPERLINK("https://app.crepc.sk/?fn=detailBiblioForm&amp;sid=49F6F4DB78CA98AD353C31639D")</f>
        <v>https://app.crepc.sk/?fn=detailBiblioForm&amp;sid=49F6F4DB78CA98AD353C31639D</v>
      </c>
    </row>
    <row r="5309" spans="3:5" ht="90" x14ac:dyDescent="0.25">
      <c r="C5309" s="15">
        <v>128397</v>
      </c>
      <c r="D5309" s="4" t="s">
        <v>5313</v>
      </c>
      <c r="E5309" s="4" t="str">
        <f>HYPERLINK("https://app.crepc.sk/?fn=detailBiblioForm&amp;sid=74191DCBA790A6B78ECB426AF5")</f>
        <v>https://app.crepc.sk/?fn=detailBiblioForm&amp;sid=74191DCBA790A6B78ECB426AF5</v>
      </c>
    </row>
    <row r="5310" spans="3:5" ht="90" x14ac:dyDescent="0.25">
      <c r="C5310" s="15">
        <v>123791</v>
      </c>
      <c r="D5310" s="4" t="s">
        <v>5314</v>
      </c>
      <c r="E5310" s="4" t="str">
        <f>HYPERLINK("https://app.crepc.sk/?fn=detailBiblioForm&amp;sid=6AF24C20D77B2492B46280C111")</f>
        <v>https://app.crepc.sk/?fn=detailBiblioForm&amp;sid=6AF24C20D77B2492B46280C111</v>
      </c>
    </row>
    <row r="5311" spans="3:5" ht="105" x14ac:dyDescent="0.25">
      <c r="C5311" s="15">
        <v>441851</v>
      </c>
      <c r="D5311" s="4" t="s">
        <v>5315</v>
      </c>
      <c r="E5311" s="4" t="str">
        <f>HYPERLINK("https://app.crepc.sk/?fn=detailBiblioForm&amp;sid=AE470135EEA362314CDBB5CD43")</f>
        <v>https://app.crepc.sk/?fn=detailBiblioForm&amp;sid=AE470135EEA362314CDBB5CD43</v>
      </c>
    </row>
    <row r="5312" spans="3:5" ht="90" x14ac:dyDescent="0.25">
      <c r="C5312" s="15">
        <v>316014</v>
      </c>
      <c r="D5312" s="4" t="s">
        <v>5316</v>
      </c>
      <c r="E5312" s="4" t="str">
        <f>HYPERLINK("https://app.crepc.sk/?fn=detailBiblioForm&amp;sid=4D9B05127AD9AB96429DE53772")</f>
        <v>https://app.crepc.sk/?fn=detailBiblioForm&amp;sid=4D9B05127AD9AB96429DE53772</v>
      </c>
    </row>
    <row r="5313" spans="3:5" ht="90" x14ac:dyDescent="0.25">
      <c r="C5313" s="15">
        <v>433321</v>
      </c>
      <c r="D5313" s="4" t="s">
        <v>5317</v>
      </c>
      <c r="E5313" s="4" t="str">
        <f>HYPERLINK("https://app.crepc.sk/?fn=detailBiblioForm&amp;sid=E96E6EA66B9B1358766074684F")</f>
        <v>https://app.crepc.sk/?fn=detailBiblioForm&amp;sid=E96E6EA66B9B1358766074684F</v>
      </c>
    </row>
    <row r="5314" spans="3:5" ht="90" x14ac:dyDescent="0.25">
      <c r="C5314" s="15">
        <v>449557</v>
      </c>
      <c r="D5314" s="4" t="s">
        <v>5318</v>
      </c>
      <c r="E5314" s="4" t="str">
        <f>HYPERLINK("https://app.crepc.sk/?fn=detailBiblioForm&amp;sid=BD225944E7E3AB4023AFE2D004")</f>
        <v>https://app.crepc.sk/?fn=detailBiblioForm&amp;sid=BD225944E7E3AB4023AFE2D004</v>
      </c>
    </row>
    <row r="5315" spans="3:5" ht="105" x14ac:dyDescent="0.25">
      <c r="C5315" s="15">
        <v>430746</v>
      </c>
      <c r="D5315" s="4" t="s">
        <v>5319</v>
      </c>
      <c r="E5315" s="4" t="str">
        <f>HYPERLINK("https://app.crepc.sk/?fn=detailBiblioForm&amp;sid=589F18BBC5A86022D736B181DA")</f>
        <v>https://app.crepc.sk/?fn=detailBiblioForm&amp;sid=589F18BBC5A86022D736B181DA</v>
      </c>
    </row>
    <row r="5316" spans="3:5" ht="75" x14ac:dyDescent="0.25">
      <c r="C5316" s="15">
        <v>432413</v>
      </c>
      <c r="D5316" s="4" t="s">
        <v>5320</v>
      </c>
      <c r="E5316" s="4" t="str">
        <f>HYPERLINK("https://app.crepc.sk/?fn=detailBiblioForm&amp;sid=9C6DDAD5CC83289CB54CCA964C")</f>
        <v>https://app.crepc.sk/?fn=detailBiblioForm&amp;sid=9C6DDAD5CC83289CB54CCA964C</v>
      </c>
    </row>
    <row r="5317" spans="3:5" ht="75" x14ac:dyDescent="0.25">
      <c r="C5317" s="15">
        <v>146011</v>
      </c>
      <c r="D5317" s="4" t="s">
        <v>5321</v>
      </c>
      <c r="E5317" s="4" t="str">
        <f>HYPERLINK("https://app.crepc.sk/?fn=detailBiblioForm&amp;sid=6F91D8ED6CD6362D912E31705F")</f>
        <v>https://app.crepc.sk/?fn=detailBiblioForm&amp;sid=6F91D8ED6CD6362D912E31705F</v>
      </c>
    </row>
    <row r="5318" spans="3:5" ht="90" x14ac:dyDescent="0.25">
      <c r="C5318" s="15">
        <v>419341</v>
      </c>
      <c r="D5318" s="4" t="s">
        <v>5322</v>
      </c>
      <c r="E5318" s="4" t="str">
        <f>HYPERLINK("https://app.crepc.sk/?fn=detailBiblioForm&amp;sid=D0B86A6C889D400A99B166C23A")</f>
        <v>https://app.crepc.sk/?fn=detailBiblioForm&amp;sid=D0B86A6C889D400A99B166C23A</v>
      </c>
    </row>
    <row r="5319" spans="3:5" ht="75" x14ac:dyDescent="0.25">
      <c r="C5319" s="15">
        <v>128419</v>
      </c>
      <c r="D5319" s="4" t="s">
        <v>5323</v>
      </c>
      <c r="E5319" s="4" t="str">
        <f>HYPERLINK("https://app.crepc.sk/?fn=detailBiblioForm&amp;sid=585F9F27CC7F4CBF0D374263E3")</f>
        <v>https://app.crepc.sk/?fn=detailBiblioForm&amp;sid=585F9F27CC7F4CBF0D374263E3</v>
      </c>
    </row>
    <row r="5320" spans="3:5" ht="90" x14ac:dyDescent="0.25">
      <c r="C5320" s="15">
        <v>161723</v>
      </c>
      <c r="D5320" s="4" t="s">
        <v>5324</v>
      </c>
      <c r="E5320" s="4" t="str">
        <f>HYPERLINK("https://app.crepc.sk/?fn=detailBiblioForm&amp;sid=BCA102CB6C4CA54D4EECC863D9")</f>
        <v>https://app.crepc.sk/?fn=detailBiblioForm&amp;sid=BCA102CB6C4CA54D4EECC863D9</v>
      </c>
    </row>
    <row r="5321" spans="3:5" ht="90" x14ac:dyDescent="0.25">
      <c r="C5321" s="15">
        <v>60008</v>
      </c>
      <c r="D5321" s="4" t="s">
        <v>5325</v>
      </c>
      <c r="E5321" s="4" t="str">
        <f>HYPERLINK("https://app.crepc.sk/?fn=detailBiblioForm&amp;sid=13F3F23C6DBAB14EEAC10E2A")</f>
        <v>https://app.crepc.sk/?fn=detailBiblioForm&amp;sid=13F3F23C6DBAB14EEAC10E2A</v>
      </c>
    </row>
    <row r="5322" spans="3:5" ht="90" x14ac:dyDescent="0.25">
      <c r="C5322" s="15">
        <v>422865</v>
      </c>
      <c r="D5322" s="4" t="s">
        <v>5326</v>
      </c>
      <c r="E5322" s="4" t="str">
        <f>HYPERLINK("https://app.crepc.sk/?fn=detailBiblioForm&amp;sid=06AF89090F4EB554663D97E54C")</f>
        <v>https://app.crepc.sk/?fn=detailBiblioForm&amp;sid=06AF89090F4EB554663D97E54C</v>
      </c>
    </row>
    <row r="5323" spans="3:5" ht="90" x14ac:dyDescent="0.25">
      <c r="C5323" s="15">
        <v>218051</v>
      </c>
      <c r="D5323" s="4" t="s">
        <v>5327</v>
      </c>
      <c r="E5323" s="4" t="str">
        <f>HYPERLINK("https://app.crepc.sk/?fn=detailBiblioForm&amp;sid=B4AE1C6FCFC18FC5C2ADC31CB6")</f>
        <v>https://app.crepc.sk/?fn=detailBiblioForm&amp;sid=B4AE1C6FCFC18FC5C2ADC31CB6</v>
      </c>
    </row>
    <row r="5324" spans="3:5" ht="105" x14ac:dyDescent="0.25">
      <c r="C5324" s="15">
        <v>417106</v>
      </c>
      <c r="D5324" s="4" t="s">
        <v>5328</v>
      </c>
      <c r="E5324" s="4" t="str">
        <f>HYPERLINK("https://app.crepc.sk/?fn=detailBiblioForm&amp;sid=484E2EBFF53C2A5B7157CC1D5A")</f>
        <v>https://app.crepc.sk/?fn=detailBiblioForm&amp;sid=484E2EBFF53C2A5B7157CC1D5A</v>
      </c>
    </row>
    <row r="5325" spans="3:5" ht="105" x14ac:dyDescent="0.25">
      <c r="C5325" s="15">
        <v>59453</v>
      </c>
      <c r="D5325" s="4" t="s">
        <v>5329</v>
      </c>
      <c r="E5325" s="4" t="str">
        <f>HYPERLINK("https://app.crepc.sk/?fn=detailBiblioForm&amp;sid=76B39305F4E8A4BC214C37F6")</f>
        <v>https://app.crepc.sk/?fn=detailBiblioForm&amp;sid=76B39305F4E8A4BC214C37F6</v>
      </c>
    </row>
    <row r="5326" spans="3:5" ht="75" x14ac:dyDescent="0.25">
      <c r="C5326" s="15">
        <v>314154</v>
      </c>
      <c r="D5326" s="4" t="s">
        <v>5330</v>
      </c>
      <c r="E5326" s="4" t="str">
        <f>HYPERLINK("https://app.crepc.sk/?fn=detailBiblioForm&amp;sid=C11437276931E1270B3719387C")</f>
        <v>https://app.crepc.sk/?fn=detailBiblioForm&amp;sid=C11437276931E1270B3719387C</v>
      </c>
    </row>
    <row r="5327" spans="3:5" ht="75" x14ac:dyDescent="0.25">
      <c r="C5327" s="15">
        <v>461438</v>
      </c>
      <c r="D5327" s="4" t="s">
        <v>5331</v>
      </c>
      <c r="E5327" s="4" t="str">
        <f>HYPERLINK("https://app.crepc.sk/?fn=detailBiblioForm&amp;sid=282A8926082B6C1757688FD4D6")</f>
        <v>https://app.crepc.sk/?fn=detailBiblioForm&amp;sid=282A8926082B6C1757688FD4D6</v>
      </c>
    </row>
    <row r="5328" spans="3:5" ht="120" x14ac:dyDescent="0.25">
      <c r="C5328" s="15">
        <v>54544</v>
      </c>
      <c r="D5328" s="4" t="s">
        <v>5332</v>
      </c>
      <c r="E5328" s="4" t="str">
        <f>HYPERLINK("https://app.crepc.sk/?fn=detailBiblioForm&amp;sid=EB921CE2754869BF228B77AC")</f>
        <v>https://app.crepc.sk/?fn=detailBiblioForm&amp;sid=EB921CE2754869BF228B77AC</v>
      </c>
    </row>
    <row r="5329" spans="3:5" ht="105" x14ac:dyDescent="0.25">
      <c r="C5329" s="15">
        <v>74156</v>
      </c>
      <c r="D5329" s="4" t="s">
        <v>5333</v>
      </c>
      <c r="E5329" s="4" t="str">
        <f>HYPERLINK("https://app.crepc.sk/?fn=detailBiblioForm&amp;sid=06AE17B890D172DAA2E115FC")</f>
        <v>https://app.crepc.sk/?fn=detailBiblioForm&amp;sid=06AE17B890D172DAA2E115FC</v>
      </c>
    </row>
    <row r="5330" spans="3:5" ht="105" x14ac:dyDescent="0.25">
      <c r="C5330" s="15">
        <v>59458</v>
      </c>
      <c r="D5330" s="4" t="s">
        <v>5334</v>
      </c>
      <c r="E5330" s="4" t="str">
        <f>HYPERLINK("https://app.crepc.sk/?fn=detailBiblioForm&amp;sid=76B39305F4E8A4BC2A4C37F6")</f>
        <v>https://app.crepc.sk/?fn=detailBiblioForm&amp;sid=76B39305F4E8A4BC2A4C37F6</v>
      </c>
    </row>
    <row r="5331" spans="3:5" ht="105" x14ac:dyDescent="0.25">
      <c r="C5331" s="15">
        <v>109211</v>
      </c>
      <c r="D5331" s="4" t="s">
        <v>5335</v>
      </c>
      <c r="E5331" s="4" t="str">
        <f>HYPERLINK("https://app.crepc.sk/?fn=detailBiblioForm&amp;sid=8BF4547C8C01069940FD73CE7A")</f>
        <v>https://app.crepc.sk/?fn=detailBiblioForm&amp;sid=8BF4547C8C01069940FD73CE7A</v>
      </c>
    </row>
    <row r="5332" spans="3:5" ht="120" x14ac:dyDescent="0.25">
      <c r="C5332" s="15">
        <v>136475</v>
      </c>
      <c r="D5332" s="4" t="s">
        <v>5336</v>
      </c>
      <c r="E5332" s="4" t="str">
        <f>HYPERLINK("https://app.crepc.sk/?fn=detailBiblioForm&amp;sid=B6A4D7332C46D305BF4917FF25")</f>
        <v>https://app.crepc.sk/?fn=detailBiblioForm&amp;sid=B6A4D7332C46D305BF4917FF25</v>
      </c>
    </row>
    <row r="5333" spans="3:5" ht="90" x14ac:dyDescent="0.25">
      <c r="C5333" s="15">
        <v>137996</v>
      </c>
      <c r="D5333" s="4" t="s">
        <v>5337</v>
      </c>
      <c r="E5333" s="4" t="str">
        <f>HYPERLINK("https://app.crepc.sk/?fn=detailBiblioForm&amp;sid=8922FF609D62574E824F3E73A4")</f>
        <v>https://app.crepc.sk/?fn=detailBiblioForm&amp;sid=8922FF609D62574E824F3E73A4</v>
      </c>
    </row>
    <row r="5334" spans="3:5" ht="90" x14ac:dyDescent="0.25">
      <c r="C5334" s="15">
        <v>222185</v>
      </c>
      <c r="D5334" s="4" t="s">
        <v>5338</v>
      </c>
      <c r="E5334" s="4" t="str">
        <f>HYPERLINK("https://app.crepc.sk/?fn=detailBiblioForm&amp;sid=E8E9ABE8FCE661A0539F06B5A6")</f>
        <v>https://app.crepc.sk/?fn=detailBiblioForm&amp;sid=E8E9ABE8FCE661A0539F06B5A6</v>
      </c>
    </row>
    <row r="5335" spans="3:5" ht="90" x14ac:dyDescent="0.25">
      <c r="C5335" s="15">
        <v>199552</v>
      </c>
      <c r="D5335" s="4" t="s">
        <v>5339</v>
      </c>
      <c r="E5335" s="4" t="str">
        <f>HYPERLINK("https://app.crepc.sk/?fn=detailBiblioForm&amp;sid=A69BB456D5707EC04EC037E750")</f>
        <v>https://app.crepc.sk/?fn=detailBiblioForm&amp;sid=A69BB456D5707EC04EC037E750</v>
      </c>
    </row>
    <row r="5336" spans="3:5" ht="90" x14ac:dyDescent="0.25">
      <c r="C5336" s="15">
        <v>222615</v>
      </c>
      <c r="D5336" s="4" t="s">
        <v>5340</v>
      </c>
      <c r="E5336" s="4" t="str">
        <f>HYPERLINK("https://app.crepc.sk/?fn=detailBiblioForm&amp;sid=3F01FB0C07942354A866F95480")</f>
        <v>https://app.crepc.sk/?fn=detailBiblioForm&amp;sid=3F01FB0C07942354A866F95480</v>
      </c>
    </row>
    <row r="5337" spans="3:5" ht="90" x14ac:dyDescent="0.25">
      <c r="C5337" s="15">
        <v>240923</v>
      </c>
      <c r="D5337" s="4" t="s">
        <v>5341</v>
      </c>
      <c r="E5337" s="4" t="str">
        <f>HYPERLINK("https://app.crepc.sk/?fn=detailBiblioForm&amp;sid=3ACC279A5B4974C1F6372D23E9")</f>
        <v>https://app.crepc.sk/?fn=detailBiblioForm&amp;sid=3ACC279A5B4974C1F6372D23E9</v>
      </c>
    </row>
    <row r="5338" spans="3:5" ht="75" x14ac:dyDescent="0.25">
      <c r="C5338" s="15">
        <v>445697</v>
      </c>
      <c r="D5338" s="4" t="s">
        <v>5342</v>
      </c>
      <c r="E5338" s="4" t="str">
        <f>HYPERLINK("https://app.crepc.sk/?fn=detailBiblioForm&amp;sid=60380272C77F60D1CE6ADEDEAB")</f>
        <v>https://app.crepc.sk/?fn=detailBiblioForm&amp;sid=60380272C77F60D1CE6ADEDEAB</v>
      </c>
    </row>
    <row r="5339" spans="3:5" ht="120" x14ac:dyDescent="0.25">
      <c r="C5339" s="15">
        <v>315466</v>
      </c>
      <c r="D5339" s="4" t="s">
        <v>5343</v>
      </c>
      <c r="E5339" s="4" t="str">
        <f>HYPERLINK("https://app.crepc.sk/?fn=detailBiblioForm&amp;sid=D6A415B53B85E30B9DDB62509B")</f>
        <v>https://app.crepc.sk/?fn=detailBiblioForm&amp;sid=D6A415B53B85E30B9DDB62509B</v>
      </c>
    </row>
    <row r="5340" spans="3:5" ht="75" x14ac:dyDescent="0.25">
      <c r="C5340" s="15">
        <v>238855</v>
      </c>
      <c r="D5340" s="4" t="s">
        <v>5344</v>
      </c>
      <c r="E5340" s="4" t="str">
        <f>HYPERLINK("https://app.crepc.sk/?fn=detailBiblioForm&amp;sid=915A7E33B87642DE0B5F65B836")</f>
        <v>https://app.crepc.sk/?fn=detailBiblioForm&amp;sid=915A7E33B87642DE0B5F65B836</v>
      </c>
    </row>
    <row r="5341" spans="3:5" ht="105" x14ac:dyDescent="0.25">
      <c r="C5341" s="15">
        <v>91289</v>
      </c>
      <c r="D5341" s="4" t="s">
        <v>5345</v>
      </c>
      <c r="E5341" s="4" t="str">
        <f>HYPERLINK("https://app.crepc.sk/?fn=detailBiblioForm&amp;sid=F17804D109554EE709BB3034")</f>
        <v>https://app.crepc.sk/?fn=detailBiblioForm&amp;sid=F17804D109554EE709BB3034</v>
      </c>
    </row>
    <row r="5342" spans="3:5" ht="90" x14ac:dyDescent="0.25">
      <c r="C5342" s="15">
        <v>166082</v>
      </c>
      <c r="D5342" s="4" t="s">
        <v>5346</v>
      </c>
      <c r="E5342" s="4" t="str">
        <f>HYPERLINK("https://app.crepc.sk/?fn=detailBiblioForm&amp;sid=AFB64E0160B4F4E92E4DBB898C")</f>
        <v>https://app.crepc.sk/?fn=detailBiblioForm&amp;sid=AFB64E0160B4F4E92E4DBB898C</v>
      </c>
    </row>
    <row r="5343" spans="3:5" ht="105" x14ac:dyDescent="0.25">
      <c r="C5343" s="15">
        <v>419363</v>
      </c>
      <c r="D5343" s="4" t="s">
        <v>5347</v>
      </c>
      <c r="E5343" s="4" t="str">
        <f>HYPERLINK("https://app.crepc.sk/?fn=detailBiblioForm&amp;sid=D0B86A6C889D400A9BB366C23A")</f>
        <v>https://app.crepc.sk/?fn=detailBiblioForm&amp;sid=D0B86A6C889D400A9BB366C23A</v>
      </c>
    </row>
    <row r="5344" spans="3:5" ht="105" x14ac:dyDescent="0.25">
      <c r="C5344" s="15">
        <v>213955</v>
      </c>
      <c r="D5344" s="4" t="s">
        <v>5348</v>
      </c>
      <c r="E5344" s="4" t="str">
        <f>HYPERLINK("https://app.crepc.sk/?fn=detailBiblioForm&amp;sid=5C150E32B6874145FC18418AD1")</f>
        <v>https://app.crepc.sk/?fn=detailBiblioForm&amp;sid=5C150E32B6874145FC18418AD1</v>
      </c>
    </row>
    <row r="5345" spans="3:5" ht="75" x14ac:dyDescent="0.25">
      <c r="C5345" s="15">
        <v>430725</v>
      </c>
      <c r="D5345" s="4" t="s">
        <v>5349</v>
      </c>
      <c r="E5345" s="4" t="str">
        <f>HYPERLINK("https://app.crepc.sk/?fn=detailBiblioForm&amp;sid=589F18BBC5A86022D135B181DA")</f>
        <v>https://app.crepc.sk/?fn=detailBiblioForm&amp;sid=589F18BBC5A86022D135B181DA</v>
      </c>
    </row>
    <row r="5346" spans="3:5" ht="90" x14ac:dyDescent="0.25">
      <c r="C5346" s="15">
        <v>138063</v>
      </c>
      <c r="D5346" s="4" t="s">
        <v>5350</v>
      </c>
      <c r="E5346" s="4" t="str">
        <f>HYPERLINK("https://app.crepc.sk/?fn=detailBiblioForm&amp;sid=D9FD61DACB535D159D5C547F0C")</f>
        <v>https://app.crepc.sk/?fn=detailBiblioForm&amp;sid=D9FD61DACB535D159D5C547F0C</v>
      </c>
    </row>
    <row r="5347" spans="3:5" ht="90" x14ac:dyDescent="0.25">
      <c r="C5347" s="15">
        <v>217534</v>
      </c>
      <c r="D5347" s="4" t="s">
        <v>5351</v>
      </c>
      <c r="E5347" s="4" t="str">
        <f>HYPERLINK("https://app.crepc.sk/?fn=detailBiblioForm&amp;sid=452F3B911AFBF2A94154792B4D")</f>
        <v>https://app.crepc.sk/?fn=detailBiblioForm&amp;sid=452F3B911AFBF2A94154792B4D</v>
      </c>
    </row>
    <row r="5348" spans="3:5" ht="60" x14ac:dyDescent="0.25">
      <c r="C5348" s="15">
        <v>91464</v>
      </c>
      <c r="D5348" s="4" t="s">
        <v>5352</v>
      </c>
      <c r="E5348" s="4" t="str">
        <f>HYPERLINK("https://app.crepc.sk/?fn=detailBiblioForm&amp;sid=F9CE0C74392113DA8642E288")</f>
        <v>https://app.crepc.sk/?fn=detailBiblioForm&amp;sid=F9CE0C74392113DA8642E288</v>
      </c>
    </row>
    <row r="5349" spans="3:5" ht="90" x14ac:dyDescent="0.25">
      <c r="C5349" s="15">
        <v>57177</v>
      </c>
      <c r="D5349" s="4" t="s">
        <v>5353</v>
      </c>
      <c r="E5349" s="4" t="str">
        <f>HYPERLINK("https://app.crepc.sk/?fn=detailBiblioForm&amp;sid=413F7CC75A7413EB4B13FB99")</f>
        <v>https://app.crepc.sk/?fn=detailBiblioForm&amp;sid=413F7CC75A7413EB4B13FB99</v>
      </c>
    </row>
    <row r="5350" spans="3:5" ht="90" x14ac:dyDescent="0.25">
      <c r="C5350" s="15">
        <v>86867</v>
      </c>
      <c r="D5350" s="4" t="s">
        <v>5354</v>
      </c>
      <c r="E5350" s="4" t="str">
        <f>HYPERLINK("https://app.crepc.sk/?fn=detailBiblioForm&amp;sid=EF896F5CAA621E5981881BD5")</f>
        <v>https://app.crepc.sk/?fn=detailBiblioForm&amp;sid=EF896F5CAA621E5981881BD5</v>
      </c>
    </row>
    <row r="5351" spans="3:5" ht="105" x14ac:dyDescent="0.25">
      <c r="C5351" s="15">
        <v>59493</v>
      </c>
      <c r="D5351" s="4" t="s">
        <v>5355</v>
      </c>
      <c r="E5351" s="4" t="str">
        <f>HYPERLINK("https://app.crepc.sk/?fn=detailBiblioForm&amp;sid=E9E4E151FC60D1F7982CA942")</f>
        <v>https://app.crepc.sk/?fn=detailBiblioForm&amp;sid=E9E4E151FC60D1F7982CA942</v>
      </c>
    </row>
    <row r="5352" spans="3:5" ht="105" x14ac:dyDescent="0.25">
      <c r="C5352" s="15">
        <v>247767</v>
      </c>
      <c r="D5352" s="4" t="s">
        <v>5356</v>
      </c>
      <c r="E5352" s="4" t="str">
        <f>HYPERLINK("https://app.crepc.sk/?fn=detailBiblioForm&amp;sid=0513B7D85360F049359ADEF806")</f>
        <v>https://app.crepc.sk/?fn=detailBiblioForm&amp;sid=0513B7D85360F049359ADEF806</v>
      </c>
    </row>
    <row r="5353" spans="3:5" ht="135" x14ac:dyDescent="0.25">
      <c r="C5353" s="15">
        <v>117433</v>
      </c>
      <c r="D5353" s="4" t="s">
        <v>5357</v>
      </c>
      <c r="E5353" s="4" t="str">
        <f>HYPERLINK("https://app.crepc.sk/?fn=detailBiblioForm&amp;sid=43C9917007CDA3B7D05F6DB67E")</f>
        <v>https://app.crepc.sk/?fn=detailBiblioForm&amp;sid=43C9917007CDA3B7D05F6DB67E</v>
      </c>
    </row>
    <row r="5354" spans="3:5" ht="75" x14ac:dyDescent="0.25">
      <c r="C5354" s="15">
        <v>188673</v>
      </c>
      <c r="D5354" s="4" t="s">
        <v>5358</v>
      </c>
      <c r="E5354" s="4" t="str">
        <f>HYPERLINK("https://app.crepc.sk/?fn=detailBiblioForm&amp;sid=2F8E8707233717E99EDFD5B21D")</f>
        <v>https://app.crepc.sk/?fn=detailBiblioForm&amp;sid=2F8E8707233717E99EDFD5B21D</v>
      </c>
    </row>
    <row r="5355" spans="3:5" ht="75" x14ac:dyDescent="0.25">
      <c r="C5355" s="15">
        <v>138044</v>
      </c>
      <c r="D5355" s="4" t="s">
        <v>5359</v>
      </c>
      <c r="E5355" s="4" t="str">
        <f>HYPERLINK("https://app.crepc.sk/?fn=detailBiblioForm&amp;sid=D9FD61DACB535D159F5B547F0C")</f>
        <v>https://app.crepc.sk/?fn=detailBiblioForm&amp;sid=D9FD61DACB535D159F5B547F0C</v>
      </c>
    </row>
    <row r="5356" spans="3:5" ht="105" x14ac:dyDescent="0.25">
      <c r="C5356" s="15">
        <v>205323</v>
      </c>
      <c r="D5356" s="4" t="s">
        <v>5360</v>
      </c>
      <c r="E5356" s="4" t="str">
        <f>HYPERLINK("https://app.crepc.sk/?fn=detailBiblioForm&amp;sid=E9C3436983E65A172586933C2B")</f>
        <v>https://app.crepc.sk/?fn=detailBiblioForm&amp;sid=E9C3436983E65A172586933C2B</v>
      </c>
    </row>
    <row r="5357" spans="3:5" ht="90" x14ac:dyDescent="0.25">
      <c r="C5357" s="15">
        <v>250926</v>
      </c>
      <c r="D5357" s="4" t="s">
        <v>5361</v>
      </c>
      <c r="E5357" s="4" t="str">
        <f>HYPERLINK("https://app.crepc.sk/?fn=detailBiblioForm&amp;sid=34C65924D82E7788E3BC9D7952")</f>
        <v>https://app.crepc.sk/?fn=detailBiblioForm&amp;sid=34C65924D82E7788E3BC9D7952</v>
      </c>
    </row>
    <row r="5358" spans="3:5" ht="105" x14ac:dyDescent="0.25">
      <c r="C5358" s="15">
        <v>250928</v>
      </c>
      <c r="D5358" s="4" t="s">
        <v>5362</v>
      </c>
      <c r="E5358" s="4" t="str">
        <f>HYPERLINK("https://app.crepc.sk/?fn=detailBiblioForm&amp;sid=34C65924D82E7788E3B29D7952")</f>
        <v>https://app.crepc.sk/?fn=detailBiblioForm&amp;sid=34C65924D82E7788E3B29D7952</v>
      </c>
    </row>
    <row r="5359" spans="3:5" ht="75" x14ac:dyDescent="0.25">
      <c r="C5359" s="15">
        <v>88271</v>
      </c>
      <c r="D5359" s="4" t="s">
        <v>5363</v>
      </c>
      <c r="E5359" s="4" t="str">
        <f>HYPERLINK("https://app.crepc.sk/?fn=detailBiblioForm&amp;sid=8DAF1B3C6D71D05B01C5A1D0")</f>
        <v>https://app.crepc.sk/?fn=detailBiblioForm&amp;sid=8DAF1B3C6D71D05B01C5A1D0</v>
      </c>
    </row>
    <row r="5360" spans="3:5" ht="135" x14ac:dyDescent="0.25">
      <c r="C5360" s="15">
        <v>133598</v>
      </c>
      <c r="D5360" s="4" t="s">
        <v>5364</v>
      </c>
      <c r="E5360" s="4" t="str">
        <f>HYPERLINK("https://app.crepc.sk/?fn=detailBiblioForm&amp;sid=4A57AF3C5B51A495B309254F65")</f>
        <v>https://app.crepc.sk/?fn=detailBiblioForm&amp;sid=4A57AF3C5B51A495B309254F65</v>
      </c>
    </row>
    <row r="5361" spans="3:5" ht="90" x14ac:dyDescent="0.25">
      <c r="C5361" s="15">
        <v>70690</v>
      </c>
      <c r="D5361" s="4" t="s">
        <v>5365</v>
      </c>
      <c r="E5361" s="4" t="str">
        <f>HYPERLINK("https://app.crepc.sk/?fn=detailBiblioForm&amp;sid=E453776C19728F2BA156897D")</f>
        <v>https://app.crepc.sk/?fn=detailBiblioForm&amp;sid=E453776C19728F2BA156897D</v>
      </c>
    </row>
    <row r="5362" spans="3:5" ht="75" x14ac:dyDescent="0.25">
      <c r="C5362" s="15">
        <v>255855</v>
      </c>
      <c r="D5362" s="4" t="s">
        <v>5366</v>
      </c>
      <c r="E5362" s="4" t="str">
        <f>HYPERLINK("https://app.crepc.sk/?fn=detailBiblioForm&amp;sid=B0B81F2AF3D38590F70960A9A6")</f>
        <v>https://app.crepc.sk/?fn=detailBiblioForm&amp;sid=B0B81F2AF3D38590F70960A9A6</v>
      </c>
    </row>
    <row r="5363" spans="3:5" ht="75" x14ac:dyDescent="0.25">
      <c r="C5363" s="15">
        <v>120366</v>
      </c>
      <c r="D5363" s="4" t="s">
        <v>5367</v>
      </c>
      <c r="E5363" s="4" t="str">
        <f>HYPERLINK("https://app.crepc.sk/?fn=detailBiblioForm&amp;sid=7C8EC80C674BD33D42AB6DBADF")</f>
        <v>https://app.crepc.sk/?fn=detailBiblioForm&amp;sid=7C8EC80C674BD33D42AB6DBADF</v>
      </c>
    </row>
    <row r="5364" spans="3:5" ht="90" x14ac:dyDescent="0.25">
      <c r="C5364" s="15">
        <v>62577</v>
      </c>
      <c r="D5364" s="4" t="s">
        <v>5368</v>
      </c>
      <c r="E5364" s="4" t="str">
        <f>HYPERLINK("https://app.crepc.sk/?fn=detailBiblioForm&amp;sid=07E6CBBE672EFFC60EEE0B17")</f>
        <v>https://app.crepc.sk/?fn=detailBiblioForm&amp;sid=07E6CBBE672EFFC60EEE0B17</v>
      </c>
    </row>
    <row r="5365" spans="3:5" ht="105" x14ac:dyDescent="0.25">
      <c r="C5365" s="15">
        <v>317838</v>
      </c>
      <c r="D5365" s="4" t="s">
        <v>5369</v>
      </c>
      <c r="E5365" s="4" t="str">
        <f>HYPERLINK("https://app.crepc.sk/?fn=detailBiblioForm&amp;sid=16DCB3C1E3D673D867D618F93B")</f>
        <v>https://app.crepc.sk/?fn=detailBiblioForm&amp;sid=16DCB3C1E3D673D867D618F93B</v>
      </c>
    </row>
    <row r="5366" spans="3:5" ht="75" x14ac:dyDescent="0.25">
      <c r="C5366" s="15">
        <v>118482</v>
      </c>
      <c r="D5366" s="4" t="s">
        <v>5370</v>
      </c>
      <c r="E5366" s="4" t="str">
        <f>HYPERLINK("https://app.crepc.sk/?fn=detailBiblioForm&amp;sid=8F9B8B9196C1A43A6C348E462A")</f>
        <v>https://app.crepc.sk/?fn=detailBiblioForm&amp;sid=8F9B8B9196C1A43A6C348E462A</v>
      </c>
    </row>
    <row r="5367" spans="3:5" ht="60" x14ac:dyDescent="0.25">
      <c r="C5367" s="15">
        <v>311179</v>
      </c>
      <c r="D5367" s="4" t="s">
        <v>5371</v>
      </c>
      <c r="E5367" s="4" t="str">
        <f>HYPERLINK("https://app.crepc.sk/?fn=detailBiblioForm&amp;sid=EDC641B86B12B5F85E4FD27856")</f>
        <v>https://app.crepc.sk/?fn=detailBiblioForm&amp;sid=EDC641B86B12B5F85E4FD27856</v>
      </c>
    </row>
    <row r="5368" spans="3:5" ht="90" x14ac:dyDescent="0.25">
      <c r="C5368" s="15">
        <v>230975</v>
      </c>
      <c r="D5368" s="4" t="s">
        <v>5372</v>
      </c>
      <c r="E5368" s="4" t="str">
        <f>HYPERLINK("https://app.crepc.sk/?fn=detailBiblioForm&amp;sid=2B17DFAD060151C2879A6EC811")</f>
        <v>https://app.crepc.sk/?fn=detailBiblioForm&amp;sid=2B17DFAD060151C2879A6EC811</v>
      </c>
    </row>
    <row r="5369" spans="3:5" ht="90" x14ac:dyDescent="0.25">
      <c r="C5369" s="15">
        <v>180552</v>
      </c>
      <c r="D5369" s="4" t="s">
        <v>5373</v>
      </c>
      <c r="E5369" s="4" t="str">
        <f>HYPERLINK("https://app.crepc.sk/?fn=detailBiblioForm&amp;sid=F33BEAA28AB422A4F11C03D707")</f>
        <v>https://app.crepc.sk/?fn=detailBiblioForm&amp;sid=F33BEAA28AB422A4F11C03D707</v>
      </c>
    </row>
    <row r="5370" spans="3:5" ht="75" x14ac:dyDescent="0.25">
      <c r="C5370" s="15">
        <v>118526</v>
      </c>
      <c r="D5370" s="4" t="s">
        <v>5374</v>
      </c>
      <c r="E5370" s="4" t="str">
        <f>HYPERLINK("https://app.crepc.sk/?fn=detailBiblioForm&amp;sid=5E5121F04DA708F8C1C578AA89")</f>
        <v>https://app.crepc.sk/?fn=detailBiblioForm&amp;sid=5E5121F04DA708F8C1C578AA89</v>
      </c>
    </row>
    <row r="5371" spans="3:5" ht="90" x14ac:dyDescent="0.25">
      <c r="C5371" s="15">
        <v>435060</v>
      </c>
      <c r="D5371" s="4" t="s">
        <v>5375</v>
      </c>
      <c r="E5371" s="4" t="str">
        <f>HYPERLINK("https://app.crepc.sk/?fn=detailBiblioForm&amp;sid=7FF736DFDCBB5D5028E466BAB8")</f>
        <v>https://app.crepc.sk/?fn=detailBiblioForm&amp;sid=7FF736DFDCBB5D5028E466BAB8</v>
      </c>
    </row>
    <row r="5372" spans="3:5" ht="90" x14ac:dyDescent="0.25">
      <c r="C5372" s="15">
        <v>186905</v>
      </c>
      <c r="D5372" s="4" t="s">
        <v>5376</v>
      </c>
      <c r="E5372" s="4" t="str">
        <f>HYPERLINK("https://app.crepc.sk/?fn=detailBiblioForm&amp;sid=9EB7DDC054CB7EBFE377B5FCE5")</f>
        <v>https://app.crepc.sk/?fn=detailBiblioForm&amp;sid=9EB7DDC054CB7EBFE377B5FCE5</v>
      </c>
    </row>
    <row r="5373" spans="3:5" ht="75" x14ac:dyDescent="0.25">
      <c r="C5373" s="15">
        <v>446960</v>
      </c>
      <c r="D5373" s="4" t="s">
        <v>5377</v>
      </c>
      <c r="E5373" s="4" t="str">
        <f>HYPERLINK("https://app.crepc.sk/?fn=detailBiblioForm&amp;sid=7D0E99783D71B1037F1DEB67B7")</f>
        <v>https://app.crepc.sk/?fn=detailBiblioForm&amp;sid=7D0E99783D71B1037F1DEB67B7</v>
      </c>
    </row>
    <row r="5374" spans="3:5" ht="105" x14ac:dyDescent="0.25">
      <c r="C5374" s="15">
        <v>226591</v>
      </c>
      <c r="D5374" s="4" t="s">
        <v>5378</v>
      </c>
      <c r="E5374" s="4" t="str">
        <f>HYPERLINK("https://app.crepc.sk/?fn=detailBiblioForm&amp;sid=1A96CD219DD6F1D8F45A31CBF0")</f>
        <v>https://app.crepc.sk/?fn=detailBiblioForm&amp;sid=1A96CD219DD6F1D8F45A31CBF0</v>
      </c>
    </row>
    <row r="5375" spans="3:5" ht="90" x14ac:dyDescent="0.25">
      <c r="C5375" s="15">
        <v>180069</v>
      </c>
      <c r="D5375" s="4" t="s">
        <v>5379</v>
      </c>
      <c r="E5375" s="4" t="str">
        <f>HYPERLINK("https://app.crepc.sk/?fn=detailBiblioForm&amp;sid=B4B27B8958935512D25EA1D8F9")</f>
        <v>https://app.crepc.sk/?fn=detailBiblioForm&amp;sid=B4B27B8958935512D25EA1D8F9</v>
      </c>
    </row>
    <row r="5376" spans="3:5" ht="60" x14ac:dyDescent="0.25">
      <c r="C5376" s="15">
        <v>152854</v>
      </c>
      <c r="D5376" s="4" t="s">
        <v>5380</v>
      </c>
      <c r="E5376" s="4" t="str">
        <f>HYPERLINK("https://app.crepc.sk/?fn=detailBiblioForm&amp;sid=4CB0668AE2C8F277BFA0C0BA9E")</f>
        <v>https://app.crepc.sk/?fn=detailBiblioForm&amp;sid=4CB0668AE2C8F277BFA0C0BA9E</v>
      </c>
    </row>
    <row r="5377" spans="3:5" ht="90" x14ac:dyDescent="0.25">
      <c r="C5377" s="15">
        <v>255832</v>
      </c>
      <c r="D5377" s="4" t="s">
        <v>5381</v>
      </c>
      <c r="E5377" s="4" t="str">
        <f>HYPERLINK("https://app.crepc.sk/?fn=detailBiblioForm&amp;sid=B0B81F2AF3D38590F10E60A9A6")</f>
        <v>https://app.crepc.sk/?fn=detailBiblioForm&amp;sid=B0B81F2AF3D38590F10E60A9A6</v>
      </c>
    </row>
    <row r="5378" spans="3:5" ht="75" x14ac:dyDescent="0.25">
      <c r="C5378" s="15">
        <v>217248</v>
      </c>
      <c r="D5378" s="4" t="s">
        <v>5382</v>
      </c>
      <c r="E5378" s="4" t="str">
        <f>HYPERLINK("https://app.crepc.sk/?fn=detailBiblioForm&amp;sid=95653863DE8D795C3CB087F2A7")</f>
        <v>https://app.crepc.sk/?fn=detailBiblioForm&amp;sid=95653863DE8D795C3CB087F2A7</v>
      </c>
    </row>
    <row r="5379" spans="3:5" ht="75" x14ac:dyDescent="0.25">
      <c r="C5379" s="15">
        <v>195849</v>
      </c>
      <c r="D5379" s="4" t="s">
        <v>5383</v>
      </c>
      <c r="E5379" s="4" t="str">
        <f>HYPERLINK("https://app.crepc.sk/?fn=detailBiblioForm&amp;sid=8FFBB3FF7BCA024A65AB19D41B")</f>
        <v>https://app.crepc.sk/?fn=detailBiblioForm&amp;sid=8FFBB3FF7BCA024A65AB19D41B</v>
      </c>
    </row>
    <row r="5380" spans="3:5" ht="75" x14ac:dyDescent="0.25">
      <c r="C5380" s="15">
        <v>146026</v>
      </c>
      <c r="D5380" s="4" t="s">
        <v>5384</v>
      </c>
      <c r="E5380" s="4" t="str">
        <f>HYPERLINK("https://app.crepc.sk/?fn=detailBiblioForm&amp;sid=6F91D8ED6CD6362D922931705F")</f>
        <v>https://app.crepc.sk/?fn=detailBiblioForm&amp;sid=6F91D8ED6CD6362D922931705F</v>
      </c>
    </row>
    <row r="5381" spans="3:5" ht="90" x14ac:dyDescent="0.25">
      <c r="C5381" s="15">
        <v>70782</v>
      </c>
      <c r="D5381" s="4" t="s">
        <v>5385</v>
      </c>
      <c r="E5381" s="4" t="str">
        <f>HYPERLINK("https://app.crepc.sk/?fn=detailBiblioForm&amp;sid=E19CFB6C2FDBD39FA2DEEA54")</f>
        <v>https://app.crepc.sk/?fn=detailBiblioForm&amp;sid=E19CFB6C2FDBD39FA2DEEA54</v>
      </c>
    </row>
    <row r="5382" spans="3:5" ht="90" x14ac:dyDescent="0.25">
      <c r="C5382" s="15">
        <v>61495</v>
      </c>
      <c r="D5382" s="4" t="s">
        <v>5386</v>
      </c>
      <c r="E5382" s="4" t="str">
        <f>HYPERLINK("https://app.crepc.sk/?fn=detailBiblioForm&amp;sid=7EB6E146EC3034AD60651C11")</f>
        <v>https://app.crepc.sk/?fn=detailBiblioForm&amp;sid=7EB6E146EC3034AD60651C11</v>
      </c>
    </row>
    <row r="5383" spans="3:5" ht="75" x14ac:dyDescent="0.25">
      <c r="C5383" s="15">
        <v>220938</v>
      </c>
      <c r="D5383" s="4" t="s">
        <v>5387</v>
      </c>
      <c r="E5383" s="4" t="str">
        <f>HYPERLINK("https://app.crepc.sk/?fn=detailBiblioForm&amp;sid=0A2191265DCECE3E6EED3553D4")</f>
        <v>https://app.crepc.sk/?fn=detailBiblioForm&amp;sid=0A2191265DCECE3E6EED3553D4</v>
      </c>
    </row>
    <row r="5384" spans="3:5" ht="90" x14ac:dyDescent="0.25">
      <c r="C5384" s="15">
        <v>214187</v>
      </c>
      <c r="D5384" s="4" t="s">
        <v>5388</v>
      </c>
      <c r="E5384" s="4" t="str">
        <f>HYPERLINK("https://app.crepc.sk/?fn=detailBiblioForm&amp;sid=0BE591AD4FD969D7405DDA6597")</f>
        <v>https://app.crepc.sk/?fn=detailBiblioForm&amp;sid=0BE591AD4FD969D7405DDA6597</v>
      </c>
    </row>
    <row r="5385" spans="3:5" ht="90" x14ac:dyDescent="0.25">
      <c r="C5385" s="15">
        <v>91736</v>
      </c>
      <c r="D5385" s="4" t="s">
        <v>5389</v>
      </c>
      <c r="E5385" s="4" t="str">
        <f>HYPERLINK("https://app.crepc.sk/?fn=detailBiblioForm&amp;sid=C8FB3A383D475CD04950B90D")</f>
        <v>https://app.crepc.sk/?fn=detailBiblioForm&amp;sid=C8FB3A383D475CD04950B90D</v>
      </c>
    </row>
    <row r="5386" spans="3:5" ht="75" x14ac:dyDescent="0.25">
      <c r="C5386" s="15">
        <v>168370</v>
      </c>
      <c r="D5386" s="4" t="s">
        <v>5390</v>
      </c>
      <c r="E5386" s="4" t="str">
        <f>HYPERLINK("https://app.crepc.sk/?fn=detailBiblioForm&amp;sid=5795EDEC5E3EE6CF70B006C750")</f>
        <v>https://app.crepc.sk/?fn=detailBiblioForm&amp;sid=5795EDEC5E3EE6CF70B006C750</v>
      </c>
    </row>
    <row r="5387" spans="3:5" ht="90" x14ac:dyDescent="0.25">
      <c r="C5387" s="15">
        <v>419070</v>
      </c>
      <c r="D5387" s="4" t="s">
        <v>5391</v>
      </c>
      <c r="E5387" s="4" t="str">
        <f>HYPERLINK("https://app.crepc.sk/?fn=detailBiblioForm&amp;sid=D1A8AE86DB46EECF7662276DBF")</f>
        <v>https://app.crepc.sk/?fn=detailBiblioForm&amp;sid=D1A8AE86DB46EECF7662276DBF</v>
      </c>
    </row>
    <row r="5388" spans="3:5" ht="90" x14ac:dyDescent="0.25">
      <c r="C5388" s="15">
        <v>179604</v>
      </c>
      <c r="D5388" s="4" t="s">
        <v>5392</v>
      </c>
      <c r="E5388" s="4" t="str">
        <f>HYPERLINK("https://app.crepc.sk/?fn=detailBiblioForm&amp;sid=E800E35B75A4A8F9370C2F3FB2")</f>
        <v>https://app.crepc.sk/?fn=detailBiblioForm&amp;sid=E800E35B75A4A8F9370C2F3FB2</v>
      </c>
    </row>
    <row r="5389" spans="3:5" ht="90" x14ac:dyDescent="0.25">
      <c r="C5389" s="15">
        <v>191666</v>
      </c>
      <c r="D5389" s="4" t="s">
        <v>5393</v>
      </c>
      <c r="E5389" s="4" t="str">
        <f>HYPERLINK("https://app.crepc.sk/?fn=detailBiblioForm&amp;sid=2BD2C66034D627EB7F01C4F76F")</f>
        <v>https://app.crepc.sk/?fn=detailBiblioForm&amp;sid=2BD2C66034D627EB7F01C4F76F</v>
      </c>
    </row>
    <row r="5390" spans="3:5" ht="90" x14ac:dyDescent="0.25">
      <c r="C5390" s="15">
        <v>147322</v>
      </c>
      <c r="D5390" s="4" t="s">
        <v>5394</v>
      </c>
      <c r="E5390" s="4" t="str">
        <f>HYPERLINK("https://app.crepc.sk/?fn=detailBiblioForm&amp;sid=B0ECE52FE577B8B953C90BFF73")</f>
        <v>https://app.crepc.sk/?fn=detailBiblioForm&amp;sid=B0ECE52FE577B8B953C90BFF73</v>
      </c>
    </row>
    <row r="5391" spans="3:5" ht="105" x14ac:dyDescent="0.25">
      <c r="C5391" s="15">
        <v>195220</v>
      </c>
      <c r="D5391" s="4" t="s">
        <v>5395</v>
      </c>
      <c r="E5391" s="4" t="str">
        <f>HYPERLINK("https://app.crepc.sk/?fn=detailBiblioForm&amp;sid=3F949835D0C9BAD8DC1417E56A")</f>
        <v>https://app.crepc.sk/?fn=detailBiblioForm&amp;sid=3F949835D0C9BAD8DC1417E56A</v>
      </c>
    </row>
    <row r="5392" spans="3:5" ht="75" x14ac:dyDescent="0.25">
      <c r="C5392" s="15">
        <v>174322</v>
      </c>
      <c r="D5392" s="4" t="s">
        <v>5396</v>
      </c>
      <c r="E5392" s="4" t="str">
        <f>HYPERLINK("https://app.crepc.sk/?fn=detailBiblioForm&amp;sid=4F55101800366CEF5FF7A9CD0A")</f>
        <v>https://app.crepc.sk/?fn=detailBiblioForm&amp;sid=4F55101800366CEF5FF7A9CD0A</v>
      </c>
    </row>
    <row r="5393" spans="3:5" ht="90" x14ac:dyDescent="0.25">
      <c r="C5393" s="15">
        <v>131495</v>
      </c>
      <c r="D5393" s="4" t="s">
        <v>5397</v>
      </c>
      <c r="E5393" s="4" t="str">
        <f>HYPERLINK("https://app.crepc.sk/?fn=detailBiblioForm&amp;sid=EAA72B33C8E68BF1ABA9A23E30")</f>
        <v>https://app.crepc.sk/?fn=detailBiblioForm&amp;sid=EAA72B33C8E68BF1ABA9A23E30</v>
      </c>
    </row>
    <row r="5394" spans="3:5" ht="90" x14ac:dyDescent="0.25">
      <c r="C5394" s="15">
        <v>138031</v>
      </c>
      <c r="D5394" s="4" t="s">
        <v>5398</v>
      </c>
      <c r="E5394" s="4" t="str">
        <f>HYPERLINK("https://app.crepc.sk/?fn=detailBiblioForm&amp;sid=D9FD61DACB535D15985E547F0C")</f>
        <v>https://app.crepc.sk/?fn=detailBiblioForm&amp;sid=D9FD61DACB535D15985E547F0C</v>
      </c>
    </row>
    <row r="5395" spans="3:5" ht="105" x14ac:dyDescent="0.25">
      <c r="C5395" s="15">
        <v>59780</v>
      </c>
      <c r="D5395" s="4" t="s">
        <v>5399</v>
      </c>
      <c r="E5395" s="4" t="str">
        <f>HYPERLINK("https://app.crepc.sk/?fn=detailBiblioForm&amp;sid=078D96CD0004506C4C13C462")</f>
        <v>https://app.crepc.sk/?fn=detailBiblioForm&amp;sid=078D96CD0004506C4C13C462</v>
      </c>
    </row>
    <row r="5396" spans="3:5" ht="75" x14ac:dyDescent="0.25">
      <c r="C5396" s="15">
        <v>234799</v>
      </c>
      <c r="D5396" s="4" t="s">
        <v>5400</v>
      </c>
      <c r="E5396" s="4" t="str">
        <f>HYPERLINK("https://app.crepc.sk/?fn=detailBiblioForm&amp;sid=0BA2551EB110F57D6AA0DF73B9")</f>
        <v>https://app.crepc.sk/?fn=detailBiblioForm&amp;sid=0BA2551EB110F57D6AA0DF73B9</v>
      </c>
    </row>
    <row r="5397" spans="3:5" ht="75" x14ac:dyDescent="0.25">
      <c r="C5397" s="15">
        <v>445813</v>
      </c>
      <c r="D5397" s="4" t="s">
        <v>5401</v>
      </c>
      <c r="E5397" s="4" t="str">
        <f>HYPERLINK("https://app.crepc.sk/?fn=detailBiblioForm&amp;sid=DEAAD5F98658C890063113DA4E")</f>
        <v>https://app.crepc.sk/?fn=detailBiblioForm&amp;sid=DEAAD5F98658C890063113DA4E</v>
      </c>
    </row>
    <row r="5398" spans="3:5" ht="75" x14ac:dyDescent="0.25">
      <c r="C5398" s="15">
        <v>129414</v>
      </c>
      <c r="D5398" s="4" t="s">
        <v>5402</v>
      </c>
      <c r="E5398" s="4" t="str">
        <f>HYPERLINK("https://app.crepc.sk/?fn=detailBiblioForm&amp;sid=EA5269F01D24DAD873BEB56AB8")</f>
        <v>https://app.crepc.sk/?fn=detailBiblioForm&amp;sid=EA5269F01D24DAD873BEB56AB8</v>
      </c>
    </row>
    <row r="5399" spans="3:5" ht="90" x14ac:dyDescent="0.25">
      <c r="C5399" s="15">
        <v>168477</v>
      </c>
      <c r="D5399" s="4" t="s">
        <v>5403</v>
      </c>
      <c r="E5399" s="4" t="str">
        <f>HYPERLINK("https://app.crepc.sk/?fn=detailBiblioForm&amp;sid=EDED30F385E76150BFFA548FA8")</f>
        <v>https://app.crepc.sk/?fn=detailBiblioForm&amp;sid=EDED30F385E76150BFFA548FA8</v>
      </c>
    </row>
    <row r="5400" spans="3:5" ht="75" x14ac:dyDescent="0.25">
      <c r="C5400" s="15">
        <v>183153</v>
      </c>
      <c r="D5400" s="4" t="s">
        <v>5404</v>
      </c>
      <c r="E5400" s="4" t="str">
        <f>HYPERLINK("https://app.crepc.sk/?fn=detailBiblioForm&amp;sid=38EFE54B98F197D5BE10EA12EF")</f>
        <v>https://app.crepc.sk/?fn=detailBiblioForm&amp;sid=38EFE54B98F197D5BE10EA12EF</v>
      </c>
    </row>
    <row r="5401" spans="3:5" ht="75" x14ac:dyDescent="0.25">
      <c r="C5401" s="15">
        <v>188685</v>
      </c>
      <c r="D5401" s="4" t="s">
        <v>5405</v>
      </c>
      <c r="E5401" s="4" t="str">
        <f>HYPERLINK("https://app.crepc.sk/?fn=detailBiblioForm&amp;sid=2F8E8707233717E991D9D5B21D")</f>
        <v>https://app.crepc.sk/?fn=detailBiblioForm&amp;sid=2F8E8707233717E991D9D5B21D</v>
      </c>
    </row>
    <row r="5402" spans="3:5" ht="90" x14ac:dyDescent="0.25">
      <c r="C5402" s="15">
        <v>84777</v>
      </c>
      <c r="D5402" s="4" t="s">
        <v>5406</v>
      </c>
      <c r="E5402" s="4" t="str">
        <f>HYPERLINK("https://app.crepc.sk/?fn=detailBiblioForm&amp;sid=E9F76525AF431B7232EF2BC3")</f>
        <v>https://app.crepc.sk/?fn=detailBiblioForm&amp;sid=E9F76525AF431B7232EF2BC3</v>
      </c>
    </row>
    <row r="5403" spans="3:5" ht="90" x14ac:dyDescent="0.25">
      <c r="C5403" s="15">
        <v>138069</v>
      </c>
      <c r="D5403" s="4" t="s">
        <v>5407</v>
      </c>
      <c r="E5403" s="4" t="str">
        <f>HYPERLINK("https://app.crepc.sk/?fn=detailBiblioForm&amp;sid=D9FD61DACB535D159D56547F0C")</f>
        <v>https://app.crepc.sk/?fn=detailBiblioForm&amp;sid=D9FD61DACB535D159D56547F0C</v>
      </c>
    </row>
    <row r="5404" spans="3:5" ht="75" x14ac:dyDescent="0.25">
      <c r="C5404" s="15">
        <v>150724</v>
      </c>
      <c r="D5404" s="4" t="s">
        <v>5408</v>
      </c>
      <c r="E5404" s="4" t="str">
        <f>HYPERLINK("https://app.crepc.sk/?fn=detailBiblioForm&amp;sid=4ABE047C0F04576E2E0A55E493")</f>
        <v>https://app.crepc.sk/?fn=detailBiblioForm&amp;sid=4ABE047C0F04576E2E0A55E493</v>
      </c>
    </row>
    <row r="5405" spans="3:5" ht="75" x14ac:dyDescent="0.25">
      <c r="C5405" s="15">
        <v>86077</v>
      </c>
      <c r="D5405" s="4" t="s">
        <v>5409</v>
      </c>
      <c r="E5405" s="4" t="str">
        <f>HYPERLINK("https://app.crepc.sk/?fn=detailBiblioForm&amp;sid=12C50FA57C07ED1A985D2F3E")</f>
        <v>https://app.crepc.sk/?fn=detailBiblioForm&amp;sid=12C50FA57C07ED1A985D2F3E</v>
      </c>
    </row>
    <row r="5406" spans="3:5" ht="90" x14ac:dyDescent="0.25">
      <c r="C5406" s="15">
        <v>136659</v>
      </c>
      <c r="D5406" s="4" t="s">
        <v>5410</v>
      </c>
      <c r="E5406" s="4" t="str">
        <f>HYPERLINK("https://app.crepc.sk/?fn=detailBiblioForm&amp;sid=4D4167EFBDF6647E38C3C3831D")</f>
        <v>https://app.crepc.sk/?fn=detailBiblioForm&amp;sid=4D4167EFBDF6647E38C3C3831D</v>
      </c>
    </row>
    <row r="5407" spans="3:5" ht="90" x14ac:dyDescent="0.25">
      <c r="C5407" s="15">
        <v>433740</v>
      </c>
      <c r="D5407" s="4" t="s">
        <v>5411</v>
      </c>
      <c r="E5407" s="4" t="str">
        <f>HYPERLINK("https://app.crepc.sk/?fn=detailBiblioForm&amp;sid=33F93F82735DF589E9C611E10A")</f>
        <v>https://app.crepc.sk/?fn=detailBiblioForm&amp;sid=33F93F82735DF589E9C611E10A</v>
      </c>
    </row>
    <row r="5408" spans="3:5" ht="90" x14ac:dyDescent="0.25">
      <c r="C5408" s="15">
        <v>315798</v>
      </c>
      <c r="D5408" s="4" t="s">
        <v>5412</v>
      </c>
      <c r="E5408" s="4" t="str">
        <f>HYPERLINK("https://app.crepc.sk/?fn=detailBiblioForm&amp;sid=CDD02CFDD1BF044BBB19112FEA")</f>
        <v>https://app.crepc.sk/?fn=detailBiblioForm&amp;sid=CDD02CFDD1BF044BBB19112FEA</v>
      </c>
    </row>
    <row r="5409" spans="3:5" ht="90" x14ac:dyDescent="0.25">
      <c r="C5409" s="15">
        <v>205570</v>
      </c>
      <c r="D5409" s="4" t="s">
        <v>5413</v>
      </c>
      <c r="E5409" s="4" t="str">
        <f>HYPERLINK("https://app.crepc.sk/?fn=detailBiblioForm&amp;sid=1B1E3C1E1F334B1A4501FA7123")</f>
        <v>https://app.crepc.sk/?fn=detailBiblioForm&amp;sid=1B1E3C1E1F334B1A4501FA7123</v>
      </c>
    </row>
    <row r="5410" spans="3:5" ht="90" x14ac:dyDescent="0.25">
      <c r="C5410" s="15">
        <v>152879</v>
      </c>
      <c r="D5410" s="4" t="s">
        <v>5414</v>
      </c>
      <c r="E5410" s="4" t="str">
        <f>HYPERLINK("https://app.crepc.sk/?fn=detailBiblioForm&amp;sid=4CB0668AE2C8F277BDADC0BA9E")</f>
        <v>https://app.crepc.sk/?fn=detailBiblioForm&amp;sid=4CB0668AE2C8F277BDADC0BA9E</v>
      </c>
    </row>
    <row r="5411" spans="3:5" ht="75" x14ac:dyDescent="0.25">
      <c r="C5411" s="15">
        <v>136663</v>
      </c>
      <c r="D5411" s="4" t="s">
        <v>5415</v>
      </c>
      <c r="E5411" s="4" t="str">
        <f>HYPERLINK("https://app.crepc.sk/?fn=detailBiblioForm&amp;sid=4D4167EFBDF6647E3BC9C3831D")</f>
        <v>https://app.crepc.sk/?fn=detailBiblioForm&amp;sid=4D4167EFBDF6647E3BC9C3831D</v>
      </c>
    </row>
    <row r="5412" spans="3:5" ht="75" x14ac:dyDescent="0.25">
      <c r="C5412" s="15">
        <v>97401</v>
      </c>
      <c r="D5412" s="4" t="s">
        <v>5416</v>
      </c>
      <c r="E5412" s="4" t="str">
        <f>HYPERLINK("https://app.crepc.sk/?fn=detailBiblioForm&amp;sid=C435B64AF858D9F83B5C564C")</f>
        <v>https://app.crepc.sk/?fn=detailBiblioForm&amp;sid=C435B64AF858D9F83B5C564C</v>
      </c>
    </row>
    <row r="5413" spans="3:5" ht="105" x14ac:dyDescent="0.25">
      <c r="C5413" s="15">
        <v>317839</v>
      </c>
      <c r="D5413" s="4" t="s">
        <v>5417</v>
      </c>
      <c r="E5413" s="4" t="str">
        <f>HYPERLINK("https://app.crepc.sk/?fn=detailBiblioForm&amp;sid=16DCB3C1E3D673D867D718F93B")</f>
        <v>https://app.crepc.sk/?fn=detailBiblioForm&amp;sid=16DCB3C1E3D673D867D718F93B</v>
      </c>
    </row>
    <row r="5414" spans="3:5" ht="105" x14ac:dyDescent="0.25">
      <c r="C5414" s="15">
        <v>173221</v>
      </c>
      <c r="D5414" s="4" t="s">
        <v>5418</v>
      </c>
      <c r="E5414" s="4" t="str">
        <f>HYPERLINK("https://app.crepc.sk/?fn=detailBiblioForm&amp;sid=7950E184AA7EAF4CBF81985512")</f>
        <v>https://app.crepc.sk/?fn=detailBiblioForm&amp;sid=7950E184AA7EAF4CBF81985512</v>
      </c>
    </row>
    <row r="5415" spans="3:5" ht="90" x14ac:dyDescent="0.25">
      <c r="C5415" s="15">
        <v>192797</v>
      </c>
      <c r="D5415" s="4" t="s">
        <v>5419</v>
      </c>
      <c r="E5415" s="4" t="str">
        <f>HYPERLINK("https://app.crepc.sk/?fn=detailBiblioForm&amp;sid=3354009E5CAE23384612FB5E60")</f>
        <v>https://app.crepc.sk/?fn=detailBiblioForm&amp;sid=3354009E5CAE23384612FB5E60</v>
      </c>
    </row>
    <row r="5416" spans="3:5" ht="60" x14ac:dyDescent="0.25">
      <c r="C5416" s="15">
        <v>247449</v>
      </c>
      <c r="D5416" s="4" t="s">
        <v>5420</v>
      </c>
      <c r="E5416" s="4" t="str">
        <f>HYPERLINK("https://app.crepc.sk/?fn=detailBiblioForm&amp;sid=6137549337470B5635F0D571F1")</f>
        <v>https://app.crepc.sk/?fn=detailBiblioForm&amp;sid=6137549337470B5635F0D571F1</v>
      </c>
    </row>
    <row r="5417" spans="3:5" ht="90" x14ac:dyDescent="0.25">
      <c r="C5417" s="15">
        <v>179579</v>
      </c>
      <c r="D5417" s="4" t="s">
        <v>5421</v>
      </c>
      <c r="E5417" s="4" t="str">
        <f>HYPERLINK("https://app.crepc.sk/?fn=detailBiblioForm&amp;sid=D2CDA85DA56256F277348485A6")</f>
        <v>https://app.crepc.sk/?fn=detailBiblioForm&amp;sid=D2CDA85DA56256F277348485A6</v>
      </c>
    </row>
    <row r="5418" spans="3:5" ht="90" x14ac:dyDescent="0.25">
      <c r="C5418" s="15">
        <v>315440</v>
      </c>
      <c r="D5418" s="4" t="s">
        <v>5422</v>
      </c>
      <c r="E5418" s="4" t="str">
        <f>HYPERLINK("https://app.crepc.sk/?fn=detailBiblioForm&amp;sid=D6A415B53B85E30B9FDD62509B")</f>
        <v>https://app.crepc.sk/?fn=detailBiblioForm&amp;sid=D6A415B53B85E30B9FDD62509B</v>
      </c>
    </row>
    <row r="5419" spans="3:5" ht="105" x14ac:dyDescent="0.25">
      <c r="C5419" s="15">
        <v>226593</v>
      </c>
      <c r="D5419" s="4" t="s">
        <v>5423</v>
      </c>
      <c r="E5419" s="4" t="str">
        <f>HYPERLINK("https://app.crepc.sk/?fn=detailBiblioForm&amp;sid=1A96CD219DD6F1D8F45831CBF0")</f>
        <v>https://app.crepc.sk/?fn=detailBiblioForm&amp;sid=1A96CD219DD6F1D8F45831CBF0</v>
      </c>
    </row>
    <row r="5420" spans="3:5" ht="90" x14ac:dyDescent="0.25">
      <c r="C5420" s="15">
        <v>222618</v>
      </c>
      <c r="D5420" s="4" t="s">
        <v>5424</v>
      </c>
      <c r="E5420" s="4" t="str">
        <f>HYPERLINK("https://app.crepc.sk/?fn=detailBiblioForm&amp;sid=3F01FB0C07942354A86BF95480")</f>
        <v>https://app.crepc.sk/?fn=detailBiblioForm&amp;sid=3F01FB0C07942354A86BF95480</v>
      </c>
    </row>
    <row r="5421" spans="3:5" ht="60" x14ac:dyDescent="0.25">
      <c r="C5421" s="15">
        <v>95791</v>
      </c>
      <c r="D5421" s="4" t="s">
        <v>5425</v>
      </c>
      <c r="E5421" s="4" t="str">
        <f>HYPERLINK("https://app.crepc.sk/?fn=detailBiblioForm&amp;sid=15899EC2373A2FA769D0248A")</f>
        <v>https://app.crepc.sk/?fn=detailBiblioForm&amp;sid=15899EC2373A2FA769D0248A</v>
      </c>
    </row>
    <row r="5422" spans="3:5" ht="105" x14ac:dyDescent="0.25">
      <c r="C5422" s="15">
        <v>213948</v>
      </c>
      <c r="D5422" s="4" t="s">
        <v>5426</v>
      </c>
      <c r="E5422" s="4" t="str">
        <f>HYPERLINK("https://app.crepc.sk/?fn=detailBiblioForm&amp;sid=5C150E32B6874145FD15418AD1")</f>
        <v>https://app.crepc.sk/?fn=detailBiblioForm&amp;sid=5C150E32B6874145FD15418AD1</v>
      </c>
    </row>
    <row r="5423" spans="3:5" ht="135" x14ac:dyDescent="0.25">
      <c r="C5423" s="15">
        <v>115144</v>
      </c>
      <c r="D5423" s="4" t="s">
        <v>5427</v>
      </c>
      <c r="E5423" s="4" t="str">
        <f>HYPERLINK("https://app.crepc.sk/?fn=detailBiblioForm&amp;sid=730C22A63821FF2FE05E15B11C")</f>
        <v>https://app.crepc.sk/?fn=detailBiblioForm&amp;sid=730C22A63821FF2FE05E15B11C</v>
      </c>
    </row>
    <row r="5424" spans="3:5" ht="90" x14ac:dyDescent="0.25">
      <c r="C5424" s="15">
        <v>87065</v>
      </c>
      <c r="D5424" s="4" t="s">
        <v>5428</v>
      </c>
      <c r="E5424" s="4" t="str">
        <f>HYPERLINK("https://app.crepc.sk/?fn=detailBiblioForm&amp;sid=8CA1FF92B8AA862DE0CE5781")</f>
        <v>https://app.crepc.sk/?fn=detailBiblioForm&amp;sid=8CA1FF92B8AA862DE0CE5781</v>
      </c>
    </row>
    <row r="5425" spans="3:5" ht="90" x14ac:dyDescent="0.25">
      <c r="C5425" s="15">
        <v>123785</v>
      </c>
      <c r="D5425" s="4" t="s">
        <v>5429</v>
      </c>
      <c r="E5425" s="4" t="str">
        <f>HYPERLINK("https://app.crepc.sk/?fn=detailBiblioForm&amp;sid=6AF24C20D77B2492B56680C111")</f>
        <v>https://app.crepc.sk/?fn=detailBiblioForm&amp;sid=6AF24C20D77B2492B56680C111</v>
      </c>
    </row>
    <row r="5426" spans="3:5" ht="60" x14ac:dyDescent="0.25">
      <c r="C5426" s="15">
        <v>95730</v>
      </c>
      <c r="D5426" s="4" t="s">
        <v>5430</v>
      </c>
      <c r="E5426" s="4" t="str">
        <f>HYPERLINK("https://app.crepc.sk/?fn=detailBiblioForm&amp;sid=BB65A996F6C750274CFF5068")</f>
        <v>https://app.crepc.sk/?fn=detailBiblioForm&amp;sid=BB65A996F6C750274CFF5068</v>
      </c>
    </row>
    <row r="5427" spans="3:5" ht="75" x14ac:dyDescent="0.25">
      <c r="C5427" s="15">
        <v>80183</v>
      </c>
      <c r="D5427" s="4" t="s">
        <v>5431</v>
      </c>
      <c r="E5427" s="4" t="str">
        <f>HYPERLINK("https://app.crepc.sk/?fn=detailBiblioForm&amp;sid=4BF551200D906031E4C185B2")</f>
        <v>https://app.crepc.sk/?fn=detailBiblioForm&amp;sid=4BF551200D906031E4C185B2</v>
      </c>
    </row>
    <row r="5428" spans="3:5" ht="90" x14ac:dyDescent="0.25">
      <c r="C5428" s="15">
        <v>55015</v>
      </c>
      <c r="D5428" s="4" t="s">
        <v>5432</v>
      </c>
      <c r="E5428" s="4" t="str">
        <f>HYPERLINK("https://app.crepc.sk/?fn=detailBiblioForm&amp;sid=6B330043D1E4FAA2F740A54B")</f>
        <v>https://app.crepc.sk/?fn=detailBiblioForm&amp;sid=6B330043D1E4FAA2F740A54B</v>
      </c>
    </row>
    <row r="5429" spans="3:5" ht="105" x14ac:dyDescent="0.25">
      <c r="C5429" s="15">
        <v>245948</v>
      </c>
      <c r="D5429" s="4" t="s">
        <v>5433</v>
      </c>
      <c r="E5429" s="4" t="str">
        <f>HYPERLINK("https://app.crepc.sk/?fn=detailBiblioForm&amp;sid=B4074A4D7573537BC378B46E05")</f>
        <v>https://app.crepc.sk/?fn=detailBiblioForm&amp;sid=B4074A4D7573537BC378B46E05</v>
      </c>
    </row>
    <row r="5430" spans="3:5" ht="90" x14ac:dyDescent="0.25">
      <c r="C5430" s="15">
        <v>414291</v>
      </c>
      <c r="D5430" s="4" t="s">
        <v>5434</v>
      </c>
      <c r="E5430" s="4" t="str">
        <f>HYPERLINK("https://app.crepc.sk/?fn=detailBiblioForm&amp;sid=951BAAB49B09D7D1D33026EDE3")</f>
        <v>https://app.crepc.sk/?fn=detailBiblioForm&amp;sid=951BAAB49B09D7D1D33026EDE3</v>
      </c>
    </row>
    <row r="5431" spans="3:5" ht="90" x14ac:dyDescent="0.25">
      <c r="C5431" s="15">
        <v>95764</v>
      </c>
      <c r="D5431" s="4" t="s">
        <v>5435</v>
      </c>
      <c r="E5431" s="4" t="str">
        <f>HYPERLINK("https://app.crepc.sk/?fn=detailBiblioForm&amp;sid=19DE7C4099DB291E6C0BC14C")</f>
        <v>https://app.crepc.sk/?fn=detailBiblioForm&amp;sid=19DE7C4099DB291E6C0BC14C</v>
      </c>
    </row>
    <row r="5432" spans="3:5" ht="75" x14ac:dyDescent="0.25">
      <c r="C5432" s="15">
        <v>229254</v>
      </c>
      <c r="D5432" s="4" t="s">
        <v>5436</v>
      </c>
      <c r="E5432" s="4" t="str">
        <f>HYPERLINK("https://app.crepc.sk/?fn=detailBiblioForm&amp;sid=AB455D64EDF69F772EF3569A20")</f>
        <v>https://app.crepc.sk/?fn=detailBiblioForm&amp;sid=AB455D64EDF69F772EF3569A20</v>
      </c>
    </row>
    <row r="5433" spans="3:5" ht="90" x14ac:dyDescent="0.25">
      <c r="C5433" s="15">
        <v>199548</v>
      </c>
      <c r="D5433" s="4" t="s">
        <v>5437</v>
      </c>
      <c r="E5433" s="4" t="str">
        <f>HYPERLINK("https://app.crepc.sk/?fn=detailBiblioForm&amp;sid=A69BB456D5707EC04FCA37E750")</f>
        <v>https://app.crepc.sk/?fn=detailBiblioForm&amp;sid=A69BB456D5707EC04FCA37E750</v>
      </c>
    </row>
    <row r="5434" spans="3:5" ht="105" x14ac:dyDescent="0.25">
      <c r="C5434" s="15">
        <v>250773</v>
      </c>
      <c r="D5434" s="4" t="s">
        <v>5438</v>
      </c>
      <c r="E5434" s="4" t="str">
        <f>HYPERLINK("https://app.crepc.sk/?fn=detailBiblioForm&amp;sid=F6E878997955F571D16C28CAE5")</f>
        <v>https://app.crepc.sk/?fn=detailBiblioForm&amp;sid=F6E878997955F571D16C28CAE5</v>
      </c>
    </row>
    <row r="5435" spans="3:5" ht="90" x14ac:dyDescent="0.25">
      <c r="C5435" s="15">
        <v>91433</v>
      </c>
      <c r="D5435" s="4" t="s">
        <v>5439</v>
      </c>
      <c r="E5435" s="4" t="str">
        <f>HYPERLINK("https://app.crepc.sk/?fn=detailBiblioForm&amp;sid=9463D53000D967913C7DD177")</f>
        <v>https://app.crepc.sk/?fn=detailBiblioForm&amp;sid=9463D53000D967913C7DD177</v>
      </c>
    </row>
    <row r="5436" spans="3:5" ht="120" x14ac:dyDescent="0.25">
      <c r="C5436" s="15">
        <v>120803</v>
      </c>
      <c r="D5436" s="4" t="s">
        <v>5440</v>
      </c>
      <c r="E5436" s="4" t="str">
        <f>HYPERLINK("https://app.crepc.sk/?fn=detailBiblioForm&amp;sid=0A8AE641E757DE6068B579B0B3")</f>
        <v>https://app.crepc.sk/?fn=detailBiblioForm&amp;sid=0A8AE641E757DE6068B579B0B3</v>
      </c>
    </row>
    <row r="5437" spans="3:5" ht="105" x14ac:dyDescent="0.25">
      <c r="C5437" s="15">
        <v>215705</v>
      </c>
      <c r="D5437" s="4" t="s">
        <v>5441</v>
      </c>
      <c r="E5437" s="4" t="str">
        <f>HYPERLINK("https://app.crepc.sk/?fn=detailBiblioForm&amp;sid=8D210FFAAFF670BF486374A2B3")</f>
        <v>https://app.crepc.sk/?fn=detailBiblioForm&amp;sid=8D210FFAAFF670BF486374A2B3</v>
      </c>
    </row>
    <row r="5438" spans="3:5" ht="75" x14ac:dyDescent="0.25">
      <c r="C5438" s="15">
        <v>199478</v>
      </c>
      <c r="D5438" s="4" t="s">
        <v>5442</v>
      </c>
      <c r="E5438" s="4" t="str">
        <f>HYPERLINK("https://app.crepc.sk/?fn=detailBiblioForm&amp;sid=93146A2D1CAB818AFA9D1AF6CB")</f>
        <v>https://app.crepc.sk/?fn=detailBiblioForm&amp;sid=93146A2D1CAB818AFA9D1AF6CB</v>
      </c>
    </row>
    <row r="5439" spans="3:5" ht="105" x14ac:dyDescent="0.25">
      <c r="C5439" s="15">
        <v>152220</v>
      </c>
      <c r="D5439" s="4" t="s">
        <v>5443</v>
      </c>
      <c r="E5439" s="4" t="str">
        <f>HYPERLINK("https://app.crepc.sk/?fn=detailBiblioForm&amp;sid=C3244647CD7CB0B77B706FBDAB")</f>
        <v>https://app.crepc.sk/?fn=detailBiblioForm&amp;sid=C3244647CD7CB0B77B706FBDAB</v>
      </c>
    </row>
    <row r="5440" spans="3:5" ht="75" x14ac:dyDescent="0.25">
      <c r="C5440" s="15">
        <v>196701</v>
      </c>
      <c r="D5440" s="4" t="s">
        <v>5444</v>
      </c>
      <c r="E5440" s="4" t="str">
        <f>HYPERLINK("https://app.crepc.sk/?fn=detailBiblioForm&amp;sid=959B0CD35FC03E1AE5CA263F38")</f>
        <v>https://app.crepc.sk/?fn=detailBiblioForm&amp;sid=959B0CD35FC03E1AE5CA263F38</v>
      </c>
    </row>
    <row r="5441" spans="3:5" ht="90" x14ac:dyDescent="0.25">
      <c r="C5441" s="15">
        <v>147363</v>
      </c>
      <c r="D5441" s="4" t="s">
        <v>5445</v>
      </c>
      <c r="E5441" s="4" t="str">
        <f>HYPERLINK("https://app.crepc.sk/?fn=detailBiblioForm&amp;sid=B0ECE52FE577B8B957C80BFF73")</f>
        <v>https://app.crepc.sk/?fn=detailBiblioForm&amp;sid=B0ECE52FE577B8B957C80BFF73</v>
      </c>
    </row>
    <row r="5442" spans="3:5" ht="90" x14ac:dyDescent="0.25">
      <c r="C5442" s="15">
        <v>161680</v>
      </c>
      <c r="D5442" s="4" t="s">
        <v>5446</v>
      </c>
      <c r="E5442" s="4" t="str">
        <f>HYPERLINK("https://app.crepc.sk/?fn=detailBiblioForm&amp;sid=1D69B1A76ABEB527B86EBB2E6D")</f>
        <v>https://app.crepc.sk/?fn=detailBiblioForm&amp;sid=1D69B1A76ABEB527B86EBB2E6D</v>
      </c>
    </row>
    <row r="5443" spans="3:5" ht="105" x14ac:dyDescent="0.25">
      <c r="C5443" s="15">
        <v>226605</v>
      </c>
      <c r="D5443" s="4" t="s">
        <v>5447</v>
      </c>
      <c r="E5443" s="4" t="str">
        <f>HYPERLINK("https://app.crepc.sk/?fn=detailBiblioForm&amp;sid=EFBE3DC7BD8E060F05E305FABD")</f>
        <v>https://app.crepc.sk/?fn=detailBiblioForm&amp;sid=EFBE3DC7BD8E060F05E305FABD</v>
      </c>
    </row>
    <row r="5444" spans="3:5" ht="90" x14ac:dyDescent="0.25">
      <c r="C5444" s="15">
        <v>77836</v>
      </c>
      <c r="D5444" s="4" t="s">
        <v>5448</v>
      </c>
      <c r="E5444" s="4" t="str">
        <f>HYPERLINK("https://app.crepc.sk/?fn=detailBiblioForm&amp;sid=B905EA1BB8B43283AB20FD8C")</f>
        <v>https://app.crepc.sk/?fn=detailBiblioForm&amp;sid=B905EA1BB8B43283AB20FD8C</v>
      </c>
    </row>
    <row r="5445" spans="3:5" ht="90" x14ac:dyDescent="0.25">
      <c r="C5445" s="15">
        <v>230123</v>
      </c>
      <c r="D5445" s="4" t="s">
        <v>5449</v>
      </c>
      <c r="E5445" s="4" t="str">
        <f>HYPERLINK("https://app.crepc.sk/?fn=detailBiblioForm&amp;sid=49F6F4DB78CA98AD353631639D")</f>
        <v>https://app.crepc.sk/?fn=detailBiblioForm&amp;sid=49F6F4DB78CA98AD353631639D</v>
      </c>
    </row>
    <row r="5446" spans="3:5" ht="90" x14ac:dyDescent="0.25">
      <c r="C5446" s="15">
        <v>150513</v>
      </c>
      <c r="D5446" s="4" t="s">
        <v>5450</v>
      </c>
      <c r="E5446" s="4" t="str">
        <f>HYPERLINK("https://app.crepc.sk/?fn=detailBiblioForm&amp;sid=9921973E4D44D17B1C3C72FC32")</f>
        <v>https://app.crepc.sk/?fn=detailBiblioForm&amp;sid=9921973E4D44D17B1C3C72FC32</v>
      </c>
    </row>
    <row r="5447" spans="3:5" ht="105" x14ac:dyDescent="0.25">
      <c r="C5447" s="15">
        <v>226719</v>
      </c>
      <c r="D5447" s="4" t="s">
        <v>5451</v>
      </c>
      <c r="E5447" s="4" t="str">
        <f>HYPERLINK("https://app.crepc.sk/?fn=detailBiblioForm&amp;sid=DE97830A346A9BF5CDB15C27D0")</f>
        <v>https://app.crepc.sk/?fn=detailBiblioForm&amp;sid=DE97830A346A9BF5CDB15C27D0</v>
      </c>
    </row>
    <row r="5448" spans="3:5" ht="75" x14ac:dyDescent="0.25">
      <c r="C5448" s="15">
        <v>100797</v>
      </c>
      <c r="D5448" s="4" t="s">
        <v>5452</v>
      </c>
      <c r="E5448" s="4" t="str">
        <f>HYPERLINK("https://app.crepc.sk/?fn=detailBiblioForm&amp;sid=183355140A0C93010CF417331B")</f>
        <v>https://app.crepc.sk/?fn=detailBiblioForm&amp;sid=183355140A0C93010CF417331B</v>
      </c>
    </row>
    <row r="5449" spans="3:5" ht="105" x14ac:dyDescent="0.25">
      <c r="C5449" s="15">
        <v>95755</v>
      </c>
      <c r="D5449" s="4" t="s">
        <v>5453</v>
      </c>
      <c r="E5449" s="4" t="str">
        <f>HYPERLINK("https://app.crepc.sk/?fn=detailBiblioForm&amp;sid=699E3888212D81F670C41D45")</f>
        <v>https://app.crepc.sk/?fn=detailBiblioForm&amp;sid=699E3888212D81F670C41D45</v>
      </c>
    </row>
    <row r="5450" spans="3:5" ht="75" x14ac:dyDescent="0.25">
      <c r="C5450" s="15">
        <v>84747</v>
      </c>
      <c r="D5450" s="4" t="s">
        <v>5454</v>
      </c>
      <c r="E5450" s="4" t="str">
        <f>HYPERLINK("https://app.crepc.sk/?fn=detailBiblioForm&amp;sid=75C0D41DD8E8F0254D8FED7B")</f>
        <v>https://app.crepc.sk/?fn=detailBiblioForm&amp;sid=75C0D41DD8E8F0254D8FED7B</v>
      </c>
    </row>
    <row r="5451" spans="3:5" ht="90" x14ac:dyDescent="0.25">
      <c r="C5451" s="15">
        <v>249631</v>
      </c>
      <c r="D5451" s="4" t="s">
        <v>5455</v>
      </c>
      <c r="E5451" s="4" t="str">
        <f>HYPERLINK("https://app.crepc.sk/?fn=detailBiblioForm&amp;sid=A43C6767581FABD009A36DF55F")</f>
        <v>https://app.crepc.sk/?fn=detailBiblioForm&amp;sid=A43C6767581FABD009A36DF55F</v>
      </c>
    </row>
    <row r="5452" spans="3:5" ht="75" x14ac:dyDescent="0.25">
      <c r="C5452" s="15">
        <v>433653</v>
      </c>
      <c r="D5452" s="4" t="s">
        <v>5456</v>
      </c>
      <c r="E5452" s="4" t="str">
        <f>HYPERLINK("https://app.crepc.sk/?fn=detailBiblioForm&amp;sid=51B873D3F437233C6A95CB1DA8")</f>
        <v>https://app.crepc.sk/?fn=detailBiblioForm&amp;sid=51B873D3F437233C6A95CB1DA8</v>
      </c>
    </row>
    <row r="5453" spans="3:5" ht="75" x14ac:dyDescent="0.25">
      <c r="C5453" s="15">
        <v>207004</v>
      </c>
      <c r="D5453" s="4" t="s">
        <v>5457</v>
      </c>
      <c r="E5453" s="4" t="str">
        <f>HYPERLINK("https://app.crepc.sk/?fn=detailBiblioForm&amp;sid=0C78960071567D8D0E13384767")</f>
        <v>https://app.crepc.sk/?fn=detailBiblioForm&amp;sid=0C78960071567D8D0E13384767</v>
      </c>
    </row>
    <row r="5454" spans="3:5" ht="90" x14ac:dyDescent="0.25">
      <c r="C5454" s="15">
        <v>218244</v>
      </c>
      <c r="D5454" s="4" t="s">
        <v>5458</v>
      </c>
      <c r="E5454" s="4" t="str">
        <f>HYPERLINK("https://app.crepc.sk/?fn=detailBiblioForm&amp;sid=2506B099E56293C87C4D8BEA9E")</f>
        <v>https://app.crepc.sk/?fn=detailBiblioForm&amp;sid=2506B099E56293C87C4D8BEA9E</v>
      </c>
    </row>
    <row r="5455" spans="3:5" ht="75" x14ac:dyDescent="0.25">
      <c r="C5455" s="15">
        <v>161685</v>
      </c>
      <c r="D5455" s="4" t="s">
        <v>5459</v>
      </c>
      <c r="E5455" s="4" t="str">
        <f>HYPERLINK("https://app.crepc.sk/?fn=detailBiblioForm&amp;sid=1D69B1A76ABEB527B86BBB2E6D")</f>
        <v>https://app.crepc.sk/?fn=detailBiblioForm&amp;sid=1D69B1A76ABEB527B86BBB2E6D</v>
      </c>
    </row>
    <row r="5456" spans="3:5" ht="90" x14ac:dyDescent="0.25">
      <c r="C5456" s="15">
        <v>146013</v>
      </c>
      <c r="D5456" s="4" t="s">
        <v>5460</v>
      </c>
      <c r="E5456" s="4" t="str">
        <f>HYPERLINK("https://app.crepc.sk/?fn=detailBiblioForm&amp;sid=6F91D8ED6CD6362D912C31705F")</f>
        <v>https://app.crepc.sk/?fn=detailBiblioForm&amp;sid=6F91D8ED6CD6362D912C31705F</v>
      </c>
    </row>
    <row r="5457" spans="3:5" ht="105" x14ac:dyDescent="0.25">
      <c r="C5457" s="15">
        <v>137631</v>
      </c>
      <c r="D5457" s="4" t="s">
        <v>5461</v>
      </c>
      <c r="E5457" s="4" t="str">
        <f>HYPERLINK("https://app.crepc.sk/?fn=detailBiblioForm&amp;sid=2EA0EB8F50B4443ADAEABFBE4C")</f>
        <v>https://app.crepc.sk/?fn=detailBiblioForm&amp;sid=2EA0EB8F50B4443ADAEABFBE4C</v>
      </c>
    </row>
    <row r="5458" spans="3:5" ht="75" x14ac:dyDescent="0.25">
      <c r="C5458" s="15">
        <v>152837</v>
      </c>
      <c r="D5458" s="4" t="s">
        <v>5462</v>
      </c>
      <c r="E5458" s="4" t="str">
        <f>HYPERLINK("https://app.crepc.sk/?fn=detailBiblioForm&amp;sid=4CB0668AE2C8F277B9A3C0BA9E")</f>
        <v>https://app.crepc.sk/?fn=detailBiblioForm&amp;sid=4CB0668AE2C8F277B9A3C0BA9E</v>
      </c>
    </row>
    <row r="5459" spans="3:5" ht="90" x14ac:dyDescent="0.25">
      <c r="C5459" s="15">
        <v>195915</v>
      </c>
      <c r="D5459" s="4" t="s">
        <v>5463</v>
      </c>
      <c r="E5459" s="4" t="str">
        <f>HYPERLINK("https://app.crepc.sk/?fn=detailBiblioForm&amp;sid=D0FFB1787B7ACE98BE55689ACF")</f>
        <v>https://app.crepc.sk/?fn=detailBiblioForm&amp;sid=D0FFB1787B7ACE98BE55689ACF</v>
      </c>
    </row>
    <row r="5460" spans="3:5" ht="90" x14ac:dyDescent="0.25">
      <c r="C5460" s="15">
        <v>311895</v>
      </c>
      <c r="D5460" s="4" t="s">
        <v>5464</v>
      </c>
      <c r="E5460" s="4" t="str">
        <f>HYPERLINK("https://app.crepc.sk/?fn=detailBiblioForm&amp;sid=E2F6ABF7403AC0EB3E00949DB8")</f>
        <v>https://app.crepc.sk/?fn=detailBiblioForm&amp;sid=E2F6ABF7403AC0EB3E00949DB8</v>
      </c>
    </row>
    <row r="5461" spans="3:5" ht="90" x14ac:dyDescent="0.25">
      <c r="C5461" s="15">
        <v>229281</v>
      </c>
      <c r="D5461" s="4" t="s">
        <v>5465</v>
      </c>
      <c r="E5461" s="4" t="str">
        <f>HYPERLINK("https://app.crepc.sk/?fn=detailBiblioForm&amp;sid=AB455D64EDF69F7723F6569A20")</f>
        <v>https://app.crepc.sk/?fn=detailBiblioForm&amp;sid=AB455D64EDF69F7723F6569A20</v>
      </c>
    </row>
    <row r="5462" spans="3:5" ht="75" x14ac:dyDescent="0.25">
      <c r="C5462" s="15">
        <v>132471</v>
      </c>
      <c r="D5462" s="4" t="s">
        <v>5466</v>
      </c>
      <c r="E5462" s="4" t="str">
        <f>HYPERLINK("https://app.crepc.sk/?fn=detailBiblioForm&amp;sid=5CA03D74BE9D7FDDA2CE721DC3")</f>
        <v>https://app.crepc.sk/?fn=detailBiblioForm&amp;sid=5CA03D74BE9D7FDDA2CE721DC3</v>
      </c>
    </row>
    <row r="5463" spans="3:5" ht="105" x14ac:dyDescent="0.25">
      <c r="C5463" s="15">
        <v>138723</v>
      </c>
      <c r="D5463" s="4" t="s">
        <v>5467</v>
      </c>
      <c r="E5463" s="4" t="str">
        <f>HYPERLINK("https://app.crepc.sk/?fn=detailBiblioForm&amp;sid=B05445C3B1156175C2C4E1ECCB")</f>
        <v>https://app.crepc.sk/?fn=detailBiblioForm&amp;sid=B05445C3B1156175C2C4E1ECCB</v>
      </c>
    </row>
    <row r="5464" spans="3:5" ht="105" x14ac:dyDescent="0.25">
      <c r="C5464" s="15">
        <v>133694</v>
      </c>
      <c r="D5464" s="4" t="s">
        <v>5468</v>
      </c>
      <c r="E5464" s="4" t="str">
        <f>HYPERLINK("https://app.crepc.sk/?fn=detailBiblioForm&amp;sid=843FECD318613D3B1EE8A125F3")</f>
        <v>https://app.crepc.sk/?fn=detailBiblioForm&amp;sid=843FECD318613D3B1EE8A125F3</v>
      </c>
    </row>
    <row r="5465" spans="3:5" ht="120" x14ac:dyDescent="0.25">
      <c r="C5465" s="15">
        <v>59466</v>
      </c>
      <c r="D5465" s="4" t="s">
        <v>5469</v>
      </c>
      <c r="E5465" s="4" t="str">
        <f>HYPERLINK("https://app.crepc.sk/?fn=detailBiblioForm&amp;sid=A2EDB778FFCE9B83BA2F8D88")</f>
        <v>https://app.crepc.sk/?fn=detailBiblioForm&amp;sid=A2EDB778FFCE9B83BA2F8D88</v>
      </c>
    </row>
    <row r="5466" spans="3:5" ht="105" x14ac:dyDescent="0.25">
      <c r="C5466" s="15">
        <v>138720</v>
      </c>
      <c r="D5466" s="4" t="s">
        <v>5470</v>
      </c>
      <c r="E5466" s="4" t="str">
        <f>HYPERLINK("https://app.crepc.sk/?fn=detailBiblioForm&amp;sid=B05445C3B1156175C2C7E1ECCB")</f>
        <v>https://app.crepc.sk/?fn=detailBiblioForm&amp;sid=B05445C3B1156175C2C7E1ECCB</v>
      </c>
    </row>
    <row r="5467" spans="3:5" ht="105" x14ac:dyDescent="0.25">
      <c r="C5467" s="15">
        <v>226602</v>
      </c>
      <c r="D5467" s="4" t="s">
        <v>5471</v>
      </c>
      <c r="E5467" s="4" t="str">
        <f>HYPERLINK("https://app.crepc.sk/?fn=detailBiblioForm&amp;sid=EFBE3DC7BD8E060F05E405FABD")</f>
        <v>https://app.crepc.sk/?fn=detailBiblioForm&amp;sid=EFBE3DC7BD8E060F05E405FABD</v>
      </c>
    </row>
    <row r="5468" spans="3:5" ht="120" x14ac:dyDescent="0.25">
      <c r="C5468" s="15">
        <v>169615</v>
      </c>
      <c r="D5468" s="4" t="s">
        <v>5472</v>
      </c>
      <c r="E5468" s="4" t="str">
        <f>HYPERLINK("https://app.crepc.sk/?fn=detailBiblioForm&amp;sid=C5B0443D08DFEDB23B0F605FB9")</f>
        <v>https://app.crepc.sk/?fn=detailBiblioForm&amp;sid=C5B0443D08DFEDB23B0F605FB9</v>
      </c>
    </row>
    <row r="5469" spans="3:5" ht="75" x14ac:dyDescent="0.25">
      <c r="C5469" s="15">
        <v>217242</v>
      </c>
      <c r="D5469" s="4" t="s">
        <v>5473</v>
      </c>
      <c r="E5469" s="4" t="str">
        <f>HYPERLINK("https://app.crepc.sk/?fn=detailBiblioForm&amp;sid=95653863DE8D795C3CBA87F2A7")</f>
        <v>https://app.crepc.sk/?fn=detailBiblioForm&amp;sid=95653863DE8D795C3CBA87F2A7</v>
      </c>
    </row>
    <row r="5470" spans="3:5" ht="75" x14ac:dyDescent="0.25">
      <c r="C5470" s="15">
        <v>116487</v>
      </c>
      <c r="D5470" s="4" t="s">
        <v>5474</v>
      </c>
      <c r="E5470" s="4" t="str">
        <f>HYPERLINK("https://app.crepc.sk/?fn=detailBiblioForm&amp;sid=E2F93AEC495D93B32B47774800")</f>
        <v>https://app.crepc.sk/?fn=detailBiblioForm&amp;sid=E2F93AEC495D93B32B47774800</v>
      </c>
    </row>
    <row r="5471" spans="3:5" ht="75" x14ac:dyDescent="0.25">
      <c r="C5471" s="15">
        <v>91456</v>
      </c>
      <c r="D5471" s="4" t="s">
        <v>5475</v>
      </c>
      <c r="E5471" s="4" t="str">
        <f>HYPERLINK("https://app.crepc.sk/?fn=detailBiblioForm&amp;sid=149F41B7A10B31A706F16A50")</f>
        <v>https://app.crepc.sk/?fn=detailBiblioForm&amp;sid=149F41B7A10B31A706F16A50</v>
      </c>
    </row>
    <row r="5472" spans="3:5" ht="75" x14ac:dyDescent="0.25">
      <c r="C5472" s="15">
        <v>91460</v>
      </c>
      <c r="D5472" s="4" t="s">
        <v>5476</v>
      </c>
      <c r="E5472" s="4" t="str">
        <f>HYPERLINK("https://app.crepc.sk/?fn=detailBiblioForm&amp;sid=F9CE0C74392113DA8242E288")</f>
        <v>https://app.crepc.sk/?fn=detailBiblioForm&amp;sid=F9CE0C74392113DA8242E288</v>
      </c>
    </row>
    <row r="5473" spans="3:5" ht="90" x14ac:dyDescent="0.25">
      <c r="C5473" s="15">
        <v>433511</v>
      </c>
      <c r="D5473" s="4" t="s">
        <v>5477</v>
      </c>
      <c r="E5473" s="4" t="str">
        <f>HYPERLINK("https://app.crepc.sk/?fn=detailBiblioForm&amp;sid=5E59D5E80B28192E7D9924E873")</f>
        <v>https://app.crepc.sk/?fn=detailBiblioForm&amp;sid=5E59D5E80B28192E7D9924E873</v>
      </c>
    </row>
    <row r="5474" spans="3:5" ht="75" x14ac:dyDescent="0.25">
      <c r="C5474" s="15">
        <v>188679</v>
      </c>
      <c r="D5474" s="4" t="s">
        <v>5478</v>
      </c>
      <c r="E5474" s="4" t="str">
        <f>HYPERLINK("https://app.crepc.sk/?fn=detailBiblioForm&amp;sid=2F8E8707233717E99ED5D5B21D")</f>
        <v>https://app.crepc.sk/?fn=detailBiblioForm&amp;sid=2F8E8707233717E99ED5D5B21D</v>
      </c>
    </row>
    <row r="5475" spans="3:5" ht="75" x14ac:dyDescent="0.25">
      <c r="C5475" s="15">
        <v>199476</v>
      </c>
      <c r="D5475" s="4" t="s">
        <v>5479</v>
      </c>
      <c r="E5475" s="4" t="str">
        <f>HYPERLINK("https://app.crepc.sk/?fn=detailBiblioForm&amp;sid=93146A2D1CAB818AFA931AF6CB")</f>
        <v>https://app.crepc.sk/?fn=detailBiblioForm&amp;sid=93146A2D1CAB818AFA931AF6CB</v>
      </c>
    </row>
    <row r="5476" spans="3:5" ht="75" x14ac:dyDescent="0.25">
      <c r="C5476" s="15">
        <v>227412</v>
      </c>
      <c r="D5476" s="4" t="s">
        <v>5480</v>
      </c>
      <c r="E5476" s="4" t="str">
        <f>HYPERLINK("https://app.crepc.sk/?fn=detailBiblioForm&amp;sid=E3F63D99041DBB0FE7C3F3E67C")</f>
        <v>https://app.crepc.sk/?fn=detailBiblioForm&amp;sid=E3F63D99041DBB0FE7C3F3E67C</v>
      </c>
    </row>
    <row r="5477" spans="3:5" ht="90" x14ac:dyDescent="0.25">
      <c r="C5477" s="15">
        <v>433724</v>
      </c>
      <c r="D5477" s="4" t="s">
        <v>5481</v>
      </c>
      <c r="E5477" s="4" t="str">
        <f>HYPERLINK("https://app.crepc.sk/?fn=detailBiblioForm&amp;sid=33F93F82735DF589EFC211E10A")</f>
        <v>https://app.crepc.sk/?fn=detailBiblioForm&amp;sid=33F93F82735DF589EFC211E10A</v>
      </c>
    </row>
    <row r="5478" spans="3:5" ht="75" x14ac:dyDescent="0.25">
      <c r="C5478" s="15">
        <v>314147</v>
      </c>
      <c r="D5478" s="4" t="s">
        <v>5482</v>
      </c>
      <c r="E5478" s="4" t="str">
        <f>HYPERLINK("https://app.crepc.sk/?fn=detailBiblioForm&amp;sid=C11437276931E1270A3419387C")</f>
        <v>https://app.crepc.sk/?fn=detailBiblioForm&amp;sid=C11437276931E1270A3419387C</v>
      </c>
    </row>
    <row r="5479" spans="3:5" ht="75" x14ac:dyDescent="0.25">
      <c r="C5479" s="15">
        <v>442526</v>
      </c>
      <c r="D5479" s="4" t="s">
        <v>5483</v>
      </c>
      <c r="E5479" s="4" t="str">
        <f>HYPERLINK("https://app.crepc.sk/?fn=detailBiblioForm&amp;sid=A9CFFDCBD31163D914AAFD67B2")</f>
        <v>https://app.crepc.sk/?fn=detailBiblioForm&amp;sid=A9CFFDCBD31163D914AAFD67B2</v>
      </c>
    </row>
    <row r="5480" spans="3:5" ht="90" x14ac:dyDescent="0.25">
      <c r="C5480" s="15">
        <v>238970</v>
      </c>
      <c r="D5480" s="4" t="s">
        <v>5484</v>
      </c>
      <c r="E5480" s="4" t="str">
        <f>HYPERLINK("https://app.crepc.sk/?fn=detailBiblioForm&amp;sid=E88DC80D55C4E5682442B52F35")</f>
        <v>https://app.crepc.sk/?fn=detailBiblioForm&amp;sid=E88DC80D55C4E5682442B52F35</v>
      </c>
    </row>
    <row r="5481" spans="3:5" ht="105" x14ac:dyDescent="0.25">
      <c r="C5481" s="15">
        <v>196861</v>
      </c>
      <c r="D5481" s="4" t="s">
        <v>5485</v>
      </c>
      <c r="E5481" s="4" t="str">
        <f>HYPERLINK("https://app.crepc.sk/?fn=detailBiblioForm&amp;sid=71273B11B862991D710C63B5FC")</f>
        <v>https://app.crepc.sk/?fn=detailBiblioForm&amp;sid=71273B11B862991D710C63B5FC</v>
      </c>
    </row>
    <row r="5482" spans="3:5" ht="90" x14ac:dyDescent="0.25">
      <c r="C5482" s="15">
        <v>100803</v>
      </c>
      <c r="D5482" s="4" t="s">
        <v>5486</v>
      </c>
      <c r="E5482" s="4" t="str">
        <f>HYPERLINK("https://app.crepc.sk/?fn=detailBiblioForm&amp;sid=C2DCC5E65C22781D3A62D860DE")</f>
        <v>https://app.crepc.sk/?fn=detailBiblioForm&amp;sid=C2DCC5E65C22781D3A62D860DE</v>
      </c>
    </row>
    <row r="5483" spans="3:5" ht="90" x14ac:dyDescent="0.25">
      <c r="C5483" s="15">
        <v>167235</v>
      </c>
      <c r="D5483" s="4" t="s">
        <v>5487</v>
      </c>
      <c r="E5483" s="4" t="str">
        <f>HYPERLINK("https://app.crepc.sk/?fn=detailBiblioForm&amp;sid=D028D1829C892C28C020C3551B")</f>
        <v>https://app.crepc.sk/?fn=detailBiblioForm&amp;sid=D028D1829C892C28C020C3551B</v>
      </c>
    </row>
    <row r="5484" spans="3:5" ht="105" x14ac:dyDescent="0.25">
      <c r="C5484" s="15">
        <v>58299</v>
      </c>
      <c r="D5484" s="4" t="s">
        <v>5488</v>
      </c>
      <c r="E5484" s="4" t="str">
        <f>HYPERLINK("https://app.crepc.sk/?fn=detailBiblioForm&amp;sid=6CB175BCF526B6FEE8C2CFEA")</f>
        <v>https://app.crepc.sk/?fn=detailBiblioForm&amp;sid=6CB175BCF526B6FEE8C2CFEA</v>
      </c>
    </row>
    <row r="5485" spans="3:5" ht="105" x14ac:dyDescent="0.25">
      <c r="C5485" s="15">
        <v>62571</v>
      </c>
      <c r="D5485" s="4" t="s">
        <v>5489</v>
      </c>
      <c r="E5485" s="4" t="str">
        <f>HYPERLINK("https://app.crepc.sk/?fn=detailBiblioForm&amp;sid=07E6CBBE672EFFC608EE0B17")</f>
        <v>https://app.crepc.sk/?fn=detailBiblioForm&amp;sid=07E6CBBE672EFFC608EE0B17</v>
      </c>
    </row>
    <row r="5486" spans="3:5" ht="75" x14ac:dyDescent="0.25">
      <c r="C5486" s="15">
        <v>62698</v>
      </c>
      <c r="D5486" s="4" t="s">
        <v>5490</v>
      </c>
      <c r="E5486" s="4" t="str">
        <f>HYPERLINK("https://app.crepc.sk/?fn=detailBiblioForm&amp;sid=0E2868823FB2E2ECD0255C43")</f>
        <v>https://app.crepc.sk/?fn=detailBiblioForm&amp;sid=0E2868823FB2E2ECD0255C43</v>
      </c>
    </row>
    <row r="5487" spans="3:5" ht="90" x14ac:dyDescent="0.25">
      <c r="C5487" s="15">
        <v>199536</v>
      </c>
      <c r="D5487" s="4" t="s">
        <v>5491</v>
      </c>
      <c r="E5487" s="4" t="str">
        <f>HYPERLINK("https://app.crepc.sk/?fn=detailBiblioForm&amp;sid=A69BB456D5707EC048C437E750")</f>
        <v>https://app.crepc.sk/?fn=detailBiblioForm&amp;sid=A69BB456D5707EC048C437E750</v>
      </c>
    </row>
    <row r="5488" spans="3:5" ht="90" x14ac:dyDescent="0.25">
      <c r="C5488" s="15">
        <v>150279</v>
      </c>
      <c r="D5488" s="4" t="s">
        <v>5492</v>
      </c>
      <c r="E5488" s="4" t="str">
        <f>HYPERLINK("https://app.crepc.sk/?fn=detailBiblioForm&amp;sid=BEAFF42FBA401D6E6AEB48230D")</f>
        <v>https://app.crepc.sk/?fn=detailBiblioForm&amp;sid=BEAFF42FBA401D6E6AEB48230D</v>
      </c>
    </row>
    <row r="5489" spans="3:5" ht="75" x14ac:dyDescent="0.25">
      <c r="C5489" s="15">
        <v>95716</v>
      </c>
      <c r="D5489" s="4" t="s">
        <v>5493</v>
      </c>
      <c r="E5489" s="4" t="str">
        <f>HYPERLINK("https://app.crepc.sk/?fn=detailBiblioForm&amp;sid=772938E527423A23D32E8046")</f>
        <v>https://app.crepc.sk/?fn=detailBiblioForm&amp;sid=772938E527423A23D32E8046</v>
      </c>
    </row>
    <row r="5490" spans="3:5" ht="90" x14ac:dyDescent="0.25">
      <c r="C5490" s="15">
        <v>205573</v>
      </c>
      <c r="D5490" s="4" t="s">
        <v>5494</v>
      </c>
      <c r="E5490" s="4" t="str">
        <f>HYPERLINK("https://app.crepc.sk/?fn=detailBiblioForm&amp;sid=1B1E3C1E1F334B1A4502FA7123")</f>
        <v>https://app.crepc.sk/?fn=detailBiblioForm&amp;sid=1B1E3C1E1F334B1A4502FA7123</v>
      </c>
    </row>
    <row r="5491" spans="3:5" ht="90" x14ac:dyDescent="0.25">
      <c r="C5491" s="15">
        <v>239450</v>
      </c>
      <c r="D5491" s="4" t="s">
        <v>5495</v>
      </c>
      <c r="E5491" s="4" t="str">
        <f>HYPERLINK("https://app.crepc.sk/?fn=detailBiblioForm&amp;sid=4A5C07365C251AC1A297826BDE")</f>
        <v>https://app.crepc.sk/?fn=detailBiblioForm&amp;sid=4A5C07365C251AC1A297826BDE</v>
      </c>
    </row>
    <row r="5492" spans="3:5" ht="120" x14ac:dyDescent="0.25">
      <c r="C5492" s="15">
        <v>309687</v>
      </c>
      <c r="D5492" s="4" t="s">
        <v>5496</v>
      </c>
      <c r="E5492" s="4" t="str">
        <f>HYPERLINK("https://app.crepc.sk/?fn=detailBiblioForm&amp;sid=0E0E5CBF9C8837E61500165640")</f>
        <v>https://app.crepc.sk/?fn=detailBiblioForm&amp;sid=0E0E5CBF9C8837E61500165640</v>
      </c>
    </row>
    <row r="5493" spans="3:5" ht="105" x14ac:dyDescent="0.25">
      <c r="C5493" s="15">
        <v>226023</v>
      </c>
      <c r="D5493" s="4" t="s">
        <v>5497</v>
      </c>
      <c r="E5493" s="4" t="str">
        <f>HYPERLINK("https://app.crepc.sk/?fn=detailBiblioForm&amp;sid=7241E0F0A68FF7150B59AE2810")</f>
        <v>https://app.crepc.sk/?fn=detailBiblioForm&amp;sid=7241E0F0A68FF7150B59AE2810</v>
      </c>
    </row>
    <row r="5494" spans="3:5" ht="75" x14ac:dyDescent="0.25">
      <c r="C5494" s="15">
        <v>429513</v>
      </c>
      <c r="D5494" s="4" t="s">
        <v>5498</v>
      </c>
      <c r="E5494" s="4" t="str">
        <f>HYPERLINK("https://app.crepc.sk/?fn=detailBiblioForm&amp;sid=7133CB1904D2A856BF95FC5BD9")</f>
        <v>https://app.crepc.sk/?fn=detailBiblioForm&amp;sid=7133CB1904D2A856BF95FC5BD9</v>
      </c>
    </row>
    <row r="5495" spans="3:5" ht="90" x14ac:dyDescent="0.25">
      <c r="C5495" s="15">
        <v>118900</v>
      </c>
      <c r="D5495" s="4" t="s">
        <v>5499</v>
      </c>
      <c r="E5495" s="4" t="str">
        <f>HYPERLINK("https://app.crepc.sk/?fn=detailBiblioForm&amp;sid=40DAA8F9ABC010BB4731D26456")</f>
        <v>https://app.crepc.sk/?fn=detailBiblioForm&amp;sid=40DAA8F9ABC010BB4731D26456</v>
      </c>
    </row>
    <row r="5496" spans="3:5" ht="75" x14ac:dyDescent="0.25">
      <c r="C5496" s="15">
        <v>139481</v>
      </c>
      <c r="D5496" s="4" t="s">
        <v>5500</v>
      </c>
      <c r="E5496" s="4" t="str">
        <f>HYPERLINK("https://app.crepc.sk/?fn=detailBiblioForm&amp;sid=A3F3DC538E4836F27797BE03C8")</f>
        <v>https://app.crepc.sk/?fn=detailBiblioForm&amp;sid=A3F3DC538E4836F27797BE03C8</v>
      </c>
    </row>
    <row r="5497" spans="3:5" ht="90" x14ac:dyDescent="0.25">
      <c r="C5497" s="15">
        <v>422470</v>
      </c>
      <c r="D5497" s="4" t="s">
        <v>5501</v>
      </c>
      <c r="E5497" s="4" t="str">
        <f>HYPERLINK("https://app.crepc.sk/?fn=detailBiblioForm&amp;sid=50C23C962AC4873680F398C4F3")</f>
        <v>https://app.crepc.sk/?fn=detailBiblioForm&amp;sid=50C23C962AC4873680F398C4F3</v>
      </c>
    </row>
    <row r="5498" spans="3:5" ht="75" x14ac:dyDescent="0.25">
      <c r="C5498" s="15">
        <v>178750</v>
      </c>
      <c r="D5498" s="4" t="s">
        <v>5502</v>
      </c>
      <c r="E5498" s="4" t="str">
        <f>HYPERLINK("https://app.crepc.sk/?fn=detailBiblioForm&amp;sid=32866E47BC3455BDB1F116D8BD")</f>
        <v>https://app.crepc.sk/?fn=detailBiblioForm&amp;sid=32866E47BC3455BDB1F116D8BD</v>
      </c>
    </row>
    <row r="5499" spans="3:5" ht="75" x14ac:dyDescent="0.25">
      <c r="C5499" s="15">
        <v>199530</v>
      </c>
      <c r="D5499" s="4" t="s">
        <v>5503</v>
      </c>
      <c r="E5499" s="4" t="str">
        <f>HYPERLINK("https://app.crepc.sk/?fn=detailBiblioForm&amp;sid=A69BB456D5707EC048C237E750")</f>
        <v>https://app.crepc.sk/?fn=detailBiblioForm&amp;sid=A69BB456D5707EC048C237E750</v>
      </c>
    </row>
    <row r="5500" spans="3:5" ht="90" x14ac:dyDescent="0.25">
      <c r="C5500" s="15">
        <v>75962</v>
      </c>
      <c r="D5500" s="4" t="s">
        <v>5504</v>
      </c>
      <c r="E5500" s="4" t="str">
        <f>HYPERLINK("https://app.crepc.sk/?fn=detailBiblioForm&amp;sid=F290EB33662D0BA58E52BC63")</f>
        <v>https://app.crepc.sk/?fn=detailBiblioForm&amp;sid=F290EB33662D0BA58E52BC63</v>
      </c>
    </row>
    <row r="5501" spans="3:5" ht="90" x14ac:dyDescent="0.25">
      <c r="C5501" s="15">
        <v>124007</v>
      </c>
      <c r="D5501" s="4" t="s">
        <v>5505</v>
      </c>
      <c r="E5501" s="4" t="str">
        <f>HYPERLINK("https://app.crepc.sk/?fn=detailBiblioForm&amp;sid=111DEF23A8694C1DD5D7413CE8")</f>
        <v>https://app.crepc.sk/?fn=detailBiblioForm&amp;sid=111DEF23A8694C1DD5D7413CE8</v>
      </c>
    </row>
    <row r="5502" spans="3:5" ht="90" x14ac:dyDescent="0.25">
      <c r="C5502" s="15">
        <v>222075</v>
      </c>
      <c r="D5502" s="4" t="s">
        <v>5506</v>
      </c>
      <c r="E5502" s="4" t="str">
        <f>HYPERLINK("https://app.crepc.sk/?fn=detailBiblioForm&amp;sid=AE035A1340B0E94A938BAF86E8")</f>
        <v>https://app.crepc.sk/?fn=detailBiblioForm&amp;sid=AE035A1340B0E94A938BAF86E8</v>
      </c>
    </row>
    <row r="5503" spans="3:5" ht="90" x14ac:dyDescent="0.25">
      <c r="C5503" s="15">
        <v>220935</v>
      </c>
      <c r="D5503" s="4" t="s">
        <v>5507</v>
      </c>
      <c r="E5503" s="4" t="str">
        <f>HYPERLINK("https://app.crepc.sk/?fn=detailBiblioForm&amp;sid=0A2191265DCECE3E6EE03553D4")</f>
        <v>https://app.crepc.sk/?fn=detailBiblioForm&amp;sid=0A2191265DCECE3E6EE03553D4</v>
      </c>
    </row>
    <row r="5504" spans="3:5" ht="90" x14ac:dyDescent="0.25">
      <c r="C5504" s="15">
        <v>183867</v>
      </c>
      <c r="D5504" s="4" t="s">
        <v>5508</v>
      </c>
      <c r="E5504" s="4" t="str">
        <f>HYPERLINK("https://app.crepc.sk/?fn=detailBiblioForm&amp;sid=E9A819C3F6DCFD1BCCC3B8F136")</f>
        <v>https://app.crepc.sk/?fn=detailBiblioForm&amp;sid=E9A819C3F6DCFD1BCCC3B8F136</v>
      </c>
    </row>
    <row r="5505" spans="3:5" ht="120" x14ac:dyDescent="0.25">
      <c r="C5505" s="15">
        <v>64792</v>
      </c>
      <c r="D5505" s="4" t="s">
        <v>5509</v>
      </c>
      <c r="E5505" s="4" t="str">
        <f>HYPERLINK("https://app.crepc.sk/?fn=detailBiblioForm&amp;sid=31C8EE31480F3BA27B70FB26")</f>
        <v>https://app.crepc.sk/?fn=detailBiblioForm&amp;sid=31C8EE31480F3BA27B70FB26</v>
      </c>
    </row>
    <row r="5506" spans="3:5" ht="90" x14ac:dyDescent="0.25">
      <c r="C5506" s="15">
        <v>61159</v>
      </c>
      <c r="D5506" s="4" t="s">
        <v>5510</v>
      </c>
      <c r="E5506" s="4" t="str">
        <f>HYPERLINK("https://app.crepc.sk/?fn=detailBiblioForm&amp;sid=309D298ADC7DC08FA3D5C6A3")</f>
        <v>https://app.crepc.sk/?fn=detailBiblioForm&amp;sid=309D298ADC7DC08FA3D5C6A3</v>
      </c>
    </row>
    <row r="5507" spans="3:5" ht="75" x14ac:dyDescent="0.25">
      <c r="C5507" s="15">
        <v>131494</v>
      </c>
      <c r="D5507" s="4" t="s">
        <v>5511</v>
      </c>
      <c r="E5507" s="4" t="str">
        <f>HYPERLINK("https://app.crepc.sk/?fn=detailBiblioForm&amp;sid=EAA72B33C8E68BF1ABA8A23E30")</f>
        <v>https://app.crepc.sk/?fn=detailBiblioForm&amp;sid=EAA72B33C8E68BF1ABA8A23E30</v>
      </c>
    </row>
    <row r="5508" spans="3:5" ht="90" x14ac:dyDescent="0.25">
      <c r="C5508" s="15">
        <v>205575</v>
      </c>
      <c r="D5508" s="4" t="s">
        <v>5512</v>
      </c>
      <c r="E5508" s="4" t="str">
        <f>HYPERLINK("https://app.crepc.sk/?fn=detailBiblioForm&amp;sid=1B1E3C1E1F334B1A4504FA7123")</f>
        <v>https://app.crepc.sk/?fn=detailBiblioForm&amp;sid=1B1E3C1E1F334B1A4504FA7123</v>
      </c>
    </row>
    <row r="5509" spans="3:5" ht="60" x14ac:dyDescent="0.25">
      <c r="C5509" s="15">
        <v>79684</v>
      </c>
      <c r="D5509" s="4" t="s">
        <v>5513</v>
      </c>
      <c r="E5509" s="4" t="str">
        <f>HYPERLINK("https://app.crepc.sk/?fn=detailBiblioForm&amp;sid=B4F7EF67BD848BED73EB1820")</f>
        <v>https://app.crepc.sk/?fn=detailBiblioForm&amp;sid=B4F7EF67BD848BED73EB1820</v>
      </c>
    </row>
    <row r="5510" spans="3:5" ht="75" x14ac:dyDescent="0.25">
      <c r="C5510" s="15">
        <v>180842</v>
      </c>
      <c r="D5510" s="4" t="s">
        <v>5514</v>
      </c>
      <c r="E5510" s="4" t="str">
        <f>HYPERLINK("https://app.crepc.sk/?fn=detailBiblioForm&amp;sid=CAE3E57F1FDC62BA2DBEB4FED8")</f>
        <v>https://app.crepc.sk/?fn=detailBiblioForm&amp;sid=CAE3E57F1FDC62BA2DBEB4FED8</v>
      </c>
    </row>
    <row r="5511" spans="3:5" ht="75" x14ac:dyDescent="0.25">
      <c r="C5511" s="15">
        <v>73493</v>
      </c>
      <c r="D5511" s="4" t="s">
        <v>5515</v>
      </c>
      <c r="E5511" s="4" t="str">
        <f>HYPERLINK("https://app.crepc.sk/?fn=detailBiblioForm&amp;sid=8E4EC8C0D26713E78E929F1F")</f>
        <v>https://app.crepc.sk/?fn=detailBiblioForm&amp;sid=8E4EC8C0D26713E78E929F1F</v>
      </c>
    </row>
    <row r="5512" spans="3:5" ht="75" x14ac:dyDescent="0.25">
      <c r="C5512" s="15">
        <v>70604</v>
      </c>
      <c r="D5512" s="4" t="s">
        <v>5516</v>
      </c>
      <c r="E5512" s="4" t="str">
        <f>HYPERLINK("https://app.crepc.sk/?fn=detailBiblioForm&amp;sid=0C1C83083D38A57EAFACE5B9")</f>
        <v>https://app.crepc.sk/?fn=detailBiblioForm&amp;sid=0C1C83083D38A57EAFACE5B9</v>
      </c>
    </row>
    <row r="5513" spans="3:5" ht="75" x14ac:dyDescent="0.25">
      <c r="C5513" s="15">
        <v>421467</v>
      </c>
      <c r="D5513" s="4" t="s">
        <v>5517</v>
      </c>
      <c r="E5513" s="4" t="str">
        <f>HYPERLINK("https://app.crepc.sk/?fn=detailBiblioForm&amp;sid=0460C801560214D374424504E2")</f>
        <v>https://app.crepc.sk/?fn=detailBiblioForm&amp;sid=0460C801560214D374424504E2</v>
      </c>
    </row>
    <row r="5514" spans="3:5" ht="90" x14ac:dyDescent="0.25">
      <c r="C5514" s="15">
        <v>125622</v>
      </c>
      <c r="D5514" s="4" t="s">
        <v>5518</v>
      </c>
      <c r="E5514" s="4" t="str">
        <f>HYPERLINK("https://app.crepc.sk/?fn=detailBiblioForm&amp;sid=107B16852C902CE89F6495D686")</f>
        <v>https://app.crepc.sk/?fn=detailBiblioForm&amp;sid=107B16852C902CE89F6495D686</v>
      </c>
    </row>
    <row r="5515" spans="3:5" ht="105" x14ac:dyDescent="0.25">
      <c r="C5515" s="15">
        <v>123793</v>
      </c>
      <c r="D5515" s="4" t="s">
        <v>5519</v>
      </c>
      <c r="E5515" s="4" t="str">
        <f>HYPERLINK("https://app.crepc.sk/?fn=detailBiblioForm&amp;sid=6AF24C20D77B2492B46080C111")</f>
        <v>https://app.crepc.sk/?fn=detailBiblioForm&amp;sid=6AF24C20D77B2492B46080C111</v>
      </c>
    </row>
    <row r="5516" spans="3:5" ht="90" x14ac:dyDescent="0.25">
      <c r="C5516" s="15">
        <v>101488</v>
      </c>
      <c r="D5516" s="4" t="s">
        <v>5520</v>
      </c>
      <c r="E5516" s="4" t="str">
        <f>HYPERLINK("https://app.crepc.sk/?fn=detailBiblioForm&amp;sid=E319D27ADE4525BA6A12C251D0")</f>
        <v>https://app.crepc.sk/?fn=detailBiblioForm&amp;sid=E319D27ADE4525BA6A12C251D0</v>
      </c>
    </row>
    <row r="5517" spans="3:5" ht="90" x14ac:dyDescent="0.25">
      <c r="C5517" s="15">
        <v>101490</v>
      </c>
      <c r="D5517" s="4" t="s">
        <v>5521</v>
      </c>
      <c r="E5517" s="4" t="str">
        <f>HYPERLINK("https://app.crepc.sk/?fn=detailBiblioForm&amp;sid=E319D27ADE4525BA6B1AC251D0")</f>
        <v>https://app.crepc.sk/?fn=detailBiblioForm&amp;sid=E319D27ADE4525BA6B1AC251D0</v>
      </c>
    </row>
    <row r="5518" spans="3:5" ht="90" x14ac:dyDescent="0.25">
      <c r="C5518" s="15">
        <v>155422</v>
      </c>
      <c r="D5518" s="4" t="s">
        <v>5522</v>
      </c>
      <c r="E5518" s="4" t="str">
        <f>HYPERLINK("https://app.crepc.sk/?fn=detailBiblioForm&amp;sid=3E2A224FFF078FAB5CCE34B012")</f>
        <v>https://app.crepc.sk/?fn=detailBiblioForm&amp;sid=3E2A224FFF078FAB5CCE34B012</v>
      </c>
    </row>
    <row r="5519" spans="3:5" ht="105" x14ac:dyDescent="0.25">
      <c r="C5519" s="15">
        <v>422475</v>
      </c>
      <c r="D5519" s="4" t="s">
        <v>5523</v>
      </c>
      <c r="E5519" s="4" t="str">
        <f>HYPERLINK("https://app.crepc.sk/?fn=detailBiblioForm&amp;sid=50C23C962AC4873680F698C4F3")</f>
        <v>https://app.crepc.sk/?fn=detailBiblioForm&amp;sid=50C23C962AC4873680F698C4F3</v>
      </c>
    </row>
    <row r="5520" spans="3:5" ht="90" x14ac:dyDescent="0.25">
      <c r="C5520" s="15">
        <v>228208</v>
      </c>
      <c r="D5520" s="4" t="s">
        <v>5524</v>
      </c>
      <c r="E5520" s="4" t="str">
        <f>HYPERLINK("https://app.crepc.sk/?fn=detailBiblioForm&amp;sid=AF76E74BF3CFEA1C4490851A00")</f>
        <v>https://app.crepc.sk/?fn=detailBiblioForm&amp;sid=AF76E74BF3CFEA1C4490851A00</v>
      </c>
    </row>
    <row r="5521" spans="3:5" ht="75" x14ac:dyDescent="0.25">
      <c r="C5521" s="15">
        <v>432846</v>
      </c>
      <c r="D5521" s="4" t="s">
        <v>5525</v>
      </c>
      <c r="E5521" s="4" t="str">
        <f>HYPERLINK("https://app.crepc.sk/?fn=detailBiblioForm&amp;sid=60947673AC094B86B46C5A089E")</f>
        <v>https://app.crepc.sk/?fn=detailBiblioForm&amp;sid=60947673AC094B86B46C5A089E</v>
      </c>
    </row>
    <row r="5522" spans="3:5" ht="90" x14ac:dyDescent="0.25">
      <c r="C5522" s="15">
        <v>447984</v>
      </c>
      <c r="D5522" s="4" t="s">
        <v>5526</v>
      </c>
      <c r="E5522" s="4" t="str">
        <f>HYPERLINK("https://app.crepc.sk/?fn=detailBiblioForm&amp;sid=1B50CC9371C3E7A0EA1CA75DC9")</f>
        <v>https://app.crepc.sk/?fn=detailBiblioForm&amp;sid=1B50CC9371C3E7A0EA1CA75DC9</v>
      </c>
    </row>
    <row r="5523" spans="3:5" ht="90" x14ac:dyDescent="0.25">
      <c r="C5523" s="15">
        <v>310181</v>
      </c>
      <c r="D5523" s="4" t="s">
        <v>5527</v>
      </c>
      <c r="E5523" s="4" t="str">
        <f>HYPERLINK("https://app.crepc.sk/?fn=detailBiblioForm&amp;sid=E9F63DECD21F072F8144FE53D1")</f>
        <v>https://app.crepc.sk/?fn=detailBiblioForm&amp;sid=E9F63DECD21F072F8144FE53D1</v>
      </c>
    </row>
    <row r="5524" spans="3:5" ht="105" x14ac:dyDescent="0.25">
      <c r="C5524" s="15">
        <v>245949</v>
      </c>
      <c r="D5524" s="4" t="s">
        <v>5528</v>
      </c>
      <c r="E5524" s="4" t="str">
        <f>HYPERLINK("https://app.crepc.sk/?fn=detailBiblioForm&amp;sid=B4074A4D7573537BC379B46E05")</f>
        <v>https://app.crepc.sk/?fn=detailBiblioForm&amp;sid=B4074A4D7573537BC379B46E05</v>
      </c>
    </row>
    <row r="5525" spans="3:5" ht="105" x14ac:dyDescent="0.25">
      <c r="C5525" s="15">
        <v>106189</v>
      </c>
      <c r="D5525" s="4" t="s">
        <v>5529</v>
      </c>
      <c r="E5525" s="4" t="str">
        <f>HYPERLINK("https://app.crepc.sk/?fn=detailBiblioForm&amp;sid=4D4650D7C82505D341F276FBD7")</f>
        <v>https://app.crepc.sk/?fn=detailBiblioForm&amp;sid=4D4650D7C82505D341F276FBD7</v>
      </c>
    </row>
    <row r="5526" spans="3:5" ht="75" x14ac:dyDescent="0.25">
      <c r="C5526" s="15">
        <v>91494</v>
      </c>
      <c r="D5526" s="4" t="s">
        <v>5530</v>
      </c>
      <c r="E5526" s="4" t="str">
        <f>HYPERLINK("https://app.crepc.sk/?fn=detailBiblioForm&amp;sid=88EE70CA04A52DA6E5ACAECD")</f>
        <v>https://app.crepc.sk/?fn=detailBiblioForm&amp;sid=88EE70CA04A52DA6E5ACAECD</v>
      </c>
    </row>
    <row r="5527" spans="3:5" ht="105" x14ac:dyDescent="0.25">
      <c r="C5527" s="15">
        <v>220273</v>
      </c>
      <c r="D5527" s="4" t="s">
        <v>5531</v>
      </c>
      <c r="E5527" s="4" t="str">
        <f>HYPERLINK("https://app.crepc.sk/?fn=detailBiblioForm&amp;sid=4B38D0D8E81E294B133384EA31")</f>
        <v>https://app.crepc.sk/?fn=detailBiblioForm&amp;sid=4B38D0D8E81E294B133384EA31</v>
      </c>
    </row>
    <row r="5528" spans="3:5" ht="75" x14ac:dyDescent="0.25">
      <c r="C5528" s="15">
        <v>242912</v>
      </c>
      <c r="D5528" s="4" t="s">
        <v>5532</v>
      </c>
      <c r="E5528" s="4" t="str">
        <f>HYPERLINK("https://app.crepc.sk/?fn=detailBiblioForm&amp;sid=7CB9218B6C80AB6350271CFBD7")</f>
        <v>https://app.crepc.sk/?fn=detailBiblioForm&amp;sid=7CB9218B6C80AB6350271CFBD7</v>
      </c>
    </row>
    <row r="5529" spans="3:5" ht="105" x14ac:dyDescent="0.25">
      <c r="C5529" s="15">
        <v>213953</v>
      </c>
      <c r="D5529" s="4" t="s">
        <v>5533</v>
      </c>
      <c r="E5529" s="4" t="str">
        <f>HYPERLINK("https://app.crepc.sk/?fn=detailBiblioForm&amp;sid=5C150E32B6874145FC1E418AD1")</f>
        <v>https://app.crepc.sk/?fn=detailBiblioForm&amp;sid=5C150E32B6874145FC1E418AD1</v>
      </c>
    </row>
    <row r="5530" spans="3:5" ht="105" x14ac:dyDescent="0.25">
      <c r="C5530" s="15">
        <v>187407</v>
      </c>
      <c r="D5530" s="4" t="s">
        <v>5534</v>
      </c>
      <c r="E5530" s="4" t="str">
        <f>HYPERLINK("https://app.crepc.sk/?fn=detailBiblioForm&amp;sid=E1578DECED3BC9A503A4219864")</f>
        <v>https://app.crepc.sk/?fn=detailBiblioForm&amp;sid=E1578DECED3BC9A503A4219864</v>
      </c>
    </row>
    <row r="5531" spans="3:5" ht="90" x14ac:dyDescent="0.25">
      <c r="C5531" s="15">
        <v>125619</v>
      </c>
      <c r="D5531" s="4" t="s">
        <v>5535</v>
      </c>
      <c r="E5531" s="4" t="str">
        <f>HYPERLINK("https://app.crepc.sk/?fn=detailBiblioForm&amp;sid=107B16852C902CE89C6F95D686")</f>
        <v>https://app.crepc.sk/?fn=detailBiblioForm&amp;sid=107B16852C902CE89C6F95D686</v>
      </c>
    </row>
    <row r="5532" spans="3:5" ht="90" x14ac:dyDescent="0.25">
      <c r="C5532" s="15">
        <v>52264</v>
      </c>
      <c r="D5532" s="4" t="s">
        <v>5536</v>
      </c>
      <c r="E5532" s="4" t="str">
        <f>HYPERLINK("https://app.crepc.sk/?fn=detailBiblioForm&amp;sid=3F2BC5F499B742898B1192D0")</f>
        <v>https://app.crepc.sk/?fn=detailBiblioForm&amp;sid=3F2BC5F499B742898B1192D0</v>
      </c>
    </row>
    <row r="5533" spans="3:5" ht="90" x14ac:dyDescent="0.25">
      <c r="C5533" s="15">
        <v>227836</v>
      </c>
      <c r="D5533" s="4" t="s">
        <v>5537</v>
      </c>
      <c r="E5533" s="4" t="str">
        <f>HYPERLINK("https://app.crepc.sk/?fn=detailBiblioForm&amp;sid=D57B83470BBFCEC224803FD33C")</f>
        <v>https://app.crepc.sk/?fn=detailBiblioForm&amp;sid=D57B83470BBFCEC224803FD33C</v>
      </c>
    </row>
    <row r="5534" spans="3:5" ht="75" x14ac:dyDescent="0.25">
      <c r="C5534" s="15">
        <v>417513</v>
      </c>
      <c r="D5534" s="4" t="s">
        <v>5538</v>
      </c>
      <c r="E5534" s="4" t="str">
        <f>HYPERLINK("https://app.crepc.sk/?fn=detailBiblioForm&amp;sid=7589DD7EE7DCA921902DD3EBF3")</f>
        <v>https://app.crepc.sk/?fn=detailBiblioForm&amp;sid=7589DD7EE7DCA921902DD3EBF3</v>
      </c>
    </row>
    <row r="5535" spans="3:5" ht="75" x14ac:dyDescent="0.25">
      <c r="C5535" s="15">
        <v>125588</v>
      </c>
      <c r="D5535" s="4" t="s">
        <v>5539</v>
      </c>
      <c r="E5535" s="4" t="str">
        <f>HYPERLINK("https://app.crepc.sk/?fn=detailBiblioForm&amp;sid=25B95477D9A3B8EFB1ADD0642C")</f>
        <v>https://app.crepc.sk/?fn=detailBiblioForm&amp;sid=25B95477D9A3B8EFB1ADD0642C</v>
      </c>
    </row>
    <row r="5536" spans="3:5" ht="90" x14ac:dyDescent="0.25">
      <c r="C5536" s="15">
        <v>199859</v>
      </c>
      <c r="D5536" s="4" t="s">
        <v>5540</v>
      </c>
      <c r="E5536" s="4" t="str">
        <f>HYPERLINK("https://app.crepc.sk/?fn=detailBiblioForm&amp;sid=3B3B756FD79A5CBEFE4E4FAA97")</f>
        <v>https://app.crepc.sk/?fn=detailBiblioForm&amp;sid=3B3B756FD79A5CBEFE4E4FAA97</v>
      </c>
    </row>
    <row r="5537" spans="3:5" ht="135" x14ac:dyDescent="0.25">
      <c r="C5537" s="15">
        <v>50980</v>
      </c>
      <c r="D5537" s="4" t="s">
        <v>5541</v>
      </c>
      <c r="E5537" s="4" t="str">
        <f>HYPERLINK("https://app.crepc.sk/?fn=detailBiblioForm&amp;sid=EA909239D832F78073AE64AB")</f>
        <v>https://app.crepc.sk/?fn=detailBiblioForm&amp;sid=EA909239D832F78073AE64AB</v>
      </c>
    </row>
    <row r="5538" spans="3:5" ht="90" x14ac:dyDescent="0.25">
      <c r="C5538" s="15">
        <v>219776</v>
      </c>
      <c r="D5538" s="4" t="s">
        <v>5542</v>
      </c>
      <c r="E5538" s="4" t="str">
        <f>HYPERLINK("https://app.crepc.sk/?fn=detailBiblioForm&amp;sid=8507D8D83F66E08A1929D1D393")</f>
        <v>https://app.crepc.sk/?fn=detailBiblioForm&amp;sid=8507D8D83F66E08A1929D1D393</v>
      </c>
    </row>
    <row r="5539" spans="3:5" ht="90" x14ac:dyDescent="0.25">
      <c r="C5539" s="15">
        <v>419007</v>
      </c>
      <c r="D5539" s="4" t="s">
        <v>5543</v>
      </c>
      <c r="E5539" s="4" t="str">
        <f>HYPERLINK("https://app.crepc.sk/?fn=detailBiblioForm&amp;sid=D1A8AE86DB46EECF7165276DBF")</f>
        <v>https://app.crepc.sk/?fn=detailBiblioForm&amp;sid=D1A8AE86DB46EECF7165276DBF</v>
      </c>
    </row>
    <row r="5540" spans="3:5" ht="75" x14ac:dyDescent="0.25">
      <c r="C5540" s="15">
        <v>131030</v>
      </c>
      <c r="D5540" s="4" t="s">
        <v>5544</v>
      </c>
      <c r="E5540" s="4" t="str">
        <f>HYPERLINK("https://app.crepc.sk/?fn=detailBiblioForm&amp;sid=A8CFFD80ABEAC294BB8F4D0AAA")</f>
        <v>https://app.crepc.sk/?fn=detailBiblioForm&amp;sid=A8CFFD80ABEAC294BB8F4D0AAA</v>
      </c>
    </row>
    <row r="5541" spans="3:5" ht="75" x14ac:dyDescent="0.25">
      <c r="C5541" s="15">
        <v>151145</v>
      </c>
      <c r="D5541" s="4" t="s">
        <v>5545</v>
      </c>
      <c r="E5541" s="4" t="str">
        <f>HYPERLINK("https://app.crepc.sk/?fn=detailBiblioForm&amp;sid=AF3151A314B042018E91795CD9")</f>
        <v>https://app.crepc.sk/?fn=detailBiblioForm&amp;sid=AF3151A314B042018E91795CD9</v>
      </c>
    </row>
    <row r="5542" spans="3:5" ht="75" x14ac:dyDescent="0.25">
      <c r="C5542" s="15">
        <v>229831</v>
      </c>
      <c r="D5542" s="4" t="s">
        <v>5546</v>
      </c>
      <c r="E5542" s="4" t="str">
        <f>HYPERLINK("https://app.crepc.sk/?fn=detailBiblioForm&amp;sid=3EB293E291071F59850189FBD2")</f>
        <v>https://app.crepc.sk/?fn=detailBiblioForm&amp;sid=3EB293E291071F59850189FBD2</v>
      </c>
    </row>
    <row r="5543" spans="3:5" ht="105" x14ac:dyDescent="0.25">
      <c r="C5543" s="15">
        <v>155437</v>
      </c>
      <c r="D5543" s="4" t="s">
        <v>5547</v>
      </c>
      <c r="E5543" s="4" t="str">
        <f>HYPERLINK("https://app.crepc.sk/?fn=detailBiblioForm&amp;sid=3E2A224FFF078FAB5DCB34B012")</f>
        <v>https://app.crepc.sk/?fn=detailBiblioForm&amp;sid=3E2A224FFF078FAB5DCB34B012</v>
      </c>
    </row>
    <row r="5544" spans="3:5" ht="75" x14ac:dyDescent="0.25">
      <c r="C5544" s="15">
        <v>314142</v>
      </c>
      <c r="D5544" s="4" t="s">
        <v>5548</v>
      </c>
      <c r="E5544" s="4" t="str">
        <f>HYPERLINK("https://app.crepc.sk/?fn=detailBiblioForm&amp;sid=C11437276931E1270A3119387C")</f>
        <v>https://app.crepc.sk/?fn=detailBiblioForm&amp;sid=C11437276931E1270A3119387C</v>
      </c>
    </row>
    <row r="5545" spans="3:5" ht="90" x14ac:dyDescent="0.25">
      <c r="C5545" s="15">
        <v>226596</v>
      </c>
      <c r="D5545" s="4" t="s">
        <v>5549</v>
      </c>
      <c r="E5545" s="4" t="str">
        <f>HYPERLINK("https://app.crepc.sk/?fn=detailBiblioForm&amp;sid=1A96CD219DD6F1D8F45D31CBF0")</f>
        <v>https://app.crepc.sk/?fn=detailBiblioForm&amp;sid=1A96CD219DD6F1D8F45D31CBF0</v>
      </c>
    </row>
    <row r="5546" spans="3:5" ht="90" x14ac:dyDescent="0.25">
      <c r="C5546" s="15">
        <v>429195</v>
      </c>
      <c r="D5546" s="4" t="s">
        <v>5550</v>
      </c>
      <c r="E5546" s="4" t="str">
        <f>HYPERLINK("https://app.crepc.sk/?fn=detailBiblioForm&amp;sid=1F960971EB794925EBF73E5078")</f>
        <v>https://app.crepc.sk/?fn=detailBiblioForm&amp;sid=1F960971EB794925EBF73E5078</v>
      </c>
    </row>
    <row r="5547" spans="3:5" ht="75" x14ac:dyDescent="0.25">
      <c r="C5547" s="15">
        <v>429454</v>
      </c>
      <c r="D5547" s="4" t="s">
        <v>5551</v>
      </c>
      <c r="E5547" s="4" t="str">
        <f>HYPERLINK("https://app.crepc.sk/?fn=detailBiblioForm&amp;sid=E8A29C648C5DE1742BB44FDFA1")</f>
        <v>https://app.crepc.sk/?fn=detailBiblioForm&amp;sid=E8A29C648C5DE1742BB44FDFA1</v>
      </c>
    </row>
    <row r="5548" spans="3:5" ht="105" x14ac:dyDescent="0.25">
      <c r="C5548" s="15">
        <v>180555</v>
      </c>
      <c r="D5548" s="4" t="s">
        <v>5552</v>
      </c>
      <c r="E5548" s="4" t="str">
        <f>HYPERLINK("https://app.crepc.sk/?fn=detailBiblioForm&amp;sid=F33BEAA28AB422A4F11B03D707")</f>
        <v>https://app.crepc.sk/?fn=detailBiblioForm&amp;sid=F33BEAA28AB422A4F11B03D707</v>
      </c>
    </row>
    <row r="5549" spans="3:5" ht="90" x14ac:dyDescent="0.25">
      <c r="C5549" s="15">
        <v>151313</v>
      </c>
      <c r="D5549" s="4" t="s">
        <v>5553</v>
      </c>
      <c r="E5549" s="4" t="str">
        <f>HYPERLINK("https://app.crepc.sk/?fn=detailBiblioForm&amp;sid=11002ED4121AC482A8BB0BF396")</f>
        <v>https://app.crepc.sk/?fn=detailBiblioForm&amp;sid=11002ED4121AC482A8BB0BF396</v>
      </c>
    </row>
    <row r="5550" spans="3:5" ht="75" x14ac:dyDescent="0.25">
      <c r="C5550" s="15">
        <v>62581</v>
      </c>
      <c r="D5550" s="4" t="s">
        <v>5554</v>
      </c>
      <c r="E5550" s="4" t="str">
        <f>HYPERLINK("https://app.crepc.sk/?fn=detailBiblioForm&amp;sid=2DC4BE7B22A7BFC57E635EDA")</f>
        <v>https://app.crepc.sk/?fn=detailBiblioForm&amp;sid=2DC4BE7B22A7BFC57E635EDA</v>
      </c>
    </row>
    <row r="5551" spans="3:5" ht="75" x14ac:dyDescent="0.25">
      <c r="C5551" s="15">
        <v>177114</v>
      </c>
      <c r="D5551" s="4" t="s">
        <v>5555</v>
      </c>
      <c r="E5551" s="4" t="str">
        <f>HYPERLINK("https://app.crepc.sk/?fn=detailBiblioForm&amp;sid=880D977B60C8641DD2EC4F8A55")</f>
        <v>https://app.crepc.sk/?fn=detailBiblioForm&amp;sid=880D977B60C8641DD2EC4F8A55</v>
      </c>
    </row>
    <row r="5552" spans="3:5" ht="105" x14ac:dyDescent="0.25">
      <c r="C5552" s="15">
        <v>205306</v>
      </c>
      <c r="D5552" s="4" t="s">
        <v>5556</v>
      </c>
      <c r="E5552" s="4" t="str">
        <f>HYPERLINK("https://app.crepc.sk/?fn=detailBiblioForm&amp;sid=E9C3436983E65A172783933C2B")</f>
        <v>https://app.crepc.sk/?fn=detailBiblioForm&amp;sid=E9C3436983E65A172783933C2B</v>
      </c>
    </row>
    <row r="5553" spans="3:5" ht="105" x14ac:dyDescent="0.25">
      <c r="C5553" s="15">
        <v>431242</v>
      </c>
      <c r="D5553" s="4" t="s">
        <v>5557</v>
      </c>
      <c r="E5553" s="4" t="str">
        <f>HYPERLINK("https://app.crepc.sk/?fn=detailBiblioForm&amp;sid=2EFD0E802C0D5BD5589A41F823")</f>
        <v>https://app.crepc.sk/?fn=detailBiblioForm&amp;sid=2EFD0E802C0D5BD5589A41F823</v>
      </c>
    </row>
    <row r="5554" spans="3:5" ht="105" x14ac:dyDescent="0.25">
      <c r="C5554" s="15">
        <v>315454</v>
      </c>
      <c r="D5554" s="4" t="s">
        <v>5558</v>
      </c>
      <c r="E5554" s="4" t="str">
        <f>HYPERLINK("https://app.crepc.sk/?fn=detailBiblioForm&amp;sid=D6A415B53B85E30B9ED962509B")</f>
        <v>https://app.crepc.sk/?fn=detailBiblioForm&amp;sid=D6A415B53B85E30B9ED962509B</v>
      </c>
    </row>
    <row r="5555" spans="3:5" ht="75" x14ac:dyDescent="0.25">
      <c r="C5555" s="15">
        <v>82385</v>
      </c>
      <c r="D5555" s="4" t="s">
        <v>5559</v>
      </c>
      <c r="E5555" s="4" t="str">
        <f>HYPERLINK("https://app.crepc.sk/?fn=detailBiblioForm&amp;sid=EA54913F2596D94CDE3D91B0")</f>
        <v>https://app.crepc.sk/?fn=detailBiblioForm&amp;sid=EA54913F2596D94CDE3D91B0</v>
      </c>
    </row>
    <row r="5556" spans="3:5" ht="105" x14ac:dyDescent="0.25">
      <c r="C5556" s="15">
        <v>58556</v>
      </c>
      <c r="D5556" s="4" t="s">
        <v>5560</v>
      </c>
      <c r="E5556" s="4" t="str">
        <f>HYPERLINK("https://app.crepc.sk/?fn=detailBiblioForm&amp;sid=C3FDB6F540F335CB6436634A")</f>
        <v>https://app.crepc.sk/?fn=detailBiblioForm&amp;sid=C3FDB6F540F335CB6436634A</v>
      </c>
    </row>
    <row r="5557" spans="3:5" ht="90" x14ac:dyDescent="0.25">
      <c r="C5557" s="15">
        <v>432790</v>
      </c>
      <c r="D5557" s="4" t="s">
        <v>5561</v>
      </c>
      <c r="E5557" s="4" t="str">
        <f>HYPERLINK("https://app.crepc.sk/?fn=detailBiblioForm&amp;sid=91973449B9DED6545D10A96A9B")</f>
        <v>https://app.crepc.sk/?fn=detailBiblioForm&amp;sid=91973449B9DED6545D10A96A9B</v>
      </c>
    </row>
    <row r="5558" spans="3:5" ht="75" x14ac:dyDescent="0.25">
      <c r="C5558" s="15">
        <v>190419</v>
      </c>
      <c r="D5558" s="4" t="s">
        <v>5562</v>
      </c>
      <c r="E5558" s="4" t="str">
        <f>HYPERLINK("https://app.crepc.sk/?fn=detailBiblioForm&amp;sid=44C906722BA4054C591A3B52D0")</f>
        <v>https://app.crepc.sk/?fn=detailBiblioForm&amp;sid=44C906722BA4054C591A3B52D0</v>
      </c>
    </row>
    <row r="5559" spans="3:5" ht="90" x14ac:dyDescent="0.25">
      <c r="C5559" s="15">
        <v>413877</v>
      </c>
      <c r="D5559" s="4" t="s">
        <v>5563</v>
      </c>
      <c r="E5559" s="4" t="str">
        <f>HYPERLINK("https://app.crepc.sk/?fn=detailBiblioForm&amp;sid=0666E4DD92649C3D165A7B444D")</f>
        <v>https://app.crepc.sk/?fn=detailBiblioForm&amp;sid=0666E4DD92649C3D165A7B444D</v>
      </c>
    </row>
    <row r="5560" spans="3:5" ht="90" x14ac:dyDescent="0.25">
      <c r="C5560" s="15">
        <v>315460</v>
      </c>
      <c r="D5560" s="4" t="s">
        <v>5564</v>
      </c>
      <c r="E5560" s="4" t="str">
        <f>HYPERLINK("https://app.crepc.sk/?fn=detailBiblioForm&amp;sid=D6A415B53B85E30B9DDD62509B")</f>
        <v>https://app.crepc.sk/?fn=detailBiblioForm&amp;sid=D6A415B53B85E30B9DDD62509B</v>
      </c>
    </row>
    <row r="5561" spans="3:5" ht="75" x14ac:dyDescent="0.25">
      <c r="C5561" s="15">
        <v>150712</v>
      </c>
      <c r="D5561" s="4" t="s">
        <v>5565</v>
      </c>
      <c r="E5561" s="4" t="str">
        <f>HYPERLINK("https://app.crepc.sk/?fn=detailBiblioForm&amp;sid=4ABE047C0F04576E2D0C55E493")</f>
        <v>https://app.crepc.sk/?fn=detailBiblioForm&amp;sid=4ABE047C0F04576E2D0C55E493</v>
      </c>
    </row>
    <row r="5562" spans="3:5" ht="105" x14ac:dyDescent="0.25">
      <c r="C5562" s="15">
        <v>59444</v>
      </c>
      <c r="D5562" s="4" t="s">
        <v>5566</v>
      </c>
      <c r="E5562" s="4" t="str">
        <f>HYPERLINK("https://app.crepc.sk/?fn=detailBiblioForm&amp;sid=80A36274E7B3308BDD36B6D6")</f>
        <v>https://app.crepc.sk/?fn=detailBiblioForm&amp;sid=80A36274E7B3308BDD36B6D6</v>
      </c>
    </row>
    <row r="5563" spans="3:5" ht="90" x14ac:dyDescent="0.25">
      <c r="C5563" s="15">
        <v>137494</v>
      </c>
      <c r="D5563" s="4" t="s">
        <v>5567</v>
      </c>
      <c r="E5563" s="4" t="str">
        <f>HYPERLINK("https://app.crepc.sk/?fn=detailBiblioForm&amp;sid=981A08F934759E43ED2437079B")</f>
        <v>https://app.crepc.sk/?fn=detailBiblioForm&amp;sid=981A08F934759E43ED2437079B</v>
      </c>
    </row>
    <row r="5564" spans="3:5" ht="75" x14ac:dyDescent="0.25">
      <c r="C5564" s="15">
        <v>152219</v>
      </c>
      <c r="D5564" s="4" t="s">
        <v>5568</v>
      </c>
      <c r="E5564" s="4" t="str">
        <f>HYPERLINK("https://app.crepc.sk/?fn=detailBiblioForm&amp;sid=C3244647CD7CB0B778796FBDAB")</f>
        <v>https://app.crepc.sk/?fn=detailBiblioForm&amp;sid=C3244647CD7CB0B778796FBDAB</v>
      </c>
    </row>
    <row r="5565" spans="3:5" ht="105" x14ac:dyDescent="0.25">
      <c r="C5565" s="15">
        <v>245963</v>
      </c>
      <c r="D5565" s="4" t="s">
        <v>5569</v>
      </c>
      <c r="E5565" s="4" t="str">
        <f>HYPERLINK("https://app.crepc.sk/?fn=detailBiblioForm&amp;sid=B4074A4D7573537BC173B46E05")</f>
        <v>https://app.crepc.sk/?fn=detailBiblioForm&amp;sid=B4074A4D7573537BC173B46E05</v>
      </c>
    </row>
    <row r="5566" spans="3:5" ht="75" x14ac:dyDescent="0.25">
      <c r="C5566" s="15">
        <v>168347</v>
      </c>
      <c r="D5566" s="4" t="s">
        <v>5570</v>
      </c>
      <c r="E5566" s="4" t="str">
        <f>HYPERLINK("https://app.crepc.sk/?fn=detailBiblioForm&amp;sid=5795EDEC5E3EE6CF73B706C750")</f>
        <v>https://app.crepc.sk/?fn=detailBiblioForm&amp;sid=5795EDEC5E3EE6CF73B706C750</v>
      </c>
    </row>
    <row r="5567" spans="3:5" ht="75" x14ac:dyDescent="0.25">
      <c r="C5567" s="15">
        <v>183158</v>
      </c>
      <c r="D5567" s="4" t="s">
        <v>5571</v>
      </c>
      <c r="E5567" s="4" t="str">
        <f>HYPERLINK("https://app.crepc.sk/?fn=detailBiblioForm&amp;sid=38EFE54B98F197D5BE1BEA12EF")</f>
        <v>https://app.crepc.sk/?fn=detailBiblioForm&amp;sid=38EFE54B98F197D5BE1BEA12EF</v>
      </c>
    </row>
    <row r="5568" spans="3:5" ht="90" x14ac:dyDescent="0.25">
      <c r="C5568" s="15">
        <v>432848</v>
      </c>
      <c r="D5568" s="4" t="s">
        <v>5572</v>
      </c>
      <c r="E5568" s="4" t="str">
        <f>HYPERLINK("https://app.crepc.sk/?fn=detailBiblioForm&amp;sid=60947673AC094B86B4625A089E")</f>
        <v>https://app.crepc.sk/?fn=detailBiblioForm&amp;sid=60947673AC094B86B4625A089E</v>
      </c>
    </row>
    <row r="5569" spans="3:5" ht="75" x14ac:dyDescent="0.25">
      <c r="C5569" s="15">
        <v>217654</v>
      </c>
      <c r="D5569" s="4" t="s">
        <v>5573</v>
      </c>
      <c r="E5569" s="4" t="str">
        <f>HYPERLINK("https://app.crepc.sk/?fn=detailBiblioForm&amp;sid=DB0D4AC0076DAAFDC76D9FF450")</f>
        <v>https://app.crepc.sk/?fn=detailBiblioForm&amp;sid=DB0D4AC0076DAAFDC76D9FF450</v>
      </c>
    </row>
    <row r="5570" spans="3:5" ht="90" x14ac:dyDescent="0.25">
      <c r="C5570" s="15">
        <v>73229</v>
      </c>
      <c r="D5570" s="4" t="s">
        <v>5574</v>
      </c>
      <c r="E5570" s="4" t="str">
        <f>HYPERLINK("https://app.crepc.sk/?fn=detailBiblioForm&amp;sid=7B537834402C27276DBE9C5C")</f>
        <v>https://app.crepc.sk/?fn=detailBiblioForm&amp;sid=7B537834402C27276DBE9C5C</v>
      </c>
    </row>
    <row r="5571" spans="3:5" ht="75" x14ac:dyDescent="0.25">
      <c r="C5571" s="15">
        <v>433326</v>
      </c>
      <c r="D5571" s="4" t="s">
        <v>5575</v>
      </c>
      <c r="E5571" s="4" t="str">
        <f>HYPERLINK("https://app.crepc.sk/?fn=detailBiblioForm&amp;sid=E96E6EA66B9B1358766774684F")</f>
        <v>https://app.crepc.sk/?fn=detailBiblioForm&amp;sid=E96E6EA66B9B1358766774684F</v>
      </c>
    </row>
    <row r="5572" spans="3:5" ht="90" x14ac:dyDescent="0.25">
      <c r="C5572" s="15">
        <v>152374</v>
      </c>
      <c r="D5572" s="4" t="s">
        <v>5576</v>
      </c>
      <c r="E5572" s="4" t="str">
        <f>HYPERLINK("https://app.crepc.sk/?fn=detailBiblioForm&amp;sid=B7A4F0D5DE0EE4D8FE5218DB64")</f>
        <v>https://app.crepc.sk/?fn=detailBiblioForm&amp;sid=B7A4F0D5DE0EE4D8FE5218DB64</v>
      </c>
    </row>
    <row r="5573" spans="3:5" ht="90" x14ac:dyDescent="0.25">
      <c r="C5573" s="15">
        <v>168366</v>
      </c>
      <c r="D5573" s="4" t="s">
        <v>5577</v>
      </c>
      <c r="E5573" s="4" t="str">
        <f>HYPERLINK("https://app.crepc.sk/?fn=detailBiblioForm&amp;sid=5795EDEC5E3EE6CF71B606C750")</f>
        <v>https://app.crepc.sk/?fn=detailBiblioForm&amp;sid=5795EDEC5E3EE6CF71B606C750</v>
      </c>
    </row>
    <row r="5574" spans="3:5" ht="90" x14ac:dyDescent="0.25">
      <c r="C5574" s="15">
        <v>187146</v>
      </c>
      <c r="D5574" s="4" t="s">
        <v>5578</v>
      </c>
      <c r="E5574" s="4" t="str">
        <f>HYPERLINK("https://app.crepc.sk/?fn=detailBiblioForm&amp;sid=C218772124E30DDCC006E0B66E")</f>
        <v>https://app.crepc.sk/?fn=detailBiblioForm&amp;sid=C218772124E30DDCC006E0B66E</v>
      </c>
    </row>
    <row r="5575" spans="3:5" ht="105" x14ac:dyDescent="0.25">
      <c r="C5575" s="15">
        <v>425956</v>
      </c>
      <c r="D5575" s="4" t="s">
        <v>5579</v>
      </c>
      <c r="E5575" s="4" t="str">
        <f>HYPERLINK("https://app.crepc.sk/?fn=detailBiblioForm&amp;sid=42EF06429873272B34E0990B8C")</f>
        <v>https://app.crepc.sk/?fn=detailBiblioForm&amp;sid=42EF06429873272B34E0990B8C</v>
      </c>
    </row>
    <row r="5576" spans="3:5" ht="75" x14ac:dyDescent="0.25">
      <c r="C5576" s="15">
        <v>52273</v>
      </c>
      <c r="D5576" s="4" t="s">
        <v>5580</v>
      </c>
      <c r="E5576" s="4" t="str">
        <f>HYPERLINK("https://app.crepc.sk/?fn=detailBiblioForm&amp;sid=CEB5E8CB362707923A8F206D")</f>
        <v>https://app.crepc.sk/?fn=detailBiblioForm&amp;sid=CEB5E8CB362707923A8F206D</v>
      </c>
    </row>
    <row r="5577" spans="3:5" ht="75" x14ac:dyDescent="0.25">
      <c r="C5577" s="15">
        <v>173067</v>
      </c>
      <c r="D5577" s="4" t="s">
        <v>5581</v>
      </c>
      <c r="E5577" s="4" t="str">
        <f>HYPERLINK("https://app.crepc.sk/?fn=detailBiblioForm&amp;sid=DD4AECDD61273E16FE3C9290AB")</f>
        <v>https://app.crepc.sk/?fn=detailBiblioForm&amp;sid=DD4AECDD61273E16FE3C9290AB</v>
      </c>
    </row>
    <row r="5578" spans="3:5" ht="105" x14ac:dyDescent="0.25">
      <c r="C5578" s="15">
        <v>91259</v>
      </c>
      <c r="D5578" s="4" t="s">
        <v>5582</v>
      </c>
      <c r="E5578" s="4" t="str">
        <f>HYPERLINK("https://app.crepc.sk/?fn=detailBiblioForm&amp;sid=FBD3F66457607FEDD86C0900")</f>
        <v>https://app.crepc.sk/?fn=detailBiblioForm&amp;sid=FBD3F66457607FEDD86C0900</v>
      </c>
    </row>
    <row r="5579" spans="3:5" ht="105" x14ac:dyDescent="0.25">
      <c r="C5579" s="15">
        <v>163080</v>
      </c>
      <c r="D5579" s="4" t="s">
        <v>5583</v>
      </c>
      <c r="E5579" s="4" t="str">
        <f>HYPERLINK("https://app.crepc.sk/?fn=detailBiblioForm&amp;sid=50FE609ECAA3CD9EE8C801F139")</f>
        <v>https://app.crepc.sk/?fn=detailBiblioForm&amp;sid=50FE609ECAA3CD9EE8C801F139</v>
      </c>
    </row>
    <row r="5580" spans="3:5" ht="90" x14ac:dyDescent="0.25">
      <c r="C5580" s="15">
        <v>173219</v>
      </c>
      <c r="D5580" s="4" t="s">
        <v>5584</v>
      </c>
      <c r="E5580" s="4" t="str">
        <f>HYPERLINK("https://app.crepc.sk/?fn=detailBiblioForm&amp;sid=7950E184AA7EAF4CBC89985512")</f>
        <v>https://app.crepc.sk/?fn=detailBiblioForm&amp;sid=7950E184AA7EAF4CBC89985512</v>
      </c>
    </row>
    <row r="5581" spans="3:5" ht="90" x14ac:dyDescent="0.25">
      <c r="C5581" s="15">
        <v>150954</v>
      </c>
      <c r="D5581" s="4" t="s">
        <v>5585</v>
      </c>
      <c r="E5581" s="4" t="str">
        <f>HYPERLINK("https://app.crepc.sk/?fn=detailBiblioForm&amp;sid=1DDC86077D8354F3A6FEF2B260")</f>
        <v>https://app.crepc.sk/?fn=detailBiblioForm&amp;sid=1DDC86077D8354F3A6FEF2B260</v>
      </c>
    </row>
    <row r="5582" spans="3:5" ht="120" x14ac:dyDescent="0.25">
      <c r="C5582" s="15">
        <v>192463</v>
      </c>
      <c r="D5582" s="4" t="s">
        <v>5586</v>
      </c>
      <c r="E5582" s="4" t="str">
        <f>HYPERLINK("https://app.crepc.sk/?fn=detailBiblioForm&amp;sid=76A044AA0B04CBA208C410FD9A")</f>
        <v>https://app.crepc.sk/?fn=detailBiblioForm&amp;sid=76A044AA0B04CBA208C410FD9A</v>
      </c>
    </row>
    <row r="5583" spans="3:5" ht="105" x14ac:dyDescent="0.25">
      <c r="C5583" s="15">
        <v>78564</v>
      </c>
      <c r="D5583" s="4" t="s">
        <v>5587</v>
      </c>
      <c r="E5583" s="4" t="str">
        <f>HYPERLINK("https://app.crepc.sk/?fn=detailBiblioForm&amp;sid=337269D4684537A1FCBCF3FB")</f>
        <v>https://app.crepc.sk/?fn=detailBiblioForm&amp;sid=337269D4684537A1FCBCF3FB</v>
      </c>
    </row>
    <row r="5584" spans="3:5" ht="90" x14ac:dyDescent="0.25">
      <c r="C5584" s="15">
        <v>196329</v>
      </c>
      <c r="D5584" s="4" t="s">
        <v>5588</v>
      </c>
      <c r="E5584" s="4" t="str">
        <f>HYPERLINK("https://app.crepc.sk/?fn=detailBiblioForm&amp;sid=B266BCB7099DA32805356EAD58")</f>
        <v>https://app.crepc.sk/?fn=detailBiblioForm&amp;sid=B266BCB7099DA32805356EAD58</v>
      </c>
    </row>
    <row r="5585" spans="3:5" ht="120" x14ac:dyDescent="0.25">
      <c r="C5585" s="15">
        <v>55824</v>
      </c>
      <c r="D5585" s="4" t="s">
        <v>5589</v>
      </c>
      <c r="E5585" s="4" t="str">
        <f>HYPERLINK("https://app.crepc.sk/?fn=detailBiblioForm&amp;sid=4D8E724B40AF3318984B5794")</f>
        <v>https://app.crepc.sk/?fn=detailBiblioForm&amp;sid=4D8E724B40AF3318984B5794</v>
      </c>
    </row>
    <row r="5586" spans="3:5" ht="75" x14ac:dyDescent="0.25">
      <c r="C5586" s="15">
        <v>252803</v>
      </c>
      <c r="D5586" s="4" t="s">
        <v>5590</v>
      </c>
      <c r="E5586" s="4" t="str">
        <f>HYPERLINK("https://app.crepc.sk/?fn=detailBiblioForm&amp;sid=3B4FE26A2D4F4524B0592F930C")</f>
        <v>https://app.crepc.sk/?fn=detailBiblioForm&amp;sid=3B4FE26A2D4F4524B0592F930C</v>
      </c>
    </row>
    <row r="5587" spans="3:5" ht="105" x14ac:dyDescent="0.25">
      <c r="C5587" s="15">
        <v>82428</v>
      </c>
      <c r="D5587" s="4" t="s">
        <v>5591</v>
      </c>
      <c r="E5587" s="4" t="str">
        <f>HYPERLINK("https://app.crepc.sk/?fn=detailBiblioForm&amp;sid=1EADEEEC578893591460EA26")</f>
        <v>https://app.crepc.sk/?fn=detailBiblioForm&amp;sid=1EADEEEC578893591460EA26</v>
      </c>
    </row>
    <row r="5588" spans="3:5" ht="75" x14ac:dyDescent="0.25">
      <c r="C5588" s="15">
        <v>84450</v>
      </c>
      <c r="D5588" s="4" t="s">
        <v>5592</v>
      </c>
      <c r="E5588" s="4" t="str">
        <f>HYPERLINK("https://app.crepc.sk/?fn=detailBiblioForm&amp;sid=B130255FDB75D9D2D09D9BF9")</f>
        <v>https://app.crepc.sk/?fn=detailBiblioForm&amp;sid=B130255FDB75D9D2D09D9BF9</v>
      </c>
    </row>
    <row r="5589" spans="3:5" ht="105" x14ac:dyDescent="0.25">
      <c r="C5589" s="15">
        <v>131746</v>
      </c>
      <c r="D5589" s="4" t="s">
        <v>5593</v>
      </c>
      <c r="E5589" s="4" t="str">
        <f>HYPERLINK("https://app.crepc.sk/?fn=detailBiblioForm&amp;sid=25EF2F987A3BF400FE4BE7722F")</f>
        <v>https://app.crepc.sk/?fn=detailBiblioForm&amp;sid=25EF2F987A3BF400FE4BE7722F</v>
      </c>
    </row>
    <row r="5590" spans="3:5" ht="75" x14ac:dyDescent="0.25">
      <c r="C5590" s="15">
        <v>91625</v>
      </c>
      <c r="D5590" s="4" t="s">
        <v>5594</v>
      </c>
      <c r="E5590" s="4" t="str">
        <f>HYPERLINK("https://app.crepc.sk/?fn=detailBiblioForm&amp;sid=355C6908B17EB76F16FD052A")</f>
        <v>https://app.crepc.sk/?fn=detailBiblioForm&amp;sid=355C6908B17EB76F16FD052A</v>
      </c>
    </row>
    <row r="5591" spans="3:5" ht="120" x14ac:dyDescent="0.25">
      <c r="C5591" s="15">
        <v>61973</v>
      </c>
      <c r="D5591" s="4" t="s">
        <v>5595</v>
      </c>
      <c r="E5591" s="4" t="str">
        <f>HYPERLINK("https://app.crepc.sk/?fn=detailBiblioForm&amp;sid=F6F91C3AC303DB459FC5456D")</f>
        <v>https://app.crepc.sk/?fn=detailBiblioForm&amp;sid=F6F91C3AC303DB459FC5456D</v>
      </c>
    </row>
    <row r="5592" spans="3:5" ht="75" x14ac:dyDescent="0.25">
      <c r="C5592" s="15">
        <v>177459</v>
      </c>
      <c r="D5592" s="4" t="s">
        <v>5596</v>
      </c>
      <c r="E5592" s="4" t="str">
        <f>HYPERLINK("https://app.crepc.sk/?fn=detailBiblioForm&amp;sid=30EAE6FD1E2AFEEA13CEC90A95")</f>
        <v>https://app.crepc.sk/?fn=detailBiblioForm&amp;sid=30EAE6FD1E2AFEEA13CEC90A95</v>
      </c>
    </row>
    <row r="5593" spans="3:5" ht="60" x14ac:dyDescent="0.25">
      <c r="C5593" s="15">
        <v>91468</v>
      </c>
      <c r="D5593" s="4" t="s">
        <v>5597</v>
      </c>
      <c r="E5593" s="4" t="str">
        <f>HYPERLINK("https://app.crepc.sk/?fn=detailBiblioForm&amp;sid=F9CE0C74392113DA8A42E288")</f>
        <v>https://app.crepc.sk/?fn=detailBiblioForm&amp;sid=F9CE0C74392113DA8A42E288</v>
      </c>
    </row>
    <row r="5594" spans="3:5" ht="90" x14ac:dyDescent="0.25">
      <c r="C5594" s="15">
        <v>82359</v>
      </c>
      <c r="D5594" s="4" t="s">
        <v>5598</v>
      </c>
      <c r="E5594" s="4" t="str">
        <f>HYPERLINK("https://app.crepc.sk/?fn=detailBiblioForm&amp;sid=9D8582FDE146570AE1B7363F")</f>
        <v>https://app.crepc.sk/?fn=detailBiblioForm&amp;sid=9D8582FDE146570AE1B7363F</v>
      </c>
    </row>
    <row r="5595" spans="3:5" ht="105" x14ac:dyDescent="0.25">
      <c r="C5595" s="15">
        <v>219783</v>
      </c>
      <c r="D5595" s="4" t="s">
        <v>5599</v>
      </c>
      <c r="E5595" s="4" t="str">
        <f>HYPERLINK("https://app.crepc.sk/?fn=detailBiblioForm&amp;sid=8507D8D83F66E08A162CD1D393")</f>
        <v>https://app.crepc.sk/?fn=detailBiblioForm&amp;sid=8507D8D83F66E08A162CD1D393</v>
      </c>
    </row>
    <row r="5596" spans="3:5" ht="90" x14ac:dyDescent="0.25">
      <c r="C5596" s="15">
        <v>153590</v>
      </c>
      <c r="D5596" s="4" t="s">
        <v>5600</v>
      </c>
      <c r="E5596" s="4" t="str">
        <f>HYPERLINK("https://app.crepc.sk/?fn=detailBiblioForm&amp;sid=4941C88D1B52BB1BC0EED8F8FD")</f>
        <v>https://app.crepc.sk/?fn=detailBiblioForm&amp;sid=4941C88D1B52BB1BC0EED8F8FD</v>
      </c>
    </row>
    <row r="5597" spans="3:5" ht="120" x14ac:dyDescent="0.25">
      <c r="C5597" s="15">
        <v>74260</v>
      </c>
      <c r="D5597" s="4" t="s">
        <v>5601</v>
      </c>
      <c r="E5597" s="4" t="str">
        <f>HYPERLINK("https://app.crepc.sk/?fn=detailBiblioForm&amp;sid=EB7522C0F830DE3F15DA0B77")</f>
        <v>https://app.crepc.sk/?fn=detailBiblioForm&amp;sid=EB7522C0F830DE3F15DA0B77</v>
      </c>
    </row>
    <row r="5598" spans="3:5" ht="75" x14ac:dyDescent="0.25">
      <c r="C5598" s="15">
        <v>183157</v>
      </c>
      <c r="D5598" s="4" t="s">
        <v>5602</v>
      </c>
      <c r="E5598" s="4" t="str">
        <f>HYPERLINK("https://app.crepc.sk/?fn=detailBiblioForm&amp;sid=38EFE54B98F197D5BE14EA12EF")</f>
        <v>https://app.crepc.sk/?fn=detailBiblioForm&amp;sid=38EFE54B98F197D5BE14EA12EF</v>
      </c>
    </row>
    <row r="5599" spans="3:5" ht="90" x14ac:dyDescent="0.25">
      <c r="C5599" s="15">
        <v>68189</v>
      </c>
      <c r="D5599" s="4" t="s">
        <v>5603</v>
      </c>
      <c r="E5599" s="4" t="str">
        <f>HYPERLINK("https://app.crepc.sk/?fn=detailBiblioForm&amp;sid=A40872BCA980A70939E089DD")</f>
        <v>https://app.crepc.sk/?fn=detailBiblioForm&amp;sid=A40872BCA980A70939E089DD</v>
      </c>
    </row>
    <row r="5600" spans="3:5" ht="75" x14ac:dyDescent="0.25">
      <c r="C5600" s="15">
        <v>118137</v>
      </c>
      <c r="D5600" s="4" t="s">
        <v>5604</v>
      </c>
      <c r="E5600" s="4" t="str">
        <f>HYPERLINK("https://app.crepc.sk/?fn=detailBiblioForm&amp;sid=F5F9E12263A2DE48770C1B6A59")</f>
        <v>https://app.crepc.sk/?fn=detailBiblioForm&amp;sid=F5F9E12263A2DE48770C1B6A59</v>
      </c>
    </row>
    <row r="5601" spans="3:5" ht="90" x14ac:dyDescent="0.25">
      <c r="C5601" s="15">
        <v>91509</v>
      </c>
      <c r="D5601" s="4" t="s">
        <v>5605</v>
      </c>
      <c r="E5601" s="4" t="str">
        <f>HYPERLINK("https://app.crepc.sk/?fn=detailBiblioForm&amp;sid=7F1E72704F99F14266EB434F")</f>
        <v>https://app.crepc.sk/?fn=detailBiblioForm&amp;sid=7F1E72704F99F14266EB434F</v>
      </c>
    </row>
    <row r="5602" spans="3:5" ht="105" x14ac:dyDescent="0.25">
      <c r="C5602" s="15">
        <v>422691</v>
      </c>
      <c r="D5602" s="4" t="s">
        <v>5606</v>
      </c>
      <c r="E5602" s="4" t="str">
        <f>HYPERLINK("https://app.crepc.sk/?fn=detailBiblioForm&amp;sid=595C10E2453401361A8C7F4B15")</f>
        <v>https://app.crepc.sk/?fn=detailBiblioForm&amp;sid=595C10E2453401361A8C7F4B15</v>
      </c>
    </row>
    <row r="5603" spans="3:5" ht="75" x14ac:dyDescent="0.25">
      <c r="C5603" s="15">
        <v>417631</v>
      </c>
      <c r="D5603" s="4" t="s">
        <v>5607</v>
      </c>
      <c r="E5603" s="4" t="str">
        <f>HYPERLINK("https://app.crepc.sk/?fn=detailBiblioForm&amp;sid=676FD403E639DD7B268396CB75")</f>
        <v>https://app.crepc.sk/?fn=detailBiblioForm&amp;sid=676FD403E639DD7B268396CB75</v>
      </c>
    </row>
    <row r="5604" spans="3:5" ht="75" x14ac:dyDescent="0.25">
      <c r="C5604" s="15">
        <v>314138</v>
      </c>
      <c r="D5604" s="4" t="s">
        <v>5608</v>
      </c>
      <c r="E5604" s="4" t="str">
        <f>HYPERLINK("https://app.crepc.sk/?fn=detailBiblioForm&amp;sid=C11437276931E1270D3B19387C")</f>
        <v>https://app.crepc.sk/?fn=detailBiblioForm&amp;sid=C11437276931E1270D3B19387C</v>
      </c>
    </row>
    <row r="5605" spans="3:5" ht="90" x14ac:dyDescent="0.25">
      <c r="C5605" s="15">
        <v>181828</v>
      </c>
      <c r="D5605" s="4" t="s">
        <v>5609</v>
      </c>
      <c r="E5605" s="4" t="str">
        <f>HYPERLINK("https://app.crepc.sk/?fn=detailBiblioForm&amp;sid=2AE6DDBEFC900DBBA052C42A90")</f>
        <v>https://app.crepc.sk/?fn=detailBiblioForm&amp;sid=2AE6DDBEFC900DBBA052C42A90</v>
      </c>
    </row>
    <row r="5606" spans="3:5" ht="75" x14ac:dyDescent="0.25">
      <c r="C5606" s="15">
        <v>191864</v>
      </c>
      <c r="D5606" s="4" t="s">
        <v>5610</v>
      </c>
      <c r="E5606" s="4" t="str">
        <f>HYPERLINK("https://app.crepc.sk/?fn=detailBiblioForm&amp;sid=F514B72FB7D42B76097F472845")</f>
        <v>https://app.crepc.sk/?fn=detailBiblioForm&amp;sid=F514B72FB7D42B76097F472845</v>
      </c>
    </row>
    <row r="5607" spans="3:5" ht="105" x14ac:dyDescent="0.25">
      <c r="C5607" s="15">
        <v>312125</v>
      </c>
      <c r="D5607" s="4" t="s">
        <v>5611</v>
      </c>
      <c r="E5607" s="4" t="str">
        <f>HYPERLINK("https://app.crepc.sk/?fn=detailBiblioForm&amp;sid=F437EB8E22CB50A25AC9D95AC6")</f>
        <v>https://app.crepc.sk/?fn=detailBiblioForm&amp;sid=F437EB8E22CB50A25AC9D95AC6</v>
      </c>
    </row>
    <row r="5608" spans="3:5" ht="75" x14ac:dyDescent="0.25">
      <c r="C5608" s="15">
        <v>132264</v>
      </c>
      <c r="D5608" s="4" t="s">
        <v>5612</v>
      </c>
      <c r="E5608" s="4" t="str">
        <f>HYPERLINK("https://app.crepc.sk/?fn=detailBiblioForm&amp;sid=D50C3B9973047BD9911950B270")</f>
        <v>https://app.crepc.sk/?fn=detailBiblioForm&amp;sid=D50C3B9973047BD9911950B270</v>
      </c>
    </row>
    <row r="5609" spans="3:5" ht="90" x14ac:dyDescent="0.25">
      <c r="C5609" s="15">
        <v>230112</v>
      </c>
      <c r="D5609" s="4" t="s">
        <v>5613</v>
      </c>
      <c r="E5609" s="4" t="str">
        <f>HYPERLINK("https://app.crepc.sk/?fn=detailBiblioForm&amp;sid=49F6F4DB78CA98AD363731639D")</f>
        <v>https://app.crepc.sk/?fn=detailBiblioForm&amp;sid=49F6F4DB78CA98AD363731639D</v>
      </c>
    </row>
    <row r="5610" spans="3:5" ht="90" x14ac:dyDescent="0.25">
      <c r="C5610" s="15">
        <v>188714</v>
      </c>
      <c r="D5610" s="4" t="s">
        <v>5614</v>
      </c>
      <c r="E5610" s="4" t="str">
        <f>HYPERLINK("https://app.crepc.sk/?fn=detailBiblioForm&amp;sid=97F87A75B254238B027EDD60C8")</f>
        <v>https://app.crepc.sk/?fn=detailBiblioForm&amp;sid=97F87A75B254238B027EDD60C8</v>
      </c>
    </row>
    <row r="5611" spans="3:5" ht="90" x14ac:dyDescent="0.25">
      <c r="C5611" s="15">
        <v>221216</v>
      </c>
      <c r="D5611" s="4" t="s">
        <v>5615</v>
      </c>
      <c r="E5611" s="4" t="str">
        <f>HYPERLINK("https://app.crepc.sk/?fn=detailBiblioForm&amp;sid=62435F0A620EC90AC85503E392")</f>
        <v>https://app.crepc.sk/?fn=detailBiblioForm&amp;sid=62435F0A620EC90AC85503E392</v>
      </c>
    </row>
    <row r="5612" spans="3:5" ht="75" x14ac:dyDescent="0.25">
      <c r="C5612" s="15">
        <v>173071</v>
      </c>
      <c r="D5612" s="4" t="s">
        <v>5616</v>
      </c>
      <c r="E5612" s="4" t="str">
        <f>HYPERLINK("https://app.crepc.sk/?fn=detailBiblioForm&amp;sid=DD4AECDD61273E16FF3A9290AB")</f>
        <v>https://app.crepc.sk/?fn=detailBiblioForm&amp;sid=DD4AECDD61273E16FF3A9290AB</v>
      </c>
    </row>
    <row r="5613" spans="3:5" ht="90" x14ac:dyDescent="0.25">
      <c r="C5613" s="15">
        <v>168364</v>
      </c>
      <c r="D5613" s="4" t="s">
        <v>5617</v>
      </c>
      <c r="E5613" s="4" t="str">
        <f>HYPERLINK("https://app.crepc.sk/?fn=detailBiblioForm&amp;sid=5795EDEC5E3EE6CF71B406C750")</f>
        <v>https://app.crepc.sk/?fn=detailBiblioForm&amp;sid=5795EDEC5E3EE6CF71B406C750</v>
      </c>
    </row>
    <row r="5614" spans="3:5" ht="90" x14ac:dyDescent="0.25">
      <c r="C5614" s="15">
        <v>223731</v>
      </c>
      <c r="D5614" s="4" t="s">
        <v>5618</v>
      </c>
      <c r="E5614" s="4" t="str">
        <f>HYPERLINK("https://app.crepc.sk/?fn=detailBiblioForm&amp;sid=8D98A3A16644BBD0E3E8F73DA8")</f>
        <v>https://app.crepc.sk/?fn=detailBiblioForm&amp;sid=8D98A3A16644BBD0E3E8F73DA8</v>
      </c>
    </row>
    <row r="5615" spans="3:5" ht="75" x14ac:dyDescent="0.25">
      <c r="C5615" s="15">
        <v>445733</v>
      </c>
      <c r="D5615" s="4" t="s">
        <v>5619</v>
      </c>
      <c r="E5615" s="4" t="str">
        <f>HYPERLINK("https://app.crepc.sk/?fn=detailBiblioForm&amp;sid=1281F4184BCA3CDC8A8815CD82")</f>
        <v>https://app.crepc.sk/?fn=detailBiblioForm&amp;sid=1281F4184BCA3CDC8A8815CD82</v>
      </c>
    </row>
    <row r="5616" spans="3:5" ht="75" x14ac:dyDescent="0.25">
      <c r="C5616" s="15">
        <v>445585</v>
      </c>
      <c r="D5616" s="4" t="s">
        <v>5620</v>
      </c>
      <c r="E5616" s="4" t="str">
        <f>HYPERLINK("https://app.crepc.sk/?fn=detailBiblioForm&amp;sid=8D2AC4920F73DA82E7126A262A")</f>
        <v>https://app.crepc.sk/?fn=detailBiblioForm&amp;sid=8D2AC4920F73DA82E7126A262A</v>
      </c>
    </row>
    <row r="5617" spans="3:5" ht="105" x14ac:dyDescent="0.25">
      <c r="C5617" s="15">
        <v>61950</v>
      </c>
      <c r="D5617" s="4" t="s">
        <v>5621</v>
      </c>
      <c r="E5617" s="4" t="str">
        <f>HYPERLINK("https://app.crepc.sk/?fn=detailBiblioForm&amp;sid=110F1F7E57C796B9F3C3594E")</f>
        <v>https://app.crepc.sk/?fn=detailBiblioForm&amp;sid=110F1F7E57C796B9F3C3594E</v>
      </c>
    </row>
    <row r="5618" spans="3:5" ht="75" x14ac:dyDescent="0.25">
      <c r="C5618" s="15">
        <v>229840</v>
      </c>
      <c r="D5618" s="4" t="s">
        <v>5622</v>
      </c>
      <c r="E5618" s="4" t="str">
        <f>HYPERLINK("https://app.crepc.sk/?fn=detailBiblioForm&amp;sid=3EB293E291071F59820089FBD2")</f>
        <v>https://app.crepc.sk/?fn=detailBiblioForm&amp;sid=3EB293E291071F59820089FBD2</v>
      </c>
    </row>
    <row r="5619" spans="3:5" ht="75" x14ac:dyDescent="0.25">
      <c r="C5619" s="15">
        <v>95727</v>
      </c>
      <c r="D5619" s="4" t="s">
        <v>5623</v>
      </c>
      <c r="E5619" s="4" t="str">
        <f>HYPERLINK("https://app.crepc.sk/?fn=detailBiblioForm&amp;sid=2E5FB2463919E216060B7FF1")</f>
        <v>https://app.crepc.sk/?fn=detailBiblioForm&amp;sid=2E5FB2463919E216060B7FF1</v>
      </c>
    </row>
    <row r="5620" spans="3:5" ht="75" x14ac:dyDescent="0.25">
      <c r="C5620" s="15">
        <v>432851</v>
      </c>
      <c r="D5620" s="4" t="s">
        <v>5624</v>
      </c>
      <c r="E5620" s="4" t="str">
        <f>HYPERLINK("https://app.crepc.sk/?fn=detailBiblioForm&amp;sid=60947673AC094B86B56B5A089E")</f>
        <v>https://app.crepc.sk/?fn=detailBiblioForm&amp;sid=60947673AC094B86B56B5A089E</v>
      </c>
    </row>
    <row r="5621" spans="3:5" ht="75" x14ac:dyDescent="0.25">
      <c r="C5621" s="15">
        <v>245263</v>
      </c>
      <c r="D5621" s="4" t="s">
        <v>5625</v>
      </c>
      <c r="E5621" s="4" t="str">
        <f>HYPERLINK("https://app.crepc.sk/?fn=detailBiblioForm&amp;sid=BDD02C6927F03517770B5D9292")</f>
        <v>https://app.crepc.sk/?fn=detailBiblioForm&amp;sid=BDD02C6927F03517770B5D9292</v>
      </c>
    </row>
    <row r="5622" spans="3:5" ht="120" x14ac:dyDescent="0.25">
      <c r="C5622" s="15">
        <v>59463</v>
      </c>
      <c r="D5622" s="4" t="s">
        <v>5626</v>
      </c>
      <c r="E5622" s="4" t="str">
        <f>HYPERLINK("https://app.crepc.sk/?fn=detailBiblioForm&amp;sid=A2EDB778FFCE9B83BF2F8D88")</f>
        <v>https://app.crepc.sk/?fn=detailBiblioForm&amp;sid=A2EDB778FFCE9B83BF2F8D88</v>
      </c>
    </row>
    <row r="5623" spans="3:5" ht="90" x14ac:dyDescent="0.25">
      <c r="C5623" s="15">
        <v>137628</v>
      </c>
      <c r="D5623" s="4" t="s">
        <v>5627</v>
      </c>
      <c r="E5623" s="4" t="str">
        <f>HYPERLINK("https://app.crepc.sk/?fn=detailBiblioForm&amp;sid=2EA0EB8F50B4443ADBE3BFBE4C")</f>
        <v>https://app.crepc.sk/?fn=detailBiblioForm&amp;sid=2EA0EB8F50B4443ADBE3BFBE4C</v>
      </c>
    </row>
    <row r="5624" spans="3:5" ht="60" x14ac:dyDescent="0.25">
      <c r="C5624" s="15">
        <v>152388</v>
      </c>
      <c r="D5624" s="4" t="s">
        <v>5628</v>
      </c>
      <c r="E5624" s="4" t="str">
        <f>HYPERLINK("https://app.crepc.sk/?fn=detailBiblioForm&amp;sid=B7A4F0D5DE0EE4D8F15E18DB64")</f>
        <v>https://app.crepc.sk/?fn=detailBiblioForm&amp;sid=B7A4F0D5DE0EE4D8F15E18DB64</v>
      </c>
    </row>
    <row r="5625" spans="3:5" ht="90" x14ac:dyDescent="0.25">
      <c r="C5625" s="15">
        <v>97409</v>
      </c>
      <c r="D5625" s="4" t="s">
        <v>5629</v>
      </c>
      <c r="E5625" s="4" t="str">
        <f>HYPERLINK("https://app.crepc.sk/?fn=detailBiblioForm&amp;sid=C435B64AF858D9F8335C564C")</f>
        <v>https://app.crepc.sk/?fn=detailBiblioForm&amp;sid=C435B64AF858D9F8335C564C</v>
      </c>
    </row>
    <row r="5626" spans="3:5" ht="90" x14ac:dyDescent="0.25">
      <c r="C5626" s="15">
        <v>315646</v>
      </c>
      <c r="D5626" s="4" t="s">
        <v>5630</v>
      </c>
      <c r="E5626" s="4" t="str">
        <f>HYPERLINK("https://app.crepc.sk/?fn=detailBiblioForm&amp;sid=529BAC41B3BEAAB58E2F1F4001")</f>
        <v>https://app.crepc.sk/?fn=detailBiblioForm&amp;sid=529BAC41B3BEAAB58E2F1F4001</v>
      </c>
    </row>
    <row r="5627" spans="3:5" ht="90" x14ac:dyDescent="0.25">
      <c r="C5627" s="15">
        <v>133640</v>
      </c>
      <c r="D5627" s="4" t="s">
        <v>5631</v>
      </c>
      <c r="E5627" s="4" t="str">
        <f>HYPERLINK("https://app.crepc.sk/?fn=detailBiblioForm&amp;sid=843FECD318613D3B13ECA125F3")</f>
        <v>https://app.crepc.sk/?fn=detailBiblioForm&amp;sid=843FECD318613D3B13ECA125F3</v>
      </c>
    </row>
    <row r="5628" spans="3:5" ht="75" x14ac:dyDescent="0.25">
      <c r="C5628" s="15">
        <v>191613</v>
      </c>
      <c r="D5628" s="4" t="s">
        <v>5632</v>
      </c>
      <c r="E5628" s="4" t="str">
        <f>HYPERLINK("https://app.crepc.sk/?fn=detailBiblioForm&amp;sid=2BD2C66034D627EB7804C4F76F")</f>
        <v>https://app.crepc.sk/?fn=detailBiblioForm&amp;sid=2BD2C66034D627EB7804C4F76F</v>
      </c>
    </row>
    <row r="5629" spans="3:5" ht="75" x14ac:dyDescent="0.25">
      <c r="C5629" s="15">
        <v>70611</v>
      </c>
      <c r="D5629" s="4" t="s">
        <v>5633</v>
      </c>
      <c r="E5629" s="4" t="str">
        <f>HYPERLINK("https://app.crepc.sk/?fn=detailBiblioForm&amp;sid=7529044B0A12D2B5C7DD4B18")</f>
        <v>https://app.crepc.sk/?fn=detailBiblioForm&amp;sid=7529044B0A12D2B5C7DD4B18</v>
      </c>
    </row>
    <row r="5630" spans="3:5" ht="60" x14ac:dyDescent="0.25">
      <c r="C5630" s="15">
        <v>67205</v>
      </c>
      <c r="D5630" s="4" t="s">
        <v>5634</v>
      </c>
      <c r="E5630" s="4" t="str">
        <f>HYPERLINK("https://app.crepc.sk/?fn=detailBiblioForm&amp;sid=878B508AA13E32A8506A999C")</f>
        <v>https://app.crepc.sk/?fn=detailBiblioForm&amp;sid=878B508AA13E32A8506A999C</v>
      </c>
    </row>
    <row r="5631" spans="3:5" ht="75" x14ac:dyDescent="0.25">
      <c r="C5631" s="15">
        <v>52248</v>
      </c>
      <c r="D5631" s="4" t="s">
        <v>5635</v>
      </c>
      <c r="E5631" s="4" t="str">
        <f>HYPERLINK("https://app.crepc.sk/?fn=detailBiblioForm&amp;sid=987C43C12E015E1CA0E3F569")</f>
        <v>https://app.crepc.sk/?fn=detailBiblioForm&amp;sid=987C43C12E015E1CA0E3F569</v>
      </c>
    </row>
    <row r="5632" spans="3:5" ht="75" x14ac:dyDescent="0.25">
      <c r="C5632" s="15">
        <v>193049</v>
      </c>
      <c r="D5632" s="4" t="s">
        <v>5636</v>
      </c>
      <c r="E5632" s="4" t="str">
        <f>HYPERLINK("https://app.crepc.sk/?fn=detailBiblioForm&amp;sid=574F2F10DB8DFA9B7133A06CC1")</f>
        <v>https://app.crepc.sk/?fn=detailBiblioForm&amp;sid=574F2F10DB8DFA9B7133A06CC1</v>
      </c>
    </row>
    <row r="5633" spans="3:5" ht="90" x14ac:dyDescent="0.25">
      <c r="C5633" s="15">
        <v>179822</v>
      </c>
      <c r="D5633" s="4" t="s">
        <v>5637</v>
      </c>
      <c r="E5633" s="4" t="str">
        <f>HYPERLINK("https://app.crepc.sk/?fn=detailBiblioForm&amp;sid=1EA8DF3C7C88A4423DA343445F")</f>
        <v>https://app.crepc.sk/?fn=detailBiblioForm&amp;sid=1EA8DF3C7C88A4423DA343445F</v>
      </c>
    </row>
    <row r="5634" spans="3:5" ht="75" x14ac:dyDescent="0.25">
      <c r="C5634" s="15">
        <v>77597</v>
      </c>
      <c r="D5634" s="4" t="s">
        <v>5638</v>
      </c>
      <c r="E5634" s="4" t="str">
        <f>HYPERLINK("https://app.crepc.sk/?fn=detailBiblioForm&amp;sid=53C925FF696E921980C1773A")</f>
        <v>https://app.crepc.sk/?fn=detailBiblioForm&amp;sid=53C925FF696E921980C1773A</v>
      </c>
    </row>
    <row r="5635" spans="3:5" ht="75" x14ac:dyDescent="0.25">
      <c r="C5635" s="15">
        <v>416384</v>
      </c>
      <c r="D5635" s="4" t="s">
        <v>5639</v>
      </c>
      <c r="E5635" s="4" t="str">
        <f>HYPERLINK("https://app.crepc.sk/?fn=detailBiblioForm&amp;sid=02D97EB19DA28A2B9A281F2725")</f>
        <v>https://app.crepc.sk/?fn=detailBiblioForm&amp;sid=02D97EB19DA28A2B9A281F2725</v>
      </c>
    </row>
    <row r="5636" spans="3:5" ht="75" x14ac:dyDescent="0.25">
      <c r="C5636" s="15">
        <v>431502</v>
      </c>
      <c r="D5636" s="4" t="s">
        <v>5640</v>
      </c>
      <c r="E5636" s="4" t="str">
        <f>HYPERLINK("https://app.crepc.sk/?fn=detailBiblioForm&amp;sid=2DB25D5D0CF930F824335944D3")</f>
        <v>https://app.crepc.sk/?fn=detailBiblioForm&amp;sid=2DB25D5D0CF930F824335944D3</v>
      </c>
    </row>
    <row r="5637" spans="3:5" ht="75" x14ac:dyDescent="0.25">
      <c r="C5637" s="15">
        <v>96644</v>
      </c>
      <c r="D5637" s="4" t="s">
        <v>5641</v>
      </c>
      <c r="E5637" s="4" t="str">
        <f>HYPERLINK("https://app.crepc.sk/?fn=detailBiblioForm&amp;sid=D508AB38C1B2E1FE4A5104FA")</f>
        <v>https://app.crepc.sk/?fn=detailBiblioForm&amp;sid=D508AB38C1B2E1FE4A5104FA</v>
      </c>
    </row>
    <row r="5638" spans="3:5" ht="75" x14ac:dyDescent="0.25">
      <c r="C5638" s="15">
        <v>146249</v>
      </c>
      <c r="D5638" s="4" t="s">
        <v>5642</v>
      </c>
      <c r="E5638" s="4" t="str">
        <f>HYPERLINK("https://app.crepc.sk/?fn=detailBiblioForm&amp;sid=0847CB681108BF2ACE6B5F0E3C")</f>
        <v>https://app.crepc.sk/?fn=detailBiblioForm&amp;sid=0847CB681108BF2ACE6B5F0E3C</v>
      </c>
    </row>
    <row r="5639" spans="3:5" ht="90" x14ac:dyDescent="0.25">
      <c r="C5639" s="15">
        <v>146021</v>
      </c>
      <c r="D5639" s="4" t="s">
        <v>5643</v>
      </c>
      <c r="E5639" s="4" t="str">
        <f>HYPERLINK("https://app.crepc.sk/?fn=detailBiblioForm&amp;sid=6F91D8ED6CD6362D922E31705F")</f>
        <v>https://app.crepc.sk/?fn=detailBiblioForm&amp;sid=6F91D8ED6CD6362D922E31705F</v>
      </c>
    </row>
    <row r="5640" spans="3:5" ht="75" x14ac:dyDescent="0.25">
      <c r="C5640" s="15">
        <v>150699</v>
      </c>
      <c r="D5640" s="4" t="s">
        <v>5644</v>
      </c>
      <c r="E5640" s="4" t="str">
        <f>HYPERLINK("https://app.crepc.sk/?fn=detailBiblioForm&amp;sid=E06C6FAF64E52D017541EB472B")</f>
        <v>https://app.crepc.sk/?fn=detailBiblioForm&amp;sid=E06C6FAF64E52D017541EB472B</v>
      </c>
    </row>
    <row r="5641" spans="3:5" ht="75" x14ac:dyDescent="0.25">
      <c r="C5641" s="15">
        <v>316220</v>
      </c>
      <c r="D5641" s="4" t="s">
        <v>5645</v>
      </c>
      <c r="E5641" s="4" t="str">
        <f>HYPERLINK("https://app.crepc.sk/?fn=detailBiblioForm&amp;sid=791E4A260FB3471CCAB4FEBA13")</f>
        <v>https://app.crepc.sk/?fn=detailBiblioForm&amp;sid=791E4A260FB3471CCAB4FEBA13</v>
      </c>
    </row>
    <row r="5642" spans="3:5" ht="90" x14ac:dyDescent="0.25">
      <c r="C5642" s="15">
        <v>141436</v>
      </c>
      <c r="D5642" s="4" t="s">
        <v>5646</v>
      </c>
      <c r="E5642" s="4" t="str">
        <f>HYPERLINK("https://app.crepc.sk/?fn=detailBiblioForm&amp;sid=FF44C990A7CA883E4C88308485")</f>
        <v>https://app.crepc.sk/?fn=detailBiblioForm&amp;sid=FF44C990A7CA883E4C88308485</v>
      </c>
    </row>
    <row r="5643" spans="3:5" ht="75" x14ac:dyDescent="0.25">
      <c r="C5643" s="15">
        <v>97414</v>
      </c>
      <c r="D5643" s="4" t="s">
        <v>5647</v>
      </c>
      <c r="E5643" s="4" t="str">
        <f>HYPERLINK("https://app.crepc.sk/?fn=detailBiblioForm&amp;sid=3E064B5AE480F56256907E7E")</f>
        <v>https://app.crepc.sk/?fn=detailBiblioForm&amp;sid=3E064B5AE480F56256907E7E</v>
      </c>
    </row>
    <row r="5644" spans="3:5" ht="60" x14ac:dyDescent="0.25">
      <c r="C5644" s="15">
        <v>134597</v>
      </c>
      <c r="D5644" s="4" t="s">
        <v>5648</v>
      </c>
      <c r="E5644" s="4" t="str">
        <f>HYPERLINK("https://app.crepc.sk/?fn=detailBiblioForm&amp;sid=595CC72A314F5A34542B4AB6EE")</f>
        <v>https://app.crepc.sk/?fn=detailBiblioForm&amp;sid=595CC72A314F5A34542B4AB6EE</v>
      </c>
    </row>
    <row r="5645" spans="3:5" ht="90" x14ac:dyDescent="0.25">
      <c r="C5645" s="15">
        <v>138722</v>
      </c>
      <c r="D5645" s="4" t="s">
        <v>5649</v>
      </c>
      <c r="E5645" s="4" t="str">
        <f>HYPERLINK("https://app.crepc.sk/?fn=detailBiblioForm&amp;sid=B05445C3B1156175C2C5E1ECCB")</f>
        <v>https://app.crepc.sk/?fn=detailBiblioForm&amp;sid=B05445C3B1156175C2C5E1ECCB</v>
      </c>
    </row>
    <row r="5646" spans="3:5" ht="90" x14ac:dyDescent="0.25">
      <c r="C5646" s="15">
        <v>56528</v>
      </c>
      <c r="D5646" s="4" t="s">
        <v>5650</v>
      </c>
      <c r="E5646" s="4" t="str">
        <f>HYPERLINK("https://app.crepc.sk/?fn=detailBiblioForm&amp;sid=CB1A8E296B195D4CF1782F22")</f>
        <v>https://app.crepc.sk/?fn=detailBiblioForm&amp;sid=CB1A8E296B195D4CF1782F22</v>
      </c>
    </row>
    <row r="5647" spans="3:5" ht="90" x14ac:dyDescent="0.25">
      <c r="C5647" s="15">
        <v>83385</v>
      </c>
      <c r="D5647" s="4" t="s">
        <v>5651</v>
      </c>
      <c r="E5647" s="4" t="str">
        <f>HYPERLINK("https://app.crepc.sk/?fn=detailBiblioForm&amp;sid=C589EC2D5793797CC4AB3D29")</f>
        <v>https://app.crepc.sk/?fn=detailBiblioForm&amp;sid=C589EC2D5793797CC4AB3D29</v>
      </c>
    </row>
    <row r="5648" spans="3:5" ht="75" x14ac:dyDescent="0.25">
      <c r="C5648" s="15">
        <v>198315</v>
      </c>
      <c r="D5648" s="4" t="s">
        <v>5652</v>
      </c>
      <c r="E5648" s="4" t="str">
        <f>HYPERLINK("https://app.crepc.sk/?fn=detailBiblioForm&amp;sid=3846160BBFC2BE06B5D7C2F294")</f>
        <v>https://app.crepc.sk/?fn=detailBiblioForm&amp;sid=3846160BBFC2BE06B5D7C2F294</v>
      </c>
    </row>
    <row r="5649" spans="3:5" ht="120" x14ac:dyDescent="0.25">
      <c r="C5649" s="15">
        <v>55823</v>
      </c>
      <c r="D5649" s="4" t="s">
        <v>5653</v>
      </c>
      <c r="E5649" s="4" t="str">
        <f>HYPERLINK("https://app.crepc.sk/?fn=detailBiblioForm&amp;sid=4D8E724B40AF33189F4B5794")</f>
        <v>https://app.crepc.sk/?fn=detailBiblioForm&amp;sid=4D8E724B40AF33189F4B5794</v>
      </c>
    </row>
    <row r="5650" spans="3:5" ht="75" x14ac:dyDescent="0.25">
      <c r="C5650" s="15">
        <v>126493</v>
      </c>
      <c r="D5650" s="4" t="s">
        <v>5654</v>
      </c>
      <c r="E5650" s="4" t="str">
        <f>HYPERLINK("https://app.crepc.sk/?fn=detailBiblioForm&amp;sid=D06FCBD82F9002B64F45B097C2")</f>
        <v>https://app.crepc.sk/?fn=detailBiblioForm&amp;sid=D06FCBD82F9002B64F45B097C2</v>
      </c>
    </row>
    <row r="5651" spans="3:5" ht="90" x14ac:dyDescent="0.25">
      <c r="C5651" s="15">
        <v>223705</v>
      </c>
      <c r="D5651" s="4" t="s">
        <v>5655</v>
      </c>
      <c r="E5651" s="4" t="str">
        <f>HYPERLINK("https://app.crepc.sk/?fn=detailBiblioForm&amp;sid=8D98A3A16644BBD0E0ECF73DA8")</f>
        <v>https://app.crepc.sk/?fn=detailBiblioForm&amp;sid=8D98A3A16644BBD0E0ECF73DA8</v>
      </c>
    </row>
    <row r="5652" spans="3:5" ht="75" x14ac:dyDescent="0.25">
      <c r="C5652" s="15">
        <v>104439</v>
      </c>
      <c r="D5652" s="4" t="s">
        <v>5656</v>
      </c>
      <c r="E5652" s="4" t="str">
        <f>HYPERLINK("https://app.crepc.sk/?fn=detailBiblioForm&amp;sid=700937AB85C3474AB0E4026B2D")</f>
        <v>https://app.crepc.sk/?fn=detailBiblioForm&amp;sid=700937AB85C3474AB0E4026B2D</v>
      </c>
    </row>
    <row r="5653" spans="3:5" ht="90" x14ac:dyDescent="0.25">
      <c r="C5653" s="15">
        <v>58880</v>
      </c>
      <c r="D5653" s="4" t="s">
        <v>5657</v>
      </c>
      <c r="E5653" s="4" t="str">
        <f>HYPERLINK("https://app.crepc.sk/?fn=detailBiblioForm&amp;sid=8CEC6F3FE12CD631599873A0")</f>
        <v>https://app.crepc.sk/?fn=detailBiblioForm&amp;sid=8CEC6F3FE12CD631599873A0</v>
      </c>
    </row>
    <row r="5654" spans="3:5" ht="150" x14ac:dyDescent="0.25">
      <c r="C5654" s="15">
        <v>118661</v>
      </c>
      <c r="D5654" s="4" t="s">
        <v>5658</v>
      </c>
      <c r="E5654" s="4" t="str">
        <f>HYPERLINK("https://app.crepc.sk/?fn=detailBiblioForm&amp;sid=6B4985DCE924C343C7F0A4E6C1")</f>
        <v>https://app.crepc.sk/?fn=detailBiblioForm&amp;sid=6B4985DCE924C343C7F0A4E6C1</v>
      </c>
    </row>
    <row r="5655" spans="3:5" ht="75" x14ac:dyDescent="0.25">
      <c r="C5655" s="15">
        <v>194761</v>
      </c>
      <c r="D5655" s="4" t="s">
        <v>5659</v>
      </c>
      <c r="E5655" s="4" t="str">
        <f>HYPERLINK("https://app.crepc.sk/?fn=detailBiblioForm&amp;sid=2FEED85A3FCEFC83C7E9E02009")</f>
        <v>https://app.crepc.sk/?fn=detailBiblioForm&amp;sid=2FEED85A3FCEFC83C7E9E02009</v>
      </c>
    </row>
    <row r="5656" spans="3:5" ht="90" x14ac:dyDescent="0.25">
      <c r="C5656" s="15">
        <v>70621</v>
      </c>
      <c r="D5656" s="4" t="s">
        <v>5660</v>
      </c>
      <c r="E5656" s="4" t="str">
        <f>HYPERLINK("https://app.crepc.sk/?fn=detailBiblioForm&amp;sid=C3C40E19D04B7C2B5A24287A")</f>
        <v>https://app.crepc.sk/?fn=detailBiblioForm&amp;sid=C3C40E19D04B7C2B5A24287A</v>
      </c>
    </row>
    <row r="5657" spans="3:5" ht="90" x14ac:dyDescent="0.25">
      <c r="C5657" s="15">
        <v>217537</v>
      </c>
      <c r="D5657" s="4" t="s">
        <v>5661</v>
      </c>
      <c r="E5657" s="4" t="str">
        <f>HYPERLINK("https://app.crepc.sk/?fn=detailBiblioForm&amp;sid=452F3B911AFBF2A94157792B4D")</f>
        <v>https://app.crepc.sk/?fn=detailBiblioForm&amp;sid=452F3B911AFBF2A94157792B4D</v>
      </c>
    </row>
    <row r="5658" spans="3:5" ht="90" x14ac:dyDescent="0.25">
      <c r="C5658" s="15">
        <v>226589</v>
      </c>
      <c r="D5658" s="4" t="s">
        <v>5662</v>
      </c>
      <c r="E5658" s="4" t="str">
        <f>HYPERLINK("https://app.crepc.sk/?fn=detailBiblioForm&amp;sid=1A96CD219DD6F1D8F55231CBF0")</f>
        <v>https://app.crepc.sk/?fn=detailBiblioForm&amp;sid=1A96CD219DD6F1D8F55231CBF0</v>
      </c>
    </row>
    <row r="5659" spans="3:5" ht="75" x14ac:dyDescent="0.25">
      <c r="C5659" s="15">
        <v>86880</v>
      </c>
      <c r="D5659" s="4" t="s">
        <v>5663</v>
      </c>
      <c r="E5659" s="4" t="str">
        <f>HYPERLINK("https://app.crepc.sk/?fn=detailBiblioForm&amp;sid=611AE863A77D366CD4F0D649")</f>
        <v>https://app.crepc.sk/?fn=detailBiblioForm&amp;sid=611AE863A77D366CD4F0D649</v>
      </c>
    </row>
    <row r="5660" spans="3:5" ht="75" x14ac:dyDescent="0.25">
      <c r="C5660" s="15">
        <v>240133</v>
      </c>
      <c r="D5660" s="4" t="s">
        <v>5664</v>
      </c>
      <c r="E5660" s="4" t="str">
        <f>HYPERLINK("https://app.crepc.sk/?fn=detailBiblioForm&amp;sid=8C03137733E1322944EEB71FC2")</f>
        <v>https://app.crepc.sk/?fn=detailBiblioForm&amp;sid=8C03137733E1322944EEB71FC2</v>
      </c>
    </row>
    <row r="5661" spans="3:5" ht="75" x14ac:dyDescent="0.25">
      <c r="C5661" s="15">
        <v>195944</v>
      </c>
      <c r="D5661" s="4" t="s">
        <v>5665</v>
      </c>
      <c r="E5661" s="4" t="str">
        <f>HYPERLINK("https://app.crepc.sk/?fn=detailBiblioForm&amp;sid=D0FFB1787B7ACE98BB54689ACF")</f>
        <v>https://app.crepc.sk/?fn=detailBiblioForm&amp;sid=D0FFB1787B7ACE98BB54689ACF</v>
      </c>
    </row>
    <row r="5662" spans="3:5" ht="60" x14ac:dyDescent="0.25">
      <c r="C5662" s="15">
        <v>250051</v>
      </c>
      <c r="D5662" s="4" t="s">
        <v>5666</v>
      </c>
      <c r="E5662" s="4" t="str">
        <f>HYPERLINK("https://app.crepc.sk/?fn=detailBiblioForm&amp;sid=5F2F72C3CC7769B44A6E312769")</f>
        <v>https://app.crepc.sk/?fn=detailBiblioForm&amp;sid=5F2F72C3CC7769B44A6E312769</v>
      </c>
    </row>
    <row r="5663" spans="3:5" ht="90" x14ac:dyDescent="0.25">
      <c r="C5663" s="15">
        <v>149378</v>
      </c>
      <c r="D5663" s="4" t="s">
        <v>5667</v>
      </c>
      <c r="E5663" s="4" t="str">
        <f>HYPERLINK("https://app.crepc.sk/?fn=detailBiblioForm&amp;sid=D01AE3E6A036F3F65F85797264")</f>
        <v>https://app.crepc.sk/?fn=detailBiblioForm&amp;sid=D01AE3E6A036F3F65F85797264</v>
      </c>
    </row>
    <row r="5664" spans="3:5" ht="90" x14ac:dyDescent="0.25">
      <c r="C5664" s="15">
        <v>164898</v>
      </c>
      <c r="D5664" s="4" t="s">
        <v>5668</v>
      </c>
      <c r="E5664" s="4" t="str">
        <f>HYPERLINK("https://app.crepc.sk/?fn=detailBiblioForm&amp;sid=B5E6096D0905A43EE106760FCE")</f>
        <v>https://app.crepc.sk/?fn=detailBiblioForm&amp;sid=B5E6096D0905A43EE106760FCE</v>
      </c>
    </row>
    <row r="5665" spans="3:5" ht="90" x14ac:dyDescent="0.25">
      <c r="C5665" s="15">
        <v>181836</v>
      </c>
      <c r="D5665" s="4" t="s">
        <v>5669</v>
      </c>
      <c r="E5665" s="4" t="str">
        <f>HYPERLINK("https://app.crepc.sk/?fn=detailBiblioForm&amp;sid=2AE6DDBEFC900DBBA15CC42A90")</f>
        <v>https://app.crepc.sk/?fn=detailBiblioForm&amp;sid=2AE6DDBEFC900DBBA15CC42A90</v>
      </c>
    </row>
    <row r="5666" spans="3:5" ht="90" x14ac:dyDescent="0.25">
      <c r="C5666" s="15">
        <v>57749</v>
      </c>
      <c r="D5666" s="4" t="s">
        <v>5670</v>
      </c>
      <c r="E5666" s="4" t="str">
        <f>HYPERLINK("https://app.crepc.sk/?fn=detailBiblioForm&amp;sid=489C401CFB5CAD60235F9EF3")</f>
        <v>https://app.crepc.sk/?fn=detailBiblioForm&amp;sid=489C401CFB5CAD60235F9EF3</v>
      </c>
    </row>
    <row r="5667" spans="3:5" ht="75" x14ac:dyDescent="0.25">
      <c r="C5667" s="15">
        <v>95800</v>
      </c>
      <c r="D5667" s="4" t="s">
        <v>5671</v>
      </c>
      <c r="E5667" s="4" t="str">
        <f>HYPERLINK("https://app.crepc.sk/?fn=detailBiblioForm&amp;sid=93C353EEE8CFB3C87BDF1E94")</f>
        <v>https://app.crepc.sk/?fn=detailBiblioForm&amp;sid=93C353EEE8CFB3C87BDF1E94</v>
      </c>
    </row>
    <row r="5668" spans="3:5" ht="75" x14ac:dyDescent="0.25">
      <c r="C5668" s="15">
        <v>95877</v>
      </c>
      <c r="D5668" s="4" t="s">
        <v>5672</v>
      </c>
      <c r="E5668" s="4" t="str">
        <f>HYPERLINK("https://app.crepc.sk/?fn=detailBiblioForm&amp;sid=A01AE44F0CC17C3E33D23FB7")</f>
        <v>https://app.crepc.sk/?fn=detailBiblioForm&amp;sid=A01AE44F0CC17C3E33D23FB7</v>
      </c>
    </row>
    <row r="5669" spans="3:5" ht="75" x14ac:dyDescent="0.25">
      <c r="C5669" s="15">
        <v>91438</v>
      </c>
      <c r="D5669" s="4" t="s">
        <v>5673</v>
      </c>
      <c r="E5669" s="4" t="str">
        <f>HYPERLINK("https://app.crepc.sk/?fn=detailBiblioForm&amp;sid=9463D53000D96791377DD177")</f>
        <v>https://app.crepc.sk/?fn=detailBiblioForm&amp;sid=9463D53000D96791377DD177</v>
      </c>
    </row>
    <row r="5670" spans="3:5" ht="90" x14ac:dyDescent="0.25">
      <c r="C5670" s="15">
        <v>245952</v>
      </c>
      <c r="D5670" s="4" t="s">
        <v>5674</v>
      </c>
      <c r="E5670" s="4" t="str">
        <f>HYPERLINK("https://app.crepc.sk/?fn=detailBiblioForm&amp;sid=B4074A4D7573537BC272B46E05")</f>
        <v>https://app.crepc.sk/?fn=detailBiblioForm&amp;sid=B4074A4D7573537BC272B46E05</v>
      </c>
    </row>
    <row r="5671" spans="3:5" ht="75" x14ac:dyDescent="0.25">
      <c r="C5671" s="15">
        <v>418837</v>
      </c>
      <c r="D5671" s="4" t="s">
        <v>5675</v>
      </c>
      <c r="E5671" s="4" t="str">
        <f>HYPERLINK("https://app.crepc.sk/?fn=detailBiblioForm&amp;sid=40391BE0B569A787E48A3F90A0")</f>
        <v>https://app.crepc.sk/?fn=detailBiblioForm&amp;sid=40391BE0B569A787E48A3F90A0</v>
      </c>
    </row>
    <row r="5672" spans="3:5" ht="75" x14ac:dyDescent="0.25">
      <c r="C5672" s="15">
        <v>192122</v>
      </c>
      <c r="D5672" s="4" t="s">
        <v>5676</v>
      </c>
      <c r="E5672" s="4" t="str">
        <f>HYPERLINK("https://app.crepc.sk/?fn=detailBiblioForm&amp;sid=7F669382AC00D013D29F8E4A78")</f>
        <v>https://app.crepc.sk/?fn=detailBiblioForm&amp;sid=7F669382AC00D013D29F8E4A78</v>
      </c>
    </row>
    <row r="5673" spans="3:5" ht="90" x14ac:dyDescent="0.25">
      <c r="C5673" s="15">
        <v>125752</v>
      </c>
      <c r="D5673" s="4" t="s">
        <v>5677</v>
      </c>
      <c r="E5673" s="4" t="str">
        <f>HYPERLINK("https://app.crepc.sk/?fn=detailBiblioForm&amp;sid=4D3EF2F8D05B848E6C90397035")</f>
        <v>https://app.crepc.sk/?fn=detailBiblioForm&amp;sid=4D3EF2F8D05B848E6C90397035</v>
      </c>
    </row>
    <row r="5674" spans="3:5" ht="90" x14ac:dyDescent="0.25">
      <c r="C5674" s="15">
        <v>213950</v>
      </c>
      <c r="D5674" s="4" t="s">
        <v>5678</v>
      </c>
      <c r="E5674" s="4" t="str">
        <f>HYPERLINK("https://app.crepc.sk/?fn=detailBiblioForm&amp;sid=5C150E32B6874145FC1D418AD1")</f>
        <v>https://app.crepc.sk/?fn=detailBiblioForm&amp;sid=5C150E32B6874145FC1D418AD1</v>
      </c>
    </row>
    <row r="5675" spans="3:5" ht="90" x14ac:dyDescent="0.25">
      <c r="C5675" s="15">
        <v>229282</v>
      </c>
      <c r="D5675" s="4" t="s">
        <v>5679</v>
      </c>
      <c r="E5675" s="4" t="str">
        <f>HYPERLINK("https://app.crepc.sk/?fn=detailBiblioForm&amp;sid=AB455D64EDF69F7723F5569A20")</f>
        <v>https://app.crepc.sk/?fn=detailBiblioForm&amp;sid=AB455D64EDF69F7723F5569A20</v>
      </c>
    </row>
    <row r="5676" spans="3:5" ht="90" x14ac:dyDescent="0.25">
      <c r="C5676" s="15">
        <v>56420</v>
      </c>
      <c r="D5676" s="4" t="s">
        <v>5680</v>
      </c>
      <c r="E5676" s="4" t="str">
        <f>HYPERLINK("https://app.crepc.sk/?fn=detailBiblioForm&amp;sid=AADCC566D9D2A5C53CB56AB7")</f>
        <v>https://app.crepc.sk/?fn=detailBiblioForm&amp;sid=AADCC566D9D2A5C53CB56AB7</v>
      </c>
    </row>
    <row r="5677" spans="3:5" ht="75" x14ac:dyDescent="0.25">
      <c r="C5677" s="15">
        <v>129074</v>
      </c>
      <c r="D5677" s="4" t="s">
        <v>5681</v>
      </c>
      <c r="E5677" s="4" t="str">
        <f>HYPERLINK("https://app.crepc.sk/?fn=detailBiblioForm&amp;sid=8ED2C2B0C8CAA517FD6E6E93E7")</f>
        <v>https://app.crepc.sk/?fn=detailBiblioForm&amp;sid=8ED2C2B0C8CAA517FD6E6E93E7</v>
      </c>
    </row>
    <row r="5678" spans="3:5" ht="90" x14ac:dyDescent="0.25">
      <c r="C5678" s="15">
        <v>69870</v>
      </c>
      <c r="D5678" s="4" t="s">
        <v>5682</v>
      </c>
      <c r="E5678" s="4" t="str">
        <f>HYPERLINK("https://app.crepc.sk/?fn=detailBiblioForm&amp;sid=A1C93779A119320F04395F9D")</f>
        <v>https://app.crepc.sk/?fn=detailBiblioForm&amp;sid=A1C93779A119320F04395F9D</v>
      </c>
    </row>
    <row r="5679" spans="3:5" ht="75" x14ac:dyDescent="0.25">
      <c r="C5679" s="15">
        <v>417810</v>
      </c>
      <c r="D5679" s="4" t="s">
        <v>5683</v>
      </c>
      <c r="E5679" s="4" t="str">
        <f>HYPERLINK("https://app.crepc.sk/?fn=detailBiblioForm&amp;sid=2F54B387D39AE8BF248F29BD09")</f>
        <v>https://app.crepc.sk/?fn=detailBiblioForm&amp;sid=2F54B387D39AE8BF248F29BD09</v>
      </c>
    </row>
    <row r="5680" spans="3:5" ht="75" x14ac:dyDescent="0.25">
      <c r="C5680" s="15">
        <v>95780</v>
      </c>
      <c r="D5680" s="4" t="s">
        <v>5684</v>
      </c>
      <c r="E5680" s="4" t="str">
        <f>HYPERLINK("https://app.crepc.sk/?fn=detailBiblioForm&amp;sid=A8143EA76F051B201361960D")</f>
        <v>https://app.crepc.sk/?fn=detailBiblioForm&amp;sid=A8143EA76F051B201361960D</v>
      </c>
    </row>
    <row r="5681" spans="3:5" ht="90" x14ac:dyDescent="0.25">
      <c r="C5681" s="15">
        <v>139486</v>
      </c>
      <c r="D5681" s="4" t="s">
        <v>5685</v>
      </c>
      <c r="E5681" s="4" t="str">
        <f>HYPERLINK("https://app.crepc.sk/?fn=detailBiblioForm&amp;sid=A3F3DC538E4836F27790BE03C8")</f>
        <v>https://app.crepc.sk/?fn=detailBiblioForm&amp;sid=A3F3DC538E4836F27790BE03C8</v>
      </c>
    </row>
    <row r="5682" spans="3:5" ht="75" x14ac:dyDescent="0.25">
      <c r="C5682" s="15">
        <v>56089</v>
      </c>
      <c r="D5682" s="4" t="s">
        <v>5686</v>
      </c>
      <c r="E5682" s="4" t="str">
        <f>HYPERLINK("https://app.crepc.sk/?fn=detailBiblioForm&amp;sid=59869ECD395564D2C2297E75")</f>
        <v>https://app.crepc.sk/?fn=detailBiblioForm&amp;sid=59869ECD395564D2C2297E75</v>
      </c>
    </row>
    <row r="5683" spans="3:5" ht="90" x14ac:dyDescent="0.25">
      <c r="C5683" s="15">
        <v>96277</v>
      </c>
      <c r="D5683" s="4" t="s">
        <v>5687</v>
      </c>
      <c r="E5683" s="4" t="str">
        <f>HYPERLINK("https://app.crepc.sk/?fn=detailBiblioForm&amp;sid=62FDBBA5103A6F0171D951C3")</f>
        <v>https://app.crepc.sk/?fn=detailBiblioForm&amp;sid=62FDBBA5103A6F0171D951C3</v>
      </c>
    </row>
    <row r="5684" spans="3:5" ht="75" x14ac:dyDescent="0.25">
      <c r="C5684" s="15">
        <v>197051</v>
      </c>
      <c r="D5684" s="4" t="s">
        <v>5688</v>
      </c>
      <c r="E5684" s="4" t="str">
        <f>HYPERLINK("https://app.crepc.sk/?fn=detailBiblioForm&amp;sid=29BF53461DA84817BBD892EC81")</f>
        <v>https://app.crepc.sk/?fn=detailBiblioForm&amp;sid=29BF53461DA84817BBD892EC81</v>
      </c>
    </row>
    <row r="5685" spans="3:5" ht="105" x14ac:dyDescent="0.25">
      <c r="C5685" s="15">
        <v>226603</v>
      </c>
      <c r="D5685" s="4" t="s">
        <v>5689</v>
      </c>
      <c r="E5685" s="4" t="str">
        <f>HYPERLINK("https://app.crepc.sk/?fn=detailBiblioForm&amp;sid=EFBE3DC7BD8E060F05E505FABD")</f>
        <v>https://app.crepc.sk/?fn=detailBiblioForm&amp;sid=EFBE3DC7BD8E060F05E505FABD</v>
      </c>
    </row>
    <row r="5686" spans="3:5" ht="90" x14ac:dyDescent="0.25">
      <c r="C5686" s="15">
        <v>77964</v>
      </c>
      <c r="D5686" s="4" t="s">
        <v>5690</v>
      </c>
      <c r="E5686" s="4" t="str">
        <f>HYPERLINK("https://app.crepc.sk/?fn=detailBiblioForm&amp;sid=2C63463E5F96D86EE7D35F51")</f>
        <v>https://app.crepc.sk/?fn=detailBiblioForm&amp;sid=2C63463E5F96D86EE7D35F51</v>
      </c>
    </row>
    <row r="5687" spans="3:5" ht="105" x14ac:dyDescent="0.25">
      <c r="C5687" s="15">
        <v>57740</v>
      </c>
      <c r="D5687" s="4" t="s">
        <v>5691</v>
      </c>
      <c r="E5687" s="4" t="str">
        <f>HYPERLINK("https://app.crepc.sk/?fn=detailBiblioForm&amp;sid=489C401CFB5CAD602A5F9EF3")</f>
        <v>https://app.crepc.sk/?fn=detailBiblioForm&amp;sid=489C401CFB5CAD602A5F9EF3</v>
      </c>
    </row>
    <row r="5688" spans="3:5" ht="90" x14ac:dyDescent="0.25">
      <c r="C5688" s="15">
        <v>118321</v>
      </c>
      <c r="D5688" s="4" t="s">
        <v>5692</v>
      </c>
      <c r="E5688" s="4" t="str">
        <f>HYPERLINK("https://app.crepc.sk/?fn=detailBiblioForm&amp;sid=3870AE6E467F35C67BEB7D6BA7")</f>
        <v>https://app.crepc.sk/?fn=detailBiblioForm&amp;sid=3870AE6E467F35C67BEB7D6BA7</v>
      </c>
    </row>
    <row r="5689" spans="3:5" ht="90" x14ac:dyDescent="0.25">
      <c r="C5689" s="15">
        <v>313057</v>
      </c>
      <c r="D5689" s="4" t="s">
        <v>5693</v>
      </c>
      <c r="E5689" s="4" t="str">
        <f>HYPERLINK("https://app.crepc.sk/?fn=detailBiblioForm&amp;sid=D7106B092E8DE5614215D7D49F")</f>
        <v>https://app.crepc.sk/?fn=detailBiblioForm&amp;sid=D7106B092E8DE5614215D7D49F</v>
      </c>
    </row>
    <row r="5690" spans="3:5" ht="75" x14ac:dyDescent="0.25">
      <c r="C5690" s="15">
        <v>199857</v>
      </c>
      <c r="D5690" s="4" t="s">
        <v>5694</v>
      </c>
      <c r="E5690" s="4" t="str">
        <f>HYPERLINK("https://app.crepc.sk/?fn=detailBiblioForm&amp;sid=3B3B756FD79A5CBEFE404FAA97")</f>
        <v>https://app.crepc.sk/?fn=detailBiblioForm&amp;sid=3B3B756FD79A5CBEFE404FAA97</v>
      </c>
    </row>
    <row r="5691" spans="3:5" ht="90" x14ac:dyDescent="0.25">
      <c r="C5691" s="15">
        <v>315416</v>
      </c>
      <c r="D5691" s="4" t="s">
        <v>5695</v>
      </c>
      <c r="E5691" s="4" t="str">
        <f>HYPERLINK("https://app.crepc.sk/?fn=detailBiblioForm&amp;sid=D6A415B53B85E30B9ADB62509B")</f>
        <v>https://app.crepc.sk/?fn=detailBiblioForm&amp;sid=D6A415B53B85E30B9ADB62509B</v>
      </c>
    </row>
    <row r="5692" spans="3:5" ht="75" x14ac:dyDescent="0.25">
      <c r="C5692" s="15">
        <v>215920</v>
      </c>
      <c r="D5692" s="4" t="s">
        <v>5696</v>
      </c>
      <c r="E5692" s="4" t="str">
        <f>HYPERLINK("https://app.crepc.sk/?fn=detailBiblioForm&amp;sid=DC066ED89D79DEAB179B3D49AF")</f>
        <v>https://app.crepc.sk/?fn=detailBiblioForm&amp;sid=DC066ED89D79DEAB179B3D49AF</v>
      </c>
    </row>
    <row r="5693" spans="3:5" ht="135" x14ac:dyDescent="0.25">
      <c r="C5693" s="15">
        <v>255744</v>
      </c>
      <c r="D5693" s="4" t="s">
        <v>5697</v>
      </c>
      <c r="E5693" s="4" t="str">
        <f>HYPERLINK("https://app.crepc.sk/?fn=detailBiblioForm&amp;sid=918F0144324B7C45768571E1CF")</f>
        <v>https://app.crepc.sk/?fn=detailBiblioForm&amp;sid=918F0144324B7C45768571E1CF</v>
      </c>
    </row>
    <row r="5694" spans="3:5" ht="90" x14ac:dyDescent="0.25">
      <c r="C5694" s="15">
        <v>131034</v>
      </c>
      <c r="D5694" s="4" t="s">
        <v>5698</v>
      </c>
      <c r="E5694" s="4" t="str">
        <f>HYPERLINK("https://app.crepc.sk/?fn=detailBiblioForm&amp;sid=A8CFFD80ABEAC294BB8B4D0AAA")</f>
        <v>https://app.crepc.sk/?fn=detailBiblioForm&amp;sid=A8CFFD80ABEAC294BB8B4D0AAA</v>
      </c>
    </row>
    <row r="5695" spans="3:5" ht="75" x14ac:dyDescent="0.25">
      <c r="C5695" s="15">
        <v>97407</v>
      </c>
      <c r="D5695" s="4" t="s">
        <v>5699</v>
      </c>
      <c r="E5695" s="4" t="str">
        <f>HYPERLINK("https://app.crepc.sk/?fn=detailBiblioForm&amp;sid=C435B64AF858D9F83D5C564C")</f>
        <v>https://app.crepc.sk/?fn=detailBiblioForm&amp;sid=C435B64AF858D9F83D5C564C</v>
      </c>
    </row>
    <row r="5696" spans="3:5" ht="90" x14ac:dyDescent="0.25">
      <c r="C5696" s="15">
        <v>155802</v>
      </c>
      <c r="D5696" s="4" t="s">
        <v>5700</v>
      </c>
      <c r="E5696" s="4" t="str">
        <f>HYPERLINK("https://app.crepc.sk/?fn=detailBiblioForm&amp;sid=E6565C9ED97EA02FC700D38A9D")</f>
        <v>https://app.crepc.sk/?fn=detailBiblioForm&amp;sid=E6565C9ED97EA02FC700D38A9D</v>
      </c>
    </row>
    <row r="5697" spans="3:5" ht="105" x14ac:dyDescent="0.25">
      <c r="C5697" s="15">
        <v>174335</v>
      </c>
      <c r="D5697" s="4" t="s">
        <v>5701</v>
      </c>
      <c r="E5697" s="4" t="str">
        <f>HYPERLINK("https://app.crepc.sk/?fn=detailBiblioForm&amp;sid=4F55101800366CEF5EF0A9CD0A")</f>
        <v>https://app.crepc.sk/?fn=detailBiblioForm&amp;sid=4F55101800366CEF5EF0A9CD0A</v>
      </c>
    </row>
    <row r="5698" spans="3:5" ht="90" x14ac:dyDescent="0.25">
      <c r="C5698" s="15">
        <v>435051</v>
      </c>
      <c r="D5698" s="4" t="s">
        <v>5702</v>
      </c>
      <c r="E5698" s="4" t="str">
        <f>HYPERLINK("https://app.crepc.sk/?fn=detailBiblioForm&amp;sid=7FF736DFDCBB5D502BE566BAB8")</f>
        <v>https://app.crepc.sk/?fn=detailBiblioForm&amp;sid=7FF736DFDCBB5D502BE566BAB8</v>
      </c>
    </row>
    <row r="5699" spans="3:5" ht="90" x14ac:dyDescent="0.25">
      <c r="C5699" s="15">
        <v>422870</v>
      </c>
      <c r="D5699" s="4" t="s">
        <v>5703</v>
      </c>
      <c r="E5699" s="4" t="str">
        <f>HYPERLINK("https://app.crepc.sk/?fn=detailBiblioForm&amp;sid=06AF89090F4EB554673897E54C")</f>
        <v>https://app.crepc.sk/?fn=detailBiblioForm&amp;sid=06AF89090F4EB554673897E54C</v>
      </c>
    </row>
    <row r="5700" spans="3:5" ht="90" x14ac:dyDescent="0.25">
      <c r="C5700" s="15">
        <v>196355</v>
      </c>
      <c r="D5700" s="4" t="s">
        <v>5704</v>
      </c>
      <c r="E5700" s="4" t="str">
        <f>HYPERLINK("https://app.crepc.sk/?fn=detailBiblioForm&amp;sid=B266BCB7099DA32802396EAD58")</f>
        <v>https://app.crepc.sk/?fn=detailBiblioForm&amp;sid=B266BCB7099DA32802396EAD58</v>
      </c>
    </row>
    <row r="5701" spans="3:5" ht="75" x14ac:dyDescent="0.25">
      <c r="C5701" s="15">
        <v>113135</v>
      </c>
      <c r="D5701" s="4" t="s">
        <v>5705</v>
      </c>
      <c r="E5701" s="4" t="str">
        <f>HYPERLINK("https://app.crepc.sk/?fn=detailBiblioForm&amp;sid=28D7D04BB59530D2563DE335C2")</f>
        <v>https://app.crepc.sk/?fn=detailBiblioForm&amp;sid=28D7D04BB59530D2563DE335C2</v>
      </c>
    </row>
    <row r="5702" spans="3:5" ht="90" x14ac:dyDescent="0.25">
      <c r="C5702" s="15">
        <v>68373</v>
      </c>
      <c r="D5702" s="4" t="s">
        <v>5706</v>
      </c>
      <c r="E5702" s="4" t="str">
        <f>HYPERLINK("https://app.crepc.sk/?fn=detailBiblioForm&amp;sid=7161EBA6406033AF29AE29A4")</f>
        <v>https://app.crepc.sk/?fn=detailBiblioForm&amp;sid=7161EBA6406033AF29AE29A4</v>
      </c>
    </row>
    <row r="5703" spans="3:5" ht="90" x14ac:dyDescent="0.25">
      <c r="C5703" s="15">
        <v>185116</v>
      </c>
      <c r="D5703" s="4" t="s">
        <v>5707</v>
      </c>
      <c r="E5703" s="4" t="str">
        <f>HYPERLINK("https://app.crepc.sk/?fn=detailBiblioForm&amp;sid=5EBE627ECA7CA644EBD2DB4608")</f>
        <v>https://app.crepc.sk/?fn=detailBiblioForm&amp;sid=5EBE627ECA7CA644EBD2DB4608</v>
      </c>
    </row>
    <row r="5704" spans="3:5" ht="90" x14ac:dyDescent="0.25">
      <c r="C5704" s="15">
        <v>230974</v>
      </c>
      <c r="D5704" s="4" t="s">
        <v>5708</v>
      </c>
      <c r="E5704" s="4" t="str">
        <f>HYPERLINK("https://app.crepc.sk/?fn=detailBiblioForm&amp;sid=2B17DFAD060151C2879B6EC811")</f>
        <v>https://app.crepc.sk/?fn=detailBiblioForm&amp;sid=2B17DFAD060151C2879B6EC811</v>
      </c>
    </row>
    <row r="5705" spans="3:5" ht="90" x14ac:dyDescent="0.25">
      <c r="C5705" s="15">
        <v>418290</v>
      </c>
      <c r="D5705" s="4" t="s">
        <v>5709</v>
      </c>
      <c r="E5705" s="4" t="str">
        <f>HYPERLINK("https://app.crepc.sk/?fn=detailBiblioForm&amp;sid=F984F674FC714E135BA7F2CC1B")</f>
        <v>https://app.crepc.sk/?fn=detailBiblioForm&amp;sid=F984F674FC714E135BA7F2CC1B</v>
      </c>
    </row>
    <row r="5706" spans="3:5" ht="75" x14ac:dyDescent="0.25">
      <c r="C5706" s="15">
        <v>199565</v>
      </c>
      <c r="D5706" s="4" t="s">
        <v>5710</v>
      </c>
      <c r="E5706" s="4" t="str">
        <f>HYPERLINK("https://app.crepc.sk/?fn=detailBiblioForm&amp;sid=A69BB456D5707EC04DC737E750")</f>
        <v>https://app.crepc.sk/?fn=detailBiblioForm&amp;sid=A69BB456D5707EC04DC737E750</v>
      </c>
    </row>
    <row r="5707" spans="3:5" ht="90" x14ac:dyDescent="0.25">
      <c r="C5707" s="15">
        <v>163035</v>
      </c>
      <c r="D5707" s="4" t="s">
        <v>5711</v>
      </c>
      <c r="E5707" s="4" t="str">
        <f>HYPERLINK("https://app.crepc.sk/?fn=detailBiblioForm&amp;sid=50FE609ECAA3CD9EE3CD01F139")</f>
        <v>https://app.crepc.sk/?fn=detailBiblioForm&amp;sid=50FE609ECAA3CD9EE3CD01F139</v>
      </c>
    </row>
    <row r="5708" spans="3:5" ht="105" x14ac:dyDescent="0.25">
      <c r="C5708" s="15">
        <v>219809</v>
      </c>
      <c r="D5708" s="4" t="s">
        <v>5712</v>
      </c>
      <c r="E5708" s="4" t="str">
        <f>HYPERLINK("https://app.crepc.sk/?fn=detailBiblioForm&amp;sid=CDFEE31313203E99A9BED75CC4")</f>
        <v>https://app.crepc.sk/?fn=detailBiblioForm&amp;sid=CDFEE31313203E99A9BED75CC4</v>
      </c>
    </row>
    <row r="5709" spans="3:5" ht="90" x14ac:dyDescent="0.25">
      <c r="C5709" s="15">
        <v>199529</v>
      </c>
      <c r="D5709" s="4" t="s">
        <v>5713</v>
      </c>
      <c r="E5709" s="4" t="str">
        <f>HYPERLINK("https://app.crepc.sk/?fn=detailBiblioForm&amp;sid=A69BB456D5707EC049CB37E750")</f>
        <v>https://app.crepc.sk/?fn=detailBiblioForm&amp;sid=A69BB456D5707EC049CB37E750</v>
      </c>
    </row>
    <row r="5710" spans="3:5" ht="75" x14ac:dyDescent="0.25">
      <c r="C5710" s="15">
        <v>78532</v>
      </c>
      <c r="D5710" s="4" t="s">
        <v>5714</v>
      </c>
      <c r="E5710" s="4" t="str">
        <f>HYPERLINK("https://app.crepc.sk/?fn=detailBiblioForm&amp;sid=D3E1FB61C26C952135F43F5C")</f>
        <v>https://app.crepc.sk/?fn=detailBiblioForm&amp;sid=D3E1FB61C26C952135F43F5C</v>
      </c>
    </row>
    <row r="5711" spans="3:5" ht="105" x14ac:dyDescent="0.25">
      <c r="C5711" s="15">
        <v>196863</v>
      </c>
      <c r="D5711" s="4" t="s">
        <v>5715</v>
      </c>
      <c r="E5711" s="4" t="str">
        <f>HYPERLINK("https://app.crepc.sk/?fn=detailBiblioForm&amp;sid=71273B11B862991D710E63B5FC")</f>
        <v>https://app.crepc.sk/?fn=detailBiblioForm&amp;sid=71273B11B862991D710E63B5FC</v>
      </c>
    </row>
    <row r="5712" spans="3:5" ht="90" x14ac:dyDescent="0.25">
      <c r="C5712" s="15">
        <v>450143</v>
      </c>
      <c r="D5712" s="4" t="s">
        <v>5716</v>
      </c>
      <c r="E5712" s="4" t="str">
        <f>HYPERLINK("https://app.crepc.sk/?fn=detailBiblioForm&amp;sid=7471EEBE56E33B60C9A2AAF404")</f>
        <v>https://app.crepc.sk/?fn=detailBiblioForm&amp;sid=7471EEBE56E33B60C9A2AAF404</v>
      </c>
    </row>
    <row r="5713" spans="3:5" ht="75" x14ac:dyDescent="0.25">
      <c r="C5713" s="15">
        <v>445526</v>
      </c>
      <c r="D5713" s="4" t="s">
        <v>5717</v>
      </c>
      <c r="E5713" s="4" t="str">
        <f>HYPERLINK("https://app.crepc.sk/?fn=detailBiblioForm&amp;sid=8D2AC4920F73DA82ED116A262A")</f>
        <v>https://app.crepc.sk/?fn=detailBiblioForm&amp;sid=8D2AC4920F73DA82ED116A262A</v>
      </c>
    </row>
    <row r="5714" spans="3:5" ht="90" x14ac:dyDescent="0.25">
      <c r="C5714" s="15">
        <v>419065</v>
      </c>
      <c r="D5714" s="4" t="s">
        <v>5718</v>
      </c>
      <c r="E5714" s="4" t="str">
        <f>HYPERLINK("https://app.crepc.sk/?fn=detailBiblioForm&amp;sid=D1A8AE86DB46EECF7767276DBF")</f>
        <v>https://app.crepc.sk/?fn=detailBiblioForm&amp;sid=D1A8AE86DB46EECF7767276DBF</v>
      </c>
    </row>
    <row r="5715" spans="3:5" ht="90" x14ac:dyDescent="0.25">
      <c r="C5715" s="15">
        <v>246453</v>
      </c>
      <c r="D5715" s="4" t="s">
        <v>5719</v>
      </c>
      <c r="E5715" s="4" t="str">
        <f>HYPERLINK("https://app.crepc.sk/?fn=detailBiblioForm&amp;sid=C23082FBDA4977C5BC7D22A713")</f>
        <v>https://app.crepc.sk/?fn=detailBiblioForm&amp;sid=C23082FBDA4977C5BC7D22A713</v>
      </c>
    </row>
    <row r="5716" spans="3:5" ht="75" x14ac:dyDescent="0.25">
      <c r="C5716" s="15">
        <v>445779</v>
      </c>
      <c r="D5716" s="4" t="s">
        <v>5720</v>
      </c>
      <c r="E5716" s="4" t="str">
        <f>HYPERLINK("https://app.crepc.sk/?fn=detailBiblioForm&amp;sid=1281F4184BCA3CDC8E8215CD82")</f>
        <v>https://app.crepc.sk/?fn=detailBiblioForm&amp;sid=1281F4184BCA3CDC8E8215CD82</v>
      </c>
    </row>
    <row r="5717" spans="3:5" ht="90" x14ac:dyDescent="0.25">
      <c r="C5717" s="15">
        <v>161410</v>
      </c>
      <c r="D5717" s="4" t="s">
        <v>5721</v>
      </c>
      <c r="E5717" s="4" t="str">
        <f>HYPERLINK("https://app.crepc.sk/?fn=detailBiblioForm&amp;sid=72994EA9AD52E4DE4A9621105F")</f>
        <v>https://app.crepc.sk/?fn=detailBiblioForm&amp;sid=72994EA9AD52E4DE4A9621105F</v>
      </c>
    </row>
    <row r="5718" spans="3:5" ht="75" x14ac:dyDescent="0.25">
      <c r="C5718" s="15">
        <v>199472</v>
      </c>
      <c r="D5718" s="4" t="s">
        <v>5722</v>
      </c>
      <c r="E5718" s="4" t="str">
        <f>HYPERLINK("https://app.crepc.sk/?fn=detailBiblioForm&amp;sid=93146A2D1CAB818AFA971AF6CB")</f>
        <v>https://app.crepc.sk/?fn=detailBiblioForm&amp;sid=93146A2D1CAB818AFA971AF6CB</v>
      </c>
    </row>
    <row r="5719" spans="3:5" ht="105" x14ac:dyDescent="0.25">
      <c r="C5719" s="15">
        <v>133926</v>
      </c>
      <c r="D5719" s="4" t="s">
        <v>5723</v>
      </c>
      <c r="E5719" s="4" t="str">
        <f>HYPERLINK("https://app.crepc.sk/?fn=detailBiblioForm&amp;sid=512CD14455EC7E23FA5D633245")</f>
        <v>https://app.crepc.sk/?fn=detailBiblioForm&amp;sid=512CD14455EC7E23FA5D633245</v>
      </c>
    </row>
    <row r="5720" spans="3:5" ht="75" x14ac:dyDescent="0.25">
      <c r="C5720" s="15">
        <v>90779</v>
      </c>
      <c r="D5720" s="4" t="s">
        <v>5724</v>
      </c>
      <c r="E5720" s="4" t="str">
        <f>HYPERLINK("https://app.crepc.sk/?fn=detailBiblioForm&amp;sid=D5FDD83ACBA9D968A07580F1")</f>
        <v>https://app.crepc.sk/?fn=detailBiblioForm&amp;sid=D5FDD83ACBA9D968A07580F1</v>
      </c>
    </row>
    <row r="5721" spans="3:5" ht="75" x14ac:dyDescent="0.25">
      <c r="C5721" s="15">
        <v>228814</v>
      </c>
      <c r="D5721" s="4" t="s">
        <v>5725</v>
      </c>
      <c r="E5721" s="4" t="str">
        <f>HYPERLINK("https://app.crepc.sk/?fn=detailBiblioForm&amp;sid=5076D04024979CB5CE5BC115B4")</f>
        <v>https://app.crepc.sk/?fn=detailBiblioForm&amp;sid=5076D04024979CB5CE5BC115B4</v>
      </c>
    </row>
    <row r="5722" spans="3:5" ht="90" x14ac:dyDescent="0.25">
      <c r="C5722" s="15">
        <v>418051</v>
      </c>
      <c r="D5722" s="4" t="s">
        <v>5726</v>
      </c>
      <c r="E5722" s="4" t="str">
        <f>HYPERLINK("https://app.crepc.sk/?fn=detailBiblioForm&amp;sid=206DD7262FA36D78EB84BAAE0D")</f>
        <v>https://app.crepc.sk/?fn=detailBiblioForm&amp;sid=206DD7262FA36D78EB84BAAE0D</v>
      </c>
    </row>
    <row r="5723" spans="3:5" ht="90" x14ac:dyDescent="0.25">
      <c r="C5723" s="15">
        <v>209423</v>
      </c>
      <c r="D5723" s="4" t="s">
        <v>5727</v>
      </c>
      <c r="E5723" s="4" t="str">
        <f>HYPERLINK("https://app.crepc.sk/?fn=detailBiblioForm&amp;sid=C700BBDD7432265F2B9EB16113")</f>
        <v>https://app.crepc.sk/?fn=detailBiblioForm&amp;sid=C700BBDD7432265F2B9EB16113</v>
      </c>
    </row>
    <row r="5724" spans="3:5" ht="75" x14ac:dyDescent="0.25">
      <c r="C5724" s="15">
        <v>117012</v>
      </c>
      <c r="D5724" s="4" t="s">
        <v>5728</v>
      </c>
      <c r="E5724" s="4" t="str">
        <f>HYPERLINK("https://app.crepc.sk/?fn=detailBiblioForm&amp;sid=78946B6CA36C4DF7E6F3C7CF50")</f>
        <v>https://app.crepc.sk/?fn=detailBiblioForm&amp;sid=78946B6CA36C4DF7E6F3C7CF50</v>
      </c>
    </row>
    <row r="5725" spans="3:5" ht="90" x14ac:dyDescent="0.25">
      <c r="C5725" s="15">
        <v>440327</v>
      </c>
      <c r="D5725" s="4" t="s">
        <v>5729</v>
      </c>
      <c r="E5725" s="4" t="str">
        <f>HYPERLINK("https://app.crepc.sk/?fn=detailBiblioForm&amp;sid=AC303CDBB1BEAE3ACD6AA7321B")</f>
        <v>https://app.crepc.sk/?fn=detailBiblioForm&amp;sid=AC303CDBB1BEAE3ACD6AA7321B</v>
      </c>
    </row>
    <row r="5726" spans="3:5" ht="90" x14ac:dyDescent="0.25">
      <c r="C5726" s="15">
        <v>166086</v>
      </c>
      <c r="D5726" s="4" t="s">
        <v>5730</v>
      </c>
      <c r="E5726" s="4" t="str">
        <f>HYPERLINK("https://app.crepc.sk/?fn=detailBiblioForm&amp;sid=AFB64E0160B4F4E92E49BB898C")</f>
        <v>https://app.crepc.sk/?fn=detailBiblioForm&amp;sid=AFB64E0160B4F4E92E49BB898C</v>
      </c>
    </row>
    <row r="5727" spans="3:5" ht="75" x14ac:dyDescent="0.25">
      <c r="C5727" s="15">
        <v>122280</v>
      </c>
      <c r="D5727" s="4" t="s">
        <v>5731</v>
      </c>
      <c r="E5727" s="4" t="str">
        <f>HYPERLINK("https://app.crepc.sk/?fn=detailBiblioForm&amp;sid=7ECB8D2670C8FCA5B9DBBB440D")</f>
        <v>https://app.crepc.sk/?fn=detailBiblioForm&amp;sid=7ECB8D2670C8FCA5B9DBBB440D</v>
      </c>
    </row>
    <row r="5728" spans="3:5" ht="90" x14ac:dyDescent="0.25">
      <c r="C5728" s="15">
        <v>194235</v>
      </c>
      <c r="D5728" s="4" t="s">
        <v>5732</v>
      </c>
      <c r="E5728" s="4" t="str">
        <f>HYPERLINK("https://app.crepc.sk/?fn=detailBiblioForm&amp;sid=10A179E4A2FCBB3F0B6CDFC67A")</f>
        <v>https://app.crepc.sk/?fn=detailBiblioForm&amp;sid=10A179E4A2FCBB3F0B6CDFC67A</v>
      </c>
    </row>
    <row r="5729" spans="3:5" ht="105" x14ac:dyDescent="0.25">
      <c r="C5729" s="15">
        <v>137322</v>
      </c>
      <c r="D5729" s="4" t="s">
        <v>5733</v>
      </c>
      <c r="E5729" s="4" t="str">
        <f>HYPERLINK("https://app.crepc.sk/?fn=detailBiblioForm&amp;sid=CD0F3DD308605F9676EB7B5CB6")</f>
        <v>https://app.crepc.sk/?fn=detailBiblioForm&amp;sid=CD0F3DD308605F9676EB7B5CB6</v>
      </c>
    </row>
    <row r="5730" spans="3:5" ht="90" x14ac:dyDescent="0.25">
      <c r="C5730" s="15">
        <v>142784</v>
      </c>
      <c r="D5730" s="4" t="s">
        <v>5734</v>
      </c>
      <c r="E5730" s="4" t="str">
        <f>HYPERLINK("https://app.crepc.sk/?fn=detailBiblioForm&amp;sid=288AEB55AAC803403E0B2CA696")</f>
        <v>https://app.crepc.sk/?fn=detailBiblioForm&amp;sid=288AEB55AAC803403E0B2CA696</v>
      </c>
    </row>
    <row r="5731" spans="3:5" ht="90" x14ac:dyDescent="0.25">
      <c r="C5731" s="15">
        <v>77959</v>
      </c>
      <c r="D5731" s="4" t="s">
        <v>5735</v>
      </c>
      <c r="E5731" s="4" t="str">
        <f>HYPERLINK("https://app.crepc.sk/?fn=detailBiblioForm&amp;sid=77C144C0CDEF2EC2010C5CA5")</f>
        <v>https://app.crepc.sk/?fn=detailBiblioForm&amp;sid=77C144C0CDEF2EC2010C5CA5</v>
      </c>
    </row>
    <row r="5732" spans="3:5" ht="75" x14ac:dyDescent="0.25">
      <c r="C5732" s="15">
        <v>431530</v>
      </c>
      <c r="D5732" s="4" t="s">
        <v>5736</v>
      </c>
      <c r="E5732" s="4" t="str">
        <f>HYPERLINK("https://app.crepc.sk/?fn=detailBiblioForm&amp;sid=2DB25D5D0CF930F827315944D3")</f>
        <v>https://app.crepc.sk/?fn=detailBiblioForm&amp;sid=2DB25D5D0CF930F827315944D3</v>
      </c>
    </row>
    <row r="5733" spans="3:5" ht="90" x14ac:dyDescent="0.25">
      <c r="C5733" s="15">
        <v>183156</v>
      </c>
      <c r="D5733" s="4" t="s">
        <v>5737</v>
      </c>
      <c r="E5733" s="4" t="str">
        <f>HYPERLINK("https://app.crepc.sk/?fn=detailBiblioForm&amp;sid=38EFE54B98F197D5BE15EA12EF")</f>
        <v>https://app.crepc.sk/?fn=detailBiblioForm&amp;sid=38EFE54B98F197D5BE15EA12EF</v>
      </c>
    </row>
    <row r="5734" spans="3:5" ht="90" x14ac:dyDescent="0.25">
      <c r="C5734" s="15">
        <v>192782</v>
      </c>
      <c r="D5734" s="4" t="s">
        <v>5738</v>
      </c>
      <c r="E5734" s="4" t="str">
        <f>HYPERLINK("https://app.crepc.sk/?fn=detailBiblioForm&amp;sid=3354009E5CAE23384717FB5E60")</f>
        <v>https://app.crepc.sk/?fn=detailBiblioForm&amp;sid=3354009E5CAE23384717FB5E60</v>
      </c>
    </row>
    <row r="5735" spans="3:5" ht="90" x14ac:dyDescent="0.25">
      <c r="C5735" s="15">
        <v>153469</v>
      </c>
      <c r="D5735" s="4" t="s">
        <v>5739</v>
      </c>
      <c r="E5735" s="4" t="str">
        <f>HYPERLINK("https://app.crepc.sk/?fn=detailBiblioForm&amp;sid=4A2276349E30FD2CA46D200172")</f>
        <v>https://app.crepc.sk/?fn=detailBiblioForm&amp;sid=4A2276349E30FD2CA46D200172</v>
      </c>
    </row>
    <row r="5736" spans="3:5" ht="90" x14ac:dyDescent="0.25">
      <c r="C5736" s="15">
        <v>217245</v>
      </c>
      <c r="D5736" s="4" t="s">
        <v>5740</v>
      </c>
      <c r="E5736" s="4" t="str">
        <f>HYPERLINK("https://app.crepc.sk/?fn=detailBiblioForm&amp;sid=95653863DE8D795C3CBD87F2A7")</f>
        <v>https://app.crepc.sk/?fn=detailBiblioForm&amp;sid=95653863DE8D795C3CBD87F2A7</v>
      </c>
    </row>
    <row r="5737" spans="3:5" ht="90" x14ac:dyDescent="0.25">
      <c r="C5737" s="15">
        <v>199868</v>
      </c>
      <c r="D5737" s="4" t="s">
        <v>5741</v>
      </c>
      <c r="E5737" s="4" t="str">
        <f>HYPERLINK("https://app.crepc.sk/?fn=detailBiblioForm&amp;sid=3B3B756FD79A5CBEFD4F4FAA97")</f>
        <v>https://app.crepc.sk/?fn=detailBiblioForm&amp;sid=3B3B756FD79A5CBEFD4F4FAA97</v>
      </c>
    </row>
    <row r="5738" spans="3:5" ht="105" x14ac:dyDescent="0.25">
      <c r="C5738" s="15">
        <v>72624</v>
      </c>
      <c r="D5738" s="4" t="s">
        <v>5742</v>
      </c>
      <c r="E5738" s="4" t="str">
        <f>HYPERLINK("https://app.crepc.sk/?fn=detailBiblioForm&amp;sid=FE03FDF018ED71BF1F0769FA")</f>
        <v>https://app.crepc.sk/?fn=detailBiblioForm&amp;sid=FE03FDF018ED71BF1F0769FA</v>
      </c>
    </row>
    <row r="5739" spans="3:5" ht="90" x14ac:dyDescent="0.25">
      <c r="C5739" s="15">
        <v>118248</v>
      </c>
      <c r="D5739" s="4" t="s">
        <v>5743</v>
      </c>
      <c r="E5739" s="4" t="str">
        <f>HYPERLINK("https://app.crepc.sk/?fn=detailBiblioForm&amp;sid=069BD78221CDCAB109A9F3E570")</f>
        <v>https://app.crepc.sk/?fn=detailBiblioForm&amp;sid=069BD78221CDCAB109A9F3E570</v>
      </c>
    </row>
    <row r="5740" spans="3:5" ht="75" x14ac:dyDescent="0.25">
      <c r="C5740" s="15">
        <v>219147</v>
      </c>
      <c r="D5740" s="4" t="s">
        <v>5744</v>
      </c>
      <c r="E5740" s="4" t="str">
        <f>HYPERLINK("https://app.crepc.sk/?fn=detailBiblioForm&amp;sid=CA821E2D0F99DD049D1862CF5A")</f>
        <v>https://app.crepc.sk/?fn=detailBiblioForm&amp;sid=CA821E2D0F99DD049D1862CF5A</v>
      </c>
    </row>
    <row r="5741" spans="3:5" ht="105" x14ac:dyDescent="0.25">
      <c r="C5741" s="15">
        <v>180070</v>
      </c>
      <c r="D5741" s="4" t="s">
        <v>5745</v>
      </c>
      <c r="E5741" s="4" t="str">
        <f>HYPERLINK("https://app.crepc.sk/?fn=detailBiblioForm&amp;sid=B4B27B8958935512D357A1D8F9")</f>
        <v>https://app.crepc.sk/?fn=detailBiblioForm&amp;sid=B4B27B8958935512D357A1D8F9</v>
      </c>
    </row>
    <row r="5742" spans="3:5" ht="75" x14ac:dyDescent="0.25">
      <c r="C5742" s="15">
        <v>243101</v>
      </c>
      <c r="D5742" s="4" t="s">
        <v>5746</v>
      </c>
      <c r="E5742" s="4" t="str">
        <f>HYPERLINK("https://app.crepc.sk/?fn=detailBiblioForm&amp;sid=267F5392EF56D865A332ECAE15")</f>
        <v>https://app.crepc.sk/?fn=detailBiblioForm&amp;sid=267F5392EF56D865A332ECAE15</v>
      </c>
    </row>
    <row r="5743" spans="3:5" ht="90" x14ac:dyDescent="0.25">
      <c r="C5743" s="15">
        <v>95788</v>
      </c>
      <c r="D5743" s="4" t="s">
        <v>5747</v>
      </c>
      <c r="E5743" s="4" t="str">
        <f>HYPERLINK("https://app.crepc.sk/?fn=detailBiblioForm&amp;sid=A8143EA76F051B201B61960D")</f>
        <v>https://app.crepc.sk/?fn=detailBiblioForm&amp;sid=A8143EA76F051B201B61960D</v>
      </c>
    </row>
    <row r="5744" spans="3:5" ht="105" x14ac:dyDescent="0.25">
      <c r="C5744" s="15">
        <v>440796</v>
      </c>
      <c r="D5744" s="4" t="s">
        <v>5748</v>
      </c>
      <c r="E5744" s="4" t="str">
        <f>HYPERLINK("https://app.crepc.sk/?fn=detailBiblioForm&amp;sid=C3C046FDC00D8772C737A536D3")</f>
        <v>https://app.crepc.sk/?fn=detailBiblioForm&amp;sid=C3C046FDC00D8772C737A536D3</v>
      </c>
    </row>
    <row r="5745" spans="3:5" ht="105" x14ac:dyDescent="0.25">
      <c r="C5745" s="15">
        <v>416427</v>
      </c>
      <c r="D5745" s="4" t="s">
        <v>5749</v>
      </c>
      <c r="E5745" s="4" t="str">
        <f>HYPERLINK("https://app.crepc.sk/?fn=detailBiblioForm&amp;sid=50715014699C2E430B10098FF9")</f>
        <v>https://app.crepc.sk/?fn=detailBiblioForm&amp;sid=50715014699C2E430B10098FF9</v>
      </c>
    </row>
    <row r="5746" spans="3:5" ht="90" x14ac:dyDescent="0.25">
      <c r="C5746" s="15">
        <v>214819</v>
      </c>
      <c r="D5746" s="4" t="s">
        <v>5750</v>
      </c>
      <c r="E5746" s="4" t="str">
        <f>HYPERLINK("https://app.crepc.sk/?fn=detailBiblioForm&amp;sid=A06FA5B38568DD1490D6EE68D3")</f>
        <v>https://app.crepc.sk/?fn=detailBiblioForm&amp;sid=A06FA5B38568DD1490D6EE68D3</v>
      </c>
    </row>
    <row r="5747" spans="3:5" ht="90" x14ac:dyDescent="0.25">
      <c r="C5747" s="15">
        <v>120618</v>
      </c>
      <c r="D5747" s="4" t="s">
        <v>5751</v>
      </c>
      <c r="E5747" s="4" t="str">
        <f>HYPERLINK("https://app.crepc.sk/?fn=detailBiblioForm&amp;sid=F5CC02F4999CCD7E97419E5E35")</f>
        <v>https://app.crepc.sk/?fn=detailBiblioForm&amp;sid=F5CC02F4999CCD7E97419E5E35</v>
      </c>
    </row>
    <row r="5748" spans="3:5" ht="75" x14ac:dyDescent="0.25">
      <c r="C5748" s="15">
        <v>433680</v>
      </c>
      <c r="D5748" s="4" t="s">
        <v>5752</v>
      </c>
      <c r="E5748" s="4" t="str">
        <f>HYPERLINK("https://app.crepc.sk/?fn=detailBiblioForm&amp;sid=51B873D3F437233C6796CB1DA8")</f>
        <v>https://app.crepc.sk/?fn=detailBiblioForm&amp;sid=51B873D3F437233C6796CB1DA8</v>
      </c>
    </row>
    <row r="5749" spans="3:5" ht="75" x14ac:dyDescent="0.25">
      <c r="C5749" s="15">
        <v>230973</v>
      </c>
      <c r="D5749" s="4" t="s">
        <v>5753</v>
      </c>
      <c r="E5749" s="4" t="str">
        <f>HYPERLINK("https://app.crepc.sk/?fn=detailBiblioForm&amp;sid=2B17DFAD060151C2879C6EC811")</f>
        <v>https://app.crepc.sk/?fn=detailBiblioForm&amp;sid=2B17DFAD060151C2879C6EC811</v>
      </c>
    </row>
    <row r="5750" spans="3:5" ht="75" x14ac:dyDescent="0.25">
      <c r="C5750" s="15">
        <v>150719</v>
      </c>
      <c r="D5750" s="4" t="s">
        <v>5754</v>
      </c>
      <c r="E5750" s="4" t="str">
        <f>HYPERLINK("https://app.crepc.sk/?fn=detailBiblioForm&amp;sid=4ABE047C0F04576E2D0755E493")</f>
        <v>https://app.crepc.sk/?fn=detailBiblioForm&amp;sid=4ABE047C0F04576E2D0755E493</v>
      </c>
    </row>
    <row r="5751" spans="3:5" ht="75" x14ac:dyDescent="0.25">
      <c r="C5751" s="15">
        <v>116635</v>
      </c>
      <c r="D5751" s="4" t="s">
        <v>5755</v>
      </c>
      <c r="E5751" s="4" t="str">
        <f>HYPERLINK("https://app.crepc.sk/?fn=detailBiblioForm&amp;sid=C7058B2E53B5EC4D93120DAE3B")</f>
        <v>https://app.crepc.sk/?fn=detailBiblioForm&amp;sid=C7058B2E53B5EC4D93120DAE3B</v>
      </c>
    </row>
    <row r="5752" spans="3:5" ht="75" x14ac:dyDescent="0.25">
      <c r="C5752" s="15">
        <v>436054</v>
      </c>
      <c r="D5752" s="4" t="s">
        <v>5756</v>
      </c>
      <c r="E5752" s="4" t="str">
        <f>HYPERLINK("https://app.crepc.sk/?fn=detailBiblioForm&amp;sid=0D8840D8555AF42F41866A8F01")</f>
        <v>https://app.crepc.sk/?fn=detailBiblioForm&amp;sid=0D8840D8555AF42F41866A8F01</v>
      </c>
    </row>
    <row r="5753" spans="3:5" ht="90" x14ac:dyDescent="0.25">
      <c r="C5753" s="15">
        <v>56428</v>
      </c>
      <c r="D5753" s="4" t="s">
        <v>5757</v>
      </c>
      <c r="E5753" s="4" t="str">
        <f>HYPERLINK("https://app.crepc.sk/?fn=detailBiblioForm&amp;sid=AADCC566D9D2A5C534B56AB7")</f>
        <v>https://app.crepc.sk/?fn=detailBiblioForm&amp;sid=AADCC566D9D2A5C534B56AB7</v>
      </c>
    </row>
    <row r="5754" spans="3:5" ht="90" x14ac:dyDescent="0.25">
      <c r="C5754" s="15">
        <v>123792</v>
      </c>
      <c r="D5754" s="4" t="s">
        <v>5758</v>
      </c>
      <c r="E5754" s="4" t="str">
        <f>HYPERLINK("https://app.crepc.sk/?fn=detailBiblioForm&amp;sid=6AF24C20D77B2492B46180C111")</f>
        <v>https://app.crepc.sk/?fn=detailBiblioForm&amp;sid=6AF24C20D77B2492B46180C111</v>
      </c>
    </row>
    <row r="5755" spans="3:5" ht="75" x14ac:dyDescent="0.25">
      <c r="C5755" s="15">
        <v>231329</v>
      </c>
      <c r="D5755" s="4" t="s">
        <v>5759</v>
      </c>
      <c r="E5755" s="4" t="str">
        <f>HYPERLINK("https://app.crepc.sk/?fn=detailBiblioForm&amp;sid=AB2F48E8C57E5DFBAE707BA9FC")</f>
        <v>https://app.crepc.sk/?fn=detailBiblioForm&amp;sid=AB2F48E8C57E5DFBAE707BA9FC</v>
      </c>
    </row>
    <row r="5756" spans="3:5" ht="105" x14ac:dyDescent="0.25">
      <c r="C5756" s="15">
        <v>192757</v>
      </c>
      <c r="D5756" s="4" t="s">
        <v>5760</v>
      </c>
      <c r="E5756" s="4" t="str">
        <f>HYPERLINK("https://app.crepc.sk/?fn=detailBiblioForm&amp;sid=3354009E5CAE23384A12FB5E60")</f>
        <v>https://app.crepc.sk/?fn=detailBiblioForm&amp;sid=3354009E5CAE23384A12FB5E60</v>
      </c>
    </row>
    <row r="5757" spans="3:5" ht="75" x14ac:dyDescent="0.25">
      <c r="C5757" s="15">
        <v>128459</v>
      </c>
      <c r="D5757" s="4" t="s">
        <v>5761</v>
      </c>
      <c r="E5757" s="4" t="str">
        <f>HYPERLINK("https://app.crepc.sk/?fn=detailBiblioForm&amp;sid=585F9F27CC7F4CBF09374263E3")</f>
        <v>https://app.crepc.sk/?fn=detailBiblioForm&amp;sid=585F9F27CC7F4CBF09374263E3</v>
      </c>
    </row>
    <row r="5758" spans="3:5" ht="90" x14ac:dyDescent="0.25">
      <c r="C5758" s="15">
        <v>161618</v>
      </c>
      <c r="D5758" s="4" t="s">
        <v>5762</v>
      </c>
      <c r="E5758" s="4" t="str">
        <f>HYPERLINK("https://app.crepc.sk/?fn=detailBiblioForm&amp;sid=1D69B1A76ABEB527B166BB2E6D")</f>
        <v>https://app.crepc.sk/?fn=detailBiblioForm&amp;sid=1D69B1A76ABEB527B166BB2E6D</v>
      </c>
    </row>
    <row r="5759" spans="3:5" ht="75" x14ac:dyDescent="0.25">
      <c r="C5759" s="15">
        <v>191671</v>
      </c>
      <c r="D5759" s="4" t="s">
        <v>5763</v>
      </c>
      <c r="E5759" s="4" t="str">
        <f>HYPERLINK("https://app.crepc.sk/?fn=detailBiblioForm&amp;sid=2BD2C66034D627EB7E06C4F76F")</f>
        <v>https://app.crepc.sk/?fn=detailBiblioForm&amp;sid=2BD2C66034D627EB7E06C4F76F</v>
      </c>
    </row>
    <row r="5760" spans="3:5" ht="75" x14ac:dyDescent="0.25">
      <c r="C5760" s="15">
        <v>442517</v>
      </c>
      <c r="D5760" s="4" t="s">
        <v>5764</v>
      </c>
      <c r="E5760" s="4" t="str">
        <f>HYPERLINK("https://app.crepc.sk/?fn=detailBiblioForm&amp;sid=A9CFFDCBD31163D917ABFD67B2")</f>
        <v>https://app.crepc.sk/?fn=detailBiblioForm&amp;sid=A9CFFDCBD31163D917ABFD67B2</v>
      </c>
    </row>
    <row r="5761" spans="3:5" ht="75" x14ac:dyDescent="0.25">
      <c r="C5761" s="15">
        <v>227837</v>
      </c>
      <c r="D5761" s="4" t="s">
        <v>5765</v>
      </c>
      <c r="E5761" s="4" t="str">
        <f>HYPERLINK("https://app.crepc.sk/?fn=detailBiblioForm&amp;sid=D57B83470BBFCEC224813FD33C")</f>
        <v>https://app.crepc.sk/?fn=detailBiblioForm&amp;sid=D57B83470BBFCEC224813FD33C</v>
      </c>
    </row>
    <row r="5762" spans="3:5" ht="90" x14ac:dyDescent="0.25">
      <c r="C5762" s="15">
        <v>112406</v>
      </c>
      <c r="D5762" s="4" t="s">
        <v>5766</v>
      </c>
      <c r="E5762" s="4" t="str">
        <f>HYPERLINK("https://app.crepc.sk/?fn=detailBiblioForm&amp;sid=6B00E789183A492A9649B14C71")</f>
        <v>https://app.crepc.sk/?fn=detailBiblioForm&amp;sid=6B00E789183A492A9649B14C71</v>
      </c>
    </row>
    <row r="5763" spans="3:5" ht="105" x14ac:dyDescent="0.25">
      <c r="C5763" s="15">
        <v>143067</v>
      </c>
      <c r="D5763" s="4" t="s">
        <v>5767</v>
      </c>
      <c r="E5763" s="4" t="str">
        <f>HYPERLINK("https://app.crepc.sk/?fn=detailBiblioForm&amp;sid=0EA7DBD32D42EAF6EBEB224B52")</f>
        <v>https://app.crepc.sk/?fn=detailBiblioForm&amp;sid=0EA7DBD32D42EAF6EBEB224B52</v>
      </c>
    </row>
    <row r="5764" spans="3:5" ht="75" x14ac:dyDescent="0.25">
      <c r="C5764" s="15">
        <v>147675</v>
      </c>
      <c r="D5764" s="4" t="s">
        <v>5768</v>
      </c>
      <c r="E5764" s="4" t="str">
        <f>HYPERLINK("https://app.crepc.sk/?fn=detailBiblioForm&amp;sid=1F2DA89437FD00828C48CCC94C")</f>
        <v>https://app.crepc.sk/?fn=detailBiblioForm&amp;sid=1F2DA89437FD00828C48CCC94C</v>
      </c>
    </row>
    <row r="5765" spans="3:5" ht="75" x14ac:dyDescent="0.25">
      <c r="C5765" s="15">
        <v>223082</v>
      </c>
      <c r="D5765" s="4" t="s">
        <v>5769</v>
      </c>
      <c r="E5765" s="4" t="str">
        <f>HYPERLINK("https://app.crepc.sk/?fn=detailBiblioForm&amp;sid=798E363B8459E66AC9AFA73AAF")</f>
        <v>https://app.crepc.sk/?fn=detailBiblioForm&amp;sid=798E363B8459E66AC9AFA73AAF</v>
      </c>
    </row>
    <row r="5766" spans="3:5" ht="90" x14ac:dyDescent="0.25">
      <c r="C5766" s="15">
        <v>113678</v>
      </c>
      <c r="D5766" s="4" t="s">
        <v>5770</v>
      </c>
      <c r="E5766" s="4" t="str">
        <f>HYPERLINK("https://app.crepc.sk/?fn=detailBiblioForm&amp;sid=81878E51ADB8370D6E61CCE984")</f>
        <v>https://app.crepc.sk/?fn=detailBiblioForm&amp;sid=81878E51ADB8370D6E61CCE984</v>
      </c>
    </row>
    <row r="5767" spans="3:5" ht="105" x14ac:dyDescent="0.25">
      <c r="C5767" s="15">
        <v>82378</v>
      </c>
      <c r="D5767" s="4" t="s">
        <v>5771</v>
      </c>
      <c r="E5767" s="4" t="str">
        <f>HYPERLINK("https://app.crepc.sk/?fn=detailBiblioForm&amp;sid=DBA30DD652F4792F0A7B0892")</f>
        <v>https://app.crepc.sk/?fn=detailBiblioForm&amp;sid=DBA30DD652F4792F0A7B0892</v>
      </c>
    </row>
    <row r="5768" spans="3:5" ht="90" x14ac:dyDescent="0.25">
      <c r="C5768" s="15">
        <v>189349</v>
      </c>
      <c r="D5768" s="4" t="s">
        <v>5772</v>
      </c>
      <c r="E5768" s="4" t="str">
        <f>HYPERLINK("https://app.crepc.sk/?fn=detailBiblioForm&amp;sid=81706160F8CD7D6D7418CBB3A7")</f>
        <v>https://app.crepc.sk/?fn=detailBiblioForm&amp;sid=81706160F8CD7D6D7418CBB3A7</v>
      </c>
    </row>
    <row r="5769" spans="3:5" ht="90" x14ac:dyDescent="0.25">
      <c r="C5769" s="15">
        <v>197042</v>
      </c>
      <c r="D5769" s="4" t="s">
        <v>5773</v>
      </c>
      <c r="E5769" s="4" t="str">
        <f>HYPERLINK("https://app.crepc.sk/?fn=detailBiblioForm&amp;sid=29BF53461DA84817BADB92EC81")</f>
        <v>https://app.crepc.sk/?fn=detailBiblioForm&amp;sid=29BF53461DA84817BADB92EC81</v>
      </c>
    </row>
    <row r="5770" spans="3:5" ht="75" x14ac:dyDescent="0.25">
      <c r="C5770" s="15">
        <v>186811</v>
      </c>
      <c r="D5770" s="4" t="s">
        <v>5774</v>
      </c>
      <c r="E5770" s="4" t="str">
        <f>HYPERLINK("https://app.crepc.sk/?fn=detailBiblioForm&amp;sid=F7FB4258F672B8ADCEABC37D9F")</f>
        <v>https://app.crepc.sk/?fn=detailBiblioForm&amp;sid=F7FB4258F672B8ADCEABC37D9F</v>
      </c>
    </row>
    <row r="5771" spans="3:5" ht="120" x14ac:dyDescent="0.25">
      <c r="C5771" s="15">
        <v>312187</v>
      </c>
      <c r="D5771" s="4" t="s">
        <v>5775</v>
      </c>
      <c r="E5771" s="4" t="str">
        <f>HYPERLINK("https://app.crepc.sk/?fn=detailBiblioForm&amp;sid=F437EB8E22CB50A250CBD95AC6")</f>
        <v>https://app.crepc.sk/?fn=detailBiblioForm&amp;sid=F437EB8E22CB50A250CBD95AC6</v>
      </c>
    </row>
    <row r="5772" spans="3:5" ht="75" x14ac:dyDescent="0.25">
      <c r="C5772" s="15">
        <v>73950</v>
      </c>
      <c r="D5772" s="4" t="s">
        <v>5776</v>
      </c>
      <c r="E5772" s="4" t="str">
        <f>HYPERLINK("https://app.crepc.sk/?fn=detailBiblioForm&amp;sid=56AE7AD4FE9A6DA0B9EAAD2E")</f>
        <v>https://app.crepc.sk/?fn=detailBiblioForm&amp;sid=56AE7AD4FE9A6DA0B9EAAD2E</v>
      </c>
    </row>
    <row r="5773" spans="3:5" ht="75" x14ac:dyDescent="0.25">
      <c r="C5773" s="15">
        <v>195928</v>
      </c>
      <c r="D5773" s="4" t="s">
        <v>5777</v>
      </c>
      <c r="E5773" s="4" t="str">
        <f>HYPERLINK("https://app.crepc.sk/?fn=detailBiblioForm&amp;sid=D0FFB1787B7ACE98BD58689ACF")</f>
        <v>https://app.crepc.sk/?fn=detailBiblioForm&amp;sid=D0FFB1787B7ACE98BD58689ACF</v>
      </c>
    </row>
    <row r="5774" spans="3:5" ht="90" x14ac:dyDescent="0.25">
      <c r="C5774" s="15">
        <v>197045</v>
      </c>
      <c r="D5774" s="4" t="s">
        <v>5778</v>
      </c>
      <c r="E5774" s="4" t="str">
        <f>HYPERLINK("https://app.crepc.sk/?fn=detailBiblioForm&amp;sid=29BF53461DA84817BADC92EC81")</f>
        <v>https://app.crepc.sk/?fn=detailBiblioForm&amp;sid=29BF53461DA84817BADC92EC81</v>
      </c>
    </row>
    <row r="5775" spans="3:5" ht="90" x14ac:dyDescent="0.25">
      <c r="C5775" s="15">
        <v>219465</v>
      </c>
      <c r="D5775" s="4" t="s">
        <v>5779</v>
      </c>
      <c r="E5775" s="4" t="str">
        <f>HYPERLINK("https://app.crepc.sk/?fn=detailBiblioForm&amp;sid=8474A37DD4CFE78510508DE929")</f>
        <v>https://app.crepc.sk/?fn=detailBiblioForm&amp;sid=8474A37DD4CFE78510508DE929</v>
      </c>
    </row>
    <row r="5776" spans="3:5" ht="75" x14ac:dyDescent="0.25">
      <c r="C5776" s="15">
        <v>138047</v>
      </c>
      <c r="D5776" s="4" t="s">
        <v>5780</v>
      </c>
      <c r="E5776" s="4" t="str">
        <f>HYPERLINK("https://app.crepc.sk/?fn=detailBiblioForm&amp;sid=D9FD61DACB535D159F58547F0C")</f>
        <v>https://app.crepc.sk/?fn=detailBiblioForm&amp;sid=D9FD61DACB535D159F58547F0C</v>
      </c>
    </row>
    <row r="5777" spans="3:5" ht="75" x14ac:dyDescent="0.25">
      <c r="C5777" s="15">
        <v>199480</v>
      </c>
      <c r="D5777" s="4" t="s">
        <v>5781</v>
      </c>
      <c r="E5777" s="4" t="str">
        <f>HYPERLINK("https://app.crepc.sk/?fn=detailBiblioForm&amp;sid=93146A2D1CAB818AF5951AF6CB")</f>
        <v>https://app.crepc.sk/?fn=detailBiblioForm&amp;sid=93146A2D1CAB818AF5951AF6CB</v>
      </c>
    </row>
    <row r="5778" spans="3:5" ht="90" x14ac:dyDescent="0.25">
      <c r="C5778" s="15">
        <v>163378</v>
      </c>
      <c r="D5778" s="4" t="s">
        <v>5782</v>
      </c>
      <c r="E5778" s="4" t="str">
        <f>HYPERLINK("https://app.crepc.sk/?fn=detailBiblioForm&amp;sid=459330289182F8C1E9DC2E0501")</f>
        <v>https://app.crepc.sk/?fn=detailBiblioForm&amp;sid=459330289182F8C1E9DC2E0501</v>
      </c>
    </row>
    <row r="5779" spans="3:5" ht="90" x14ac:dyDescent="0.25">
      <c r="C5779" s="15">
        <v>124535</v>
      </c>
      <c r="D5779" s="4" t="s">
        <v>5783</v>
      </c>
      <c r="E5779" s="4" t="str">
        <f>HYPERLINK("https://app.crepc.sk/?fn=detailBiblioForm&amp;sid=B0DCB825442701D00E6802F501")</f>
        <v>https://app.crepc.sk/?fn=detailBiblioForm&amp;sid=B0DCB825442701D00E6802F501</v>
      </c>
    </row>
    <row r="5780" spans="3:5" ht="105" x14ac:dyDescent="0.25">
      <c r="C5780" s="15">
        <v>192766</v>
      </c>
      <c r="D5780" s="4" t="s">
        <v>5784</v>
      </c>
      <c r="E5780" s="4" t="str">
        <f>HYPERLINK("https://app.crepc.sk/?fn=detailBiblioForm&amp;sid=3354009E5CAE23384913FB5E60")</f>
        <v>https://app.crepc.sk/?fn=detailBiblioForm&amp;sid=3354009E5CAE23384913FB5E60</v>
      </c>
    </row>
    <row r="5781" spans="3:5" ht="105" x14ac:dyDescent="0.25">
      <c r="C5781" s="15">
        <v>192778</v>
      </c>
      <c r="D5781" s="4" t="s">
        <v>5785</v>
      </c>
      <c r="E5781" s="4" t="str">
        <f>HYPERLINK("https://app.crepc.sk/?fn=detailBiblioForm&amp;sid=3354009E5CAE2338481DFB5E60")</f>
        <v>https://app.crepc.sk/?fn=detailBiblioForm&amp;sid=3354009E5CAE2338481DFB5E60</v>
      </c>
    </row>
    <row r="5782" spans="3:5" ht="90" x14ac:dyDescent="0.25">
      <c r="C5782" s="15">
        <v>197292</v>
      </c>
      <c r="D5782" s="4" t="s">
        <v>5786</v>
      </c>
      <c r="E5782" s="4" t="str">
        <f>HYPERLINK("https://app.crepc.sk/?fn=detailBiblioForm&amp;sid=DD548C8F9E86EAB08C05BC14DD")</f>
        <v>https://app.crepc.sk/?fn=detailBiblioForm&amp;sid=DD548C8F9E86EAB08C05BC14DD</v>
      </c>
    </row>
    <row r="5783" spans="3:5" ht="120" x14ac:dyDescent="0.25">
      <c r="C5783" s="15">
        <v>172462</v>
      </c>
      <c r="D5783" s="4" t="s">
        <v>5787</v>
      </c>
      <c r="E5783" s="4" t="str">
        <f>HYPERLINK("https://app.crepc.sk/?fn=detailBiblioForm&amp;sid=6D8D8508F2EEA2E4DA9265C4FD")</f>
        <v>https://app.crepc.sk/?fn=detailBiblioForm&amp;sid=6D8D8508F2EEA2E4DA9265C4FD</v>
      </c>
    </row>
    <row r="5784" spans="3:5" ht="75" x14ac:dyDescent="0.25">
      <c r="C5784" s="15">
        <v>91285</v>
      </c>
      <c r="D5784" s="4" t="s">
        <v>5788</v>
      </c>
      <c r="E5784" s="4" t="str">
        <f>HYPERLINK("https://app.crepc.sk/?fn=detailBiblioForm&amp;sid=F17804D109554EE705BB3034")</f>
        <v>https://app.crepc.sk/?fn=detailBiblioForm&amp;sid=F17804D109554EE705BB3034</v>
      </c>
    </row>
    <row r="5785" spans="3:5" ht="90" x14ac:dyDescent="0.25">
      <c r="C5785" s="15">
        <v>149377</v>
      </c>
      <c r="D5785" s="4" t="s">
        <v>5789</v>
      </c>
      <c r="E5785" s="4" t="str">
        <f>HYPERLINK("https://app.crepc.sk/?fn=detailBiblioForm&amp;sid=D01AE3E6A036F3F65F8A797264")</f>
        <v>https://app.crepc.sk/?fn=detailBiblioForm&amp;sid=D01AE3E6A036F3F65F8A797264</v>
      </c>
    </row>
    <row r="5786" spans="3:5" ht="90" x14ac:dyDescent="0.25">
      <c r="C5786" s="15">
        <v>317851</v>
      </c>
      <c r="D5786" s="4" t="s">
        <v>5790</v>
      </c>
      <c r="E5786" s="4" t="str">
        <f>HYPERLINK("https://app.crepc.sk/?fn=detailBiblioForm&amp;sid=16DCB3C1E3D673D861DF18F93B")</f>
        <v>https://app.crepc.sk/?fn=detailBiblioForm&amp;sid=16DCB3C1E3D673D861DF18F93B</v>
      </c>
    </row>
    <row r="5787" spans="3:5" ht="90" x14ac:dyDescent="0.25">
      <c r="C5787" s="15">
        <v>433513</v>
      </c>
      <c r="D5787" s="4" t="s">
        <v>5791</v>
      </c>
      <c r="E5787" s="4" t="str">
        <f>HYPERLINK("https://app.crepc.sk/?fn=detailBiblioForm&amp;sid=5E59D5E80B28192E7D9B24E873")</f>
        <v>https://app.crepc.sk/?fn=detailBiblioForm&amp;sid=5E59D5E80B28192E7D9B24E873</v>
      </c>
    </row>
    <row r="5788" spans="3:5" ht="75" x14ac:dyDescent="0.25">
      <c r="C5788" s="15">
        <v>71162</v>
      </c>
      <c r="D5788" s="4" t="s">
        <v>5792</v>
      </c>
      <c r="E5788" s="4" t="str">
        <f>HYPERLINK("https://app.crepc.sk/?fn=detailBiblioForm&amp;sid=69DA2D6A54A886FF5F2CF536")</f>
        <v>https://app.crepc.sk/?fn=detailBiblioForm&amp;sid=69DA2D6A54A886FF5F2CF536</v>
      </c>
    </row>
    <row r="5789" spans="3:5" ht="90" x14ac:dyDescent="0.25">
      <c r="C5789" s="15">
        <v>252610</v>
      </c>
      <c r="D5789" s="4" t="s">
        <v>5793</v>
      </c>
      <c r="E5789" s="4" t="str">
        <f>HYPERLINK("https://app.crepc.sk/?fn=detailBiblioForm&amp;sid=B3899F535EE86E089236FEB1CD")</f>
        <v>https://app.crepc.sk/?fn=detailBiblioForm&amp;sid=B3899F535EE86E089236FEB1CD</v>
      </c>
    </row>
    <row r="5790" spans="3:5" ht="75" x14ac:dyDescent="0.25">
      <c r="C5790" s="15">
        <v>312166</v>
      </c>
      <c r="D5790" s="4" t="s">
        <v>5794</v>
      </c>
      <c r="E5790" s="4" t="str">
        <f>HYPERLINK("https://app.crepc.sk/?fn=detailBiblioForm&amp;sid=F437EB8E22CB50A25ECAD95AC6")</f>
        <v>https://app.crepc.sk/?fn=detailBiblioForm&amp;sid=F437EB8E22CB50A25ECAD95AC6</v>
      </c>
    </row>
    <row r="5791" spans="3:5" ht="60" x14ac:dyDescent="0.25">
      <c r="C5791" s="15">
        <v>88400</v>
      </c>
      <c r="D5791" s="4" t="s">
        <v>5795</v>
      </c>
      <c r="E5791" s="4" t="str">
        <f>HYPERLINK("https://app.crepc.sk/?fn=detailBiblioForm&amp;sid=0150F20EBE39016487B31E62")</f>
        <v>https://app.crepc.sk/?fn=detailBiblioForm&amp;sid=0150F20EBE39016487B31E62</v>
      </c>
    </row>
    <row r="5792" spans="3:5" ht="75" x14ac:dyDescent="0.25">
      <c r="C5792" s="15">
        <v>205797</v>
      </c>
      <c r="D5792" s="4" t="s">
        <v>5796</v>
      </c>
      <c r="E5792" s="4" t="str">
        <f>HYPERLINK("https://app.crepc.sk/?fn=detailBiblioForm&amp;sid=574F17740F9952083CA7A15599")</f>
        <v>https://app.crepc.sk/?fn=detailBiblioForm&amp;sid=574F17740F9952083CA7A15599</v>
      </c>
    </row>
    <row r="5793" spans="3:5" ht="60" x14ac:dyDescent="0.25">
      <c r="C5793" s="15">
        <v>107396</v>
      </c>
      <c r="D5793" s="4" t="s">
        <v>5797</v>
      </c>
      <c r="E5793" s="4" t="str">
        <f>HYPERLINK("https://app.crepc.sk/?fn=detailBiblioForm&amp;sid=D778A95F77782A99994BCA3093")</f>
        <v>https://app.crepc.sk/?fn=detailBiblioForm&amp;sid=D778A95F77782A99994BCA3093</v>
      </c>
    </row>
    <row r="5794" spans="3:5" ht="90" x14ac:dyDescent="0.25">
      <c r="C5794" s="15">
        <v>68915</v>
      </c>
      <c r="D5794" s="4" t="s">
        <v>5798</v>
      </c>
      <c r="E5794" s="4" t="str">
        <f>HYPERLINK("https://app.crepc.sk/?fn=detailBiblioForm&amp;sid=BB909E0F5E75ED1F398E452E")</f>
        <v>https://app.crepc.sk/?fn=detailBiblioForm&amp;sid=BB909E0F5E75ED1F398E452E</v>
      </c>
    </row>
    <row r="5795" spans="3:5" ht="90" x14ac:dyDescent="0.25">
      <c r="C5795" s="15">
        <v>91277</v>
      </c>
      <c r="D5795" s="4" t="s">
        <v>5799</v>
      </c>
      <c r="E5795" s="4" t="str">
        <f>HYPERLINK("https://app.crepc.sk/?fn=detailBiblioForm&amp;sid=AC7DE935C83CC751BFCAF18C")</f>
        <v>https://app.crepc.sk/?fn=detailBiblioForm&amp;sid=AC7DE935C83CC751BFCAF18C</v>
      </c>
    </row>
    <row r="5796" spans="3:5" ht="105" x14ac:dyDescent="0.25">
      <c r="C5796" s="15">
        <v>74294</v>
      </c>
      <c r="D5796" s="4" t="s">
        <v>5800</v>
      </c>
      <c r="E5796" s="4" t="str">
        <f>HYPERLINK("https://app.crepc.sk/?fn=detailBiblioForm&amp;sid=3B0B95B37B0FA879A05635F3")</f>
        <v>https://app.crepc.sk/?fn=detailBiblioForm&amp;sid=3B0B95B37B0FA879A05635F3</v>
      </c>
    </row>
    <row r="5797" spans="3:5" ht="75" x14ac:dyDescent="0.25">
      <c r="C5797" s="15">
        <v>149383</v>
      </c>
      <c r="D5797" s="4" t="s">
        <v>5801</v>
      </c>
      <c r="E5797" s="4" t="str">
        <f>HYPERLINK("https://app.crepc.sk/?fn=detailBiblioForm&amp;sid=D01AE3E6A036F3F6508E797264")</f>
        <v>https://app.crepc.sk/?fn=detailBiblioForm&amp;sid=D01AE3E6A036F3F6508E797264</v>
      </c>
    </row>
    <row r="5798" spans="3:5" ht="75" x14ac:dyDescent="0.25">
      <c r="C5798" s="15">
        <v>91499</v>
      </c>
      <c r="D5798" s="4" t="s">
        <v>5802</v>
      </c>
      <c r="E5798" s="4" t="str">
        <f>HYPERLINK("https://app.crepc.sk/?fn=detailBiblioForm&amp;sid=88EE70CA04A52DA6E8ACAECD")</f>
        <v>https://app.crepc.sk/?fn=detailBiblioForm&amp;sid=88EE70CA04A52DA6E8ACAECD</v>
      </c>
    </row>
    <row r="5799" spans="3:5" ht="105" x14ac:dyDescent="0.25">
      <c r="C5799" s="15">
        <v>206425</v>
      </c>
      <c r="D5799" s="4" t="s">
        <v>5803</v>
      </c>
      <c r="E5799" s="4" t="str">
        <f>HYPERLINK("https://app.crepc.sk/?fn=detailBiblioForm&amp;sid=9EADD462503AFBCA25511F908F")</f>
        <v>https://app.crepc.sk/?fn=detailBiblioForm&amp;sid=9EADD462503AFBCA25511F908F</v>
      </c>
    </row>
    <row r="5800" spans="3:5" ht="90" x14ac:dyDescent="0.25">
      <c r="C5800" s="15">
        <v>55025</v>
      </c>
      <c r="D5800" s="4" t="s">
        <v>5804</v>
      </c>
      <c r="E5800" s="4" t="str">
        <f>HYPERLINK("https://app.crepc.sk/?fn=detailBiblioForm&amp;sid=694A59148D00A3CD1AB6B499")</f>
        <v>https://app.crepc.sk/?fn=detailBiblioForm&amp;sid=694A59148D00A3CD1AB6B499</v>
      </c>
    </row>
    <row r="5801" spans="3:5" ht="75" x14ac:dyDescent="0.25">
      <c r="C5801" s="15">
        <v>197048</v>
      </c>
      <c r="D5801" s="4" t="s">
        <v>5805</v>
      </c>
      <c r="E5801" s="4" t="str">
        <f>HYPERLINK("https://app.crepc.sk/?fn=detailBiblioForm&amp;sid=29BF53461DA84817BAD192EC81")</f>
        <v>https://app.crepc.sk/?fn=detailBiblioForm&amp;sid=29BF53461DA84817BAD192EC81</v>
      </c>
    </row>
    <row r="5802" spans="3:5" ht="75" x14ac:dyDescent="0.25">
      <c r="C5802" s="15">
        <v>191675</v>
      </c>
      <c r="D5802" s="4" t="s">
        <v>5806</v>
      </c>
      <c r="E5802" s="4" t="str">
        <f>HYPERLINK("https://app.crepc.sk/?fn=detailBiblioForm&amp;sid=2BD2C66034D627EB7E02C4F76F")</f>
        <v>https://app.crepc.sk/?fn=detailBiblioForm&amp;sid=2BD2C66034D627EB7E02C4F76F</v>
      </c>
    </row>
    <row r="5803" spans="3:5" ht="90" x14ac:dyDescent="0.25">
      <c r="C5803" s="15">
        <v>196700</v>
      </c>
      <c r="D5803" s="4" t="s">
        <v>5807</v>
      </c>
      <c r="E5803" s="4" t="str">
        <f>HYPERLINK("https://app.crepc.sk/?fn=detailBiblioForm&amp;sid=959B0CD35FC03E1AE5CB263F38")</f>
        <v>https://app.crepc.sk/?fn=detailBiblioForm&amp;sid=959B0CD35FC03E1AE5CB263F38</v>
      </c>
    </row>
    <row r="5804" spans="3:5" ht="60" x14ac:dyDescent="0.25">
      <c r="C5804" s="15">
        <v>226459</v>
      </c>
      <c r="D5804" s="4" t="s">
        <v>5808</v>
      </c>
      <c r="E5804" s="4" t="str">
        <f>HYPERLINK("https://app.crepc.sk/?fn=detailBiblioForm&amp;sid=FE8BF299DCDA09080EE73CDD0F")</f>
        <v>https://app.crepc.sk/?fn=detailBiblioForm&amp;sid=FE8BF299DCDA09080EE73CDD0F</v>
      </c>
    </row>
    <row r="5805" spans="3:5" ht="75" x14ac:dyDescent="0.25">
      <c r="C5805" s="15">
        <v>150933</v>
      </c>
      <c r="D5805" s="4" t="s">
        <v>5809</v>
      </c>
      <c r="E5805" s="4" t="str">
        <f>HYPERLINK("https://app.crepc.sk/?fn=detailBiblioForm&amp;sid=1DDC86077D8354F3A0F9F2B260")</f>
        <v>https://app.crepc.sk/?fn=detailBiblioForm&amp;sid=1DDC86077D8354F3A0F9F2B260</v>
      </c>
    </row>
    <row r="5806" spans="3:5" ht="90" x14ac:dyDescent="0.25">
      <c r="C5806" s="15">
        <v>455648</v>
      </c>
      <c r="D5806" s="4" t="s">
        <v>5810</v>
      </c>
      <c r="E5806" s="4" t="str">
        <f>HYPERLINK("https://app.crepc.sk/?fn=detailBiblioForm&amp;sid=AB8313164A966A36F0B3C17AB6")</f>
        <v>https://app.crepc.sk/?fn=detailBiblioForm&amp;sid=AB8313164A966A36F0B3C17AB6</v>
      </c>
    </row>
    <row r="5807" spans="3:5" ht="75" x14ac:dyDescent="0.25">
      <c r="C5807" s="15">
        <v>155428</v>
      </c>
      <c r="D5807" s="4" t="s">
        <v>5811</v>
      </c>
      <c r="E5807" s="4" t="str">
        <f>HYPERLINK("https://app.crepc.sk/?fn=detailBiblioForm&amp;sid=3E2A224FFF078FAB5CC434B012")</f>
        <v>https://app.crepc.sk/?fn=detailBiblioForm&amp;sid=3E2A224FFF078FAB5CC434B012</v>
      </c>
    </row>
    <row r="5808" spans="3:5" ht="75" x14ac:dyDescent="0.25">
      <c r="C5808" s="15">
        <v>166142</v>
      </c>
      <c r="D5808" s="4" t="s">
        <v>5812</v>
      </c>
      <c r="E5808" s="4" t="str">
        <f>HYPERLINK("https://app.crepc.sk/?fn=detailBiblioForm&amp;sid=42FF770CB0BE777971F4474404")</f>
        <v>https://app.crepc.sk/?fn=detailBiblioForm&amp;sid=42FF770CB0BE777971F4474404</v>
      </c>
    </row>
    <row r="5809" spans="3:5" ht="90" x14ac:dyDescent="0.25">
      <c r="C5809" s="15">
        <v>136645</v>
      </c>
      <c r="D5809" s="4" t="s">
        <v>5813</v>
      </c>
      <c r="E5809" s="4" t="str">
        <f>HYPERLINK("https://app.crepc.sk/?fn=detailBiblioForm&amp;sid=4D4167EFBDF6647E39CFC3831D")</f>
        <v>https://app.crepc.sk/?fn=detailBiblioForm&amp;sid=4D4167EFBDF6647E39CFC3831D</v>
      </c>
    </row>
    <row r="5810" spans="3:5" ht="90" x14ac:dyDescent="0.25">
      <c r="C5810" s="15">
        <v>147399</v>
      </c>
      <c r="D5810" s="4" t="s">
        <v>5814</v>
      </c>
      <c r="E5810" s="4" t="str">
        <f>HYPERLINK("https://app.crepc.sk/?fn=detailBiblioForm&amp;sid=B0ECE52FE577B8B958C20BFF73")</f>
        <v>https://app.crepc.sk/?fn=detailBiblioForm&amp;sid=B0ECE52FE577B8B958C20BFF73</v>
      </c>
    </row>
    <row r="5811" spans="3:5" ht="75" x14ac:dyDescent="0.25">
      <c r="C5811" s="15">
        <v>91473</v>
      </c>
      <c r="D5811" s="4" t="s">
        <v>5815</v>
      </c>
      <c r="E5811" s="4" t="str">
        <f>HYPERLINK("https://app.crepc.sk/?fn=detailBiblioForm&amp;sid=C22278130657C668EA18235E")</f>
        <v>https://app.crepc.sk/?fn=detailBiblioForm&amp;sid=C22278130657C668EA18235E</v>
      </c>
    </row>
    <row r="5812" spans="3:5" ht="75" x14ac:dyDescent="0.25">
      <c r="C5812" s="15">
        <v>100795</v>
      </c>
      <c r="D5812" s="4" t="s">
        <v>5816</v>
      </c>
      <c r="E5812" s="4" t="str">
        <f>HYPERLINK("https://app.crepc.sk/?fn=detailBiblioForm&amp;sid=183355140A0C93010CF617331B")</f>
        <v>https://app.crepc.sk/?fn=detailBiblioForm&amp;sid=183355140A0C93010CF617331B</v>
      </c>
    </row>
    <row r="5813" spans="3:5" ht="75" x14ac:dyDescent="0.25">
      <c r="C5813" s="15">
        <v>145535</v>
      </c>
      <c r="D5813" s="4" t="s">
        <v>5817</v>
      </c>
      <c r="E5813" s="4" t="str">
        <f>HYPERLINK("https://app.crepc.sk/?fn=detailBiblioForm&amp;sid=98450E162FA634A8CABD195F00")</f>
        <v>https://app.crepc.sk/?fn=detailBiblioForm&amp;sid=98450E162FA634A8CABD195F00</v>
      </c>
    </row>
    <row r="5814" spans="3:5" ht="90" x14ac:dyDescent="0.25">
      <c r="C5814" s="15">
        <v>137611</v>
      </c>
      <c r="D5814" s="4" t="s">
        <v>5818</v>
      </c>
      <c r="E5814" s="4" t="str">
        <f>HYPERLINK("https://app.crepc.sk/?fn=detailBiblioForm&amp;sid=2EA0EB8F50B4443AD8EABFBE4C")</f>
        <v>https://app.crepc.sk/?fn=detailBiblioForm&amp;sid=2EA0EB8F50B4443AD8EABFBE4C</v>
      </c>
    </row>
    <row r="5815" spans="3:5" ht="105" x14ac:dyDescent="0.25">
      <c r="C5815" s="15">
        <v>253524</v>
      </c>
      <c r="D5815" s="4" t="s">
        <v>5819</v>
      </c>
      <c r="E5815" s="4" t="str">
        <f>HYPERLINK("https://app.crepc.sk/?fn=detailBiblioForm&amp;sid=CEF2DEE1832EFB79A8BC6939C9")</f>
        <v>https://app.crepc.sk/?fn=detailBiblioForm&amp;sid=CEF2DEE1832EFB79A8BC6939C9</v>
      </c>
    </row>
    <row r="5816" spans="3:5" ht="105" x14ac:dyDescent="0.25">
      <c r="C5816" s="15">
        <v>245950</v>
      </c>
      <c r="D5816" s="4" t="s">
        <v>5820</v>
      </c>
      <c r="E5816" s="4" t="str">
        <f>HYPERLINK("https://app.crepc.sk/?fn=detailBiblioForm&amp;sid=B4074A4D7573537BC270B46E05")</f>
        <v>https://app.crepc.sk/?fn=detailBiblioForm&amp;sid=B4074A4D7573537BC270B46E05</v>
      </c>
    </row>
    <row r="5817" spans="3:5" ht="90" x14ac:dyDescent="0.25">
      <c r="C5817" s="15">
        <v>62591</v>
      </c>
      <c r="D5817" s="4" t="s">
        <v>5821</v>
      </c>
      <c r="E5817" s="4" t="str">
        <f>HYPERLINK("https://app.crepc.sk/?fn=detailBiblioForm&amp;sid=A82876AE58351A4CAF6AC3FE")</f>
        <v>https://app.crepc.sk/?fn=detailBiblioForm&amp;sid=A82876AE58351A4CAF6AC3FE</v>
      </c>
    </row>
    <row r="5818" spans="3:5" ht="75" x14ac:dyDescent="0.25">
      <c r="C5818" s="15">
        <v>162263</v>
      </c>
      <c r="D5818" s="4" t="s">
        <v>5822</v>
      </c>
      <c r="E5818" s="4" t="str">
        <f>HYPERLINK("https://app.crepc.sk/?fn=detailBiblioForm&amp;sid=064839694A055E9D170ED03241")</f>
        <v>https://app.crepc.sk/?fn=detailBiblioForm&amp;sid=064839694A055E9D170ED03241</v>
      </c>
    </row>
    <row r="5819" spans="3:5" ht="120" x14ac:dyDescent="0.25">
      <c r="C5819" s="15">
        <v>64793</v>
      </c>
      <c r="D5819" s="4" t="s">
        <v>5823</v>
      </c>
      <c r="E5819" s="4" t="str">
        <f>HYPERLINK("https://app.crepc.sk/?fn=detailBiblioForm&amp;sid=31C8EE31480F3BA27A70FB26")</f>
        <v>https://app.crepc.sk/?fn=detailBiblioForm&amp;sid=31C8EE31480F3BA27A70FB26</v>
      </c>
    </row>
    <row r="5820" spans="3:5" ht="90" x14ac:dyDescent="0.25">
      <c r="C5820" s="15">
        <v>125261</v>
      </c>
      <c r="D5820" s="4" t="s">
        <v>5824</v>
      </c>
      <c r="E5820" s="4" t="str">
        <f>HYPERLINK("https://app.crepc.sk/?fn=detailBiblioForm&amp;sid=3D0298BADCCD9F5EC8320399EB")</f>
        <v>https://app.crepc.sk/?fn=detailBiblioForm&amp;sid=3D0298BADCCD9F5EC8320399EB</v>
      </c>
    </row>
    <row r="5821" spans="3:5" ht="90" x14ac:dyDescent="0.25">
      <c r="C5821" s="15">
        <v>95714</v>
      </c>
      <c r="D5821" s="4" t="s">
        <v>5825</v>
      </c>
      <c r="E5821" s="4" t="str">
        <f>HYPERLINK("https://app.crepc.sk/?fn=detailBiblioForm&amp;sid=772938E527423A23D12E8046")</f>
        <v>https://app.crepc.sk/?fn=detailBiblioForm&amp;sid=772938E527423A23D12E8046</v>
      </c>
    </row>
    <row r="5822" spans="3:5" ht="60" x14ac:dyDescent="0.25">
      <c r="C5822" s="15">
        <v>226462</v>
      </c>
      <c r="D5822" s="4" t="s">
        <v>5826</v>
      </c>
      <c r="E5822" s="4" t="str">
        <f>HYPERLINK("https://app.crepc.sk/?fn=detailBiblioForm&amp;sid=FE8BF299DCDA09080DEC3CDD0F")</f>
        <v>https://app.crepc.sk/?fn=detailBiblioForm&amp;sid=FE8BF299DCDA09080DEC3CDD0F</v>
      </c>
    </row>
    <row r="5823" spans="3:5" ht="90" x14ac:dyDescent="0.25">
      <c r="C5823" s="15">
        <v>192753</v>
      </c>
      <c r="D5823" s="4" t="s">
        <v>5827</v>
      </c>
      <c r="E5823" s="4" t="str">
        <f>HYPERLINK("https://app.crepc.sk/?fn=detailBiblioForm&amp;sid=3354009E5CAE23384A16FB5E60")</f>
        <v>https://app.crepc.sk/?fn=detailBiblioForm&amp;sid=3354009E5CAE23384A16FB5E60</v>
      </c>
    </row>
    <row r="5824" spans="3:5" ht="75" x14ac:dyDescent="0.25">
      <c r="C5824" s="15">
        <v>137327</v>
      </c>
      <c r="D5824" s="4" t="s">
        <v>5828</v>
      </c>
      <c r="E5824" s="4" t="str">
        <f>HYPERLINK("https://app.crepc.sk/?fn=detailBiblioForm&amp;sid=CD0F3DD308605F9676EE7B5CB6")</f>
        <v>https://app.crepc.sk/?fn=detailBiblioForm&amp;sid=CD0F3DD308605F9676EE7B5CB6</v>
      </c>
    </row>
    <row r="5825" spans="3:5" ht="120" x14ac:dyDescent="0.25">
      <c r="C5825" s="15">
        <v>137137</v>
      </c>
      <c r="D5825" s="4" t="s">
        <v>5829</v>
      </c>
      <c r="E5825" s="4" t="str">
        <f>HYPERLINK("https://app.crepc.sk/?fn=detailBiblioForm&amp;sid=4EE2DDBD758971D10BC1AE9F21")</f>
        <v>https://app.crepc.sk/?fn=detailBiblioForm&amp;sid=4EE2DDBD758971D10BC1AE9F21</v>
      </c>
    </row>
    <row r="5826" spans="3:5" ht="105" x14ac:dyDescent="0.25">
      <c r="C5826" s="15">
        <v>419348</v>
      </c>
      <c r="D5826" s="4" t="s">
        <v>5830</v>
      </c>
      <c r="E5826" s="4" t="str">
        <f>HYPERLINK("https://app.crepc.sk/?fn=detailBiblioForm&amp;sid=D0B86A6C889D400A99B866C23A")</f>
        <v>https://app.crepc.sk/?fn=detailBiblioForm&amp;sid=D0B86A6C889D400A99B866C23A</v>
      </c>
    </row>
    <row r="5827" spans="3:5" ht="90" x14ac:dyDescent="0.25">
      <c r="C5827" s="15">
        <v>132781</v>
      </c>
      <c r="D5827" s="4" t="s">
        <v>5831</v>
      </c>
      <c r="E5827" s="4" t="str">
        <f>HYPERLINK("https://app.crepc.sk/?fn=detailBiblioForm&amp;sid=A207B7B68D6DA0A20F6AC1C57A")</f>
        <v>https://app.crepc.sk/?fn=detailBiblioForm&amp;sid=A207B7B68D6DA0A20F6AC1C57A</v>
      </c>
    </row>
    <row r="5828" spans="3:5" ht="75" x14ac:dyDescent="0.25">
      <c r="C5828" s="15">
        <v>146025</v>
      </c>
      <c r="D5828" s="4" t="s">
        <v>5832</v>
      </c>
      <c r="E5828" s="4" t="str">
        <f>HYPERLINK("https://app.crepc.sk/?fn=detailBiblioForm&amp;sid=6F91D8ED6CD6362D922A31705F")</f>
        <v>https://app.crepc.sk/?fn=detailBiblioForm&amp;sid=6F91D8ED6CD6362D922A31705F</v>
      </c>
    </row>
    <row r="5829" spans="3:5" ht="75" x14ac:dyDescent="0.25">
      <c r="C5829" s="15">
        <v>216606</v>
      </c>
      <c r="D5829" s="4" t="s">
        <v>5833</v>
      </c>
      <c r="E5829" s="4" t="str">
        <f>HYPERLINK("https://app.crepc.sk/?fn=detailBiblioForm&amp;sid=235622EA7F65888484A66881DC")</f>
        <v>https://app.crepc.sk/?fn=detailBiblioForm&amp;sid=235622EA7F65888484A66881DC</v>
      </c>
    </row>
    <row r="5830" spans="3:5" ht="105" x14ac:dyDescent="0.25">
      <c r="C5830" s="15">
        <v>249639</v>
      </c>
      <c r="D5830" s="4" t="s">
        <v>5834</v>
      </c>
      <c r="E5830" s="4" t="str">
        <f>HYPERLINK("https://app.crepc.sk/?fn=detailBiblioForm&amp;sid=A43C6767581FABD009AB6DF55F")</f>
        <v>https://app.crepc.sk/?fn=detailBiblioForm&amp;sid=A43C6767581FABD009AB6DF55F</v>
      </c>
    </row>
    <row r="5831" spans="3:5" ht="75" x14ac:dyDescent="0.25">
      <c r="C5831" s="15">
        <v>445801</v>
      </c>
      <c r="D5831" s="4" t="s">
        <v>5835</v>
      </c>
      <c r="E5831" s="4" t="str">
        <f>HYPERLINK("https://app.crepc.sk/?fn=detailBiblioForm&amp;sid=DEAAD5F98658C890073313DA4E")</f>
        <v>https://app.crepc.sk/?fn=detailBiblioForm&amp;sid=DEAAD5F98658C890073313DA4E</v>
      </c>
    </row>
    <row r="5832" spans="3:5" ht="90" x14ac:dyDescent="0.25">
      <c r="C5832" s="15">
        <v>137324</v>
      </c>
      <c r="D5832" s="4" t="s">
        <v>5836</v>
      </c>
      <c r="E5832" s="4" t="str">
        <f>HYPERLINK("https://app.crepc.sk/?fn=detailBiblioForm&amp;sid=CD0F3DD308605F9676ED7B5CB6")</f>
        <v>https://app.crepc.sk/?fn=detailBiblioForm&amp;sid=CD0F3DD308605F9676ED7B5CB6</v>
      </c>
    </row>
    <row r="5833" spans="3:5" ht="90" x14ac:dyDescent="0.25">
      <c r="C5833" s="15">
        <v>113679</v>
      </c>
      <c r="D5833" s="4" t="s">
        <v>5837</v>
      </c>
      <c r="E5833" s="4" t="str">
        <f>HYPERLINK("https://app.crepc.sk/?fn=detailBiblioForm&amp;sid=81878E51ADB8370D6E60CCE984")</f>
        <v>https://app.crepc.sk/?fn=detailBiblioForm&amp;sid=81878E51ADB8370D6E60CCE984</v>
      </c>
    </row>
    <row r="5834" spans="3:5" ht="90" x14ac:dyDescent="0.25">
      <c r="C5834" s="15">
        <v>147365</v>
      </c>
      <c r="D5834" s="4" t="s">
        <v>5838</v>
      </c>
      <c r="E5834" s="4" t="str">
        <f>HYPERLINK("https://app.crepc.sk/?fn=detailBiblioForm&amp;sid=B0ECE52FE577B8B957CE0BFF73")</f>
        <v>https://app.crepc.sk/?fn=detailBiblioForm&amp;sid=B0ECE52FE577B8B957CE0BFF73</v>
      </c>
    </row>
    <row r="5835" spans="3:5" ht="90" x14ac:dyDescent="0.25">
      <c r="C5835" s="15">
        <v>58186</v>
      </c>
      <c r="D5835" s="4" t="s">
        <v>5839</v>
      </c>
      <c r="E5835" s="4" t="str">
        <f>HYPERLINK("https://app.crepc.sk/?fn=detailBiblioForm&amp;sid=FEAAC10AED539028E4C5F5C5")</f>
        <v>https://app.crepc.sk/?fn=detailBiblioForm&amp;sid=FEAAC10AED539028E4C5F5C5</v>
      </c>
    </row>
    <row r="5836" spans="3:5" ht="90" x14ac:dyDescent="0.25">
      <c r="C5836" s="15">
        <v>230137</v>
      </c>
      <c r="D5836" s="4" t="s">
        <v>5840</v>
      </c>
      <c r="E5836" s="4" t="str">
        <f>HYPERLINK("https://app.crepc.sk/?fn=detailBiblioForm&amp;sid=49F6F4DB78CA98AD343231639D")</f>
        <v>https://app.crepc.sk/?fn=detailBiblioForm&amp;sid=49F6F4DB78CA98AD343231639D</v>
      </c>
    </row>
    <row r="5837" spans="3:5" ht="105" x14ac:dyDescent="0.25">
      <c r="C5837" s="15">
        <v>226599</v>
      </c>
      <c r="D5837" s="4" t="s">
        <v>5841</v>
      </c>
      <c r="E5837" s="4" t="str">
        <f>HYPERLINK("https://app.crepc.sk/?fn=detailBiblioForm&amp;sid=1A96CD219DD6F1D8F45231CBF0")</f>
        <v>https://app.crepc.sk/?fn=detailBiblioForm&amp;sid=1A96CD219DD6F1D8F45231CBF0</v>
      </c>
    </row>
    <row r="5838" spans="3:5" ht="75" x14ac:dyDescent="0.25">
      <c r="C5838" s="15">
        <v>311288</v>
      </c>
      <c r="D5838" s="4" t="s">
        <v>5842</v>
      </c>
      <c r="E5838" s="4" t="str">
        <f>HYPERLINK("https://app.crepc.sk/?fn=detailBiblioForm&amp;sid=6D44F4CF48601E8189E8174471")</f>
        <v>https://app.crepc.sk/?fn=detailBiblioForm&amp;sid=6D44F4CF48601E8189E8174471</v>
      </c>
    </row>
    <row r="5839" spans="3:5" ht="75" x14ac:dyDescent="0.25">
      <c r="C5839" s="15">
        <v>428788</v>
      </c>
      <c r="D5839" s="4" t="s">
        <v>5843</v>
      </c>
      <c r="E5839" s="4" t="str">
        <f>HYPERLINK("https://app.crepc.sk/?fn=detailBiblioForm&amp;sid=A439D12931BB43A1E20A29CD0E")</f>
        <v>https://app.crepc.sk/?fn=detailBiblioForm&amp;sid=A439D12931BB43A1E20A29CD0E</v>
      </c>
    </row>
    <row r="5840" spans="3:5" ht="90" x14ac:dyDescent="0.25">
      <c r="C5840" s="15">
        <v>430873</v>
      </c>
      <c r="D5840" s="4" t="s">
        <v>5844</v>
      </c>
      <c r="E5840" s="4" t="str">
        <f>HYPERLINK("https://app.crepc.sk/?fn=detailBiblioForm&amp;sid=A283D7FE65670969D4D39D9DD5")</f>
        <v>https://app.crepc.sk/?fn=detailBiblioForm&amp;sid=A283D7FE65670969D4D39D9DD5</v>
      </c>
    </row>
    <row r="5841" spans="3:5" ht="90" x14ac:dyDescent="0.25">
      <c r="C5841" s="15">
        <v>68375</v>
      </c>
      <c r="D5841" s="4" t="s">
        <v>5845</v>
      </c>
      <c r="E5841" s="4" t="str">
        <f>HYPERLINK("https://app.crepc.sk/?fn=detailBiblioForm&amp;sid=7161EBA6406033AF2FAE29A4")</f>
        <v>https://app.crepc.sk/?fn=detailBiblioForm&amp;sid=7161EBA6406033AF2FAE29A4</v>
      </c>
    </row>
    <row r="5842" spans="3:5" ht="90" x14ac:dyDescent="0.25">
      <c r="C5842" s="15">
        <v>62595</v>
      </c>
      <c r="D5842" s="4" t="s">
        <v>5846</v>
      </c>
      <c r="E5842" s="4" t="str">
        <f>HYPERLINK("https://app.crepc.sk/?fn=detailBiblioForm&amp;sid=A82876AE58351A4CAB6AC3FE")</f>
        <v>https://app.crepc.sk/?fn=detailBiblioForm&amp;sid=A82876AE58351A4CAB6AC3FE</v>
      </c>
    </row>
    <row r="5843" spans="3:5" ht="120" x14ac:dyDescent="0.25">
      <c r="C5843" s="15">
        <v>201214</v>
      </c>
      <c r="D5843" s="4" t="s">
        <v>5847</v>
      </c>
      <c r="E5843" s="4" t="str">
        <f>HYPERLINK("https://app.crepc.sk/?fn=detailBiblioForm&amp;sid=4DA2528AD0C8792BAA8B48611A")</f>
        <v>https://app.crepc.sk/?fn=detailBiblioForm&amp;sid=4DA2528AD0C8792BAA8B48611A</v>
      </c>
    </row>
    <row r="5844" spans="3:5" ht="90" x14ac:dyDescent="0.25">
      <c r="C5844" s="15">
        <v>204494</v>
      </c>
      <c r="D5844" s="4" t="s">
        <v>5848</v>
      </c>
      <c r="E5844" s="4" t="str">
        <f>HYPERLINK("https://app.crepc.sk/?fn=detailBiblioForm&amp;sid=750C8F7143D97E71E16553FEA9")</f>
        <v>https://app.crepc.sk/?fn=detailBiblioForm&amp;sid=750C8F7143D97E71E16553FEA9</v>
      </c>
    </row>
    <row r="5845" spans="3:5" ht="90" x14ac:dyDescent="0.25">
      <c r="C5845" s="15">
        <v>115735</v>
      </c>
      <c r="D5845" s="4" t="s">
        <v>5849</v>
      </c>
      <c r="E5845" s="4" t="str">
        <f>HYPERLINK("https://app.crepc.sk/?fn=detailBiblioForm&amp;sid=D6D3FA1F9AF5FFB8A265CC7F52")</f>
        <v>https://app.crepc.sk/?fn=detailBiblioForm&amp;sid=D6D3FA1F9AF5FFB8A265CC7F52</v>
      </c>
    </row>
    <row r="5846" spans="3:5" ht="90" x14ac:dyDescent="0.25">
      <c r="C5846" s="15">
        <v>433721</v>
      </c>
      <c r="D5846" s="4" t="s">
        <v>5850</v>
      </c>
      <c r="E5846" s="4" t="str">
        <f>HYPERLINK("https://app.crepc.sk/?fn=detailBiblioForm&amp;sid=33F93F82735DF589EFC711E10A")</f>
        <v>https://app.crepc.sk/?fn=detailBiblioForm&amp;sid=33F93F82735DF589EFC711E10A</v>
      </c>
    </row>
    <row r="5847" spans="3:5" ht="75" x14ac:dyDescent="0.25">
      <c r="C5847" s="15">
        <v>221423</v>
      </c>
      <c r="D5847" s="4" t="s">
        <v>5851</v>
      </c>
      <c r="E5847" s="4" t="str">
        <f>HYPERLINK("https://app.crepc.sk/?fn=detailBiblioForm&amp;sid=BDE1989955220D35E9F54F9FC4")</f>
        <v>https://app.crepc.sk/?fn=detailBiblioForm&amp;sid=BDE1989955220D35E9F54F9FC4</v>
      </c>
    </row>
    <row r="5848" spans="3:5" ht="75" x14ac:dyDescent="0.25">
      <c r="C5848" s="15">
        <v>125637</v>
      </c>
      <c r="D5848" s="4" t="s">
        <v>5852</v>
      </c>
      <c r="E5848" s="4" t="str">
        <f>HYPERLINK("https://app.crepc.sk/?fn=detailBiblioForm&amp;sid=107B16852C902CE89E6195D686")</f>
        <v>https://app.crepc.sk/?fn=detailBiblioForm&amp;sid=107B16852C902CE89E6195D686</v>
      </c>
    </row>
    <row r="5849" spans="3:5" ht="60" x14ac:dyDescent="0.25">
      <c r="C5849" s="15">
        <v>152866</v>
      </c>
      <c r="D5849" s="4" t="s">
        <v>5853</v>
      </c>
      <c r="E5849" s="4" t="str">
        <f>HYPERLINK("https://app.crepc.sk/?fn=detailBiblioForm&amp;sid=4CB0668AE2C8F277BCA2C0BA9E")</f>
        <v>https://app.crepc.sk/?fn=detailBiblioForm&amp;sid=4CB0668AE2C8F277BCA2C0BA9E</v>
      </c>
    </row>
    <row r="5850" spans="3:5" ht="90" x14ac:dyDescent="0.25">
      <c r="C5850" s="15">
        <v>139456</v>
      </c>
      <c r="D5850" s="4" t="s">
        <v>5854</v>
      </c>
      <c r="E5850" s="4" t="str">
        <f>HYPERLINK("https://app.crepc.sk/?fn=detailBiblioForm&amp;sid=A3F3DC538E4836F27A90BE03C8")</f>
        <v>https://app.crepc.sk/?fn=detailBiblioForm&amp;sid=A3F3DC538E4836F27A90BE03C8</v>
      </c>
    </row>
    <row r="5851" spans="3:5" ht="60" x14ac:dyDescent="0.25">
      <c r="C5851" s="15">
        <v>56963</v>
      </c>
      <c r="D5851" s="4" t="s">
        <v>5855</v>
      </c>
      <c r="E5851" s="4" t="str">
        <f>HYPERLINK("https://app.crepc.sk/?fn=detailBiblioForm&amp;sid=168DFA11652FFF44CE38117D")</f>
        <v>https://app.crepc.sk/?fn=detailBiblioForm&amp;sid=168DFA11652FFF44CE38117D</v>
      </c>
    </row>
    <row r="5852" spans="3:5" ht="90" x14ac:dyDescent="0.25">
      <c r="C5852" s="15">
        <v>191677</v>
      </c>
      <c r="D5852" s="4" t="s">
        <v>5856</v>
      </c>
      <c r="E5852" s="4" t="str">
        <f>HYPERLINK("https://app.crepc.sk/?fn=detailBiblioForm&amp;sid=2BD2C66034D627EB7E00C4F76F")</f>
        <v>https://app.crepc.sk/?fn=detailBiblioForm&amp;sid=2BD2C66034D627EB7E00C4F76F</v>
      </c>
    </row>
    <row r="5853" spans="3:5" ht="90" x14ac:dyDescent="0.25">
      <c r="C5853" s="15">
        <v>230140</v>
      </c>
      <c r="D5853" s="4" t="s">
        <v>5857</v>
      </c>
      <c r="E5853" s="4" t="str">
        <f>HYPERLINK("https://app.crepc.sk/?fn=detailBiblioForm&amp;sid=49F6F4DB78CA98AD333531639D")</f>
        <v>https://app.crepc.sk/?fn=detailBiblioForm&amp;sid=49F6F4DB78CA98AD333531639D</v>
      </c>
    </row>
    <row r="5854" spans="3:5" ht="105" x14ac:dyDescent="0.25">
      <c r="C5854" s="15">
        <v>236276</v>
      </c>
      <c r="D5854" s="4" t="s">
        <v>5858</v>
      </c>
      <c r="E5854" s="4" t="str">
        <f>HYPERLINK("https://app.crepc.sk/?fn=detailBiblioForm&amp;sid=C110776E543635D21CB0A03168")</f>
        <v>https://app.crepc.sk/?fn=detailBiblioForm&amp;sid=C110776E543635D21CB0A03168</v>
      </c>
    </row>
    <row r="5855" spans="3:5" ht="105" x14ac:dyDescent="0.25">
      <c r="C5855" s="15">
        <v>137328</v>
      </c>
      <c r="D5855" s="4" t="s">
        <v>5859</v>
      </c>
      <c r="E5855" s="4" t="str">
        <f>HYPERLINK("https://app.crepc.sk/?fn=detailBiblioForm&amp;sid=CD0F3DD308605F9676E17B5CB6")</f>
        <v>https://app.crepc.sk/?fn=detailBiblioForm&amp;sid=CD0F3DD308605F9676E17B5CB6</v>
      </c>
    </row>
    <row r="5856" spans="3:5" ht="90" x14ac:dyDescent="0.25">
      <c r="C5856" s="15">
        <v>57758</v>
      </c>
      <c r="D5856" s="4" t="s">
        <v>5860</v>
      </c>
      <c r="E5856" s="4" t="str">
        <f>HYPERLINK("https://app.crepc.sk/?fn=detailBiblioForm&amp;sid=741CBACA8CBAE065A3C480A7")</f>
        <v>https://app.crepc.sk/?fn=detailBiblioForm&amp;sid=741CBACA8CBAE065A3C480A7</v>
      </c>
    </row>
    <row r="5857" spans="3:5" ht="90" x14ac:dyDescent="0.25">
      <c r="C5857" s="15">
        <v>235735</v>
      </c>
      <c r="D5857" s="4" t="s">
        <v>5861</v>
      </c>
      <c r="E5857" s="4" t="str">
        <f>HYPERLINK("https://app.crepc.sk/?fn=detailBiblioForm&amp;sid=BFC6C7E5B399B189140FA68F86")</f>
        <v>https://app.crepc.sk/?fn=detailBiblioForm&amp;sid=BFC6C7E5B399B189140FA68F86</v>
      </c>
    </row>
    <row r="5858" spans="3:5" ht="120" x14ac:dyDescent="0.25">
      <c r="C5858" s="15">
        <v>91319</v>
      </c>
      <c r="D5858" s="4" t="s">
        <v>5862</v>
      </c>
      <c r="E5858" s="4" t="str">
        <f>HYPERLINK("https://app.crepc.sk/?fn=detailBiblioForm&amp;sid=CEAD16A75385C76BED68C18C")</f>
        <v>https://app.crepc.sk/?fn=detailBiblioForm&amp;sid=CEAD16A75385C76BED68C18C</v>
      </c>
    </row>
    <row r="5859" spans="3:5" ht="75" x14ac:dyDescent="0.25">
      <c r="C5859" s="15">
        <v>216836</v>
      </c>
      <c r="D5859" s="4" t="s">
        <v>5863</v>
      </c>
      <c r="E5859" s="4" t="str">
        <f>HYPERLINK("https://app.crepc.sk/?fn=detailBiblioForm&amp;sid=82249396875AFF3993E54870D2")</f>
        <v>https://app.crepc.sk/?fn=detailBiblioForm&amp;sid=82249396875AFF3993E54870D2</v>
      </c>
    </row>
    <row r="5860" spans="3:5" ht="75" x14ac:dyDescent="0.25">
      <c r="C5860" s="15">
        <v>62566</v>
      </c>
      <c r="D5860" s="4" t="s">
        <v>5864</v>
      </c>
      <c r="E5860" s="4" t="str">
        <f>HYPERLINK("https://app.crepc.sk/?fn=detailBiblioForm&amp;sid=21C6583A02F0CD689558BC1D")</f>
        <v>https://app.crepc.sk/?fn=detailBiblioForm&amp;sid=21C6583A02F0CD689558BC1D</v>
      </c>
    </row>
    <row r="5861" spans="3:5" ht="90" x14ac:dyDescent="0.25">
      <c r="C5861" s="15">
        <v>95749</v>
      </c>
      <c r="D5861" s="4" t="s">
        <v>5865</v>
      </c>
      <c r="E5861" s="4" t="str">
        <f>HYPERLINK("https://app.crepc.sk/?fn=detailBiblioForm&amp;sid=93122A8531EBC983006D6010")</f>
        <v>https://app.crepc.sk/?fn=detailBiblioForm&amp;sid=93122A8531EBC983006D6010</v>
      </c>
    </row>
    <row r="5862" spans="3:5" ht="90" x14ac:dyDescent="0.25">
      <c r="C5862" s="15">
        <v>315156</v>
      </c>
      <c r="D5862" s="4" t="s">
        <v>5866</v>
      </c>
      <c r="E5862" s="4" t="str">
        <f>HYPERLINK("https://app.crepc.sk/?fn=detailBiblioForm&amp;sid=2CBBD6A91A6AE0D759D2F7CD5B")</f>
        <v>https://app.crepc.sk/?fn=detailBiblioForm&amp;sid=2CBBD6A91A6AE0D759D2F7CD5B</v>
      </c>
    </row>
    <row r="5863" spans="3:5" ht="75" x14ac:dyDescent="0.25">
      <c r="C5863" s="15">
        <v>116222</v>
      </c>
      <c r="D5863" s="4" t="s">
        <v>5867</v>
      </c>
      <c r="E5863" s="4" t="str">
        <f>HYPERLINK("https://app.crepc.sk/?fn=detailBiblioForm&amp;sid=E13542FA17D512302B96563330")</f>
        <v>https://app.crepc.sk/?fn=detailBiblioForm&amp;sid=E13542FA17D512302B96563330</v>
      </c>
    </row>
    <row r="5864" spans="3:5" ht="75" x14ac:dyDescent="0.25">
      <c r="C5864" s="15">
        <v>433324</v>
      </c>
      <c r="D5864" s="4" t="s">
        <v>5868</v>
      </c>
      <c r="E5864" s="4" t="str">
        <f>HYPERLINK("https://app.crepc.sk/?fn=detailBiblioForm&amp;sid=E96E6EA66B9B1358766574684F")</f>
        <v>https://app.crepc.sk/?fn=detailBiblioForm&amp;sid=E96E6EA66B9B1358766574684F</v>
      </c>
    </row>
    <row r="5865" spans="3:5" ht="105" x14ac:dyDescent="0.25">
      <c r="C5865" s="15">
        <v>443269</v>
      </c>
      <c r="D5865" s="4" t="s">
        <v>5869</v>
      </c>
      <c r="E5865" s="4" t="str">
        <f>HYPERLINK("https://app.crepc.sk/?fn=detailBiblioForm&amp;sid=05DFDDD0691F0F03227C107290")</f>
        <v>https://app.crepc.sk/?fn=detailBiblioForm&amp;sid=05DFDDD0691F0F03227C107290</v>
      </c>
    </row>
    <row r="5866" spans="3:5" ht="90" x14ac:dyDescent="0.25">
      <c r="C5866" s="15">
        <v>219137</v>
      </c>
      <c r="D5866" s="4" t="s">
        <v>5870</v>
      </c>
      <c r="E5866" s="4" t="str">
        <f>HYPERLINK("https://app.crepc.sk/?fn=detailBiblioForm&amp;sid=CA821E2D0F99DD049A1862CF5A")</f>
        <v>https://app.crepc.sk/?fn=detailBiblioForm&amp;sid=CA821E2D0F99DD049A1862CF5A</v>
      </c>
    </row>
    <row r="5867" spans="3:5" ht="90" x14ac:dyDescent="0.25">
      <c r="C5867" s="15">
        <v>95709</v>
      </c>
      <c r="D5867" s="4" t="s">
        <v>5871</v>
      </c>
      <c r="E5867" s="4" t="str">
        <f>HYPERLINK("https://app.crepc.sk/?fn=detailBiblioForm&amp;sid=F0EFCC41968AB21660F57D9C")</f>
        <v>https://app.crepc.sk/?fn=detailBiblioForm&amp;sid=F0EFCC41968AB21660F57D9C</v>
      </c>
    </row>
    <row r="5868" spans="3:5" ht="90" x14ac:dyDescent="0.25">
      <c r="C5868" s="15">
        <v>199555</v>
      </c>
      <c r="D5868" s="4" t="s">
        <v>5872</v>
      </c>
      <c r="E5868" s="4" t="str">
        <f>HYPERLINK("https://app.crepc.sk/?fn=detailBiblioForm&amp;sid=A69BB456D5707EC04EC737E750")</f>
        <v>https://app.crepc.sk/?fn=detailBiblioForm&amp;sid=A69BB456D5707EC04EC737E750</v>
      </c>
    </row>
    <row r="5869" spans="3:5" ht="75" x14ac:dyDescent="0.25">
      <c r="C5869" s="15">
        <v>149017</v>
      </c>
      <c r="D5869" s="4" t="s">
        <v>5873</v>
      </c>
      <c r="E5869" s="4" t="str">
        <f>HYPERLINK("https://app.crepc.sk/?fn=detailBiblioForm&amp;sid=394581B55BAE63AC60AAD47953")</f>
        <v>https://app.crepc.sk/?fn=detailBiblioForm&amp;sid=394581B55BAE63AC60AAD47953</v>
      </c>
    </row>
    <row r="5870" spans="3:5" ht="90" x14ac:dyDescent="0.25">
      <c r="C5870" s="15">
        <v>315884</v>
      </c>
      <c r="D5870" s="4" t="s">
        <v>5874</v>
      </c>
      <c r="E5870" s="4" t="str">
        <f>HYPERLINK("https://app.crepc.sk/?fn=detailBiblioForm&amp;sid=86DD2B30A0B3D565001DBBCF36")</f>
        <v>https://app.crepc.sk/?fn=detailBiblioForm&amp;sid=86DD2B30A0B3D565001DBBCF36</v>
      </c>
    </row>
    <row r="5871" spans="3:5" ht="90" x14ac:dyDescent="0.25">
      <c r="C5871" s="15">
        <v>138058</v>
      </c>
      <c r="D5871" s="4" t="s">
        <v>5875</v>
      </c>
      <c r="E5871" s="4" t="str">
        <f>HYPERLINK("https://app.crepc.sk/?fn=detailBiblioForm&amp;sid=D9FD61DACB535D159E57547F0C")</f>
        <v>https://app.crepc.sk/?fn=detailBiblioForm&amp;sid=D9FD61DACB535D159E57547F0C</v>
      </c>
    </row>
    <row r="5872" spans="3:5" ht="75" x14ac:dyDescent="0.25">
      <c r="C5872" s="15">
        <v>116808</v>
      </c>
      <c r="D5872" s="4" t="s">
        <v>5876</v>
      </c>
      <c r="E5872" s="4" t="str">
        <f>HYPERLINK("https://app.crepc.sk/?fn=detailBiblioForm&amp;sid=E72B30B2FBB5A43D8C83052574")</f>
        <v>https://app.crepc.sk/?fn=detailBiblioForm&amp;sid=E72B30B2FBB5A43D8C83052574</v>
      </c>
    </row>
    <row r="5873" spans="3:5" ht="60" x14ac:dyDescent="0.25">
      <c r="C5873" s="15">
        <v>82396</v>
      </c>
      <c r="D5873" s="4" t="s">
        <v>5877</v>
      </c>
      <c r="E5873" s="4" t="str">
        <f>HYPERLINK("https://app.crepc.sk/?fn=detailBiblioForm&amp;sid=20A2848013B25AD831C6370D")</f>
        <v>https://app.crepc.sk/?fn=detailBiblioForm&amp;sid=20A2848013B25AD831C6370D</v>
      </c>
    </row>
    <row r="5874" spans="3:5" ht="75" x14ac:dyDescent="0.25">
      <c r="C5874" s="15">
        <v>204401</v>
      </c>
      <c r="D5874" s="4" t="s">
        <v>5878</v>
      </c>
      <c r="E5874" s="4" t="str">
        <f>HYPERLINK("https://app.crepc.sk/?fn=detailBiblioForm&amp;sid=750C8F7143D97E71E86053FEA9")</f>
        <v>https://app.crepc.sk/?fn=detailBiblioForm&amp;sid=750C8F7143D97E71E86053FEA9</v>
      </c>
    </row>
    <row r="5875" spans="3:5" ht="105" x14ac:dyDescent="0.25">
      <c r="C5875" s="15">
        <v>61977</v>
      </c>
      <c r="D5875" s="4" t="s">
        <v>5879</v>
      </c>
      <c r="E5875" s="4" t="str">
        <f>HYPERLINK("https://app.crepc.sk/?fn=detailBiblioForm&amp;sid=F6F91C3AC303DB459BC5456D")</f>
        <v>https://app.crepc.sk/?fn=detailBiblioForm&amp;sid=F6F91C3AC303DB459BC5456D</v>
      </c>
    </row>
    <row r="5876" spans="3:5" ht="105" x14ac:dyDescent="0.25">
      <c r="C5876" s="15">
        <v>83481</v>
      </c>
      <c r="D5876" s="4" t="s">
        <v>5880</v>
      </c>
      <c r="E5876" s="4" t="str">
        <f>HYPERLINK("https://app.crepc.sk/?fn=detailBiblioForm&amp;sid=F175A37F77ED2752FD85A72D")</f>
        <v>https://app.crepc.sk/?fn=detailBiblioForm&amp;sid=F175A37F77ED2752FD85A72D</v>
      </c>
    </row>
    <row r="5877" spans="3:5" ht="75" x14ac:dyDescent="0.25">
      <c r="C5877" s="15">
        <v>116489</v>
      </c>
      <c r="D5877" s="4" t="s">
        <v>5881</v>
      </c>
      <c r="E5877" s="4" t="str">
        <f>HYPERLINK("https://app.crepc.sk/?fn=detailBiblioForm&amp;sid=E2F93AEC495D93B32B49774800")</f>
        <v>https://app.crepc.sk/?fn=detailBiblioForm&amp;sid=E2F93AEC495D93B32B49774800</v>
      </c>
    </row>
    <row r="5878" spans="3:5" ht="90" x14ac:dyDescent="0.25">
      <c r="C5878" s="15">
        <v>118138</v>
      </c>
      <c r="D5878" s="4" t="s">
        <v>5882</v>
      </c>
      <c r="E5878" s="4" t="str">
        <f>HYPERLINK("https://app.crepc.sk/?fn=detailBiblioForm&amp;sid=F5F9E12263A2DE4877031B6A59")</f>
        <v>https://app.crepc.sk/?fn=detailBiblioForm&amp;sid=F5F9E12263A2DE4877031B6A59</v>
      </c>
    </row>
    <row r="5879" spans="3:5" ht="75" x14ac:dyDescent="0.25">
      <c r="C5879" s="15">
        <v>183159</v>
      </c>
      <c r="D5879" s="4" t="s">
        <v>5883</v>
      </c>
      <c r="E5879" s="4" t="str">
        <f>HYPERLINK("https://app.crepc.sk/?fn=detailBiblioForm&amp;sid=38EFE54B98F197D5BE1AEA12EF")</f>
        <v>https://app.crepc.sk/?fn=detailBiblioForm&amp;sid=38EFE54B98F197D5BE1AEA12EF</v>
      </c>
    </row>
    <row r="5880" spans="3:5" ht="75" x14ac:dyDescent="0.25">
      <c r="C5880" s="15">
        <v>223294</v>
      </c>
      <c r="D5880" s="4" t="s">
        <v>5884</v>
      </c>
      <c r="E5880" s="4" t="str">
        <f>HYPERLINK("https://app.crepc.sk/?fn=detailBiblioForm&amp;sid=A560E0A5BF5D2849B3C3E84DBE")</f>
        <v>https://app.crepc.sk/?fn=detailBiblioForm&amp;sid=A560E0A5BF5D2849B3C3E84DBE</v>
      </c>
    </row>
    <row r="5881" spans="3:5" ht="75" x14ac:dyDescent="0.25">
      <c r="C5881" s="15">
        <v>62586</v>
      </c>
      <c r="D5881" s="4" t="s">
        <v>5885</v>
      </c>
      <c r="E5881" s="4" t="str">
        <f>HYPERLINK("https://app.crepc.sk/?fn=detailBiblioForm&amp;sid=2DC4BE7B22A7BFC579635EDA")</f>
        <v>https://app.crepc.sk/?fn=detailBiblioForm&amp;sid=2DC4BE7B22A7BFC579635EDA</v>
      </c>
    </row>
    <row r="5882" spans="3:5" ht="60" x14ac:dyDescent="0.25">
      <c r="C5882" s="15">
        <v>104372</v>
      </c>
      <c r="D5882" s="4" t="s">
        <v>5886</v>
      </c>
      <c r="E5882" s="4" t="str">
        <f>HYPERLINK("https://app.crepc.sk/?fn=detailBiblioForm&amp;sid=DD6DC1ACF31F8CDC5F9138F016")</f>
        <v>https://app.crepc.sk/?fn=detailBiblioForm&amp;sid=DD6DC1ACF31F8CDC5F9138F016</v>
      </c>
    </row>
    <row r="5883" spans="3:5" ht="90" x14ac:dyDescent="0.25">
      <c r="C5883" s="15">
        <v>133843</v>
      </c>
      <c r="D5883" s="4" t="s">
        <v>5887</v>
      </c>
      <c r="E5883" s="4" t="str">
        <f>HYPERLINK("https://app.crepc.sk/?fn=detailBiblioForm&amp;sid=C6384B4AD84FDE7B38C35272DC")</f>
        <v>https://app.crepc.sk/?fn=detailBiblioForm&amp;sid=C6384B4AD84FDE7B38C35272DC</v>
      </c>
    </row>
    <row r="5884" spans="3:5" ht="75" x14ac:dyDescent="0.25">
      <c r="C5884" s="15">
        <v>79322</v>
      </c>
      <c r="D5884" s="4" t="s">
        <v>5888</v>
      </c>
      <c r="E5884" s="4" t="str">
        <f>HYPERLINK("https://app.crepc.sk/?fn=detailBiblioForm&amp;sid=DB293A075C61E3F7B3FE776A")</f>
        <v>https://app.crepc.sk/?fn=detailBiblioForm&amp;sid=DB293A075C61E3F7B3FE776A</v>
      </c>
    </row>
    <row r="5885" spans="3:5" ht="90" x14ac:dyDescent="0.25">
      <c r="C5885" s="15">
        <v>230962</v>
      </c>
      <c r="D5885" s="4" t="s">
        <v>5889</v>
      </c>
      <c r="E5885" s="4" t="str">
        <f>HYPERLINK("https://app.crepc.sk/?fn=detailBiblioForm&amp;sid=2B17DFAD060151C2869D6EC811")</f>
        <v>https://app.crepc.sk/?fn=detailBiblioForm&amp;sid=2B17DFAD060151C2869D6EC811</v>
      </c>
    </row>
    <row r="5886" spans="3:5" ht="90" x14ac:dyDescent="0.25">
      <c r="C5886" s="15">
        <v>415581</v>
      </c>
      <c r="D5886" s="4" t="s">
        <v>5890</v>
      </c>
      <c r="E5886" s="4" t="str">
        <f>HYPERLINK("https://app.crepc.sk/?fn=detailBiblioForm&amp;sid=ADF8A059DAC19B7C066A0B2075")</f>
        <v>https://app.crepc.sk/?fn=detailBiblioForm&amp;sid=ADF8A059DAC19B7C066A0B2075</v>
      </c>
    </row>
    <row r="5887" spans="3:5" ht="75" x14ac:dyDescent="0.25">
      <c r="C5887" s="15">
        <v>116488</v>
      </c>
      <c r="D5887" s="4" t="s">
        <v>5891</v>
      </c>
      <c r="E5887" s="4" t="str">
        <f>HYPERLINK("https://app.crepc.sk/?fn=detailBiblioForm&amp;sid=E2F93AEC495D93B32B48774800")</f>
        <v>https://app.crepc.sk/?fn=detailBiblioForm&amp;sid=E2F93AEC495D93B32B48774800</v>
      </c>
    </row>
    <row r="5888" spans="3:5" ht="135" x14ac:dyDescent="0.25">
      <c r="C5888" s="15">
        <v>51699</v>
      </c>
      <c r="D5888" s="4" t="s">
        <v>5892</v>
      </c>
      <c r="E5888" s="4" t="str">
        <f>HYPERLINK("https://app.crepc.sk/?fn=detailBiblioForm&amp;sid=7F5FF1F0B0E8C62F41025A6E")</f>
        <v>https://app.crepc.sk/?fn=detailBiblioForm&amp;sid=7F5FF1F0B0E8C62F41025A6E</v>
      </c>
    </row>
    <row r="5889" spans="3:5" ht="75" x14ac:dyDescent="0.25">
      <c r="C5889" s="15">
        <v>146857</v>
      </c>
      <c r="D5889" s="4" t="s">
        <v>5893</v>
      </c>
      <c r="E5889" s="4" t="str">
        <f>HYPERLINK("https://app.crepc.sk/?fn=detailBiblioForm&amp;sid=94F27843EBD77D7A043623EC72")</f>
        <v>https://app.crepc.sk/?fn=detailBiblioForm&amp;sid=94F27843EBD77D7A043623EC72</v>
      </c>
    </row>
    <row r="5890" spans="3:5" ht="75" x14ac:dyDescent="0.25">
      <c r="C5890" s="15">
        <v>215928</v>
      </c>
      <c r="D5890" s="4" t="s">
        <v>5894</v>
      </c>
      <c r="E5890" s="4" t="str">
        <f>HYPERLINK("https://app.crepc.sk/?fn=detailBiblioForm&amp;sid=DC066ED89D79DEAB17933D49AF")</f>
        <v>https://app.crepc.sk/?fn=detailBiblioForm&amp;sid=DC066ED89D79DEAB17933D49AF</v>
      </c>
    </row>
    <row r="5891" spans="3:5" ht="75" x14ac:dyDescent="0.25">
      <c r="C5891" s="15">
        <v>445562</v>
      </c>
      <c r="D5891" s="4" t="s">
        <v>5895</v>
      </c>
      <c r="E5891" s="4" t="str">
        <f>HYPERLINK("https://app.crepc.sk/?fn=detailBiblioForm&amp;sid=8D2AC4920F73DA82E9156A262A")</f>
        <v>https://app.crepc.sk/?fn=detailBiblioForm&amp;sid=8D2AC4920F73DA82E9156A262A</v>
      </c>
    </row>
    <row r="5892" spans="3:5" ht="90" x14ac:dyDescent="0.25">
      <c r="C5892" s="15">
        <v>201330</v>
      </c>
      <c r="D5892" s="4" t="s">
        <v>5896</v>
      </c>
      <c r="E5892" s="4" t="str">
        <f>HYPERLINK("https://app.crepc.sk/?fn=detailBiblioForm&amp;sid=656F169D0F9FF3EB0EE0C459E1")</f>
        <v>https://app.crepc.sk/?fn=detailBiblioForm&amp;sid=656F169D0F9FF3EB0EE0C459E1</v>
      </c>
    </row>
    <row r="5893" spans="3:5" ht="75" x14ac:dyDescent="0.25">
      <c r="C5893" s="15">
        <v>125635</v>
      </c>
      <c r="D5893" s="4" t="s">
        <v>5897</v>
      </c>
      <c r="E5893" s="4" t="str">
        <f>HYPERLINK("https://app.crepc.sk/?fn=detailBiblioForm&amp;sid=107B16852C902CE89E6395D686")</f>
        <v>https://app.crepc.sk/?fn=detailBiblioForm&amp;sid=107B16852C902CE89E6395D686</v>
      </c>
    </row>
    <row r="5894" spans="3:5" ht="90" x14ac:dyDescent="0.25">
      <c r="C5894" s="15">
        <v>57750</v>
      </c>
      <c r="D5894" s="4" t="s">
        <v>5898</v>
      </c>
      <c r="E5894" s="4" t="str">
        <f>HYPERLINK("https://app.crepc.sk/?fn=detailBiblioForm&amp;sid=741CBACA8CBAE065ABC480A7")</f>
        <v>https://app.crepc.sk/?fn=detailBiblioForm&amp;sid=741CBACA8CBAE065ABC480A7</v>
      </c>
    </row>
    <row r="5895" spans="3:5" ht="105" x14ac:dyDescent="0.25">
      <c r="C5895" s="15">
        <v>84769</v>
      </c>
      <c r="D5895" s="4" t="s">
        <v>5899</v>
      </c>
      <c r="E5895" s="4" t="str">
        <f>HYPERLINK("https://app.crepc.sk/?fn=detailBiblioForm&amp;sid=6B1097933A74F4451D3FF9C5")</f>
        <v>https://app.crepc.sk/?fn=detailBiblioForm&amp;sid=6B1097933A74F4451D3FF9C5</v>
      </c>
    </row>
    <row r="5896" spans="3:5" ht="90" x14ac:dyDescent="0.25">
      <c r="C5896" s="15">
        <v>83483</v>
      </c>
      <c r="D5896" s="4" t="s">
        <v>5900</v>
      </c>
      <c r="E5896" s="4" t="str">
        <f>HYPERLINK("https://app.crepc.sk/?fn=detailBiblioForm&amp;sid=F175A37F77ED2752FF85A72D")</f>
        <v>https://app.crepc.sk/?fn=detailBiblioForm&amp;sid=F175A37F77ED2752FF85A72D</v>
      </c>
    </row>
    <row r="5897" spans="3:5" ht="105" x14ac:dyDescent="0.25">
      <c r="C5897" s="15">
        <v>190420</v>
      </c>
      <c r="D5897" s="4" t="s">
        <v>5901</v>
      </c>
      <c r="E5897" s="4" t="str">
        <f>HYPERLINK("https://app.crepc.sk/?fn=detailBiblioForm&amp;sid=44C906722BA4054C5A133B52D0")</f>
        <v>https://app.crepc.sk/?fn=detailBiblioForm&amp;sid=44C906722BA4054C5A133B52D0</v>
      </c>
    </row>
    <row r="5898" spans="3:5" ht="75" x14ac:dyDescent="0.25">
      <c r="C5898" s="15">
        <v>85400</v>
      </c>
      <c r="D5898" s="4" t="s">
        <v>5902</v>
      </c>
      <c r="E5898" s="4" t="str">
        <f>HYPERLINK("https://app.crepc.sk/?fn=detailBiblioForm&amp;sid=49449400033A03E219AC110F")</f>
        <v>https://app.crepc.sk/?fn=detailBiblioForm&amp;sid=49449400033A03E219AC110F</v>
      </c>
    </row>
    <row r="5899" spans="3:5" ht="90" x14ac:dyDescent="0.25">
      <c r="C5899" s="15">
        <v>62562</v>
      </c>
      <c r="D5899" s="4" t="s">
        <v>5903</v>
      </c>
      <c r="E5899" s="4" t="str">
        <f>HYPERLINK("https://app.crepc.sk/?fn=detailBiblioForm&amp;sid=21C6583A02F0CD689158BC1D")</f>
        <v>https://app.crepc.sk/?fn=detailBiblioForm&amp;sid=21C6583A02F0CD689158BC1D</v>
      </c>
    </row>
    <row r="5900" spans="3:5" ht="90" x14ac:dyDescent="0.25">
      <c r="C5900" s="15">
        <v>199862</v>
      </c>
      <c r="D5900" s="4" t="s">
        <v>5904</v>
      </c>
      <c r="E5900" s="4" t="str">
        <f>HYPERLINK("https://app.crepc.sk/?fn=detailBiblioForm&amp;sid=3B3B756FD79A5CBEFD454FAA97")</f>
        <v>https://app.crepc.sk/?fn=detailBiblioForm&amp;sid=3B3B756FD79A5CBEFD454FAA97</v>
      </c>
    </row>
    <row r="5901" spans="3:5" ht="90" x14ac:dyDescent="0.25">
      <c r="C5901" s="15">
        <v>57995</v>
      </c>
      <c r="D5901" s="4" t="s">
        <v>5905</v>
      </c>
      <c r="E5901" s="4" t="str">
        <f>HYPERLINK("https://app.crepc.sk/?fn=detailBiblioForm&amp;sid=9B5DEF24BD8039A5CFE73147")</f>
        <v>https://app.crepc.sk/?fn=detailBiblioForm&amp;sid=9B5DEF24BD8039A5CFE73147</v>
      </c>
    </row>
    <row r="5902" spans="3:5" ht="75" x14ac:dyDescent="0.25">
      <c r="C5902" s="15">
        <v>445554</v>
      </c>
      <c r="D5902" s="4" t="s">
        <v>5906</v>
      </c>
      <c r="E5902" s="4" t="str">
        <f>HYPERLINK("https://app.crepc.sk/?fn=detailBiblioForm&amp;sid=8D2AC4920F73DA82EA136A262A")</f>
        <v>https://app.crepc.sk/?fn=detailBiblioForm&amp;sid=8D2AC4920F73DA82EA136A262A</v>
      </c>
    </row>
    <row r="5903" spans="3:5" ht="90" x14ac:dyDescent="0.25">
      <c r="C5903" s="15">
        <v>418990</v>
      </c>
      <c r="D5903" s="4" t="s">
        <v>5907</v>
      </c>
      <c r="E5903" s="4" t="str">
        <f>HYPERLINK("https://app.crepc.sk/?fn=detailBiblioForm&amp;sid=9AB6DF4C6BF801425A4CDD71DE")</f>
        <v>https://app.crepc.sk/?fn=detailBiblioForm&amp;sid=9AB6DF4C6BF801425A4CDD71DE</v>
      </c>
    </row>
    <row r="5904" spans="3:5" ht="90" x14ac:dyDescent="0.25">
      <c r="C5904" s="15">
        <v>191678</v>
      </c>
      <c r="D5904" s="4" t="s">
        <v>5908</v>
      </c>
      <c r="E5904" s="4" t="str">
        <f>HYPERLINK("https://app.crepc.sk/?fn=detailBiblioForm&amp;sid=2BD2C66034D627EB7E0FC4F76F")</f>
        <v>https://app.crepc.sk/?fn=detailBiblioForm&amp;sid=2BD2C66034D627EB7E0FC4F76F</v>
      </c>
    </row>
    <row r="5905" spans="3:5" ht="75" x14ac:dyDescent="0.25">
      <c r="C5905" s="15">
        <v>435130</v>
      </c>
      <c r="D5905" s="4" t="s">
        <v>5909</v>
      </c>
      <c r="E5905" s="4" t="str">
        <f>HYPERLINK("https://app.crepc.sk/?fn=detailBiblioForm&amp;sid=AD8868FB556EBD592C3ABB48EF")</f>
        <v>https://app.crepc.sk/?fn=detailBiblioForm&amp;sid=AD8868FB556EBD592C3ABB48EF</v>
      </c>
    </row>
    <row r="5906" spans="3:5" ht="90" x14ac:dyDescent="0.25">
      <c r="C5906" s="15">
        <v>51871</v>
      </c>
      <c r="D5906" s="4" t="s">
        <v>5910</v>
      </c>
      <c r="E5906" s="4" t="str">
        <f>HYPERLINK("https://app.crepc.sk/?fn=detailBiblioForm&amp;sid=D5D698E870B5262BED2533D6")</f>
        <v>https://app.crepc.sk/?fn=detailBiblioForm&amp;sid=D5D698E870B5262BED2533D6</v>
      </c>
    </row>
    <row r="5907" spans="3:5" ht="75" x14ac:dyDescent="0.25">
      <c r="C5907" s="15">
        <v>314040</v>
      </c>
      <c r="D5907" s="4" t="s">
        <v>5911</v>
      </c>
      <c r="E5907" s="4" t="str">
        <f>HYPERLINK("https://app.crepc.sk/?fn=detailBiblioForm&amp;sid=52CF6327BC03DBAB5813815F18")</f>
        <v>https://app.crepc.sk/?fn=detailBiblioForm&amp;sid=52CF6327BC03DBAB5813815F18</v>
      </c>
    </row>
    <row r="5908" spans="3:5" ht="90" x14ac:dyDescent="0.25">
      <c r="C5908" s="15">
        <v>245951</v>
      </c>
      <c r="D5908" s="4" t="s">
        <v>5912</v>
      </c>
      <c r="E5908" s="4" t="str">
        <f>HYPERLINK("https://app.crepc.sk/?fn=detailBiblioForm&amp;sid=B4074A4D7573537BC271B46E05")</f>
        <v>https://app.crepc.sk/?fn=detailBiblioForm&amp;sid=B4074A4D7573537BC271B46E05</v>
      </c>
    </row>
    <row r="5909" spans="3:5" ht="90" x14ac:dyDescent="0.25">
      <c r="C5909" s="15">
        <v>176102</v>
      </c>
      <c r="D5909" s="4" t="s">
        <v>5913</v>
      </c>
      <c r="E5909" s="4" t="str">
        <f>HYPERLINK("https://app.crepc.sk/?fn=detailBiblioForm&amp;sid=71469A7EB87E5FAD883174F344")</f>
        <v>https://app.crepc.sk/?fn=detailBiblioForm&amp;sid=71469A7EB87E5FAD883174F344</v>
      </c>
    </row>
    <row r="5910" spans="3:5" ht="90" x14ac:dyDescent="0.25">
      <c r="C5910" s="15">
        <v>96292</v>
      </c>
      <c r="D5910" s="4" t="s">
        <v>5914</v>
      </c>
      <c r="E5910" s="4" t="str">
        <f>HYPERLINK("https://app.crepc.sk/?fn=detailBiblioForm&amp;sid=1A37D2CB08DE61D1A7DA6F01")</f>
        <v>https://app.crepc.sk/?fn=detailBiblioForm&amp;sid=1A37D2CB08DE61D1A7DA6F01</v>
      </c>
    </row>
    <row r="5911" spans="3:5" ht="90" x14ac:dyDescent="0.25">
      <c r="C5911" s="15">
        <v>231574</v>
      </c>
      <c r="D5911" s="4" t="s">
        <v>5915</v>
      </c>
      <c r="E5911" s="4" t="str">
        <f>HYPERLINK("https://app.crepc.sk/?fn=detailBiblioForm&amp;sid=22798EBA0EDCE1765BE711CF7B")</f>
        <v>https://app.crepc.sk/?fn=detailBiblioForm&amp;sid=22798EBA0EDCE1765BE711CF7B</v>
      </c>
    </row>
    <row r="5912" spans="3:5" ht="135" x14ac:dyDescent="0.25">
      <c r="C5912" s="15">
        <v>73009</v>
      </c>
      <c r="D5912" s="4" t="s">
        <v>5916</v>
      </c>
      <c r="E5912" s="4" t="str">
        <f>HYPERLINK("https://app.crepc.sk/?fn=detailBiblioForm&amp;sid=BCDA6C7858FB522B4F3329EE")</f>
        <v>https://app.crepc.sk/?fn=detailBiblioForm&amp;sid=BCDA6C7858FB522B4F3329EE</v>
      </c>
    </row>
    <row r="5913" spans="3:5" ht="75" x14ac:dyDescent="0.25">
      <c r="C5913" s="15">
        <v>433063</v>
      </c>
      <c r="D5913" s="4" t="s">
        <v>5917</v>
      </c>
      <c r="E5913" s="4" t="str">
        <f>HYPERLINK("https://app.crepc.sk/?fn=detailBiblioForm&amp;sid=E89D8E9D2AEBAD46E50EEF7675")</f>
        <v>https://app.crepc.sk/?fn=detailBiblioForm&amp;sid=E89D8E9D2AEBAD46E50EEF7675</v>
      </c>
    </row>
    <row r="5914" spans="3:5" ht="90" x14ac:dyDescent="0.25">
      <c r="C5914" s="15">
        <v>71290</v>
      </c>
      <c r="D5914" s="4" t="s">
        <v>5918</v>
      </c>
      <c r="E5914" s="4" t="str">
        <f>HYPERLINK("https://app.crepc.sk/?fn=detailBiblioForm&amp;sid=97CF32FC42BDBBF7A61BCAF9")</f>
        <v>https://app.crepc.sk/?fn=detailBiblioForm&amp;sid=97CF32FC42BDBBF7A61BCAF9</v>
      </c>
    </row>
    <row r="5915" spans="3:5" ht="75" x14ac:dyDescent="0.25">
      <c r="C5915" s="15">
        <v>199468</v>
      </c>
      <c r="D5915" s="4" t="s">
        <v>5919</v>
      </c>
      <c r="E5915" s="4" t="str">
        <f>HYPERLINK("https://app.crepc.sk/?fn=detailBiblioForm&amp;sid=93146A2D1CAB818AFB9D1AF6CB")</f>
        <v>https://app.crepc.sk/?fn=detailBiblioForm&amp;sid=93146A2D1CAB818AFB9D1AF6CB</v>
      </c>
    </row>
    <row r="5916" spans="3:5" ht="90" x14ac:dyDescent="0.25">
      <c r="C5916" s="15">
        <v>91773</v>
      </c>
      <c r="D5916" s="4" t="s">
        <v>5920</v>
      </c>
      <c r="E5916" s="4" t="str">
        <f>HYPERLINK("https://app.crepc.sk/?fn=detailBiblioForm&amp;sid=6E26AF9EA6D3164C7029837D")</f>
        <v>https://app.crepc.sk/?fn=detailBiblioForm&amp;sid=6E26AF9EA6D3164C7029837D</v>
      </c>
    </row>
    <row r="5917" spans="3:5" ht="75" x14ac:dyDescent="0.25">
      <c r="C5917" s="15">
        <v>415271</v>
      </c>
      <c r="D5917" s="4" t="s">
        <v>5921</v>
      </c>
      <c r="E5917" s="4" t="str">
        <f>HYPERLINK("https://app.crepc.sk/?fn=detailBiblioForm&amp;sid=4F97C066411C5C0173837AA5ED")</f>
        <v>https://app.crepc.sk/?fn=detailBiblioForm&amp;sid=4F97C066411C5C0173837AA5ED</v>
      </c>
    </row>
    <row r="5918" spans="3:5" ht="75" x14ac:dyDescent="0.25">
      <c r="C5918" s="15">
        <v>210182</v>
      </c>
      <c r="D5918" s="4" t="s">
        <v>5922</v>
      </c>
      <c r="E5918" s="4" t="str">
        <f>HYPERLINK("https://app.crepc.sk/?fn=detailBiblioForm&amp;sid=5DB4E0B08DFCD5196E46B528AC")</f>
        <v>https://app.crepc.sk/?fn=detailBiblioForm&amp;sid=5DB4E0B08DFCD5196E46B528AC</v>
      </c>
    </row>
    <row r="5919" spans="3:5" ht="75" x14ac:dyDescent="0.25">
      <c r="C5919" s="15">
        <v>112227</v>
      </c>
      <c r="D5919" s="4" t="s">
        <v>5923</v>
      </c>
      <c r="E5919" s="4" t="str">
        <f>HYPERLINK("https://app.crepc.sk/?fn=detailBiblioForm&amp;sid=7CA613A94B8F9B6E98C6E5F3EF")</f>
        <v>https://app.crepc.sk/?fn=detailBiblioForm&amp;sid=7CA613A94B8F9B6E98C6E5F3EF</v>
      </c>
    </row>
    <row r="5920" spans="3:5" ht="105" x14ac:dyDescent="0.25">
      <c r="C5920" s="15">
        <v>143063</v>
      </c>
      <c r="D5920" s="4" t="s">
        <v>5924</v>
      </c>
      <c r="E5920" s="4" t="str">
        <f>HYPERLINK("https://app.crepc.sk/?fn=detailBiblioForm&amp;sid=0EA7DBD32D42EAF6EBEF224B52")</f>
        <v>https://app.crepc.sk/?fn=detailBiblioForm&amp;sid=0EA7DBD32D42EAF6EBEF224B52</v>
      </c>
    </row>
    <row r="5921" spans="3:5" ht="90" x14ac:dyDescent="0.25">
      <c r="C5921" s="15">
        <v>313792</v>
      </c>
      <c r="D5921" s="4" t="s">
        <v>5925</v>
      </c>
      <c r="E5921" s="4" t="str">
        <f>HYPERLINK("https://app.crepc.sk/?fn=detailBiblioForm&amp;sid=54D25A27962CDFF2CCC0F50D21")</f>
        <v>https://app.crepc.sk/?fn=detailBiblioForm&amp;sid=54D25A27962CDFF2CCC0F50D21</v>
      </c>
    </row>
    <row r="5922" spans="3:5" ht="75" x14ac:dyDescent="0.25">
      <c r="C5922" s="15">
        <v>193053</v>
      </c>
      <c r="D5922" s="4" t="s">
        <v>5926</v>
      </c>
      <c r="E5922" s="4" t="str">
        <f>HYPERLINK("https://app.crepc.sk/?fn=detailBiblioForm&amp;sid=574F2F10DB8DFA9B7039A06CC1")</f>
        <v>https://app.crepc.sk/?fn=detailBiblioForm&amp;sid=574F2F10DB8DFA9B7039A06CC1</v>
      </c>
    </row>
    <row r="5923" spans="3:5" ht="90" x14ac:dyDescent="0.25">
      <c r="C5923" s="15">
        <v>217539</v>
      </c>
      <c r="D5923" s="4" t="s">
        <v>5927</v>
      </c>
      <c r="E5923" s="4" t="str">
        <f>HYPERLINK("https://app.crepc.sk/?fn=detailBiblioForm&amp;sid=452F3B911AFBF2A94159792B4D")</f>
        <v>https://app.crepc.sk/?fn=detailBiblioForm&amp;sid=452F3B911AFBF2A94159792B4D</v>
      </c>
    </row>
    <row r="5924" spans="3:5" ht="90" x14ac:dyDescent="0.25">
      <c r="C5924" s="15">
        <v>132337</v>
      </c>
      <c r="D5924" s="4" t="s">
        <v>5928</v>
      </c>
      <c r="E5924" s="4" t="str">
        <f>HYPERLINK("https://app.crepc.sk/?fn=detailBiblioForm&amp;sid=53FC6B207A7059194F31E7B71C")</f>
        <v>https://app.crepc.sk/?fn=detailBiblioForm&amp;sid=53FC6B207A7059194F31E7B71C</v>
      </c>
    </row>
    <row r="5925" spans="3:5" ht="90" x14ac:dyDescent="0.25">
      <c r="C5925" s="15">
        <v>176300</v>
      </c>
      <c r="D5925" s="4" t="s">
        <v>5929</v>
      </c>
      <c r="E5925" s="4" t="str">
        <f>HYPERLINK("https://app.crepc.sk/?fn=detailBiblioForm&amp;sid=768340A98F933D661941899D3F")</f>
        <v>https://app.crepc.sk/?fn=detailBiblioForm&amp;sid=768340A98F933D661941899D3F</v>
      </c>
    </row>
    <row r="5926" spans="3:5" ht="75" x14ac:dyDescent="0.25">
      <c r="C5926" s="15">
        <v>188694</v>
      </c>
      <c r="D5926" s="4" t="s">
        <v>5930</v>
      </c>
      <c r="E5926" s="4" t="str">
        <f>HYPERLINK("https://app.crepc.sk/?fn=detailBiblioForm&amp;sid=2F8E8707233717E990D8D5B21D")</f>
        <v>https://app.crepc.sk/?fn=detailBiblioForm&amp;sid=2F8E8707233717E990D8D5B21D</v>
      </c>
    </row>
    <row r="5927" spans="3:5" ht="90" x14ac:dyDescent="0.25">
      <c r="C5927" s="15">
        <v>125615</v>
      </c>
      <c r="D5927" s="4" t="s">
        <v>5931</v>
      </c>
      <c r="E5927" s="4" t="str">
        <f>HYPERLINK("https://app.crepc.sk/?fn=detailBiblioForm&amp;sid=107B16852C902CE89C6395D686")</f>
        <v>https://app.crepc.sk/?fn=detailBiblioForm&amp;sid=107B16852C902CE89C6395D686</v>
      </c>
    </row>
    <row r="5928" spans="3:5" ht="75" x14ac:dyDescent="0.25">
      <c r="C5928" s="15">
        <v>308247</v>
      </c>
      <c r="D5928" s="4" t="s">
        <v>5932</v>
      </c>
      <c r="E5928" s="4" t="str">
        <f>HYPERLINK("https://app.crepc.sk/?fn=detailBiblioForm&amp;sid=65F0C0F63AFF658DA3A23F357A")</f>
        <v>https://app.crepc.sk/?fn=detailBiblioForm&amp;sid=65F0C0F63AFF658DA3A23F357A</v>
      </c>
    </row>
    <row r="5929" spans="3:5" ht="120" x14ac:dyDescent="0.25">
      <c r="C5929" s="15">
        <v>140314</v>
      </c>
      <c r="D5929" s="4" t="s">
        <v>5933</v>
      </c>
      <c r="E5929" s="4" t="str">
        <f>HYPERLINK("https://app.crepc.sk/?fn=detailBiblioForm&amp;sid=06ED14E8665C76DEA5C13482C7")</f>
        <v>https://app.crepc.sk/?fn=detailBiblioForm&amp;sid=06ED14E8665C76DEA5C13482C7</v>
      </c>
    </row>
    <row r="5930" spans="3:5" ht="90" x14ac:dyDescent="0.25">
      <c r="C5930" s="15">
        <v>422168</v>
      </c>
      <c r="D5930" s="4" t="s">
        <v>5934</v>
      </c>
      <c r="E5930" s="4" t="str">
        <f>HYPERLINK("https://app.crepc.sk/?fn=detailBiblioForm&amp;sid=009AB2AE308BA29896FB0680FC")</f>
        <v>https://app.crepc.sk/?fn=detailBiblioForm&amp;sid=009AB2AE308BA29896FB0680FC</v>
      </c>
    </row>
    <row r="5931" spans="3:5" ht="90" x14ac:dyDescent="0.25">
      <c r="C5931" s="15">
        <v>71158</v>
      </c>
      <c r="D5931" s="4" t="s">
        <v>5935</v>
      </c>
      <c r="E5931" s="4" t="str">
        <f>HYPERLINK("https://app.crepc.sk/?fn=detailBiblioForm&amp;sid=CE14B89C26AF93A9935D18C5")</f>
        <v>https://app.crepc.sk/?fn=detailBiblioForm&amp;sid=CE14B89C26AF93A9935D18C5</v>
      </c>
    </row>
    <row r="5932" spans="3:5" ht="75" x14ac:dyDescent="0.25">
      <c r="C5932" s="15">
        <v>82363</v>
      </c>
      <c r="D5932" s="4" t="s">
        <v>5936</v>
      </c>
      <c r="E5932" s="4" t="str">
        <f>HYPERLINK("https://app.crepc.sk/?fn=detailBiblioForm&amp;sid=62F703B7411AC7286E48C611")</f>
        <v>https://app.crepc.sk/?fn=detailBiblioForm&amp;sid=62F703B7411AC7286E48C611</v>
      </c>
    </row>
    <row r="5933" spans="3:5" ht="75" x14ac:dyDescent="0.25">
      <c r="C5933" s="15">
        <v>318221</v>
      </c>
      <c r="D5933" s="4" t="s">
        <v>5937</v>
      </c>
      <c r="E5933" s="4" t="str">
        <f>HYPERLINK("https://app.crepc.sk/?fn=detailBiblioForm&amp;sid=E510A6209591D5DEEF9591A696")</f>
        <v>https://app.crepc.sk/?fn=detailBiblioForm&amp;sid=E510A6209591D5DEEF9591A696</v>
      </c>
    </row>
    <row r="5934" spans="3:5" ht="105" x14ac:dyDescent="0.25">
      <c r="C5934" s="15">
        <v>226597</v>
      </c>
      <c r="D5934" s="4" t="s">
        <v>5938</v>
      </c>
      <c r="E5934" s="4" t="str">
        <f>HYPERLINK("https://app.crepc.sk/?fn=detailBiblioForm&amp;sid=1A96CD219DD6F1D8F45C31CBF0")</f>
        <v>https://app.crepc.sk/?fn=detailBiblioForm&amp;sid=1A96CD219DD6F1D8F45C31CBF0</v>
      </c>
    </row>
    <row r="5935" spans="3:5" ht="75" x14ac:dyDescent="0.25">
      <c r="C5935" s="15">
        <v>131037</v>
      </c>
      <c r="D5935" s="4" t="s">
        <v>5939</v>
      </c>
      <c r="E5935" s="4" t="str">
        <f>HYPERLINK("https://app.crepc.sk/?fn=detailBiblioForm&amp;sid=A8CFFD80ABEAC294BB884D0AAA")</f>
        <v>https://app.crepc.sk/?fn=detailBiblioForm&amp;sid=A8CFFD80ABEAC294BB884D0AAA</v>
      </c>
    </row>
    <row r="5936" spans="3:5" ht="75" x14ac:dyDescent="0.25">
      <c r="C5936" s="15">
        <v>95664</v>
      </c>
      <c r="D5936" s="4" t="s">
        <v>5940</v>
      </c>
      <c r="E5936" s="4" t="str">
        <f>HYPERLINK("https://app.crepc.sk/?fn=detailBiblioForm&amp;sid=44FBF6379D5DA95C32478DE0")</f>
        <v>https://app.crepc.sk/?fn=detailBiblioForm&amp;sid=44FBF6379D5DA95C32478DE0</v>
      </c>
    </row>
    <row r="5937" spans="3:5" ht="90" x14ac:dyDescent="0.25">
      <c r="C5937" s="15">
        <v>131748</v>
      </c>
      <c r="D5937" s="4" t="s">
        <v>5941</v>
      </c>
      <c r="E5937" s="4" t="str">
        <f>HYPERLINK("https://app.crepc.sk/?fn=detailBiblioForm&amp;sid=25EF2F987A3BF400FE45E7722F")</f>
        <v>https://app.crepc.sk/?fn=detailBiblioForm&amp;sid=25EF2F987A3BF400FE45E7722F</v>
      </c>
    </row>
    <row r="5938" spans="3:5" ht="90" x14ac:dyDescent="0.25">
      <c r="C5938" s="15">
        <v>172550</v>
      </c>
      <c r="D5938" s="4" t="s">
        <v>5942</v>
      </c>
      <c r="E5938" s="4" t="str">
        <f>HYPERLINK("https://app.crepc.sk/?fn=detailBiblioForm&amp;sid=C15045651E1CB51B05E1221423")</f>
        <v>https://app.crepc.sk/?fn=detailBiblioForm&amp;sid=C15045651E1CB51B05E1221423</v>
      </c>
    </row>
    <row r="5939" spans="3:5" ht="90" x14ac:dyDescent="0.25">
      <c r="C5939" s="15">
        <v>168487</v>
      </c>
      <c r="D5939" s="4" t="s">
        <v>5943</v>
      </c>
      <c r="E5939" s="4" t="str">
        <f>HYPERLINK("https://app.crepc.sk/?fn=detailBiblioForm&amp;sid=EDED30F385E76150B0FA548FA8")</f>
        <v>https://app.crepc.sk/?fn=detailBiblioForm&amp;sid=EDED30F385E76150B0FA548FA8</v>
      </c>
    </row>
    <row r="5940" spans="3:5" ht="75" x14ac:dyDescent="0.25">
      <c r="C5940" s="15">
        <v>312671</v>
      </c>
      <c r="D5940" s="4" t="s">
        <v>5944</v>
      </c>
      <c r="E5940" s="4" t="str">
        <f>HYPERLINK("https://app.crepc.sk/?fn=detailBiblioForm&amp;sid=E7DC3C2FFE1E43E2931A6104AF")</f>
        <v>https://app.crepc.sk/?fn=detailBiblioForm&amp;sid=E7DC3C2FFE1E43E2931A6104AF</v>
      </c>
    </row>
    <row r="5941" spans="3:5" ht="75" x14ac:dyDescent="0.25">
      <c r="C5941" s="15">
        <v>62691</v>
      </c>
      <c r="D5941" s="4" t="s">
        <v>5945</v>
      </c>
      <c r="E5941" s="4" t="str">
        <f>HYPERLINK("https://app.crepc.sk/?fn=detailBiblioForm&amp;sid=0E2868823FB2E2ECD9255C43")</f>
        <v>https://app.crepc.sk/?fn=detailBiblioForm&amp;sid=0E2868823FB2E2ECD9255C43</v>
      </c>
    </row>
    <row r="5942" spans="3:5" ht="90" x14ac:dyDescent="0.25">
      <c r="C5942" s="15">
        <v>212169</v>
      </c>
      <c r="D5942" s="4" t="s">
        <v>5946</v>
      </c>
      <c r="E5942" s="4" t="str">
        <f>HYPERLINK("https://app.crepc.sk/?fn=detailBiblioForm&amp;sid=A1202DE7B01A324D6EF787F106")</f>
        <v>https://app.crepc.sk/?fn=detailBiblioForm&amp;sid=A1202DE7B01A324D6EF787F106</v>
      </c>
    </row>
    <row r="5943" spans="3:5" ht="105" x14ac:dyDescent="0.25">
      <c r="C5943" s="15">
        <v>312196</v>
      </c>
      <c r="D5943" s="4" t="s">
        <v>5947</v>
      </c>
      <c r="E5943" s="4" t="str">
        <f>HYPERLINK("https://app.crepc.sk/?fn=detailBiblioForm&amp;sid=F437EB8E22CB50A251CAD95AC6")</f>
        <v>https://app.crepc.sk/?fn=detailBiblioForm&amp;sid=F437EB8E22CB50A251CAD95AC6</v>
      </c>
    </row>
    <row r="5944" spans="3:5" ht="90" x14ac:dyDescent="0.25">
      <c r="C5944" s="15">
        <v>199544</v>
      </c>
      <c r="D5944" s="4" t="s">
        <v>5948</v>
      </c>
      <c r="E5944" s="4" t="str">
        <f>HYPERLINK("https://app.crepc.sk/?fn=detailBiblioForm&amp;sid=A69BB456D5707EC04FC637E750")</f>
        <v>https://app.crepc.sk/?fn=detailBiblioForm&amp;sid=A69BB456D5707EC04FC637E750</v>
      </c>
    </row>
    <row r="5945" spans="3:5" ht="105" x14ac:dyDescent="0.25">
      <c r="C5945" s="15">
        <v>112207</v>
      </c>
      <c r="D5945" s="4" t="s">
        <v>5949</v>
      </c>
      <c r="E5945" s="4" t="str">
        <f>HYPERLINK("https://app.crepc.sk/?fn=detailBiblioForm&amp;sid=7CA613A94B8F9B6E9AC6E5F3EF")</f>
        <v>https://app.crepc.sk/?fn=detailBiblioForm&amp;sid=7CA613A94B8F9B6E9AC6E5F3EF</v>
      </c>
    </row>
    <row r="5946" spans="3:5" ht="90" x14ac:dyDescent="0.25">
      <c r="C5946" s="15">
        <v>78836</v>
      </c>
      <c r="D5946" s="4" t="s">
        <v>5950</v>
      </c>
      <c r="E5946" s="4" t="str">
        <f>HYPERLINK("https://app.crepc.sk/?fn=detailBiblioForm&amp;sid=F2FF7164A38A718C7140D3E2")</f>
        <v>https://app.crepc.sk/?fn=detailBiblioForm&amp;sid=F2FF7164A38A718C7140D3E2</v>
      </c>
    </row>
    <row r="5947" spans="3:5" ht="75" x14ac:dyDescent="0.25">
      <c r="C5947" s="15">
        <v>139820</v>
      </c>
      <c r="D5947" s="4" t="s">
        <v>5951</v>
      </c>
      <c r="E5947" s="4" t="str">
        <f>HYPERLINK("https://app.crepc.sk/?fn=detailBiblioForm&amp;sid=99467F2B4D35905AF7564A72D5")</f>
        <v>https://app.crepc.sk/?fn=detailBiblioForm&amp;sid=99467F2B4D35905AF7564A72D5</v>
      </c>
    </row>
    <row r="5948" spans="3:5" ht="75" x14ac:dyDescent="0.25">
      <c r="C5948" s="15">
        <v>428224</v>
      </c>
      <c r="D5948" s="4" t="s">
        <v>5952</v>
      </c>
      <c r="E5948" s="4" t="str">
        <f>HYPERLINK("https://app.crepc.sk/?fn=detailBiblioForm&amp;sid=91C15C7AB95D7F5B7CB761EC39")</f>
        <v>https://app.crepc.sk/?fn=detailBiblioForm&amp;sid=91C15C7AB95D7F5B7CB761EC39</v>
      </c>
    </row>
    <row r="5949" spans="3:5" ht="90" x14ac:dyDescent="0.25">
      <c r="C5949" s="15">
        <v>435199</v>
      </c>
      <c r="D5949" s="4" t="s">
        <v>5953</v>
      </c>
      <c r="E5949" s="4" t="str">
        <f>HYPERLINK("https://app.crepc.sk/?fn=detailBiblioForm&amp;sid=AD8868FB556EBD592633BB48EF")</f>
        <v>https://app.crepc.sk/?fn=detailBiblioForm&amp;sid=AD8868FB556EBD592633BB48EF</v>
      </c>
    </row>
    <row r="5950" spans="3:5" ht="75" x14ac:dyDescent="0.25">
      <c r="C5950" s="15">
        <v>428345</v>
      </c>
      <c r="D5950" s="4" t="s">
        <v>5954</v>
      </c>
      <c r="E5950" s="4" t="str">
        <f>HYPERLINK("https://app.crepc.sk/?fn=detailBiblioForm&amp;sid=7B484F48278E6AEEFE4C8AA182")</f>
        <v>https://app.crepc.sk/?fn=detailBiblioForm&amp;sid=7B484F48278E6AEEFE4C8AA182</v>
      </c>
    </row>
    <row r="5951" spans="3:5" ht="90" x14ac:dyDescent="0.25">
      <c r="C5951" s="15">
        <v>315451</v>
      </c>
      <c r="D5951" s="4" t="s">
        <v>5955</v>
      </c>
      <c r="E5951" s="4" t="str">
        <f>HYPERLINK("https://app.crepc.sk/?fn=detailBiblioForm&amp;sid=D6A415B53B85E30B9EDC62509B")</f>
        <v>https://app.crepc.sk/?fn=detailBiblioForm&amp;sid=D6A415B53B85E30B9EDC62509B</v>
      </c>
    </row>
    <row r="5952" spans="3:5" ht="105" x14ac:dyDescent="0.25">
      <c r="C5952" s="15">
        <v>205595</v>
      </c>
      <c r="D5952" s="4" t="s">
        <v>5956</v>
      </c>
      <c r="E5952" s="4" t="str">
        <f>HYPERLINK("https://app.crepc.sk/?fn=detailBiblioForm&amp;sid=1B1E3C1E1F334B1A4B04FA7123")</f>
        <v>https://app.crepc.sk/?fn=detailBiblioForm&amp;sid=1B1E3C1E1F334B1A4B04FA7123</v>
      </c>
    </row>
    <row r="5953" spans="3:5" ht="90" x14ac:dyDescent="0.25">
      <c r="C5953" s="15">
        <v>69896</v>
      </c>
      <c r="D5953" s="4" t="s">
        <v>5957</v>
      </c>
      <c r="E5953" s="4" t="str">
        <f>HYPERLINK("https://app.crepc.sk/?fn=detailBiblioForm&amp;sid=992C7AD1032660AC54027DA5")</f>
        <v>https://app.crepc.sk/?fn=detailBiblioForm&amp;sid=992C7AD1032660AC54027DA5</v>
      </c>
    </row>
    <row r="5954" spans="3:5" ht="75" x14ac:dyDescent="0.25">
      <c r="C5954" s="15">
        <v>206594</v>
      </c>
      <c r="D5954" s="4" t="s">
        <v>5958</v>
      </c>
      <c r="E5954" s="4" t="str">
        <f>HYPERLINK("https://app.crepc.sk/?fn=detailBiblioForm&amp;sid=B40681A0D6A7C80C33EC9B741B")</f>
        <v>https://app.crepc.sk/?fn=detailBiblioForm&amp;sid=B40681A0D6A7C80C33EC9B741B</v>
      </c>
    </row>
    <row r="5955" spans="3:5" ht="90" x14ac:dyDescent="0.25">
      <c r="C5955" s="15">
        <v>138039</v>
      </c>
      <c r="D5955" s="4" t="s">
        <v>5959</v>
      </c>
      <c r="E5955" s="4" t="str">
        <f>HYPERLINK("https://app.crepc.sk/?fn=detailBiblioForm&amp;sid=D9FD61DACB535D159856547F0C")</f>
        <v>https://app.crepc.sk/?fn=detailBiblioForm&amp;sid=D9FD61DACB535D159856547F0C</v>
      </c>
    </row>
    <row r="5956" spans="3:5" ht="75" x14ac:dyDescent="0.25">
      <c r="C5956" s="15">
        <v>433283</v>
      </c>
      <c r="D5956" s="4" t="s">
        <v>5960</v>
      </c>
      <c r="E5956" s="4" t="str">
        <f>HYPERLINK("https://app.crepc.sk/?fn=detailBiblioForm&amp;sid=530B29B90A77EF33A90F499B3B")</f>
        <v>https://app.crepc.sk/?fn=detailBiblioForm&amp;sid=530B29B90A77EF33A90F499B3B</v>
      </c>
    </row>
    <row r="5957" spans="3:5" ht="75" x14ac:dyDescent="0.25">
      <c r="C5957" s="15">
        <v>118516</v>
      </c>
      <c r="D5957" s="4" t="s">
        <v>5961</v>
      </c>
      <c r="E5957" s="4" t="str">
        <f>HYPERLINK("https://app.crepc.sk/?fn=detailBiblioForm&amp;sid=5E5121F04DA708F8C2C578AA89")</f>
        <v>https://app.crepc.sk/?fn=detailBiblioForm&amp;sid=5E5121F04DA708F8C2C578AA89</v>
      </c>
    </row>
    <row r="5958" spans="3:5" ht="120" x14ac:dyDescent="0.25">
      <c r="C5958" s="15">
        <v>179626</v>
      </c>
      <c r="D5958" s="4" t="s">
        <v>5962</v>
      </c>
      <c r="E5958" s="4" t="str">
        <f>HYPERLINK("https://app.crepc.sk/?fn=detailBiblioForm&amp;sid=E800E35B75A4A8F9350E2F3FB2")</f>
        <v>https://app.crepc.sk/?fn=detailBiblioForm&amp;sid=E800E35B75A4A8F9350E2F3FB2</v>
      </c>
    </row>
    <row r="5959" spans="3:5" ht="75" x14ac:dyDescent="0.25">
      <c r="C5959" s="15">
        <v>315794</v>
      </c>
      <c r="D5959" s="4" t="s">
        <v>5963</v>
      </c>
      <c r="E5959" s="4" t="str">
        <f>HYPERLINK("https://app.crepc.sk/?fn=detailBiblioForm&amp;sid=CDD02CFDD1BF044BBB15112FEA")</f>
        <v>https://app.crepc.sk/?fn=detailBiblioForm&amp;sid=CDD02CFDD1BF044BBB15112FEA</v>
      </c>
    </row>
    <row r="5960" spans="3:5" ht="105" x14ac:dyDescent="0.25">
      <c r="C5960" s="15">
        <v>180559</v>
      </c>
      <c r="D5960" s="4" t="s">
        <v>5964</v>
      </c>
      <c r="E5960" s="4" t="str">
        <f>HYPERLINK("https://app.crepc.sk/?fn=detailBiblioForm&amp;sid=F33BEAA28AB422A4F11703D707")</f>
        <v>https://app.crepc.sk/?fn=detailBiblioForm&amp;sid=F33BEAA28AB422A4F11703D707</v>
      </c>
    </row>
    <row r="5961" spans="3:5" ht="90" x14ac:dyDescent="0.25">
      <c r="C5961" s="15">
        <v>422173</v>
      </c>
      <c r="D5961" s="4" t="s">
        <v>5965</v>
      </c>
      <c r="E5961" s="4" t="str">
        <f>HYPERLINK("https://app.crepc.sk/?fn=detailBiblioForm&amp;sid=009AB2AE308BA29897F00680FC")</f>
        <v>https://app.crepc.sk/?fn=detailBiblioForm&amp;sid=009AB2AE308BA29897F00680FC</v>
      </c>
    </row>
    <row r="5962" spans="3:5" ht="75" x14ac:dyDescent="0.25">
      <c r="C5962" s="15">
        <v>217244</v>
      </c>
      <c r="D5962" s="4" t="s">
        <v>5966</v>
      </c>
      <c r="E5962" s="4" t="str">
        <f>HYPERLINK("https://app.crepc.sk/?fn=detailBiblioForm&amp;sid=95653863DE8D795C3CBC87F2A7")</f>
        <v>https://app.crepc.sk/?fn=detailBiblioForm&amp;sid=95653863DE8D795C3CBC87F2A7</v>
      </c>
    </row>
    <row r="5963" spans="3:5" ht="75" x14ac:dyDescent="0.25">
      <c r="C5963" s="15">
        <v>86874</v>
      </c>
      <c r="D5963" s="4" t="s">
        <v>5967</v>
      </c>
      <c r="E5963" s="4" t="str">
        <f>HYPERLINK("https://app.crepc.sk/?fn=detailBiblioForm&amp;sid=C09530B9B3C4CEB5747AB50F")</f>
        <v>https://app.crepc.sk/?fn=detailBiblioForm&amp;sid=C09530B9B3C4CEB5747AB50F</v>
      </c>
    </row>
    <row r="5964" spans="3:5" ht="105" x14ac:dyDescent="0.25">
      <c r="C5964" s="15">
        <v>69942</v>
      </c>
      <c r="D5964" s="4" t="s">
        <v>5968</v>
      </c>
      <c r="E5964" s="4" t="str">
        <f>HYPERLINK("https://app.crepc.sk/?fn=detailBiblioForm&amp;sid=499901DE76CC2760CBB5C780")</f>
        <v>https://app.crepc.sk/?fn=detailBiblioForm&amp;sid=499901DE76CC2760CBB5C780</v>
      </c>
    </row>
    <row r="5965" spans="3:5" ht="90" x14ac:dyDescent="0.25">
      <c r="C5965" s="15">
        <v>74289</v>
      </c>
      <c r="D5965" s="4" t="s">
        <v>5969</v>
      </c>
      <c r="E5965" s="4" t="str">
        <f>HYPERLINK("https://app.crepc.sk/?fn=detailBiblioForm&amp;sid=D4BC4303AC74E3EDC14EDE29")</f>
        <v>https://app.crepc.sk/?fn=detailBiblioForm&amp;sid=D4BC4303AC74E3EDC14EDE29</v>
      </c>
    </row>
    <row r="5966" spans="3:5" ht="90" x14ac:dyDescent="0.25">
      <c r="C5966" s="15">
        <v>161431</v>
      </c>
      <c r="D5966" s="4" t="s">
        <v>5970</v>
      </c>
      <c r="E5966" s="4" t="str">
        <f>HYPERLINK("https://app.crepc.sk/?fn=detailBiblioForm&amp;sid=72994EA9AD52E4DE489721105F")</f>
        <v>https://app.crepc.sk/?fn=detailBiblioForm&amp;sid=72994EA9AD52E4DE489721105F</v>
      </c>
    </row>
    <row r="5967" spans="3:5" ht="90" x14ac:dyDescent="0.25">
      <c r="C5967" s="15">
        <v>74240</v>
      </c>
      <c r="D5967" s="4" t="s">
        <v>5971</v>
      </c>
      <c r="E5967" s="4" t="str">
        <f>HYPERLINK("https://app.crepc.sk/?fn=detailBiblioForm&amp;sid=A20D78852BDF6CEC8A83418D")</f>
        <v>https://app.crepc.sk/?fn=detailBiblioForm&amp;sid=A20D78852BDF6CEC8A83418D</v>
      </c>
    </row>
    <row r="5968" spans="3:5" ht="75" x14ac:dyDescent="0.25">
      <c r="C5968" s="15">
        <v>62579</v>
      </c>
      <c r="D5968" s="4" t="s">
        <v>5972</v>
      </c>
      <c r="E5968" s="4" t="str">
        <f>HYPERLINK("https://app.crepc.sk/?fn=detailBiblioForm&amp;sid=07E6CBBE672EFFC600EE0B17")</f>
        <v>https://app.crepc.sk/?fn=detailBiblioForm&amp;sid=07E6CBBE672EFFC600EE0B17</v>
      </c>
    </row>
    <row r="5969" spans="3:5" ht="75" x14ac:dyDescent="0.25">
      <c r="C5969" s="15">
        <v>199556</v>
      </c>
      <c r="D5969" s="4" t="s">
        <v>5973</v>
      </c>
      <c r="E5969" s="4" t="str">
        <f>HYPERLINK("https://app.crepc.sk/?fn=detailBiblioForm&amp;sid=A69BB456D5707EC04EC437E750")</f>
        <v>https://app.crepc.sk/?fn=detailBiblioForm&amp;sid=A69BB456D5707EC04EC437E750</v>
      </c>
    </row>
    <row r="5970" spans="3:5" ht="75" x14ac:dyDescent="0.25">
      <c r="C5970" s="15">
        <v>174338</v>
      </c>
      <c r="D5970" s="4" t="s">
        <v>5974</v>
      </c>
      <c r="E5970" s="4" t="str">
        <f>HYPERLINK("https://app.crepc.sk/?fn=detailBiblioForm&amp;sid=4F55101800366CEF5EFDA9CD0A")</f>
        <v>https://app.crepc.sk/?fn=detailBiblioForm&amp;sid=4F55101800366CEF5EFDA9CD0A</v>
      </c>
    </row>
    <row r="5971" spans="3:5" ht="75" x14ac:dyDescent="0.25">
      <c r="C5971" s="15">
        <v>445792</v>
      </c>
      <c r="D5971" s="4" t="s">
        <v>5975</v>
      </c>
      <c r="E5971" s="4" t="str">
        <f>HYPERLINK("https://app.crepc.sk/?fn=detailBiblioForm&amp;sid=1281F4184BCA3CDC808915CD82")</f>
        <v>https://app.crepc.sk/?fn=detailBiblioForm&amp;sid=1281F4184BCA3CDC808915CD82</v>
      </c>
    </row>
    <row r="5972" spans="3:5" ht="90" x14ac:dyDescent="0.25">
      <c r="C5972" s="15">
        <v>433068</v>
      </c>
      <c r="D5972" s="4" t="s">
        <v>5976</v>
      </c>
      <c r="E5972" s="4" t="str">
        <f>HYPERLINK("https://app.crepc.sk/?fn=detailBiblioForm&amp;sid=E89D8E9D2AEBAD46E505EF7675")</f>
        <v>https://app.crepc.sk/?fn=detailBiblioForm&amp;sid=E89D8E9D2AEBAD46E505EF7675</v>
      </c>
    </row>
    <row r="5973" spans="3:5" ht="90" x14ac:dyDescent="0.25">
      <c r="C5973" s="15">
        <v>422217</v>
      </c>
      <c r="D5973" s="4" t="s">
        <v>5977</v>
      </c>
      <c r="E5973" s="4" t="str">
        <f>HYPERLINK("https://app.crepc.sk/?fn=detailBiblioForm&amp;sid=2B83B6931487D59DB91295FD22")</f>
        <v>https://app.crepc.sk/?fn=detailBiblioForm&amp;sid=2B83B6931487D59DB91295FD22</v>
      </c>
    </row>
    <row r="5974" spans="3:5" ht="105" x14ac:dyDescent="0.25">
      <c r="C5974" s="15">
        <v>61186</v>
      </c>
      <c r="D5974" s="4" t="s">
        <v>5978</v>
      </c>
      <c r="E5974" s="4" t="str">
        <f>HYPERLINK("https://app.crepc.sk/?fn=detailBiblioForm&amp;sid=85B196BDA9A2524EEF304696")</f>
        <v>https://app.crepc.sk/?fn=detailBiblioForm&amp;sid=85B196BDA9A2524EEF304696</v>
      </c>
    </row>
    <row r="5975" spans="3:5" ht="75" x14ac:dyDescent="0.25">
      <c r="C5975" s="15">
        <v>223099</v>
      </c>
      <c r="D5975" s="4" t="s">
        <v>5979</v>
      </c>
      <c r="E5975" s="4" t="str">
        <f>HYPERLINK("https://app.crepc.sk/?fn=detailBiblioForm&amp;sid=798E363B8459E66AC8A4A73AAF")</f>
        <v>https://app.crepc.sk/?fn=detailBiblioForm&amp;sid=798E363B8459E66AC8A4A73AAF</v>
      </c>
    </row>
    <row r="5976" spans="3:5" ht="90" x14ac:dyDescent="0.25">
      <c r="C5976" s="15">
        <v>310072</v>
      </c>
      <c r="D5976" s="4" t="s">
        <v>5980</v>
      </c>
      <c r="E5976" s="4" t="str">
        <f>HYPERLINK("https://app.crepc.sk/?fn=detailBiblioForm&amp;sid=F566C6E0CB47072BFBEC22F69C")</f>
        <v>https://app.crepc.sk/?fn=detailBiblioForm&amp;sid=F566C6E0CB47072BFBEC22F69C</v>
      </c>
    </row>
    <row r="5977" spans="3:5" ht="90" x14ac:dyDescent="0.25">
      <c r="C5977" s="15">
        <v>57742</v>
      </c>
      <c r="D5977" s="4" t="s">
        <v>5981</v>
      </c>
      <c r="E5977" s="4" t="str">
        <f>HYPERLINK("https://app.crepc.sk/?fn=detailBiblioForm&amp;sid=489C401CFB5CAD60285F9EF3")</f>
        <v>https://app.crepc.sk/?fn=detailBiblioForm&amp;sid=489C401CFB5CAD60285F9EF3</v>
      </c>
    </row>
    <row r="5978" spans="3:5" ht="90" x14ac:dyDescent="0.25">
      <c r="C5978" s="15">
        <v>122938</v>
      </c>
      <c r="D5978" s="4" t="s">
        <v>5982</v>
      </c>
      <c r="E5978" s="4" t="str">
        <f>HYPERLINK("https://app.crepc.sk/?fn=detailBiblioForm&amp;sid=3B2B0BBAA862FD0FCA478724C7")</f>
        <v>https://app.crepc.sk/?fn=detailBiblioForm&amp;sid=3B2B0BBAA862FD0FCA478724C7</v>
      </c>
    </row>
    <row r="5979" spans="3:5" ht="105" x14ac:dyDescent="0.25">
      <c r="C5979" s="15">
        <v>143143</v>
      </c>
      <c r="D5979" s="4" t="s">
        <v>5983</v>
      </c>
      <c r="E5979" s="4" t="str">
        <f>HYPERLINK("https://app.crepc.sk/?fn=detailBiblioForm&amp;sid=A2EF37C6133CFD9742FF6CA77B")</f>
        <v>https://app.crepc.sk/?fn=detailBiblioForm&amp;sid=A2EF37C6133CFD9742FF6CA77B</v>
      </c>
    </row>
    <row r="5980" spans="3:5" ht="90" x14ac:dyDescent="0.25">
      <c r="C5980" s="15">
        <v>442590</v>
      </c>
      <c r="D5980" s="4" t="s">
        <v>5984</v>
      </c>
      <c r="E5980" s="4" t="str">
        <f>HYPERLINK("https://app.crepc.sk/?fn=detailBiblioForm&amp;sid=A9CFFDCBD31163D91FACFD67B2")</f>
        <v>https://app.crepc.sk/?fn=detailBiblioForm&amp;sid=A9CFFDCBD31163D91FACFD67B2</v>
      </c>
    </row>
    <row r="5981" spans="3:5" ht="90" x14ac:dyDescent="0.25">
      <c r="C5981" s="15">
        <v>205567</v>
      </c>
      <c r="D5981" s="4" t="s">
        <v>5985</v>
      </c>
      <c r="E5981" s="4" t="str">
        <f>HYPERLINK("https://app.crepc.sk/?fn=detailBiblioForm&amp;sid=1B1E3C1E1F334B1A4406FA7123")</f>
        <v>https://app.crepc.sk/?fn=detailBiblioForm&amp;sid=1B1E3C1E1F334B1A4406FA7123</v>
      </c>
    </row>
    <row r="5982" spans="3:5" ht="75" x14ac:dyDescent="0.25">
      <c r="C5982" s="15">
        <v>309396</v>
      </c>
      <c r="D5982" s="4" t="s">
        <v>5986</v>
      </c>
      <c r="E5982" s="4" t="str">
        <f>HYPERLINK("https://app.crepc.sk/?fn=detailBiblioForm&amp;sid=3106B7E81CE24AA361DFECAD02")</f>
        <v>https://app.crepc.sk/?fn=detailBiblioForm&amp;sid=3106B7E81CE24AA361DFECAD02</v>
      </c>
    </row>
    <row r="5983" spans="3:5" ht="90" x14ac:dyDescent="0.25">
      <c r="C5983" s="15">
        <v>213951</v>
      </c>
      <c r="D5983" s="4" t="s">
        <v>5987</v>
      </c>
      <c r="E5983" s="4" t="str">
        <f>HYPERLINK("https://app.crepc.sk/?fn=detailBiblioForm&amp;sid=5C150E32B6874145FC1C418AD1")</f>
        <v>https://app.crepc.sk/?fn=detailBiblioForm&amp;sid=5C150E32B6874145FC1C418AD1</v>
      </c>
    </row>
    <row r="5984" spans="3:5" ht="90" x14ac:dyDescent="0.25">
      <c r="C5984" s="15">
        <v>423680</v>
      </c>
      <c r="D5984" s="4" t="s">
        <v>5988</v>
      </c>
      <c r="E5984" s="4" t="str">
        <f>HYPERLINK("https://app.crepc.sk/?fn=detailBiblioForm&amp;sid=516623C0A42DFF75C312D9AD8F")</f>
        <v>https://app.crepc.sk/?fn=detailBiblioForm&amp;sid=516623C0A42DFF75C312D9AD8F</v>
      </c>
    </row>
    <row r="5985" spans="3:5" ht="90" x14ac:dyDescent="0.25">
      <c r="C5985" s="15">
        <v>125621</v>
      </c>
      <c r="D5985" s="4" t="s">
        <v>5989</v>
      </c>
      <c r="E5985" s="4" t="str">
        <f>HYPERLINK("https://app.crepc.sk/?fn=detailBiblioForm&amp;sid=107B16852C902CE89F6795D686")</f>
        <v>https://app.crepc.sk/?fn=detailBiblioForm&amp;sid=107B16852C902CE89F6795D686</v>
      </c>
    </row>
    <row r="5986" spans="3:5" ht="90" x14ac:dyDescent="0.25">
      <c r="C5986" s="15">
        <v>84781</v>
      </c>
      <c r="D5986" s="4" t="s">
        <v>5990</v>
      </c>
      <c r="E5986" s="4" t="str">
        <f>HYPERLINK("https://app.crepc.sk/?fn=detailBiblioForm&amp;sid=42C9546B56DB23EF4994FC30")</f>
        <v>https://app.crepc.sk/?fn=detailBiblioForm&amp;sid=42C9546B56DB23EF4994FC30</v>
      </c>
    </row>
    <row r="5987" spans="3:5" ht="90" x14ac:dyDescent="0.25">
      <c r="C5987" s="15">
        <v>129080</v>
      </c>
      <c r="D5987" s="4" t="s">
        <v>5991</v>
      </c>
      <c r="E5987" s="4" t="str">
        <f>HYPERLINK("https://app.crepc.sk/?fn=detailBiblioForm&amp;sid=8ED2C2B0C8CAA517F26A6E93E7")</f>
        <v>https://app.crepc.sk/?fn=detailBiblioForm&amp;sid=8ED2C2B0C8CAA517F26A6E93E7</v>
      </c>
    </row>
    <row r="5988" spans="3:5" ht="90" x14ac:dyDescent="0.25">
      <c r="C5988" s="15">
        <v>449384</v>
      </c>
      <c r="D5988" s="4" t="s">
        <v>5992</v>
      </c>
      <c r="E5988" s="4" t="str">
        <f>HYPERLINK("https://app.crepc.sk/?fn=detailBiblioForm&amp;sid=6F325D038162249628DD5941E3")</f>
        <v>https://app.crepc.sk/?fn=detailBiblioForm&amp;sid=6F325D038162249628DD5941E3</v>
      </c>
    </row>
    <row r="5989" spans="3:5" ht="90" x14ac:dyDescent="0.25">
      <c r="C5989" s="15">
        <v>449379</v>
      </c>
      <c r="D5989" s="4" t="s">
        <v>5993</v>
      </c>
      <c r="E5989" s="4" t="str">
        <f>HYPERLINK("https://app.crepc.sk/?fn=detailBiblioForm&amp;sid=6F325D038162249627D05941E3")</f>
        <v>https://app.crepc.sk/?fn=detailBiblioForm&amp;sid=6F325D038162249627D05941E3</v>
      </c>
    </row>
    <row r="5990" spans="3:5" ht="75" x14ac:dyDescent="0.25">
      <c r="C5990" s="15">
        <v>223100</v>
      </c>
      <c r="D5990" s="4" t="s">
        <v>5994</v>
      </c>
      <c r="E5990" s="4" t="str">
        <f>HYPERLINK("https://app.crepc.sk/?fn=detailBiblioForm&amp;sid=3CCA95DFCBDFD550346EFB1A00")</f>
        <v>https://app.crepc.sk/?fn=detailBiblioForm&amp;sid=3CCA95DFCBDFD550346EFB1A00</v>
      </c>
    </row>
    <row r="5991" spans="3:5" ht="90" x14ac:dyDescent="0.25">
      <c r="C5991" s="15">
        <v>449304</v>
      </c>
      <c r="D5991" s="4" t="s">
        <v>5995</v>
      </c>
      <c r="E5991" s="4" t="str">
        <f>HYPERLINK("https://app.crepc.sk/?fn=detailBiblioForm&amp;sid=6F325D038162249620DD5941E3")</f>
        <v>https://app.crepc.sk/?fn=detailBiblioForm&amp;sid=6F325D038162249620DD5941E3</v>
      </c>
    </row>
    <row r="5992" spans="3:5" ht="75" x14ac:dyDescent="0.25">
      <c r="C5992" s="15">
        <v>201632</v>
      </c>
      <c r="D5992" s="4" t="s">
        <v>5996</v>
      </c>
      <c r="E5992" s="4" t="str">
        <f>HYPERLINK("https://app.crepc.sk/?fn=detailBiblioForm&amp;sid=707CEFEB8D2EA66AE69E387CAD")</f>
        <v>https://app.crepc.sk/?fn=detailBiblioForm&amp;sid=707CEFEB8D2EA66AE69E387CAD</v>
      </c>
    </row>
    <row r="5993" spans="3:5" ht="75" x14ac:dyDescent="0.25">
      <c r="C5993" s="15">
        <v>62574</v>
      </c>
      <c r="D5993" s="4" t="s">
        <v>5997</v>
      </c>
      <c r="E5993" s="4" t="str">
        <f>HYPERLINK("https://app.crepc.sk/?fn=detailBiblioForm&amp;sid=07E6CBBE672EFFC60DEE0B17")</f>
        <v>https://app.crepc.sk/?fn=detailBiblioForm&amp;sid=07E6CBBE672EFFC60DEE0B17</v>
      </c>
    </row>
    <row r="5994" spans="3:5" ht="60" x14ac:dyDescent="0.25">
      <c r="C5994" s="15">
        <v>161655</v>
      </c>
      <c r="D5994" s="4" t="s">
        <v>5998</v>
      </c>
      <c r="E5994" s="4" t="str">
        <f>HYPERLINK("https://app.crepc.sk/?fn=detailBiblioForm&amp;sid=1D69B1A76ABEB527B56BBB2E6D")</f>
        <v>https://app.crepc.sk/?fn=detailBiblioForm&amp;sid=1D69B1A76ABEB527B56BBB2E6D</v>
      </c>
    </row>
    <row r="5995" spans="3:5" ht="90" x14ac:dyDescent="0.25">
      <c r="C5995" s="15">
        <v>120570</v>
      </c>
      <c r="D5995" s="4" t="s">
        <v>5999</v>
      </c>
      <c r="E5995" s="4" t="str">
        <f>HYPERLINK("https://app.crepc.sk/?fn=detailBiblioForm&amp;sid=EB46C9439DF1B27E1EBF750418")</f>
        <v>https://app.crepc.sk/?fn=detailBiblioForm&amp;sid=EB46C9439DF1B27E1EBF750418</v>
      </c>
    </row>
    <row r="5996" spans="3:5" ht="75" x14ac:dyDescent="0.25">
      <c r="C5996" s="15">
        <v>152873</v>
      </c>
      <c r="D5996" s="4" t="s">
        <v>6000</v>
      </c>
      <c r="E5996" s="4" t="str">
        <f>HYPERLINK("https://app.crepc.sk/?fn=detailBiblioForm&amp;sid=4CB0668AE2C8F277BDA7C0BA9E")</f>
        <v>https://app.crepc.sk/?fn=detailBiblioForm&amp;sid=4CB0668AE2C8F277BDA7C0BA9E</v>
      </c>
    </row>
    <row r="5997" spans="3:5" ht="90" x14ac:dyDescent="0.25">
      <c r="C5997" s="15">
        <v>147340</v>
      </c>
      <c r="D5997" s="4" t="s">
        <v>6001</v>
      </c>
      <c r="E5997" s="4" t="str">
        <f>HYPERLINK("https://app.crepc.sk/?fn=detailBiblioForm&amp;sid=B0ECE52FE577B8B955CB0BFF73")</f>
        <v>https://app.crepc.sk/?fn=detailBiblioForm&amp;sid=B0ECE52FE577B8B955CB0BFF73</v>
      </c>
    </row>
    <row r="5998" spans="3:5" ht="90" x14ac:dyDescent="0.25">
      <c r="C5998" s="15">
        <v>315799</v>
      </c>
      <c r="D5998" s="4" t="s">
        <v>6002</v>
      </c>
      <c r="E5998" s="4" t="str">
        <f>HYPERLINK("https://app.crepc.sk/?fn=detailBiblioForm&amp;sid=CDD02CFDD1BF044BBB18112FEA")</f>
        <v>https://app.crepc.sk/?fn=detailBiblioForm&amp;sid=CDD02CFDD1BF044BBB18112FEA</v>
      </c>
    </row>
    <row r="5999" spans="3:5" ht="105" x14ac:dyDescent="0.25">
      <c r="C5999" s="15">
        <v>419546</v>
      </c>
      <c r="D5999" s="4" t="s">
        <v>6003</v>
      </c>
      <c r="E5999" s="4" t="str">
        <f>HYPERLINK("https://app.crepc.sk/?fn=detailBiblioForm&amp;sid=147DE4E58F33913E2985DCEAD2")</f>
        <v>https://app.crepc.sk/?fn=detailBiblioForm&amp;sid=147DE4E58F33913E2985DCEAD2</v>
      </c>
    </row>
    <row r="6000" spans="3:5" ht="90" x14ac:dyDescent="0.25">
      <c r="C6000" s="15">
        <v>136917</v>
      </c>
      <c r="D6000" s="4" t="s">
        <v>6004</v>
      </c>
      <c r="E6000" s="4" t="str">
        <f>HYPERLINK("https://app.crepc.sk/?fn=detailBiblioForm&amp;sid=75B7A01F43629DD3F126613E63")</f>
        <v>https://app.crepc.sk/?fn=detailBiblioForm&amp;sid=75B7A01F43629DD3F126613E63</v>
      </c>
    </row>
    <row r="6001" spans="3:5" ht="75" x14ac:dyDescent="0.25">
      <c r="C6001" s="15">
        <v>445283</v>
      </c>
      <c r="D6001" s="4" t="s">
        <v>6005</v>
      </c>
      <c r="E6001" s="4" t="str">
        <f>HYPERLINK("https://app.crepc.sk/?fn=detailBiblioForm&amp;sid=87E26BDA1F34FFA65D5046AB7E")</f>
        <v>https://app.crepc.sk/?fn=detailBiblioForm&amp;sid=87E26BDA1F34FFA65D5046AB7E</v>
      </c>
    </row>
    <row r="6002" spans="3:5" ht="90" x14ac:dyDescent="0.25">
      <c r="C6002" s="15">
        <v>311450</v>
      </c>
      <c r="D6002" s="4" t="s">
        <v>6006</v>
      </c>
      <c r="E6002" s="4" t="str">
        <f>HYPERLINK("https://app.crepc.sk/?fn=detailBiblioForm&amp;sid=0ECF837769D87CF04D1DD0BD57")</f>
        <v>https://app.crepc.sk/?fn=detailBiblioForm&amp;sid=0ECF837769D87CF04D1DD0BD57</v>
      </c>
    </row>
    <row r="6003" spans="3:5" ht="75" x14ac:dyDescent="0.25">
      <c r="C6003" s="15">
        <v>433696</v>
      </c>
      <c r="D6003" s="4" t="s">
        <v>6007</v>
      </c>
      <c r="E6003" s="4" t="str">
        <f>HYPERLINK("https://app.crepc.sk/?fn=detailBiblioForm&amp;sid=51B873D3F437233C6690CB1DA8")</f>
        <v>https://app.crepc.sk/?fn=detailBiblioForm&amp;sid=51B873D3F437233C6690CB1DA8</v>
      </c>
    </row>
    <row r="6004" spans="3:5" ht="75" x14ac:dyDescent="0.25">
      <c r="C6004" s="15">
        <v>137325</v>
      </c>
      <c r="D6004" s="4" t="s">
        <v>6008</v>
      </c>
      <c r="E6004" s="4" t="str">
        <f>HYPERLINK("https://app.crepc.sk/?fn=detailBiblioForm&amp;sid=CD0F3DD308605F9676EC7B5CB6")</f>
        <v>https://app.crepc.sk/?fn=detailBiblioForm&amp;sid=CD0F3DD308605F9676EC7B5CB6</v>
      </c>
    </row>
    <row r="6005" spans="3:5" ht="90" x14ac:dyDescent="0.25">
      <c r="C6005" s="15">
        <v>131033</v>
      </c>
      <c r="D6005" s="4" t="s">
        <v>6009</v>
      </c>
      <c r="E6005" s="4" t="str">
        <f>HYPERLINK("https://app.crepc.sk/?fn=detailBiblioForm&amp;sid=A8CFFD80ABEAC294BB8C4D0AAA")</f>
        <v>https://app.crepc.sk/?fn=detailBiblioForm&amp;sid=A8CFFD80ABEAC294BB8C4D0AAA</v>
      </c>
    </row>
    <row r="6006" spans="3:5" ht="90" x14ac:dyDescent="0.25">
      <c r="C6006" s="15">
        <v>121109</v>
      </c>
      <c r="D6006" s="4" t="s">
        <v>6010</v>
      </c>
      <c r="E6006" s="4" t="str">
        <f>HYPERLINK("https://app.crepc.sk/?fn=detailBiblioForm&amp;sid=89B7BE4D03EE00FA715E6CCD7F")</f>
        <v>https://app.crepc.sk/?fn=detailBiblioForm&amp;sid=89B7BE4D03EE00FA715E6CCD7F</v>
      </c>
    </row>
    <row r="6007" spans="3:5" ht="90" x14ac:dyDescent="0.25">
      <c r="C6007" s="15">
        <v>131032</v>
      </c>
      <c r="D6007" s="4" t="s">
        <v>6011</v>
      </c>
      <c r="E6007" s="4" t="str">
        <f>HYPERLINK("https://app.crepc.sk/?fn=detailBiblioForm&amp;sid=A8CFFD80ABEAC294BB8D4D0AAA")</f>
        <v>https://app.crepc.sk/?fn=detailBiblioForm&amp;sid=A8CFFD80ABEAC294BB8D4D0AAA</v>
      </c>
    </row>
    <row r="6008" spans="3:5" ht="105" x14ac:dyDescent="0.25">
      <c r="C6008" s="15">
        <v>161550</v>
      </c>
      <c r="D6008" s="4" t="s">
        <v>6012</v>
      </c>
      <c r="E6008" s="4" t="str">
        <f>HYPERLINK("https://app.crepc.sk/?fn=detailBiblioForm&amp;sid=BB60B769A491B65140F353E40D")</f>
        <v>https://app.crepc.sk/?fn=detailBiblioForm&amp;sid=BB60B769A491B65140F353E40D</v>
      </c>
    </row>
    <row r="6009" spans="3:5" ht="75" x14ac:dyDescent="0.25">
      <c r="C6009" s="15">
        <v>127353</v>
      </c>
      <c r="D6009" s="4" t="s">
        <v>6013</v>
      </c>
      <c r="E6009" s="4" t="str">
        <f>HYPERLINK("https://app.crepc.sk/?fn=detailBiblioForm&amp;sid=5D4D29B46C695A5DF49B722909")</f>
        <v>https://app.crepc.sk/?fn=detailBiblioForm&amp;sid=5D4D29B46C695A5DF49B722909</v>
      </c>
    </row>
    <row r="6010" spans="3:5" ht="90" x14ac:dyDescent="0.25">
      <c r="C6010" s="15">
        <v>433317</v>
      </c>
      <c r="D6010" s="4" t="s">
        <v>6014</v>
      </c>
      <c r="E6010" s="4" t="str">
        <f>HYPERLINK("https://app.crepc.sk/?fn=detailBiblioForm&amp;sid=E96E6EA66B9B1358756674684F")</f>
        <v>https://app.crepc.sk/?fn=detailBiblioForm&amp;sid=E96E6EA66B9B1358756674684F</v>
      </c>
    </row>
    <row r="6011" spans="3:5" ht="120" x14ac:dyDescent="0.25">
      <c r="C6011" s="15">
        <v>176084</v>
      </c>
      <c r="D6011" s="4" t="s">
        <v>6015</v>
      </c>
      <c r="E6011" s="4" t="str">
        <f>HYPERLINK("https://app.crepc.sk/?fn=detailBiblioForm&amp;sid=36F4BD7000BAB49A1AC42BC6B7")</f>
        <v>https://app.crepc.sk/?fn=detailBiblioForm&amp;sid=36F4BD7000BAB49A1AC42BC6B7</v>
      </c>
    </row>
    <row r="6012" spans="3:5" ht="75" x14ac:dyDescent="0.25">
      <c r="C6012" s="15">
        <v>134983</v>
      </c>
      <c r="D6012" s="4" t="s">
        <v>6016</v>
      </c>
      <c r="E6012" s="4" t="str">
        <f>HYPERLINK("https://app.crepc.sk/?fn=detailBiblioForm&amp;sid=82386B00AE44A4A3D5B770D12D")</f>
        <v>https://app.crepc.sk/?fn=detailBiblioForm&amp;sid=82386B00AE44A4A3D5B770D12D</v>
      </c>
    </row>
    <row r="6013" spans="3:5" ht="90" x14ac:dyDescent="0.25">
      <c r="C6013" s="15">
        <v>417508</v>
      </c>
      <c r="D6013" s="4" t="s">
        <v>6017</v>
      </c>
      <c r="E6013" s="4" t="str">
        <f>HYPERLINK("https://app.crepc.sk/?fn=detailBiblioForm&amp;sid=7589DD7EE7DCA9219126D3EBF3")</f>
        <v>https://app.crepc.sk/?fn=detailBiblioForm&amp;sid=7589DD7EE7DCA9219126D3EBF3</v>
      </c>
    </row>
    <row r="6014" spans="3:5" ht="90" x14ac:dyDescent="0.25">
      <c r="C6014" s="15">
        <v>449397</v>
      </c>
      <c r="D6014" s="4" t="s">
        <v>6018</v>
      </c>
      <c r="E6014" s="4" t="str">
        <f>HYPERLINK("https://app.crepc.sk/?fn=detailBiblioForm&amp;sid=6F325D038162249629DE5941E3")</f>
        <v>https://app.crepc.sk/?fn=detailBiblioForm&amp;sid=6F325D038162249629DE5941E3</v>
      </c>
    </row>
    <row r="6015" spans="3:5" ht="60" x14ac:dyDescent="0.25">
      <c r="C6015" s="15">
        <v>226463</v>
      </c>
      <c r="D6015" s="4" t="s">
        <v>6019</v>
      </c>
      <c r="E6015" s="4" t="str">
        <f>HYPERLINK("https://app.crepc.sk/?fn=detailBiblioForm&amp;sid=FE8BF299DCDA09080DED3CDD0F")</f>
        <v>https://app.crepc.sk/?fn=detailBiblioForm&amp;sid=FE8BF299DCDA09080DED3CDD0F</v>
      </c>
    </row>
    <row r="6016" spans="3:5" ht="90" x14ac:dyDescent="0.25">
      <c r="C6016" s="15">
        <v>113137</v>
      </c>
      <c r="D6016" s="4" t="s">
        <v>6020</v>
      </c>
      <c r="E6016" s="4" t="str">
        <f>HYPERLINK("https://app.crepc.sk/?fn=detailBiblioForm&amp;sid=28D7D04BB59530D2563FE335C2")</f>
        <v>https://app.crepc.sk/?fn=detailBiblioForm&amp;sid=28D7D04BB59530D2563FE335C2</v>
      </c>
    </row>
    <row r="6017" spans="3:5" ht="75" x14ac:dyDescent="0.25">
      <c r="C6017" s="15">
        <v>87152</v>
      </c>
      <c r="D6017" s="4" t="s">
        <v>6021</v>
      </c>
      <c r="E6017" s="4" t="str">
        <f>HYPERLINK("https://app.crepc.sk/?fn=detailBiblioForm&amp;sid=D65F675D868141B9D35B3076")</f>
        <v>https://app.crepc.sk/?fn=detailBiblioForm&amp;sid=D65F675D868141B9D35B3076</v>
      </c>
    </row>
    <row r="6018" spans="3:5" ht="90" x14ac:dyDescent="0.25">
      <c r="C6018" s="15">
        <v>429193</v>
      </c>
      <c r="D6018" s="4" t="s">
        <v>6022</v>
      </c>
      <c r="E6018" s="4" t="str">
        <f>HYPERLINK("https://app.crepc.sk/?fn=detailBiblioForm&amp;sid=1F960971EB794925EBF13E5078")</f>
        <v>https://app.crepc.sk/?fn=detailBiblioForm&amp;sid=1F960971EB794925EBF13E5078</v>
      </c>
    </row>
    <row r="6019" spans="3:5" ht="90" x14ac:dyDescent="0.25">
      <c r="C6019" s="15">
        <v>136657</v>
      </c>
      <c r="D6019" s="4" t="s">
        <v>6023</v>
      </c>
      <c r="E6019" s="4" t="str">
        <f>HYPERLINK("https://app.crepc.sk/?fn=detailBiblioForm&amp;sid=4D4167EFBDF6647E38CDC3831D")</f>
        <v>https://app.crepc.sk/?fn=detailBiblioForm&amp;sid=4D4167EFBDF6647E38CDC3831D</v>
      </c>
    </row>
    <row r="6020" spans="3:5" ht="120" x14ac:dyDescent="0.25">
      <c r="C6020" s="15">
        <v>50976</v>
      </c>
      <c r="D6020" s="4" t="s">
        <v>6024</v>
      </c>
      <c r="E6020" s="4" t="str">
        <f>HYPERLINK("https://app.crepc.sk/?fn=detailBiblioForm&amp;sid=B22556AEEF21B837E1BB89A4")</f>
        <v>https://app.crepc.sk/?fn=detailBiblioForm&amp;sid=B22556AEEF21B837E1BB89A4</v>
      </c>
    </row>
    <row r="6021" spans="3:5" ht="90" x14ac:dyDescent="0.25">
      <c r="C6021" s="15">
        <v>205583</v>
      </c>
      <c r="D6021" s="4" t="s">
        <v>6025</v>
      </c>
      <c r="E6021" s="4" t="str">
        <f>HYPERLINK("https://app.crepc.sk/?fn=detailBiblioForm&amp;sid=1B1E3C1E1F334B1A4A02FA7123")</f>
        <v>https://app.crepc.sk/?fn=detailBiblioForm&amp;sid=1B1E3C1E1F334B1A4A02FA7123</v>
      </c>
    </row>
    <row r="6022" spans="3:5" ht="90" x14ac:dyDescent="0.25">
      <c r="C6022" s="15">
        <v>132782</v>
      </c>
      <c r="D6022" s="4" t="s">
        <v>6026</v>
      </c>
      <c r="E6022" s="4" t="str">
        <f>HYPERLINK("https://app.crepc.sk/?fn=detailBiblioForm&amp;sid=A207B7B68D6DA0A20F69C1C57A")</f>
        <v>https://app.crepc.sk/?fn=detailBiblioForm&amp;sid=A207B7B68D6DA0A20F69C1C57A</v>
      </c>
    </row>
    <row r="6023" spans="3:5" ht="90" x14ac:dyDescent="0.25">
      <c r="C6023" s="15">
        <v>133138</v>
      </c>
      <c r="D6023" s="4" t="s">
        <v>6027</v>
      </c>
      <c r="E6023" s="4" t="str">
        <f>HYPERLINK("https://app.crepc.sk/?fn=detailBiblioForm&amp;sid=A87535322FFBFE64C9DAF88649")</f>
        <v>https://app.crepc.sk/?fn=detailBiblioForm&amp;sid=A87535322FFBFE64C9DAF88649</v>
      </c>
    </row>
    <row r="6024" spans="3:5" ht="90" x14ac:dyDescent="0.25">
      <c r="C6024" s="15">
        <v>439030</v>
      </c>
      <c r="D6024" s="4" t="s">
        <v>6028</v>
      </c>
      <c r="E6024" s="4" t="str">
        <f>HYPERLINK("https://app.crepc.sk/?fn=detailBiblioForm&amp;sid=B808C99384E756AA5CFD1883A2")</f>
        <v>https://app.crepc.sk/?fn=detailBiblioForm&amp;sid=B808C99384E756AA5CFD1883A2</v>
      </c>
    </row>
    <row r="6025" spans="3:5" ht="75" x14ac:dyDescent="0.25">
      <c r="C6025" s="15">
        <v>214642</v>
      </c>
      <c r="D6025" s="4" t="s">
        <v>6029</v>
      </c>
      <c r="E6025" s="4" t="str">
        <f>HYPERLINK("https://app.crepc.sk/?fn=detailBiblioForm&amp;sid=49B0E8CD88C499975D0BF1C13A")</f>
        <v>https://app.crepc.sk/?fn=detailBiblioForm&amp;sid=49B0E8CD88C499975D0BF1C13A</v>
      </c>
    </row>
    <row r="6026" spans="3:5" ht="75" x14ac:dyDescent="0.25">
      <c r="C6026" s="15">
        <v>152870</v>
      </c>
      <c r="D6026" s="4" t="s">
        <v>6030</v>
      </c>
      <c r="E6026" s="4" t="str">
        <f>HYPERLINK("https://app.crepc.sk/?fn=detailBiblioForm&amp;sid=4CB0668AE2C8F277BDA4C0BA9E")</f>
        <v>https://app.crepc.sk/?fn=detailBiblioForm&amp;sid=4CB0668AE2C8F277BDA4C0BA9E</v>
      </c>
    </row>
    <row r="6027" spans="3:5" ht="105" x14ac:dyDescent="0.25">
      <c r="C6027" s="15">
        <v>220923</v>
      </c>
      <c r="D6027" s="4" t="s">
        <v>6031</v>
      </c>
      <c r="E6027" s="4" t="str">
        <f>HYPERLINK("https://app.crepc.sk/?fn=detailBiblioForm&amp;sid=0A2191265DCECE3E6FE63553D4")</f>
        <v>https://app.crepc.sk/?fn=detailBiblioForm&amp;sid=0A2191265DCECE3E6FE63553D4</v>
      </c>
    </row>
    <row r="6028" spans="3:5" ht="90" x14ac:dyDescent="0.25">
      <c r="C6028" s="15">
        <v>188935</v>
      </c>
      <c r="D6028" s="4" t="s">
        <v>6032</v>
      </c>
      <c r="E6028" s="4" t="str">
        <f>HYPERLINK("https://app.crepc.sk/?fn=detailBiblioForm&amp;sid=FAAE1CFD20B9329825CFB0C0C8")</f>
        <v>https://app.crepc.sk/?fn=detailBiblioForm&amp;sid=FAAE1CFD20B9329825CFB0C0C8</v>
      </c>
    </row>
    <row r="6029" spans="3:5" ht="75" x14ac:dyDescent="0.25">
      <c r="C6029" s="15">
        <v>240860</v>
      </c>
      <c r="D6029" s="4" t="s">
        <v>6033</v>
      </c>
      <c r="E6029" s="4" t="str">
        <f>HYPERLINK("https://app.crepc.sk/?fn=detailBiblioForm&amp;sid=5B016660862A0AA5420522D6A0")</f>
        <v>https://app.crepc.sk/?fn=detailBiblioForm&amp;sid=5B016660862A0AA5420522D6A0</v>
      </c>
    </row>
    <row r="6030" spans="3:5" ht="75" x14ac:dyDescent="0.25">
      <c r="C6030" s="15">
        <v>82612</v>
      </c>
      <c r="D6030" s="4" t="s">
        <v>6034</v>
      </c>
      <c r="E6030" s="4" t="str">
        <f>HYPERLINK("https://app.crepc.sk/?fn=detailBiblioForm&amp;sid=EC0F2A0C86DFB17B474E717F")</f>
        <v>https://app.crepc.sk/?fn=detailBiblioForm&amp;sid=EC0F2A0C86DFB17B474E717F</v>
      </c>
    </row>
    <row r="6031" spans="3:5" ht="105" x14ac:dyDescent="0.25">
      <c r="C6031" s="15">
        <v>315422</v>
      </c>
      <c r="D6031" s="4" t="s">
        <v>6035</v>
      </c>
      <c r="E6031" s="4" t="str">
        <f>HYPERLINK("https://app.crepc.sk/?fn=detailBiblioForm&amp;sid=D6A415B53B85E30B99DF62509B")</f>
        <v>https://app.crepc.sk/?fn=detailBiblioForm&amp;sid=D6A415B53B85E30B99DF62509B</v>
      </c>
    </row>
    <row r="6032" spans="3:5" ht="60" x14ac:dyDescent="0.25">
      <c r="C6032" s="15">
        <v>124595</v>
      </c>
      <c r="D6032" s="4" t="s">
        <v>6036</v>
      </c>
      <c r="E6032" s="4" t="str">
        <f>HYPERLINK("https://app.crepc.sk/?fn=detailBiblioForm&amp;sid=B0DCB825442701D0046802F501")</f>
        <v>https://app.crepc.sk/?fn=detailBiblioForm&amp;sid=B0DCB825442701D0046802F501</v>
      </c>
    </row>
    <row r="6033" spans="3:5" ht="90" x14ac:dyDescent="0.25">
      <c r="C6033" s="15">
        <v>134086</v>
      </c>
      <c r="D6033" s="4" t="s">
        <v>6037</v>
      </c>
      <c r="E6033" s="4" t="str">
        <f>HYPERLINK("https://app.crepc.sk/?fn=detailBiblioForm&amp;sid=5E30695270CDBCB7AB6E7D836D")</f>
        <v>https://app.crepc.sk/?fn=detailBiblioForm&amp;sid=5E30695270CDBCB7AB6E7D836D</v>
      </c>
    </row>
    <row r="6034" spans="3:5" ht="75" x14ac:dyDescent="0.25">
      <c r="C6034" s="15">
        <v>200893</v>
      </c>
      <c r="D6034" s="4" t="s">
        <v>6038</v>
      </c>
      <c r="E6034" s="4" t="str">
        <f>HYPERLINK("https://app.crepc.sk/?fn=detailBiblioForm&amp;sid=61536621581C57DAF1ECC05FBF")</f>
        <v>https://app.crepc.sk/?fn=detailBiblioForm&amp;sid=61536621581C57DAF1ECC05FBF</v>
      </c>
    </row>
    <row r="6035" spans="3:5" ht="90" x14ac:dyDescent="0.25">
      <c r="C6035" s="15">
        <v>430721</v>
      </c>
      <c r="D6035" s="4" t="s">
        <v>6039</v>
      </c>
      <c r="E6035" s="4" t="str">
        <f>HYPERLINK("https://app.crepc.sk/?fn=detailBiblioForm&amp;sid=589F18BBC5A86022D131B181DA")</f>
        <v>https://app.crepc.sk/?fn=detailBiblioForm&amp;sid=589F18BBC5A86022D131B181DA</v>
      </c>
    </row>
    <row r="6036" spans="3:5" ht="90" x14ac:dyDescent="0.25">
      <c r="C6036" s="15">
        <v>434785</v>
      </c>
      <c r="D6036" s="4" t="s">
        <v>6040</v>
      </c>
      <c r="E6036" s="4" t="str">
        <f>HYPERLINK("https://app.crepc.sk/?fn=detailBiblioForm&amp;sid=ABAAD3B3675667DCD7BA346F8E")</f>
        <v>https://app.crepc.sk/?fn=detailBiblioForm&amp;sid=ABAAD3B3675667DCD7BA346F8E</v>
      </c>
    </row>
    <row r="6037" spans="3:5" ht="75" x14ac:dyDescent="0.25">
      <c r="C6037" s="15">
        <v>221225</v>
      </c>
      <c r="D6037" s="4" t="s">
        <v>6041</v>
      </c>
      <c r="E6037" s="4" t="str">
        <f>HYPERLINK("https://app.crepc.sk/?fn=detailBiblioForm&amp;sid=62435F0A620EC90ACB5603E392")</f>
        <v>https://app.crepc.sk/?fn=detailBiblioForm&amp;sid=62435F0A620EC90ACB5603E392</v>
      </c>
    </row>
    <row r="6038" spans="3:5" ht="75" x14ac:dyDescent="0.25">
      <c r="C6038" s="15">
        <v>57176</v>
      </c>
      <c r="D6038" s="4" t="s">
        <v>6042</v>
      </c>
      <c r="E6038" s="4" t="str">
        <f>HYPERLINK("https://app.crepc.sk/?fn=detailBiblioForm&amp;sid=413F7CC75A7413EB4A13FB99")</f>
        <v>https://app.crepc.sk/?fn=detailBiblioForm&amp;sid=413F7CC75A7413EB4A13FB99</v>
      </c>
    </row>
    <row r="6039" spans="3:5" ht="75" x14ac:dyDescent="0.25">
      <c r="C6039" s="15">
        <v>140764</v>
      </c>
      <c r="D6039" s="4" t="s">
        <v>6043</v>
      </c>
      <c r="E6039" s="4" t="str">
        <f>HYPERLINK("https://app.crepc.sk/?fn=detailBiblioForm&amp;sid=5706AE11B6D530C995198F181F")</f>
        <v>https://app.crepc.sk/?fn=detailBiblioForm&amp;sid=5706AE11B6D530C995198F181F</v>
      </c>
    </row>
    <row r="6040" spans="3:5" ht="90" x14ac:dyDescent="0.25">
      <c r="C6040" s="15">
        <v>449358</v>
      </c>
      <c r="D6040" s="4" t="s">
        <v>6044</v>
      </c>
      <c r="E6040" s="4" t="str">
        <f>HYPERLINK("https://app.crepc.sk/?fn=detailBiblioForm&amp;sid=6F325D038162249625D15941E3")</f>
        <v>https://app.crepc.sk/?fn=detailBiblioForm&amp;sid=6F325D038162249625D15941E3</v>
      </c>
    </row>
    <row r="6041" spans="3:5" ht="75" x14ac:dyDescent="0.25">
      <c r="C6041" s="15">
        <v>86080</v>
      </c>
      <c r="D6041" s="4" t="s">
        <v>6045</v>
      </c>
      <c r="E6041" s="4" t="str">
        <f>HYPERLINK("https://app.crepc.sk/?fn=detailBiblioForm&amp;sid=E23AA4B22FF411D80EAC38E3")</f>
        <v>https://app.crepc.sk/?fn=detailBiblioForm&amp;sid=E23AA4B22FF411D80EAC38E3</v>
      </c>
    </row>
    <row r="6042" spans="3:5" ht="75" x14ac:dyDescent="0.25">
      <c r="C6042" s="15">
        <v>210185</v>
      </c>
      <c r="D6042" s="4" t="s">
        <v>6046</v>
      </c>
      <c r="E6042" s="4" t="str">
        <f>HYPERLINK("https://app.crepc.sk/?fn=detailBiblioForm&amp;sid=5DB4E0B08DFCD5196E41B528AC")</f>
        <v>https://app.crepc.sk/?fn=detailBiblioForm&amp;sid=5DB4E0B08DFCD5196E41B528AC</v>
      </c>
    </row>
    <row r="6043" spans="3:5" ht="105" x14ac:dyDescent="0.25">
      <c r="C6043" s="15">
        <v>133835</v>
      </c>
      <c r="D6043" s="4" t="s">
        <v>6047</v>
      </c>
      <c r="E6043" s="4" t="str">
        <f>HYPERLINK("https://app.crepc.sk/?fn=detailBiblioForm&amp;sid=C6384B4AD84FDE7B3FC55272DC")</f>
        <v>https://app.crepc.sk/?fn=detailBiblioForm&amp;sid=C6384B4AD84FDE7B3FC55272DC</v>
      </c>
    </row>
    <row r="6044" spans="3:5" ht="75" x14ac:dyDescent="0.25">
      <c r="C6044" s="15">
        <v>445465</v>
      </c>
      <c r="D6044" s="4" t="s">
        <v>6048</v>
      </c>
      <c r="E6044" s="4" t="str">
        <f>HYPERLINK("https://app.crepc.sk/?fn=detailBiblioForm&amp;sid=C526A7C23BB2EDD7E5B2DE77FA")</f>
        <v>https://app.crepc.sk/?fn=detailBiblioForm&amp;sid=C526A7C23BB2EDD7E5B2DE77FA</v>
      </c>
    </row>
    <row r="6045" spans="3:5" ht="90" x14ac:dyDescent="0.25">
      <c r="C6045" s="15">
        <v>91510</v>
      </c>
      <c r="D6045" s="4" t="s">
        <v>6049</v>
      </c>
      <c r="E6045" s="4" t="str">
        <f>HYPERLINK("https://app.crepc.sk/?fn=detailBiblioForm&amp;sid=9EF1E85E0D278B4C87B3B085")</f>
        <v>https://app.crepc.sk/?fn=detailBiblioForm&amp;sid=9EF1E85E0D278B4C87B3B085</v>
      </c>
    </row>
    <row r="6046" spans="3:5" ht="90" x14ac:dyDescent="0.25">
      <c r="C6046" s="15">
        <v>223684</v>
      </c>
      <c r="D6046" s="4" t="s">
        <v>6050</v>
      </c>
      <c r="E6046" s="4" t="str">
        <f>HYPERLINK("https://app.crepc.sk/?fn=detailBiblioForm&amp;sid=B5E7C3A8B966861A8A155D896E")</f>
        <v>https://app.crepc.sk/?fn=detailBiblioForm&amp;sid=B5E7C3A8B966861A8A155D896E</v>
      </c>
    </row>
    <row r="6047" spans="3:5" ht="90" x14ac:dyDescent="0.25">
      <c r="C6047" s="15">
        <v>137070</v>
      </c>
      <c r="D6047" s="4" t="s">
        <v>6051</v>
      </c>
      <c r="E6047" s="4" t="str">
        <f>HYPERLINK("https://app.crepc.sk/?fn=detailBiblioForm&amp;sid=47B6515BC383524503F5538378")</f>
        <v>https://app.crepc.sk/?fn=detailBiblioForm&amp;sid=47B6515BC383524503F5538378</v>
      </c>
    </row>
    <row r="6048" spans="3:5" ht="60" x14ac:dyDescent="0.25">
      <c r="C6048" s="15">
        <v>218265</v>
      </c>
      <c r="D6048" s="4" t="s">
        <v>6052</v>
      </c>
      <c r="E6048" s="4" t="str">
        <f>HYPERLINK("https://app.crepc.sk/?fn=detailBiblioForm&amp;sid=2506B099E56293C87E4C8BEA9E")</f>
        <v>https://app.crepc.sk/?fn=detailBiblioForm&amp;sid=2506B099E56293C87E4C8BEA9E</v>
      </c>
    </row>
    <row r="6049" spans="3:5" ht="75" x14ac:dyDescent="0.25">
      <c r="C6049" s="15">
        <v>247108</v>
      </c>
      <c r="D6049" s="4" t="s">
        <v>6053</v>
      </c>
      <c r="E6049" s="4" t="str">
        <f>HYPERLINK("https://app.crepc.sk/?fn=detailBiblioForm&amp;sid=20124479BBF29892263479E970")</f>
        <v>https://app.crepc.sk/?fn=detailBiblioForm&amp;sid=20124479BBF29892263479E970</v>
      </c>
    </row>
    <row r="6050" spans="3:5" ht="75" x14ac:dyDescent="0.25">
      <c r="C6050" s="15">
        <v>166137</v>
      </c>
      <c r="D6050" s="4" t="s">
        <v>6054</v>
      </c>
      <c r="E6050" s="4" t="str">
        <f>HYPERLINK("https://app.crepc.sk/?fn=detailBiblioForm&amp;sid=42FF770CB0BE777976F1474404")</f>
        <v>https://app.crepc.sk/?fn=detailBiblioForm&amp;sid=42FF770CB0BE777976F1474404</v>
      </c>
    </row>
    <row r="6051" spans="3:5" ht="75" x14ac:dyDescent="0.25">
      <c r="C6051" s="15">
        <v>428235</v>
      </c>
      <c r="D6051" s="4" t="s">
        <v>6055</v>
      </c>
      <c r="E6051" s="4" t="str">
        <f>HYPERLINK("https://app.crepc.sk/?fn=detailBiblioForm&amp;sid=91C15C7AB95D7F5B7DB661EC39")</f>
        <v>https://app.crepc.sk/?fn=detailBiblioForm&amp;sid=91C15C7AB95D7F5B7DB661EC39</v>
      </c>
    </row>
    <row r="6052" spans="3:5" ht="90" x14ac:dyDescent="0.25">
      <c r="C6052" s="15">
        <v>433325</v>
      </c>
      <c r="D6052" s="4" t="s">
        <v>6056</v>
      </c>
      <c r="E6052" s="4" t="str">
        <f>HYPERLINK("https://app.crepc.sk/?fn=detailBiblioForm&amp;sid=E96E6EA66B9B1358766474684F")</f>
        <v>https://app.crepc.sk/?fn=detailBiblioForm&amp;sid=E96E6EA66B9B1358766474684F</v>
      </c>
    </row>
    <row r="6053" spans="3:5" ht="105" x14ac:dyDescent="0.25">
      <c r="C6053" s="15">
        <v>213946</v>
      </c>
      <c r="D6053" s="4" t="s">
        <v>6057</v>
      </c>
      <c r="E6053" s="4" t="str">
        <f>HYPERLINK("https://app.crepc.sk/?fn=detailBiblioForm&amp;sid=5C150E32B6874145FD1B418AD1")</f>
        <v>https://app.crepc.sk/?fn=detailBiblioForm&amp;sid=5C150E32B6874145FD1B418AD1</v>
      </c>
    </row>
    <row r="6054" spans="3:5" ht="90" x14ac:dyDescent="0.25">
      <c r="C6054" s="15">
        <v>173668</v>
      </c>
      <c r="D6054" s="4" t="s">
        <v>6058</v>
      </c>
      <c r="E6054" s="4" t="str">
        <f>HYPERLINK("https://app.crepc.sk/?fn=detailBiblioForm&amp;sid=A68E927B0776E61A8851FD070B")</f>
        <v>https://app.crepc.sk/?fn=detailBiblioForm&amp;sid=A68E927B0776E61A8851FD070B</v>
      </c>
    </row>
    <row r="6055" spans="3:5" ht="90" x14ac:dyDescent="0.25">
      <c r="C6055" s="15">
        <v>433322</v>
      </c>
      <c r="D6055" s="4" t="s">
        <v>6059</v>
      </c>
      <c r="E6055" s="4" t="str">
        <f>HYPERLINK("https://app.crepc.sk/?fn=detailBiblioForm&amp;sid=E96E6EA66B9B1358766374684F")</f>
        <v>https://app.crepc.sk/?fn=detailBiblioForm&amp;sid=E96E6EA66B9B1358766374684F</v>
      </c>
    </row>
    <row r="6056" spans="3:5" ht="105" x14ac:dyDescent="0.25">
      <c r="C6056" s="15">
        <v>61911</v>
      </c>
      <c r="D6056" s="4" t="s">
        <v>6060</v>
      </c>
      <c r="E6056" s="4" t="str">
        <f>HYPERLINK("https://app.crepc.sk/?fn=detailBiblioForm&amp;sid=6205CCBC2560CDE5987C11DD")</f>
        <v>https://app.crepc.sk/?fn=detailBiblioForm&amp;sid=6205CCBC2560CDE5987C11DD</v>
      </c>
    </row>
    <row r="6057" spans="3:5" ht="90" x14ac:dyDescent="0.25">
      <c r="C6057" s="15">
        <v>188921</v>
      </c>
      <c r="D6057" s="4" t="s">
        <v>6061</v>
      </c>
      <c r="E6057" s="4" t="str">
        <f>HYPERLINK("https://app.crepc.sk/?fn=detailBiblioForm&amp;sid=FAAE1CFD20B9329824CBB0C0C8")</f>
        <v>https://app.crepc.sk/?fn=detailBiblioForm&amp;sid=FAAE1CFD20B9329824CBB0C0C8</v>
      </c>
    </row>
    <row r="6058" spans="3:5" ht="75" x14ac:dyDescent="0.25">
      <c r="C6058" s="15">
        <v>234417</v>
      </c>
      <c r="D6058" s="4" t="s">
        <v>6062</v>
      </c>
      <c r="E6058" s="4" t="str">
        <f>HYPERLINK("https://app.crepc.sk/?fn=detailBiblioForm&amp;sid=2B45DDE94BBE08A829FCF88C29")</f>
        <v>https://app.crepc.sk/?fn=detailBiblioForm&amp;sid=2B45DDE94BBE08A829FCF88C29</v>
      </c>
    </row>
    <row r="6059" spans="3:5" ht="105" x14ac:dyDescent="0.25">
      <c r="C6059" s="15">
        <v>432776</v>
      </c>
      <c r="D6059" s="4" t="s">
        <v>6063</v>
      </c>
      <c r="E6059" s="4" t="str">
        <f>HYPERLINK("https://app.crepc.sk/?fn=detailBiblioForm&amp;sid=91973449B9DED6545316A96A9B")</f>
        <v>https://app.crepc.sk/?fn=detailBiblioForm&amp;sid=91973449B9DED6545316A96A9B</v>
      </c>
    </row>
    <row r="6060" spans="3:5" ht="90" x14ac:dyDescent="0.25">
      <c r="C6060" s="15">
        <v>241502</v>
      </c>
      <c r="D6060" s="4" t="s">
        <v>6064</v>
      </c>
      <c r="E6060" s="4" t="str">
        <f>HYPERLINK("https://app.crepc.sk/?fn=detailBiblioForm&amp;sid=2D9339155C1255990B87C98BF0")</f>
        <v>https://app.crepc.sk/?fn=detailBiblioForm&amp;sid=2D9339155C1255990B87C98BF0</v>
      </c>
    </row>
    <row r="6061" spans="3:5" ht="75" x14ac:dyDescent="0.25">
      <c r="C6061" s="15">
        <v>433077</v>
      </c>
      <c r="D6061" s="4" t="s">
        <v>6065</v>
      </c>
      <c r="E6061" s="4" t="str">
        <f>HYPERLINK("https://app.crepc.sk/?fn=detailBiblioForm&amp;sid=E89D8E9D2AEBAD46E40AEF7675")</f>
        <v>https://app.crepc.sk/?fn=detailBiblioForm&amp;sid=E89D8E9D2AEBAD46E40AEF7675</v>
      </c>
    </row>
    <row r="6062" spans="3:5" ht="105" x14ac:dyDescent="0.25">
      <c r="C6062" s="15">
        <v>51860</v>
      </c>
      <c r="D6062" s="4" t="s">
        <v>6066</v>
      </c>
      <c r="E6062" s="4" t="str">
        <f>HYPERLINK("https://app.crepc.sk/?fn=detailBiblioForm&amp;sid=EFCF30B327051ECC4FD8B032")</f>
        <v>https://app.crepc.sk/?fn=detailBiblioForm&amp;sid=EFCF30B327051ECC4FD8B032</v>
      </c>
    </row>
    <row r="6063" spans="3:5" ht="90" x14ac:dyDescent="0.25">
      <c r="C6063" s="15">
        <v>449370</v>
      </c>
      <c r="D6063" s="4" t="s">
        <v>6067</v>
      </c>
      <c r="E6063" s="4" t="str">
        <f>HYPERLINK("https://app.crepc.sk/?fn=detailBiblioForm&amp;sid=6F325D038162249627D95941E3")</f>
        <v>https://app.crepc.sk/?fn=detailBiblioForm&amp;sid=6F325D038162249627D95941E3</v>
      </c>
    </row>
    <row r="6064" spans="3:5" ht="75" x14ac:dyDescent="0.25">
      <c r="C6064" s="15">
        <v>168482</v>
      </c>
      <c r="D6064" s="4" t="s">
        <v>6068</v>
      </c>
      <c r="E6064" s="4" t="str">
        <f>HYPERLINK("https://app.crepc.sk/?fn=detailBiblioForm&amp;sid=EDED30F385E76150B0FF548FA8")</f>
        <v>https://app.crepc.sk/?fn=detailBiblioForm&amp;sid=EDED30F385E76150B0FF548FA8</v>
      </c>
    </row>
    <row r="6065" spans="3:5" ht="90" x14ac:dyDescent="0.25">
      <c r="C6065" s="15">
        <v>133847</v>
      </c>
      <c r="D6065" s="4" t="s">
        <v>6069</v>
      </c>
      <c r="E6065" s="4" t="str">
        <f>HYPERLINK("https://app.crepc.sk/?fn=detailBiblioForm&amp;sid=C6384B4AD84FDE7B38C75272DC")</f>
        <v>https://app.crepc.sk/?fn=detailBiblioForm&amp;sid=C6384B4AD84FDE7B38C75272DC</v>
      </c>
    </row>
    <row r="6066" spans="3:5" ht="105" x14ac:dyDescent="0.25">
      <c r="C6066" s="15">
        <v>213959</v>
      </c>
      <c r="D6066" s="4" t="s">
        <v>6070</v>
      </c>
      <c r="E6066" s="4" t="str">
        <f>HYPERLINK("https://app.crepc.sk/?fn=detailBiblioForm&amp;sid=5C150E32B6874145FC14418AD1")</f>
        <v>https://app.crepc.sk/?fn=detailBiblioForm&amp;sid=5C150E32B6874145FC14418AD1</v>
      </c>
    </row>
    <row r="6067" spans="3:5" ht="105" x14ac:dyDescent="0.25">
      <c r="C6067" s="15">
        <v>54369</v>
      </c>
      <c r="D6067" s="4" t="s">
        <v>6071</v>
      </c>
      <c r="E6067" s="4" t="str">
        <f>HYPERLINK("https://app.crepc.sk/?fn=detailBiblioForm&amp;sid=557612C8468E2AC7CD98654C")</f>
        <v>https://app.crepc.sk/?fn=detailBiblioForm&amp;sid=557612C8468E2AC7CD98654C</v>
      </c>
    </row>
    <row r="6068" spans="3:5" ht="75" x14ac:dyDescent="0.25">
      <c r="C6068" s="15">
        <v>211391</v>
      </c>
      <c r="D6068" s="4" t="s">
        <v>6072</v>
      </c>
      <c r="E6068" s="4" t="str">
        <f>HYPERLINK("https://app.crepc.sk/?fn=detailBiblioForm&amp;sid=607F6B6A1832FEA87CC93AD1B4")</f>
        <v>https://app.crepc.sk/?fn=detailBiblioForm&amp;sid=607F6B6A1832FEA87CC93AD1B4</v>
      </c>
    </row>
    <row r="6069" spans="3:5" ht="90" x14ac:dyDescent="0.25">
      <c r="C6069" s="15">
        <v>226598</v>
      </c>
      <c r="D6069" s="4" t="s">
        <v>6073</v>
      </c>
      <c r="E6069" s="4" t="str">
        <f>HYPERLINK("https://app.crepc.sk/?fn=detailBiblioForm&amp;sid=1A96CD219DD6F1D8F45331CBF0")</f>
        <v>https://app.crepc.sk/?fn=detailBiblioForm&amp;sid=1A96CD219DD6F1D8F45331CBF0</v>
      </c>
    </row>
    <row r="6070" spans="3:5" ht="75" x14ac:dyDescent="0.25">
      <c r="C6070" s="15">
        <v>88248</v>
      </c>
      <c r="D6070" s="4" t="s">
        <v>6074</v>
      </c>
      <c r="E6070" s="4" t="str">
        <f>HYPERLINK("https://app.crepc.sk/?fn=detailBiblioForm&amp;sid=92F90ABF3CF5A0929F26DC48")</f>
        <v>https://app.crepc.sk/?fn=detailBiblioForm&amp;sid=92F90ABF3CF5A0929F26DC48</v>
      </c>
    </row>
    <row r="6071" spans="3:5" ht="90" x14ac:dyDescent="0.25">
      <c r="C6071" s="15">
        <v>213947</v>
      </c>
      <c r="D6071" s="4" t="s">
        <v>6075</v>
      </c>
      <c r="E6071" s="4" t="str">
        <f>HYPERLINK("https://app.crepc.sk/?fn=detailBiblioForm&amp;sid=5C150E32B6874145FD1A418AD1")</f>
        <v>https://app.crepc.sk/?fn=detailBiblioForm&amp;sid=5C150E32B6874145FD1A418AD1</v>
      </c>
    </row>
    <row r="6072" spans="3:5" ht="75" x14ac:dyDescent="0.25">
      <c r="C6072" s="15">
        <v>118242</v>
      </c>
      <c r="D6072" s="4" t="s">
        <v>6076</v>
      </c>
      <c r="E6072" s="4" t="str">
        <f>HYPERLINK("https://app.crepc.sk/?fn=detailBiblioForm&amp;sid=069BD78221CDCAB109A3F3E570")</f>
        <v>https://app.crepc.sk/?fn=detailBiblioForm&amp;sid=069BD78221CDCAB109A3F3E570</v>
      </c>
    </row>
    <row r="6073" spans="3:5" ht="105" x14ac:dyDescent="0.25">
      <c r="C6073" s="15">
        <v>226592</v>
      </c>
      <c r="D6073" s="4" t="s">
        <v>6077</v>
      </c>
      <c r="E6073" s="4" t="str">
        <f>HYPERLINK("https://app.crepc.sk/?fn=detailBiblioForm&amp;sid=1A96CD219DD6F1D8F45931CBF0")</f>
        <v>https://app.crepc.sk/?fn=detailBiblioForm&amp;sid=1A96CD219DD6F1D8F45931CBF0</v>
      </c>
    </row>
    <row r="6074" spans="3:5" ht="105" x14ac:dyDescent="0.25">
      <c r="C6074" s="15">
        <v>226590</v>
      </c>
      <c r="D6074" s="4" t="s">
        <v>6078</v>
      </c>
      <c r="E6074" s="4" t="str">
        <f>HYPERLINK("https://app.crepc.sk/?fn=detailBiblioForm&amp;sid=1A96CD219DD6F1D8F45B31CBF0")</f>
        <v>https://app.crepc.sk/?fn=detailBiblioForm&amp;sid=1A96CD219DD6F1D8F45B31CBF0</v>
      </c>
    </row>
    <row r="6075" spans="3:5" ht="105" x14ac:dyDescent="0.25">
      <c r="C6075" s="15">
        <v>68378</v>
      </c>
      <c r="D6075" s="4" t="s">
        <v>6079</v>
      </c>
      <c r="E6075" s="4" t="str">
        <f>HYPERLINK("https://app.crepc.sk/?fn=detailBiblioForm&amp;sid=7161EBA6406033AF22AE29A4")</f>
        <v>https://app.crepc.sk/?fn=detailBiblioForm&amp;sid=7161EBA6406033AF22AE29A4</v>
      </c>
    </row>
    <row r="6076" spans="3:5" ht="90" x14ac:dyDescent="0.25">
      <c r="C6076" s="15">
        <v>226585</v>
      </c>
      <c r="D6076" s="4" t="s">
        <v>6080</v>
      </c>
      <c r="E6076" s="4" t="str">
        <f>HYPERLINK("https://app.crepc.sk/?fn=detailBiblioForm&amp;sid=1A96CD219DD6F1D8F55E31CBF0")</f>
        <v>https://app.crepc.sk/?fn=detailBiblioForm&amp;sid=1A96CD219DD6F1D8F55E31CBF0</v>
      </c>
    </row>
    <row r="6077" spans="3:5" ht="90" x14ac:dyDescent="0.25">
      <c r="C6077" s="15">
        <v>195903</v>
      </c>
      <c r="D6077" s="4" t="s">
        <v>6081</v>
      </c>
      <c r="E6077" s="4" t="str">
        <f>HYPERLINK("https://app.crepc.sk/?fn=detailBiblioForm&amp;sid=D0FFB1787B7ACE98BF53689ACF")</f>
        <v>https://app.crepc.sk/?fn=detailBiblioForm&amp;sid=D0FFB1787B7ACE98BF53689ACF</v>
      </c>
    </row>
    <row r="6078" spans="3:5" ht="120" x14ac:dyDescent="0.25">
      <c r="C6078" s="15">
        <v>50983</v>
      </c>
      <c r="D6078" s="4" t="s">
        <v>6082</v>
      </c>
      <c r="E6078" s="4" t="str">
        <f>HYPERLINK("https://app.crepc.sk/?fn=detailBiblioForm&amp;sid=EA909239D832F78070AE64AB")</f>
        <v>https://app.crepc.sk/?fn=detailBiblioForm&amp;sid=EA909239D832F78070AE64AB</v>
      </c>
    </row>
    <row r="6079" spans="3:5" ht="75" x14ac:dyDescent="0.25">
      <c r="C6079" s="15">
        <v>137745</v>
      </c>
      <c r="D6079" s="4" t="s">
        <v>6083</v>
      </c>
      <c r="E6079" s="4" t="str">
        <f>HYPERLINK("https://app.crepc.sk/?fn=detailBiblioForm&amp;sid=652C531D78969B52945280470C")</f>
        <v>https://app.crepc.sk/?fn=detailBiblioForm&amp;sid=652C531D78969B52945280470C</v>
      </c>
    </row>
    <row r="6080" spans="3:5" ht="90" x14ac:dyDescent="0.25">
      <c r="C6080" s="15">
        <v>315445</v>
      </c>
      <c r="D6080" s="4" t="s">
        <v>6084</v>
      </c>
      <c r="E6080" s="4" t="str">
        <f>HYPERLINK("https://app.crepc.sk/?fn=detailBiblioForm&amp;sid=D6A415B53B85E30B9FD862509B")</f>
        <v>https://app.crepc.sk/?fn=detailBiblioForm&amp;sid=D6A415B53B85E30B9FD862509B</v>
      </c>
    </row>
    <row r="6081" spans="3:5" ht="105" x14ac:dyDescent="0.25">
      <c r="C6081" s="15">
        <v>100674</v>
      </c>
      <c r="D6081" s="4" t="s">
        <v>6085</v>
      </c>
      <c r="E6081" s="4" t="str">
        <f>HYPERLINK("https://app.crepc.sk/?fn=detailBiblioForm&amp;sid=2204B64E72E25FC8EE69F15BC1")</f>
        <v>https://app.crepc.sk/?fn=detailBiblioForm&amp;sid=2204B64E72E25FC8EE69F15BC1</v>
      </c>
    </row>
    <row r="6082" spans="3:5" ht="75" x14ac:dyDescent="0.25">
      <c r="C6082" s="15">
        <v>223720</v>
      </c>
      <c r="D6082" s="4" t="s">
        <v>6086</v>
      </c>
      <c r="E6082" s="4" t="str">
        <f>HYPERLINK("https://app.crepc.sk/?fn=detailBiblioForm&amp;sid=8D98A3A16644BBD0E2E9F73DA8")</f>
        <v>https://app.crepc.sk/?fn=detailBiblioForm&amp;sid=8D98A3A16644BBD0E2E9F73DA8</v>
      </c>
    </row>
    <row r="6083" spans="3:5" ht="75" x14ac:dyDescent="0.25">
      <c r="C6083" s="15">
        <v>422221</v>
      </c>
      <c r="D6083" s="4" t="s">
        <v>6087</v>
      </c>
      <c r="E6083" s="4" t="str">
        <f>HYPERLINK("https://app.crepc.sk/?fn=detailBiblioForm&amp;sid=2B83B6931487D59DBA1495FD22")</f>
        <v>https://app.crepc.sk/?fn=detailBiblioForm&amp;sid=2B83B6931487D59DBA1495FD22</v>
      </c>
    </row>
    <row r="6084" spans="3:5" ht="75" x14ac:dyDescent="0.25">
      <c r="C6084" s="15">
        <v>162274</v>
      </c>
      <c r="D6084" s="4" t="s">
        <v>6088</v>
      </c>
      <c r="E6084" s="4" t="str">
        <f>HYPERLINK("https://app.crepc.sk/?fn=detailBiblioForm&amp;sid=064839694A055E9D1609D03241")</f>
        <v>https://app.crepc.sk/?fn=detailBiblioForm&amp;sid=064839694A055E9D1609D03241</v>
      </c>
    </row>
    <row r="6085" spans="3:5" ht="105" x14ac:dyDescent="0.25">
      <c r="C6085" s="15">
        <v>226600</v>
      </c>
      <c r="D6085" s="4" t="s">
        <v>6089</v>
      </c>
      <c r="E6085" s="4" t="str">
        <f>HYPERLINK("https://app.crepc.sk/?fn=detailBiblioForm&amp;sid=EFBE3DC7BD8E060F05E605FABD")</f>
        <v>https://app.crepc.sk/?fn=detailBiblioForm&amp;sid=EFBE3DC7BD8E060F05E605FABD</v>
      </c>
    </row>
    <row r="6086" spans="3:5" ht="75" x14ac:dyDescent="0.25">
      <c r="C6086" s="15">
        <v>128390</v>
      </c>
      <c r="D6086" s="4" t="s">
        <v>6090</v>
      </c>
      <c r="E6086" s="4" t="str">
        <f>HYPERLINK("https://app.crepc.sk/?fn=detailBiblioForm&amp;sid=74191DCBA790A6B78ECC426AF5")</f>
        <v>https://app.crepc.sk/?fn=detailBiblioForm&amp;sid=74191DCBA790A6B78ECC426AF5</v>
      </c>
    </row>
    <row r="6087" spans="3:5" ht="75" x14ac:dyDescent="0.25">
      <c r="C6087" s="15">
        <v>135986</v>
      </c>
      <c r="D6087" s="4" t="s">
        <v>6091</v>
      </c>
      <c r="E6087" s="4" t="str">
        <f>HYPERLINK("https://app.crepc.sk/?fn=detailBiblioForm&amp;sid=01A6BB7AB96764ED5A4A58DFB9")</f>
        <v>https://app.crepc.sk/?fn=detailBiblioForm&amp;sid=01A6BB7AB96764ED5A4A58DFB9</v>
      </c>
    </row>
    <row r="6088" spans="3:5" ht="75" x14ac:dyDescent="0.25">
      <c r="C6088" s="15">
        <v>188690</v>
      </c>
      <c r="D6088" s="4" t="s">
        <v>6092</v>
      </c>
      <c r="E6088" s="4" t="str">
        <f>HYPERLINK("https://app.crepc.sk/?fn=detailBiblioForm&amp;sid=2F8E8707233717E990DCD5B21D")</f>
        <v>https://app.crepc.sk/?fn=detailBiblioForm&amp;sid=2F8E8707233717E990DCD5B21D</v>
      </c>
    </row>
    <row r="6089" spans="3:5" ht="90" x14ac:dyDescent="0.25">
      <c r="C6089" s="15">
        <v>125625</v>
      </c>
      <c r="D6089" s="4" t="s">
        <v>6093</v>
      </c>
      <c r="E6089" s="4" t="str">
        <f>HYPERLINK("https://app.crepc.sk/?fn=detailBiblioForm&amp;sid=107B16852C902CE89F6395D686")</f>
        <v>https://app.crepc.sk/?fn=detailBiblioForm&amp;sid=107B16852C902CE89F6395D686</v>
      </c>
    </row>
    <row r="6090" spans="3:5" ht="60" x14ac:dyDescent="0.25">
      <c r="C6090" s="15">
        <v>105039</v>
      </c>
      <c r="D6090" s="4" t="s">
        <v>6094</v>
      </c>
      <c r="E6090" s="4" t="str">
        <f>HYPERLINK("https://app.crepc.sk/?fn=detailBiblioForm&amp;sid=C2EB937682BD74C1B68F796E32")</f>
        <v>https://app.crepc.sk/?fn=detailBiblioForm&amp;sid=C2EB937682BD74C1B68F796E32</v>
      </c>
    </row>
    <row r="6091" spans="3:5" ht="90" x14ac:dyDescent="0.25">
      <c r="C6091" s="15">
        <v>57746</v>
      </c>
      <c r="D6091" s="4" t="s">
        <v>6095</v>
      </c>
      <c r="E6091" s="4" t="str">
        <f>HYPERLINK("https://app.crepc.sk/?fn=detailBiblioForm&amp;sid=489C401CFB5CAD602C5F9EF3")</f>
        <v>https://app.crepc.sk/?fn=detailBiblioForm&amp;sid=489C401CFB5CAD602C5F9EF3</v>
      </c>
    </row>
    <row r="6092" spans="3:5" ht="75" x14ac:dyDescent="0.25">
      <c r="C6092" s="15">
        <v>447480</v>
      </c>
      <c r="D6092" s="4" t="s">
        <v>6096</v>
      </c>
      <c r="E6092" s="4" t="str">
        <f>HYPERLINK("https://app.crepc.sk/?fn=detailBiblioForm&amp;sid=327AF501581769A165B65DFF58")</f>
        <v>https://app.crepc.sk/?fn=detailBiblioForm&amp;sid=327AF501581769A165B65DFF58</v>
      </c>
    </row>
    <row r="6093" spans="3:5" ht="60" x14ac:dyDescent="0.25">
      <c r="C6093" s="15">
        <v>82304</v>
      </c>
      <c r="D6093" s="4" t="s">
        <v>6097</v>
      </c>
      <c r="E6093" s="4" t="str">
        <f>HYPERLINK("https://app.crepc.sk/?fn=detailBiblioForm&amp;sid=56901FAFDB4CC7138428AE7F")</f>
        <v>https://app.crepc.sk/?fn=detailBiblioForm&amp;sid=56901FAFDB4CC7138428AE7F</v>
      </c>
    </row>
    <row r="6094" spans="3:5" ht="90" x14ac:dyDescent="0.25">
      <c r="C6094" s="15">
        <v>60777</v>
      </c>
      <c r="D6094" s="4" t="s">
        <v>6098</v>
      </c>
      <c r="E6094" s="4" t="str">
        <f>HYPERLINK("https://app.crepc.sk/?fn=detailBiblioForm&amp;sid=6F7C538C43B20E3C7E0DBD2F")</f>
        <v>https://app.crepc.sk/?fn=detailBiblioForm&amp;sid=6F7C538C43B20E3C7E0DBD2F</v>
      </c>
    </row>
    <row r="6095" spans="3:5" ht="90" x14ac:dyDescent="0.25">
      <c r="C6095" s="15">
        <v>238842</v>
      </c>
      <c r="D6095" s="4" t="s">
        <v>6099</v>
      </c>
      <c r="E6095" s="4" t="str">
        <f>HYPERLINK("https://app.crepc.sk/?fn=detailBiblioForm&amp;sid=915A7E33B87642DE0A5865B836")</f>
        <v>https://app.crepc.sk/?fn=detailBiblioForm&amp;sid=915A7E33B87642DE0A5865B836</v>
      </c>
    </row>
    <row r="6096" spans="3:5" ht="75" x14ac:dyDescent="0.25">
      <c r="C6096" s="15">
        <v>78550</v>
      </c>
      <c r="D6096" s="4" t="s">
        <v>6100</v>
      </c>
      <c r="E6096" s="4" t="str">
        <f>HYPERLINK("https://app.crepc.sk/?fn=detailBiblioForm&amp;sid=2D088702DC9CBC65ABE3B39A")</f>
        <v>https://app.crepc.sk/?fn=detailBiblioForm&amp;sid=2D088702DC9CBC65ABE3B39A</v>
      </c>
    </row>
    <row r="6097" spans="3:5" ht="90" x14ac:dyDescent="0.25">
      <c r="C6097" s="15">
        <v>115671</v>
      </c>
      <c r="D6097" s="4" t="s">
        <v>6101</v>
      </c>
      <c r="E6097" s="4" t="str">
        <f>HYPERLINK("https://app.crepc.sk/?fn=detailBiblioForm&amp;sid=8B887CD3FF777E5053B57BD084")</f>
        <v>https://app.crepc.sk/?fn=detailBiblioForm&amp;sid=8B887CD3FF777E5053B57BD084</v>
      </c>
    </row>
    <row r="6098" spans="3:5" ht="60" x14ac:dyDescent="0.25">
      <c r="C6098" s="15">
        <v>237571</v>
      </c>
      <c r="D6098" s="4" t="s">
        <v>6102</v>
      </c>
      <c r="E6098" s="4" t="str">
        <f>HYPERLINK("https://app.crepc.sk/?fn=detailBiblioForm&amp;sid=3D8967D221FB1E16E751E06EA2")</f>
        <v>https://app.crepc.sk/?fn=detailBiblioForm&amp;sid=3D8967D221FB1E16E751E06EA2</v>
      </c>
    </row>
    <row r="6099" spans="3:5" ht="105" x14ac:dyDescent="0.25">
      <c r="C6099" s="15">
        <v>219819</v>
      </c>
      <c r="D6099" s="4" t="s">
        <v>6103</v>
      </c>
      <c r="E6099" s="4" t="str">
        <f>HYPERLINK("https://app.crepc.sk/?fn=detailBiblioForm&amp;sid=CDFEE31313203E99A8BED75CC4")</f>
        <v>https://app.crepc.sk/?fn=detailBiblioForm&amp;sid=CDFEE31313203E99A8BED75CC4</v>
      </c>
    </row>
    <row r="6100" spans="3:5" ht="90" x14ac:dyDescent="0.25">
      <c r="C6100" s="15">
        <v>452997</v>
      </c>
      <c r="D6100" s="4" t="s">
        <v>6104</v>
      </c>
      <c r="E6100" s="4" t="str">
        <f>HYPERLINK("https://app.crepc.sk/?fn=detailBiblioForm&amp;sid=1C5D3F5B88D5025F1065EB264C")</f>
        <v>https://app.crepc.sk/?fn=detailBiblioForm&amp;sid=1C5D3F5B88D5025F1065EB264C</v>
      </c>
    </row>
    <row r="6101" spans="3:5" ht="105" x14ac:dyDescent="0.25">
      <c r="C6101" s="15">
        <v>68381</v>
      </c>
      <c r="D6101" s="4" t="s">
        <v>6105</v>
      </c>
      <c r="E6101" s="4" t="str">
        <f>HYPERLINK("https://app.crepc.sk/?fn=detailBiblioForm&amp;sid=2439399AE8D39F397A8E5C10")</f>
        <v>https://app.crepc.sk/?fn=detailBiblioForm&amp;sid=2439399AE8D39F397A8E5C10</v>
      </c>
    </row>
    <row r="6102" spans="3:5" ht="90" x14ac:dyDescent="0.25">
      <c r="C6102" s="15">
        <v>77306</v>
      </c>
      <c r="D6102" s="4" t="s">
        <v>6106</v>
      </c>
      <c r="E6102" s="4" t="str">
        <f>HYPERLINK("https://app.crepc.sk/?fn=detailBiblioForm&amp;sid=29AACE72428BAA80DA2AECDA")</f>
        <v>https://app.crepc.sk/?fn=detailBiblioForm&amp;sid=29AACE72428BAA80DA2AECDA</v>
      </c>
    </row>
    <row r="6103" spans="3:5" ht="90" x14ac:dyDescent="0.25">
      <c r="C6103" s="15">
        <v>223690</v>
      </c>
      <c r="D6103" s="4" t="s">
        <v>6107</v>
      </c>
      <c r="E6103" s="4" t="str">
        <f>HYPERLINK("https://app.crepc.sk/?fn=detailBiblioForm&amp;sid=B5E7C3A8B966861A8B115D896E")</f>
        <v>https://app.crepc.sk/?fn=detailBiblioForm&amp;sid=B5E7C3A8B966861A8B115D896E</v>
      </c>
    </row>
    <row r="6104" spans="3:5" ht="75" x14ac:dyDescent="0.25">
      <c r="C6104" s="15">
        <v>137323</v>
      </c>
      <c r="D6104" s="4" t="s">
        <v>6108</v>
      </c>
      <c r="E6104" s="4" t="str">
        <f>HYPERLINK("https://app.crepc.sk/?fn=detailBiblioForm&amp;sid=CD0F3DD308605F9676EA7B5CB6")</f>
        <v>https://app.crepc.sk/?fn=detailBiblioForm&amp;sid=CD0F3DD308605F9676EA7B5CB6</v>
      </c>
    </row>
    <row r="6105" spans="3:5" ht="75" x14ac:dyDescent="0.25">
      <c r="C6105" s="15">
        <v>118249</v>
      </c>
      <c r="D6105" s="4" t="s">
        <v>6109</v>
      </c>
      <c r="E6105" s="4" t="str">
        <f>HYPERLINK("https://app.crepc.sk/?fn=detailBiblioForm&amp;sid=069BD78221CDCAB109A8F3E570")</f>
        <v>https://app.crepc.sk/?fn=detailBiblioForm&amp;sid=069BD78221CDCAB109A8F3E570</v>
      </c>
    </row>
    <row r="6106" spans="3:5" ht="90" x14ac:dyDescent="0.25">
      <c r="C6106" s="15">
        <v>445743</v>
      </c>
      <c r="D6106" s="4" t="s">
        <v>6110</v>
      </c>
      <c r="E6106" s="4" t="str">
        <f>HYPERLINK("https://app.crepc.sk/?fn=detailBiblioForm&amp;sid=1281F4184BCA3CDC8D8815CD82")</f>
        <v>https://app.crepc.sk/?fn=detailBiblioForm&amp;sid=1281F4184BCA3CDC8D8815CD82</v>
      </c>
    </row>
    <row r="6107" spans="3:5" ht="90" x14ac:dyDescent="0.25">
      <c r="C6107" s="15">
        <v>95843</v>
      </c>
      <c r="D6107" s="4" t="s">
        <v>6111</v>
      </c>
      <c r="E6107" s="4" t="str">
        <f>HYPERLINK("https://app.crepc.sk/?fn=detailBiblioForm&amp;sid=4733D71162B96A141D0C4840")</f>
        <v>https://app.crepc.sk/?fn=detailBiblioForm&amp;sid=4733D71162B96A141D0C4840</v>
      </c>
    </row>
    <row r="6108" spans="3:5" ht="75" x14ac:dyDescent="0.25">
      <c r="C6108" s="15">
        <v>419067</v>
      </c>
      <c r="D6108" s="4" t="s">
        <v>6112</v>
      </c>
      <c r="E6108" s="4" t="str">
        <f>HYPERLINK("https://app.crepc.sk/?fn=detailBiblioForm&amp;sid=D1A8AE86DB46EECF7765276DBF")</f>
        <v>https://app.crepc.sk/?fn=detailBiblioForm&amp;sid=D1A8AE86DB46EECF7765276DBF</v>
      </c>
    </row>
    <row r="6109" spans="3:5" ht="75" x14ac:dyDescent="0.25">
      <c r="C6109" s="15">
        <v>150499</v>
      </c>
      <c r="D6109" s="4" t="s">
        <v>6113</v>
      </c>
      <c r="E6109" s="4" t="str">
        <f>HYPERLINK("https://app.crepc.sk/?fn=detailBiblioForm&amp;sid=EA5F7181B6B238EB5F05060746")</f>
        <v>https://app.crepc.sk/?fn=detailBiblioForm&amp;sid=EA5F7181B6B238EB5F05060746</v>
      </c>
    </row>
    <row r="6110" spans="3:5" ht="90" x14ac:dyDescent="0.25">
      <c r="C6110" s="15">
        <v>82481</v>
      </c>
      <c r="D6110" s="4" t="s">
        <v>6114</v>
      </c>
      <c r="E6110" s="4" t="str">
        <f>HYPERLINK("https://app.crepc.sk/?fn=detailBiblioForm&amp;sid=7CFA1AD6A8C49BF7520EC307")</f>
        <v>https://app.crepc.sk/?fn=detailBiblioForm&amp;sid=7CFA1AD6A8C49BF7520EC307</v>
      </c>
    </row>
    <row r="6111" spans="3:5" ht="90" x14ac:dyDescent="0.25">
      <c r="C6111" s="15">
        <v>217656</v>
      </c>
      <c r="D6111" s="4" t="s">
        <v>6115</v>
      </c>
      <c r="E6111" s="4" t="str">
        <f>HYPERLINK("https://app.crepc.sk/?fn=detailBiblioForm&amp;sid=DB0D4AC0076DAAFDC76F9FF450")</f>
        <v>https://app.crepc.sk/?fn=detailBiblioForm&amp;sid=DB0D4AC0076DAAFDC76F9FF450</v>
      </c>
    </row>
    <row r="6112" spans="3:5" ht="90" x14ac:dyDescent="0.25">
      <c r="C6112" s="15">
        <v>155510</v>
      </c>
      <c r="D6112" s="4" t="s">
        <v>6116</v>
      </c>
      <c r="E6112" s="4" t="str">
        <f>HYPERLINK("https://app.crepc.sk/?fn=detailBiblioForm&amp;sid=C5CEB0A71A9E9E69841213A9DA")</f>
        <v>https://app.crepc.sk/?fn=detailBiblioForm&amp;sid=C5CEB0A71A9E9E69841213A9DA</v>
      </c>
    </row>
    <row r="6113" spans="3:5" ht="90" x14ac:dyDescent="0.25">
      <c r="C6113" s="15">
        <v>132466</v>
      </c>
      <c r="D6113" s="4" t="s">
        <v>6117</v>
      </c>
      <c r="E6113" s="4" t="str">
        <f>HYPERLINK("https://app.crepc.sk/?fn=detailBiblioForm&amp;sid=5CA03D74BE9D7FDDA3C9721DC3")</f>
        <v>https://app.crepc.sk/?fn=detailBiblioForm&amp;sid=5CA03D74BE9D7FDDA3C9721DC3</v>
      </c>
    </row>
    <row r="6114" spans="3:5" ht="90" x14ac:dyDescent="0.25">
      <c r="C6114" s="15">
        <v>62582</v>
      </c>
      <c r="D6114" s="4" t="s">
        <v>6118</v>
      </c>
      <c r="E6114" s="4" t="str">
        <f>HYPERLINK("https://app.crepc.sk/?fn=detailBiblioForm&amp;sid=2DC4BE7B22A7BFC57D635EDA")</f>
        <v>https://app.crepc.sk/?fn=detailBiblioForm&amp;sid=2DC4BE7B22A7BFC57D635EDA</v>
      </c>
    </row>
    <row r="6115" spans="3:5" ht="90" x14ac:dyDescent="0.25">
      <c r="C6115" s="15">
        <v>153470</v>
      </c>
      <c r="D6115" s="4" t="s">
        <v>6119</v>
      </c>
      <c r="E6115" s="4" t="str">
        <f>HYPERLINK("https://app.crepc.sk/?fn=detailBiblioForm&amp;sid=4A2276349E30FD2CA564200172")</f>
        <v>https://app.crepc.sk/?fn=detailBiblioForm&amp;sid=4A2276349E30FD2CA564200172</v>
      </c>
    </row>
    <row r="6116" spans="3:5" ht="90" x14ac:dyDescent="0.25">
      <c r="C6116" s="15">
        <v>226588</v>
      </c>
      <c r="D6116" s="4" t="s">
        <v>6120</v>
      </c>
      <c r="E6116" s="4" t="str">
        <f>HYPERLINK("https://app.crepc.sk/?fn=detailBiblioForm&amp;sid=1A96CD219DD6F1D8F55331CBF0")</f>
        <v>https://app.crepc.sk/?fn=detailBiblioForm&amp;sid=1A96CD219DD6F1D8F55331CBF0</v>
      </c>
    </row>
    <row r="6117" spans="3:5" ht="105" x14ac:dyDescent="0.25">
      <c r="C6117" s="15">
        <v>442016</v>
      </c>
      <c r="D6117" s="4" t="s">
        <v>6121</v>
      </c>
      <c r="E6117" s="4" t="str">
        <f>HYPERLINK("https://app.crepc.sk/?fn=detailBiblioForm&amp;sid=ED9C4DCA7369AD6DB069A6E649")</f>
        <v>https://app.crepc.sk/?fn=detailBiblioForm&amp;sid=ED9C4DCA7369AD6DB069A6E649</v>
      </c>
    </row>
    <row r="6118" spans="3:5" ht="75" x14ac:dyDescent="0.25">
      <c r="C6118" s="15">
        <v>433666</v>
      </c>
      <c r="D6118" s="4" t="s">
        <v>6122</v>
      </c>
      <c r="E6118" s="4" t="str">
        <f>HYPERLINK("https://app.crepc.sk/?fn=detailBiblioForm&amp;sid=51B873D3F437233C6990CB1DA8")</f>
        <v>https://app.crepc.sk/?fn=detailBiblioForm&amp;sid=51B873D3F437233C6990CB1DA8</v>
      </c>
    </row>
    <row r="6119" spans="3:5" ht="105" x14ac:dyDescent="0.25">
      <c r="C6119" s="15">
        <v>233430</v>
      </c>
      <c r="D6119" s="4" t="s">
        <v>6123</v>
      </c>
      <c r="E6119" s="4" t="str">
        <f>HYPERLINK("https://app.crepc.sk/?fn=detailBiblioForm&amp;sid=8DA3FCF9469A42423B5B2BB6E0")</f>
        <v>https://app.crepc.sk/?fn=detailBiblioForm&amp;sid=8DA3FCF9469A42423B5B2BB6E0</v>
      </c>
    </row>
    <row r="6120" spans="3:5" ht="75" x14ac:dyDescent="0.25">
      <c r="C6120" s="15">
        <v>243611</v>
      </c>
      <c r="D6120" s="4" t="s">
        <v>6124</v>
      </c>
      <c r="E6120" s="4" t="str">
        <f>HYPERLINK("https://app.crepc.sk/?fn=detailBiblioForm&amp;sid=BCA025A07652959317650B2100")</f>
        <v>https://app.crepc.sk/?fn=detailBiblioForm&amp;sid=BCA025A07652959317650B2100</v>
      </c>
    </row>
    <row r="6121" spans="3:5" ht="90" x14ac:dyDescent="0.25">
      <c r="C6121" s="15">
        <v>137272</v>
      </c>
      <c r="D6121" s="4" t="s">
        <v>6125</v>
      </c>
      <c r="E6121" s="4" t="str">
        <f>HYPERLINK("https://app.crepc.sk/?fn=detailBiblioForm&amp;sid=1A0A535EC994080DE1D6F2D3E4")</f>
        <v>https://app.crepc.sk/?fn=detailBiblioForm&amp;sid=1A0A535EC994080DE1D6F2D3E4</v>
      </c>
    </row>
    <row r="6122" spans="3:5" ht="135" x14ac:dyDescent="0.25">
      <c r="C6122" s="15">
        <v>226604</v>
      </c>
      <c r="D6122" s="4" t="s">
        <v>6126</v>
      </c>
      <c r="E6122" s="4" t="str">
        <f>HYPERLINK("https://app.crepc.sk/?fn=detailBiblioForm&amp;sid=EFBE3DC7BD8E060F05E205FABD")</f>
        <v>https://app.crepc.sk/?fn=detailBiblioForm&amp;sid=EFBE3DC7BD8E060F05E205FABD</v>
      </c>
    </row>
    <row r="6123" spans="3:5" ht="90" x14ac:dyDescent="0.25">
      <c r="C6123" s="15">
        <v>228462</v>
      </c>
      <c r="D6123" s="4" t="s">
        <v>6127</v>
      </c>
      <c r="E6123" s="4" t="str">
        <f>HYPERLINK("https://app.crepc.sk/?fn=detailBiblioForm&amp;sid=3CA1021186512FF63882767FD4")</f>
        <v>https://app.crepc.sk/?fn=detailBiblioForm&amp;sid=3CA1021186512FF63882767FD4</v>
      </c>
    </row>
    <row r="6124" spans="3:5" ht="75" x14ac:dyDescent="0.25">
      <c r="C6124" s="15">
        <v>74928</v>
      </c>
      <c r="D6124" s="4" t="s">
        <v>6128</v>
      </c>
      <c r="E6124" s="4" t="str">
        <f>HYPERLINK("https://app.crepc.sk/?fn=detailBiblioForm&amp;sid=C032EC6024A69A5ACA9A6877")</f>
        <v>https://app.crepc.sk/?fn=detailBiblioForm&amp;sid=C032EC6024A69A5ACA9A6877</v>
      </c>
    </row>
    <row r="6125" spans="3:5" ht="105" x14ac:dyDescent="0.25">
      <c r="C6125" s="15">
        <v>152875</v>
      </c>
      <c r="D6125" s="4" t="s">
        <v>6129</v>
      </c>
      <c r="E6125" s="4" t="str">
        <f>HYPERLINK("https://app.crepc.sk/?fn=detailBiblioForm&amp;sid=4CB0668AE2C8F277BDA1C0BA9E")</f>
        <v>https://app.crepc.sk/?fn=detailBiblioForm&amp;sid=4CB0668AE2C8F277BDA1C0BA9E</v>
      </c>
    </row>
    <row r="6126" spans="3:5" ht="75" x14ac:dyDescent="0.25">
      <c r="C6126" s="15">
        <v>183225</v>
      </c>
      <c r="D6126" s="4" t="s">
        <v>6130</v>
      </c>
      <c r="E6126" s="4" t="str">
        <f>HYPERLINK("https://app.crepc.sk/?fn=detailBiblioForm&amp;sid=98506E6D5B5CDF25308FE743E8")</f>
        <v>https://app.crepc.sk/?fn=detailBiblioForm&amp;sid=98506E6D5B5CDF25308FE743E8</v>
      </c>
    </row>
    <row r="6127" spans="3:5" ht="90" x14ac:dyDescent="0.25">
      <c r="C6127" s="15">
        <v>437977</v>
      </c>
      <c r="D6127" s="4" t="s">
        <v>6131</v>
      </c>
      <c r="E6127" s="4" t="str">
        <f>HYPERLINK("https://app.crepc.sk/?fn=detailBiblioForm&amp;sid=C250D8BE72838170EECECEA6C9")</f>
        <v>https://app.crepc.sk/?fn=detailBiblioForm&amp;sid=C250D8BE72838170EECECEA6C9</v>
      </c>
    </row>
    <row r="6128" spans="3:5" ht="75" x14ac:dyDescent="0.25">
      <c r="C6128" s="15">
        <v>128409</v>
      </c>
      <c r="D6128" s="4" t="s">
        <v>6132</v>
      </c>
      <c r="E6128" s="4" t="str">
        <f>HYPERLINK("https://app.crepc.sk/?fn=detailBiblioForm&amp;sid=585F9F27CC7F4CBF0C374263E3")</f>
        <v>https://app.crepc.sk/?fn=detailBiblioForm&amp;sid=585F9F27CC7F4CBF0C374263E3</v>
      </c>
    </row>
    <row r="6129" spans="3:5" ht="90" x14ac:dyDescent="0.25">
      <c r="C6129" s="15">
        <v>187447</v>
      </c>
      <c r="D6129" s="4" t="s">
        <v>6133</v>
      </c>
      <c r="E6129" s="4" t="str">
        <f>HYPERLINK("https://app.crepc.sk/?fn=detailBiblioForm&amp;sid=E1578DECED3BC9A507A4219864")</f>
        <v>https://app.crepc.sk/?fn=detailBiblioForm&amp;sid=E1578DECED3BC9A507A4219864</v>
      </c>
    </row>
    <row r="6130" spans="3:5" ht="90" x14ac:dyDescent="0.25">
      <c r="C6130" s="15">
        <v>226594</v>
      </c>
      <c r="D6130" s="4" t="s">
        <v>6134</v>
      </c>
      <c r="E6130" s="4" t="str">
        <f>HYPERLINK("https://app.crepc.sk/?fn=detailBiblioForm&amp;sid=1A96CD219DD6F1D8F45F31CBF0")</f>
        <v>https://app.crepc.sk/?fn=detailBiblioForm&amp;sid=1A96CD219DD6F1D8F45F31CBF0</v>
      </c>
    </row>
    <row r="6131" spans="3:5" ht="75" x14ac:dyDescent="0.25">
      <c r="C6131" s="15">
        <v>191650</v>
      </c>
      <c r="D6131" s="4" t="s">
        <v>6135</v>
      </c>
      <c r="E6131" s="4" t="str">
        <f>HYPERLINK("https://app.crepc.sk/?fn=detailBiblioForm&amp;sid=2BD2C66034D627EB7C07C4F76F")</f>
        <v>https://app.crepc.sk/?fn=detailBiblioForm&amp;sid=2BD2C66034D627EB7C07C4F76F</v>
      </c>
    </row>
    <row r="6132" spans="3:5" ht="90" x14ac:dyDescent="0.25">
      <c r="C6132" s="15">
        <v>314130</v>
      </c>
      <c r="D6132" s="4" t="s">
        <v>6136</v>
      </c>
      <c r="E6132" s="4" t="str">
        <f>HYPERLINK("https://app.crepc.sk/?fn=detailBiblioForm&amp;sid=C11437276931E1270D3319387C")</f>
        <v>https://app.crepc.sk/?fn=detailBiblioForm&amp;sid=C11437276931E1270D3319387C</v>
      </c>
    </row>
    <row r="6133" spans="3:5" ht="90" x14ac:dyDescent="0.25">
      <c r="C6133" s="15">
        <v>195879</v>
      </c>
      <c r="D6133" s="4" t="s">
        <v>6137</v>
      </c>
      <c r="E6133" s="4" t="str">
        <f>HYPERLINK("https://app.crepc.sk/?fn=detailBiblioForm&amp;sid=8FFBB3FF7BCA024A66AB19D41B")</f>
        <v>https://app.crepc.sk/?fn=detailBiblioForm&amp;sid=8FFBB3FF7BCA024A66AB19D41B</v>
      </c>
    </row>
    <row r="6134" spans="3:5" ht="90" x14ac:dyDescent="0.25">
      <c r="C6134" s="15">
        <v>172553</v>
      </c>
      <c r="D6134" s="4" t="s">
        <v>6138</v>
      </c>
      <c r="E6134" s="4" t="str">
        <f>HYPERLINK("https://app.crepc.sk/?fn=detailBiblioForm&amp;sid=C15045651E1CB51B05E2221423")</f>
        <v>https://app.crepc.sk/?fn=detailBiblioForm&amp;sid=C15045651E1CB51B05E2221423</v>
      </c>
    </row>
    <row r="6135" spans="3:5" ht="75" x14ac:dyDescent="0.25">
      <c r="C6135" s="15">
        <v>166150</v>
      </c>
      <c r="D6135" s="4" t="s">
        <v>6139</v>
      </c>
      <c r="E6135" s="4" t="str">
        <f>HYPERLINK("https://app.crepc.sk/?fn=detailBiblioForm&amp;sid=42FF770CB0BE777970F6474404")</f>
        <v>https://app.crepc.sk/?fn=detailBiblioForm&amp;sid=42FF770CB0BE777970F6474404</v>
      </c>
    </row>
    <row r="6136" spans="3:5" ht="75" x14ac:dyDescent="0.25">
      <c r="C6136" s="15">
        <v>195933</v>
      </c>
      <c r="D6136" s="4" t="s">
        <v>6140</v>
      </c>
      <c r="E6136" s="4" t="str">
        <f>HYPERLINK("https://app.crepc.sk/?fn=detailBiblioForm&amp;sid=D0FFB1787B7ACE98BC53689ACF")</f>
        <v>https://app.crepc.sk/?fn=detailBiblioForm&amp;sid=D0FFB1787B7ACE98BC53689ACF</v>
      </c>
    </row>
    <row r="6137" spans="3:5" ht="90" x14ac:dyDescent="0.25">
      <c r="C6137" s="15">
        <v>308668</v>
      </c>
      <c r="D6137" s="4" t="s">
        <v>6141</v>
      </c>
      <c r="E6137" s="4" t="str">
        <f>HYPERLINK("https://app.crepc.sk/?fn=detailBiblioForm&amp;sid=FFB666A2C19BF60B62A4A43BB0")</f>
        <v>https://app.crepc.sk/?fn=detailBiblioForm&amp;sid=FFB666A2C19BF60B62A4A43BB0</v>
      </c>
    </row>
    <row r="6138" spans="3:5" ht="90" x14ac:dyDescent="0.25">
      <c r="C6138" s="15">
        <v>224762</v>
      </c>
      <c r="D6138" s="4" t="s">
        <v>6142</v>
      </c>
      <c r="E6138" s="4" t="str">
        <f>HYPERLINK("https://app.crepc.sk/?fn=detailBiblioForm&amp;sid=68194651F96F8DBEF02B5DD8C8")</f>
        <v>https://app.crepc.sk/?fn=detailBiblioForm&amp;sid=68194651F96F8DBEF02B5DD8C8</v>
      </c>
    </row>
    <row r="6139" spans="3:5" ht="75" x14ac:dyDescent="0.25">
      <c r="C6139" s="15">
        <v>134590</v>
      </c>
      <c r="D6139" s="4" t="s">
        <v>6143</v>
      </c>
      <c r="E6139" s="4" t="str">
        <f>HYPERLINK("https://app.crepc.sk/?fn=detailBiblioForm&amp;sid=595CC72A314F5A34542C4AB6EE")</f>
        <v>https://app.crepc.sk/?fn=detailBiblioForm&amp;sid=595CC72A314F5A34542C4AB6EE</v>
      </c>
    </row>
    <row r="6140" spans="3:5" ht="105" x14ac:dyDescent="0.25">
      <c r="C6140" s="15">
        <v>170212</v>
      </c>
      <c r="D6140" s="4" t="s">
        <v>6144</v>
      </c>
      <c r="E6140" s="4" t="str">
        <f>HYPERLINK("https://app.crepc.sk/?fn=detailBiblioForm&amp;sid=1CB25EF4639541CD2ACFD9150E")</f>
        <v>https://app.crepc.sk/?fn=detailBiblioForm&amp;sid=1CB25EF4639541CD2ACFD9150E</v>
      </c>
    </row>
    <row r="6141" spans="3:5" ht="90" x14ac:dyDescent="0.25">
      <c r="C6141" s="15">
        <v>191684</v>
      </c>
      <c r="D6141" s="4" t="s">
        <v>6145</v>
      </c>
      <c r="E6141" s="4" t="str">
        <f>HYPERLINK("https://app.crepc.sk/?fn=detailBiblioForm&amp;sid=2BD2C66034D627EB7103C4F76F")</f>
        <v>https://app.crepc.sk/?fn=detailBiblioForm&amp;sid=2BD2C66034D627EB7103C4F76F</v>
      </c>
    </row>
    <row r="6142" spans="3:5" ht="75" x14ac:dyDescent="0.25">
      <c r="C6142" s="15">
        <v>68894</v>
      </c>
      <c r="D6142" s="4" t="s">
        <v>6146</v>
      </c>
      <c r="E6142" s="4" t="str">
        <f>HYPERLINK("https://app.crepc.sk/?fn=detailBiblioForm&amp;sid=2FA8497645C21E12BC21C57E")</f>
        <v>https://app.crepc.sk/?fn=detailBiblioForm&amp;sid=2FA8497645C21E12BC21C57E</v>
      </c>
    </row>
    <row r="6143" spans="3:5" ht="90" x14ac:dyDescent="0.25">
      <c r="C6143" s="15">
        <v>191686</v>
      </c>
      <c r="D6143" s="4" t="s">
        <v>6147</v>
      </c>
      <c r="E6143" s="4" t="str">
        <f>HYPERLINK("https://app.crepc.sk/?fn=detailBiblioForm&amp;sid=2BD2C66034D627EB7101C4F76F")</f>
        <v>https://app.crepc.sk/?fn=detailBiblioForm&amp;sid=2BD2C66034D627EB7101C4F76F</v>
      </c>
    </row>
    <row r="6144" spans="3:5" ht="75" x14ac:dyDescent="0.25">
      <c r="C6144" s="15">
        <v>91248</v>
      </c>
      <c r="D6144" s="4" t="s">
        <v>6148</v>
      </c>
      <c r="E6144" s="4" t="str">
        <f>HYPERLINK("https://app.crepc.sk/?fn=detailBiblioForm&amp;sid=2BC9281783DD5DCBF6A802C7")</f>
        <v>https://app.crepc.sk/?fn=detailBiblioForm&amp;sid=2BC9281783DD5DCBF6A802C7</v>
      </c>
    </row>
    <row r="6145" spans="3:5" ht="90" x14ac:dyDescent="0.25">
      <c r="C6145" s="15">
        <v>223604</v>
      </c>
      <c r="D6145" s="4" t="s">
        <v>6149</v>
      </c>
      <c r="E6145" s="4" t="str">
        <f>HYPERLINK("https://app.crepc.sk/?fn=detailBiblioForm&amp;sid=B5E7C3A8B966861A82155D896E")</f>
        <v>https://app.crepc.sk/?fn=detailBiblioForm&amp;sid=B5E7C3A8B966861A82155D896E</v>
      </c>
    </row>
    <row r="6146" spans="3:5" ht="90" x14ac:dyDescent="0.25">
      <c r="C6146" s="15">
        <v>79018</v>
      </c>
      <c r="D6146" s="4" t="s">
        <v>6150</v>
      </c>
      <c r="E6146" s="4" t="str">
        <f>HYPERLINK("https://app.crepc.sk/?fn=detailBiblioForm&amp;sid=B0BF1D3726C7EACDAD9CDDEA")</f>
        <v>https://app.crepc.sk/?fn=detailBiblioForm&amp;sid=B0BF1D3726C7EACDAD9CDDEA</v>
      </c>
    </row>
    <row r="6147" spans="3:5" ht="90" x14ac:dyDescent="0.25">
      <c r="C6147" s="15">
        <v>196250</v>
      </c>
      <c r="D6147" s="4" t="s">
        <v>6151</v>
      </c>
      <c r="E6147" s="4" t="str">
        <f>HYPERLINK("https://app.crepc.sk/?fn=detailBiblioForm&amp;sid=DEAAEB997C45B7BDEA1AF92F8C")</f>
        <v>https://app.crepc.sk/?fn=detailBiblioForm&amp;sid=DEAAEB997C45B7BDEA1AF92F8C</v>
      </c>
    </row>
    <row r="6148" spans="3:5" ht="90" x14ac:dyDescent="0.25">
      <c r="C6148" s="15">
        <v>57251</v>
      </c>
      <c r="D6148" s="4" t="s">
        <v>6152</v>
      </c>
      <c r="E6148" s="4" t="str">
        <f>HYPERLINK("https://app.crepc.sk/?fn=detailBiblioForm&amp;sid=63C1167486E95F4A564BCC3C")</f>
        <v>https://app.crepc.sk/?fn=detailBiblioForm&amp;sid=63C1167486E95F4A564BCC3C</v>
      </c>
    </row>
    <row r="6149" spans="3:5" ht="90" x14ac:dyDescent="0.25">
      <c r="C6149" s="15">
        <v>138032</v>
      </c>
      <c r="D6149" s="4" t="s">
        <v>6153</v>
      </c>
      <c r="E6149" s="4" t="str">
        <f>HYPERLINK("https://app.crepc.sk/?fn=detailBiblioForm&amp;sid=D9FD61DACB535D15985D547F0C")</f>
        <v>https://app.crepc.sk/?fn=detailBiblioForm&amp;sid=D9FD61DACB535D15985D547F0C</v>
      </c>
    </row>
    <row r="6150" spans="3:5" ht="75" x14ac:dyDescent="0.25">
      <c r="C6150" s="15">
        <v>315153</v>
      </c>
      <c r="D6150" s="4" t="s">
        <v>6154</v>
      </c>
      <c r="E6150" s="4" t="str">
        <f>HYPERLINK("https://app.crepc.sk/?fn=detailBiblioForm&amp;sid=2CBBD6A91A6AE0D759D7F7CD5B")</f>
        <v>https://app.crepc.sk/?fn=detailBiblioForm&amp;sid=2CBBD6A91A6AE0D759D7F7CD5B</v>
      </c>
    </row>
    <row r="6151" spans="3:5" ht="90" x14ac:dyDescent="0.25">
      <c r="C6151" s="15">
        <v>73243</v>
      </c>
      <c r="D6151" s="4" t="s">
        <v>6155</v>
      </c>
      <c r="E6151" s="4" t="str">
        <f>HYPERLINK("https://app.crepc.sk/?fn=detailBiblioForm&amp;sid=B7643B5A599E73A6889034B5")</f>
        <v>https://app.crepc.sk/?fn=detailBiblioForm&amp;sid=B7643B5A599E73A6889034B5</v>
      </c>
    </row>
    <row r="6152" spans="3:5" ht="90" x14ac:dyDescent="0.25">
      <c r="C6152" s="15">
        <v>212607</v>
      </c>
      <c r="D6152" s="4" t="s">
        <v>6156</v>
      </c>
      <c r="E6152" s="4" t="str">
        <f>HYPERLINK("https://app.crepc.sk/?fn=detailBiblioForm&amp;sid=98C1BC1B72D21E0937A00A25E5")</f>
        <v>https://app.crepc.sk/?fn=detailBiblioForm&amp;sid=98C1BC1B72D21E0937A00A25E5</v>
      </c>
    </row>
    <row r="6153" spans="3:5" ht="75" x14ac:dyDescent="0.25">
      <c r="C6153" s="15">
        <v>232805</v>
      </c>
      <c r="D6153" s="4" t="s">
        <v>6157</v>
      </c>
      <c r="E6153" s="4" t="str">
        <f>HYPERLINK("https://app.crepc.sk/?fn=detailBiblioForm&amp;sid=5CFC8A258B63AE90FFB2EA8327")</f>
        <v>https://app.crepc.sk/?fn=detailBiblioForm&amp;sid=5CFC8A258B63AE90FFB2EA8327</v>
      </c>
    </row>
    <row r="6154" spans="3:5" ht="90" x14ac:dyDescent="0.25">
      <c r="C6154" s="15">
        <v>315472</v>
      </c>
      <c r="D6154" s="4" t="s">
        <v>6158</v>
      </c>
      <c r="E6154" s="4" t="str">
        <f>HYPERLINK("https://app.crepc.sk/?fn=detailBiblioForm&amp;sid=D6A415B53B85E30B9CDF62509B")</f>
        <v>https://app.crepc.sk/?fn=detailBiblioForm&amp;sid=D6A415B53B85E30B9CDF62509B</v>
      </c>
    </row>
    <row r="6155" spans="3:5" ht="75" x14ac:dyDescent="0.25">
      <c r="C6155" s="15">
        <v>151996</v>
      </c>
      <c r="D6155" s="4" t="s">
        <v>6159</v>
      </c>
      <c r="E6155" s="4" t="str">
        <f>HYPERLINK("https://app.crepc.sk/?fn=detailBiblioForm&amp;sid=25093AD9EB7829820B8FF208A2")</f>
        <v>https://app.crepc.sk/?fn=detailBiblioForm&amp;sid=25093AD9EB7829820B8FF208A2</v>
      </c>
    </row>
    <row r="6156" spans="3:5" ht="75" x14ac:dyDescent="0.25">
      <c r="C6156" s="15">
        <v>191687</v>
      </c>
      <c r="D6156" s="4" t="s">
        <v>6160</v>
      </c>
      <c r="E6156" s="4" t="str">
        <f>HYPERLINK("https://app.crepc.sk/?fn=detailBiblioForm&amp;sid=2BD2C66034D627EB7100C4F76F")</f>
        <v>https://app.crepc.sk/?fn=detailBiblioForm&amp;sid=2BD2C66034D627EB7100C4F76F</v>
      </c>
    </row>
    <row r="6157" spans="3:5" ht="105" x14ac:dyDescent="0.25">
      <c r="C6157" s="15">
        <v>213929</v>
      </c>
      <c r="D6157" s="4" t="s">
        <v>6161</v>
      </c>
      <c r="E6157" s="4" t="str">
        <f>HYPERLINK("https://app.crepc.sk/?fn=detailBiblioForm&amp;sid=5C150E32B6874145FB14418AD1")</f>
        <v>https://app.crepc.sk/?fn=detailBiblioForm&amp;sid=5C150E32B6874145FB14418AD1</v>
      </c>
    </row>
    <row r="6158" spans="3:5" ht="90" x14ac:dyDescent="0.25">
      <c r="C6158" s="15">
        <v>149380</v>
      </c>
      <c r="D6158" s="4" t="s">
        <v>6162</v>
      </c>
      <c r="E6158" s="4" t="str">
        <f>HYPERLINK("https://app.crepc.sk/?fn=detailBiblioForm&amp;sid=D01AE3E6A036F3F6508D797264")</f>
        <v>https://app.crepc.sk/?fn=detailBiblioForm&amp;sid=D01AE3E6A036F3F6508D797264</v>
      </c>
    </row>
    <row r="6159" spans="3:5" ht="75" x14ac:dyDescent="0.25">
      <c r="C6159" s="15">
        <v>190427</v>
      </c>
      <c r="D6159" s="4" t="s">
        <v>6163</v>
      </c>
      <c r="E6159" s="4" t="str">
        <f>HYPERLINK("https://app.crepc.sk/?fn=detailBiblioForm&amp;sid=44C906722BA4054C5A143B52D0")</f>
        <v>https://app.crepc.sk/?fn=detailBiblioForm&amp;sid=44C906722BA4054C5A143B52D0</v>
      </c>
    </row>
    <row r="6160" spans="3:5" ht="90" x14ac:dyDescent="0.25">
      <c r="C6160" s="15">
        <v>207712</v>
      </c>
      <c r="D6160" s="4" t="s">
        <v>6164</v>
      </c>
      <c r="E6160" s="4" t="str">
        <f>HYPERLINK("https://app.crepc.sk/?fn=detailBiblioForm&amp;sid=0615AA3F0AC7184E3A3368DFA4")</f>
        <v>https://app.crepc.sk/?fn=detailBiblioForm&amp;sid=0615AA3F0AC7184E3A3368DFA4</v>
      </c>
    </row>
    <row r="6161" spans="1:5" ht="75" x14ac:dyDescent="0.25">
      <c r="C6161" s="15">
        <v>62573</v>
      </c>
      <c r="D6161" s="4" t="s">
        <v>6165</v>
      </c>
      <c r="E6161" s="4" t="str">
        <f>HYPERLINK("https://app.crepc.sk/?fn=detailBiblioForm&amp;sid=07E6CBBE672EFFC60AEE0B17")</f>
        <v>https://app.crepc.sk/?fn=detailBiblioForm&amp;sid=07E6CBBE672EFFC60AEE0B17</v>
      </c>
    </row>
    <row r="6162" spans="1:5" ht="120" x14ac:dyDescent="0.25">
      <c r="C6162" s="15">
        <v>201211</v>
      </c>
      <c r="D6162" s="4" t="s">
        <v>6166</v>
      </c>
      <c r="E6162" s="4" t="str">
        <f>HYPERLINK("https://app.crepc.sk/?fn=detailBiblioForm&amp;sid=4DA2528AD0C8792BAA8E48611A")</f>
        <v>https://app.crepc.sk/?fn=detailBiblioForm&amp;sid=4DA2528AD0C8792BAA8E48611A</v>
      </c>
    </row>
    <row r="6163" spans="1:5" ht="105" x14ac:dyDescent="0.25">
      <c r="C6163" s="15">
        <v>161608</v>
      </c>
      <c r="D6163" s="4" t="s">
        <v>6167</v>
      </c>
      <c r="E6163" s="4" t="str">
        <f>HYPERLINK("https://app.crepc.sk/?fn=detailBiblioForm&amp;sid=1D69B1A76ABEB527B066BB2E6D")</f>
        <v>https://app.crepc.sk/?fn=detailBiblioForm&amp;sid=1D69B1A76ABEB527B066BB2E6D</v>
      </c>
    </row>
    <row r="6164" spans="1:5" ht="105" x14ac:dyDescent="0.25">
      <c r="C6164" s="15">
        <v>59456</v>
      </c>
      <c r="D6164" s="4" t="s">
        <v>6168</v>
      </c>
      <c r="E6164" s="4" t="str">
        <f>HYPERLINK("https://app.crepc.sk/?fn=detailBiblioForm&amp;sid=76B39305F4E8A4BC244C37F6")</f>
        <v>https://app.crepc.sk/?fn=detailBiblioForm&amp;sid=76B39305F4E8A4BC244C37F6</v>
      </c>
    </row>
    <row r="6165" spans="1:5" ht="90" x14ac:dyDescent="0.25">
      <c r="C6165" s="15">
        <v>183347</v>
      </c>
      <c r="D6165" s="4" t="s">
        <v>6169</v>
      </c>
      <c r="E6165" s="4" t="str">
        <f>HYPERLINK("https://app.crepc.sk/?fn=detailBiblioForm&amp;sid=6D6DC5E985962C81D984CBBA22")</f>
        <v>https://app.crepc.sk/?fn=detailBiblioForm&amp;sid=6D6DC5E985962C81D984CBBA22</v>
      </c>
    </row>
    <row r="6166" spans="1:5" ht="75" x14ac:dyDescent="0.25">
      <c r="C6166" s="15">
        <v>314132</v>
      </c>
      <c r="D6166" s="4" t="s">
        <v>6170</v>
      </c>
      <c r="E6166" s="4" t="str">
        <f>HYPERLINK("https://app.crepc.sk/?fn=detailBiblioForm&amp;sid=C11437276931E1270D3119387C")</f>
        <v>https://app.crepc.sk/?fn=detailBiblioForm&amp;sid=C11437276931E1270D3119387C</v>
      </c>
    </row>
    <row r="6167" spans="1:5" ht="90" x14ac:dyDescent="0.25">
      <c r="C6167" s="15">
        <v>91268</v>
      </c>
      <c r="D6167" s="4" t="s">
        <v>6171</v>
      </c>
      <c r="E6167" s="4" t="str">
        <f>HYPERLINK("https://app.crepc.sk/?fn=detailBiblioForm&amp;sid=EB2140B37C6C9A915E953634")</f>
        <v>https://app.crepc.sk/?fn=detailBiblioForm&amp;sid=EB2140B37C6C9A915E953634</v>
      </c>
    </row>
    <row r="6168" spans="1:5" ht="90" x14ac:dyDescent="0.25">
      <c r="C6168" s="15">
        <v>196744</v>
      </c>
      <c r="D6168" s="4" t="s">
        <v>6172</v>
      </c>
      <c r="E6168" s="4" t="str">
        <f>HYPERLINK("https://app.crepc.sk/?fn=detailBiblioForm&amp;sid=959B0CD35FC03E1AE1CF263F38")</f>
        <v>https://app.crepc.sk/?fn=detailBiblioForm&amp;sid=959B0CD35FC03E1AE1CF263F38</v>
      </c>
    </row>
    <row r="6169" spans="1:5" ht="90" x14ac:dyDescent="0.25">
      <c r="C6169" s="15">
        <v>91264</v>
      </c>
      <c r="D6169" s="4" t="s">
        <v>6173</v>
      </c>
      <c r="E6169" s="4" t="str">
        <f>HYPERLINK("https://app.crepc.sk/?fn=detailBiblioForm&amp;sid=EB2140B37C6C9A9152953634")</f>
        <v>https://app.crepc.sk/?fn=detailBiblioForm&amp;sid=EB2140B37C6C9A9152953634</v>
      </c>
    </row>
    <row r="6170" spans="1:5" ht="60" x14ac:dyDescent="0.25">
      <c r="C6170" s="15">
        <v>72279</v>
      </c>
      <c r="D6170" s="4" t="s">
        <v>6174</v>
      </c>
      <c r="E6170" s="4" t="str">
        <f>HYPERLINK("https://app.crepc.sk/?fn=detailBiblioForm&amp;sid=B462B56B048C949A63C51D3C")</f>
        <v>https://app.crepc.sk/?fn=detailBiblioForm&amp;sid=B462B56B048C949A63C51D3C</v>
      </c>
    </row>
    <row r="6171" spans="1:5" ht="90" x14ac:dyDescent="0.25">
      <c r="C6171" s="15">
        <v>96272</v>
      </c>
      <c r="D6171" s="4" t="s">
        <v>6175</v>
      </c>
      <c r="E6171" s="4" t="str">
        <f>HYPERLINK("https://app.crepc.sk/?fn=detailBiblioForm&amp;sid=62FDBBA5103A6F0174D951C3")</f>
        <v>https://app.crepc.sk/?fn=detailBiblioForm&amp;sid=62FDBBA5103A6F0174D951C3</v>
      </c>
    </row>
    <row r="6172" spans="1:5" ht="30" x14ac:dyDescent="0.25">
      <c r="A6172" s="4" t="s">
        <v>6176</v>
      </c>
      <c r="B6172" s="15">
        <v>781</v>
      </c>
    </row>
    <row r="6173" spans="1:5" ht="90" x14ac:dyDescent="0.25">
      <c r="C6173" s="15">
        <v>313779</v>
      </c>
      <c r="D6173" s="4" t="s">
        <v>6177</v>
      </c>
      <c r="E6173" s="4" t="str">
        <f>HYPERLINK("https://app.crepc.sk/?fn=detailBiblioForm&amp;sid=54D25A27962CDFF2C2CBF50D21")</f>
        <v>https://app.crepc.sk/?fn=detailBiblioForm&amp;sid=54D25A27962CDFF2C2CBF50D21</v>
      </c>
    </row>
    <row r="6174" spans="1:5" ht="120" x14ac:dyDescent="0.25">
      <c r="C6174" s="15">
        <v>416387</v>
      </c>
      <c r="D6174" s="4" t="s">
        <v>6178</v>
      </c>
      <c r="E6174" s="4" t="str">
        <f>HYPERLINK("https://app.crepc.sk/?fn=detailBiblioForm&amp;sid=02D97EB19DA28A2B9A2B1F2725")</f>
        <v>https://app.crepc.sk/?fn=detailBiblioForm&amp;sid=02D97EB19DA28A2B9A2B1F2725</v>
      </c>
    </row>
    <row r="6175" spans="1:5" ht="75" x14ac:dyDescent="0.25">
      <c r="C6175" s="15">
        <v>309931</v>
      </c>
      <c r="D6175" s="4" t="s">
        <v>6179</v>
      </c>
      <c r="E6175" s="4" t="str">
        <f>HYPERLINK("https://app.crepc.sk/?fn=detailBiblioForm&amp;sid=01D3392D979C937CADB9D90611")</f>
        <v>https://app.crepc.sk/?fn=detailBiblioForm&amp;sid=01D3392D979C937CADB9D90611</v>
      </c>
    </row>
    <row r="6176" spans="1:5" ht="105" x14ac:dyDescent="0.25">
      <c r="C6176" s="15">
        <v>138724</v>
      </c>
      <c r="D6176" s="4" t="s">
        <v>6180</v>
      </c>
      <c r="E6176" s="4" t="str">
        <f>HYPERLINK("https://app.crepc.sk/?fn=detailBiblioForm&amp;sid=B05445C3B1156175C2C3E1ECCB")</f>
        <v>https://app.crepc.sk/?fn=detailBiblioForm&amp;sid=B05445C3B1156175C2C3E1ECCB</v>
      </c>
    </row>
    <row r="6177" spans="3:5" ht="90" x14ac:dyDescent="0.25">
      <c r="C6177" s="15">
        <v>81199</v>
      </c>
      <c r="D6177" s="4" t="s">
        <v>6181</v>
      </c>
      <c r="E6177" s="4" t="str">
        <f>HYPERLINK("https://app.crepc.sk/?fn=detailBiblioForm&amp;sid=C4A993F71EA4F2E02BA0184B")</f>
        <v>https://app.crepc.sk/?fn=detailBiblioForm&amp;sid=C4A993F71EA4F2E02BA0184B</v>
      </c>
    </row>
    <row r="6178" spans="3:5" ht="90" x14ac:dyDescent="0.25">
      <c r="C6178" s="15">
        <v>96310</v>
      </c>
      <c r="D6178" s="4" t="s">
        <v>6182</v>
      </c>
      <c r="E6178" s="4" t="str">
        <f>HYPERLINK("https://app.crepc.sk/?fn=detailBiblioForm&amp;sid=6F53960689FE8DB4DA7D7BA1")</f>
        <v>https://app.crepc.sk/?fn=detailBiblioForm&amp;sid=6F53960689FE8DB4DA7D7BA1</v>
      </c>
    </row>
    <row r="6179" spans="3:5" ht="90" x14ac:dyDescent="0.25">
      <c r="C6179" s="15">
        <v>415350</v>
      </c>
      <c r="D6179" s="4" t="s">
        <v>6183</v>
      </c>
      <c r="E6179" s="4" t="str">
        <f>HYPERLINK("https://app.crepc.sk/?fn=detailBiblioForm&amp;sid=9AF7CC010D05DDDC6B3280073E")</f>
        <v>https://app.crepc.sk/?fn=detailBiblioForm&amp;sid=9AF7CC010D05DDDC6B3280073E</v>
      </c>
    </row>
    <row r="6180" spans="3:5" ht="75" x14ac:dyDescent="0.25">
      <c r="C6180" s="15">
        <v>206925</v>
      </c>
      <c r="D6180" s="4" t="s">
        <v>6184</v>
      </c>
      <c r="E6180" s="4" t="str">
        <f>HYPERLINK("https://app.crepc.sk/?fn=detailBiblioForm&amp;sid=C3A916DF7A5355BD5F1B3ED7A5")</f>
        <v>https://app.crepc.sk/?fn=detailBiblioForm&amp;sid=C3A916DF7A5355BD5F1B3ED7A5</v>
      </c>
    </row>
    <row r="6181" spans="3:5" ht="75" x14ac:dyDescent="0.25">
      <c r="C6181" s="15">
        <v>182040</v>
      </c>
      <c r="D6181" s="4" t="s">
        <v>6185</v>
      </c>
      <c r="E6181" s="4" t="str">
        <f>HYPERLINK("https://app.crepc.sk/?fn=detailBiblioForm&amp;sid=AA0D9432EF6DE826CE1077590B")</f>
        <v>https://app.crepc.sk/?fn=detailBiblioForm&amp;sid=AA0D9432EF6DE826CE1077590B</v>
      </c>
    </row>
    <row r="6182" spans="3:5" ht="75" x14ac:dyDescent="0.25">
      <c r="C6182" s="15">
        <v>120391</v>
      </c>
      <c r="D6182" s="4" t="s">
        <v>6186</v>
      </c>
      <c r="E6182" s="4" t="str">
        <f>HYPERLINK("https://app.crepc.sk/?fn=detailBiblioForm&amp;sid=7C8EC80C674BD33D4DAC6DBADF")</f>
        <v>https://app.crepc.sk/?fn=detailBiblioForm&amp;sid=7C8EC80C674BD33D4DAC6DBADF</v>
      </c>
    </row>
    <row r="6183" spans="3:5" ht="105" x14ac:dyDescent="0.25">
      <c r="C6183" s="15">
        <v>73819</v>
      </c>
      <c r="D6183" s="4" t="s">
        <v>6187</v>
      </c>
      <c r="E6183" s="4" t="str">
        <f>HYPERLINK("https://app.crepc.sk/?fn=detailBiblioForm&amp;sid=C8D150E7D6A9DAA97791B7E3")</f>
        <v>https://app.crepc.sk/?fn=detailBiblioForm&amp;sid=C8D150E7D6A9DAA97791B7E3</v>
      </c>
    </row>
    <row r="6184" spans="3:5" ht="135" x14ac:dyDescent="0.25">
      <c r="C6184" s="15">
        <v>124797</v>
      </c>
      <c r="D6184" s="4" t="s">
        <v>6188</v>
      </c>
      <c r="E6184" s="4" t="str">
        <f>HYPERLINK("https://app.crepc.sk/?fn=detailBiblioForm&amp;sid=C59625BB30B9E1ED2E4581487A")</f>
        <v>https://app.crepc.sk/?fn=detailBiblioForm&amp;sid=C59625BB30B9E1ED2E4581487A</v>
      </c>
    </row>
    <row r="6185" spans="3:5" ht="105" x14ac:dyDescent="0.25">
      <c r="C6185" s="15">
        <v>87917</v>
      </c>
      <c r="D6185" s="4" t="s">
        <v>6189</v>
      </c>
      <c r="E6185" s="4" t="str">
        <f>HYPERLINK("https://app.crepc.sk/?fn=detailBiblioForm&amp;sid=409D63A8FD49F4824370EC99")</f>
        <v>https://app.crepc.sk/?fn=detailBiblioForm&amp;sid=409D63A8FD49F4824370EC99</v>
      </c>
    </row>
    <row r="6186" spans="3:5" ht="90" x14ac:dyDescent="0.25">
      <c r="C6186" s="15">
        <v>204350</v>
      </c>
      <c r="D6186" s="4" t="s">
        <v>6190</v>
      </c>
      <c r="E6186" s="4" t="str">
        <f>HYPERLINK("https://app.crepc.sk/?fn=detailBiblioForm&amp;sid=8E201614D5D231968760729F83")</f>
        <v>https://app.crepc.sk/?fn=detailBiblioForm&amp;sid=8E201614D5D231968760729F83</v>
      </c>
    </row>
    <row r="6187" spans="3:5" ht="90" x14ac:dyDescent="0.25">
      <c r="C6187" s="15">
        <v>425435</v>
      </c>
      <c r="D6187" s="4" t="s">
        <v>6191</v>
      </c>
      <c r="E6187" s="4" t="str">
        <f>HYPERLINK("https://app.crepc.sk/?fn=detailBiblioForm&amp;sid=397948A370E721DAF3C6E83A15")</f>
        <v>https://app.crepc.sk/?fn=detailBiblioForm&amp;sid=397948A370E721DAF3C6E83A15</v>
      </c>
    </row>
    <row r="6188" spans="3:5" ht="90" x14ac:dyDescent="0.25">
      <c r="C6188" s="15">
        <v>57771</v>
      </c>
      <c r="D6188" s="4" t="s">
        <v>6192</v>
      </c>
      <c r="E6188" s="4" t="str">
        <f>HYPERLINK("https://app.crepc.sk/?fn=detailBiblioForm&amp;sid=B718CDCA8AD7ABB61F219481")</f>
        <v>https://app.crepc.sk/?fn=detailBiblioForm&amp;sid=B718CDCA8AD7ABB61F219481</v>
      </c>
    </row>
    <row r="6189" spans="3:5" ht="120" x14ac:dyDescent="0.25">
      <c r="C6189" s="15">
        <v>247059</v>
      </c>
      <c r="D6189" s="4" t="s">
        <v>6193</v>
      </c>
      <c r="E6189" s="4" t="str">
        <f>HYPERLINK("https://app.crepc.sk/?fn=detailBiblioForm&amp;sid=EBEA61057054222A0B9F7935A3")</f>
        <v>https://app.crepc.sk/?fn=detailBiblioForm&amp;sid=EBEA61057054222A0B9F7935A3</v>
      </c>
    </row>
    <row r="6190" spans="3:5" ht="75" x14ac:dyDescent="0.25">
      <c r="C6190" s="15">
        <v>120958</v>
      </c>
      <c r="D6190" s="4" t="s">
        <v>6194</v>
      </c>
      <c r="E6190" s="4" t="str">
        <f>HYPERLINK("https://app.crepc.sk/?fn=detailBiblioForm&amp;sid=873ABE7B6F49B7A56F40A3806A")</f>
        <v>https://app.crepc.sk/?fn=detailBiblioForm&amp;sid=873ABE7B6F49B7A56F40A3806A</v>
      </c>
    </row>
    <row r="6191" spans="3:5" ht="90" x14ac:dyDescent="0.25">
      <c r="C6191" s="15">
        <v>167517</v>
      </c>
      <c r="D6191" s="4" t="s">
        <v>6195</v>
      </c>
      <c r="E6191" s="4" t="str">
        <f>HYPERLINK("https://app.crepc.sk/?fn=detailBiblioForm&amp;sid=13B4E46DA990E2A2335A4F501F")</f>
        <v>https://app.crepc.sk/?fn=detailBiblioForm&amp;sid=13B4E46DA990E2A2335A4F501F</v>
      </c>
    </row>
    <row r="6192" spans="3:5" ht="75" x14ac:dyDescent="0.25">
      <c r="C6192" s="15">
        <v>316648</v>
      </c>
      <c r="D6192" s="4" t="s">
        <v>6196</v>
      </c>
      <c r="E6192" s="4" t="str">
        <f>HYPERLINK("https://app.crepc.sk/?fn=detailBiblioForm&amp;sid=D102289ED89A4A14AE14573231")</f>
        <v>https://app.crepc.sk/?fn=detailBiblioForm&amp;sid=D102289ED89A4A14AE14573231</v>
      </c>
    </row>
    <row r="6193" spans="3:5" ht="90" x14ac:dyDescent="0.25">
      <c r="C6193" s="15">
        <v>138442</v>
      </c>
      <c r="D6193" s="4" t="s">
        <v>6197</v>
      </c>
      <c r="E6193" s="4" t="str">
        <f>HYPERLINK("https://app.crepc.sk/?fn=detailBiblioForm&amp;sid=3AF1A6EA9B0020D202DE0DA13A")</f>
        <v>https://app.crepc.sk/?fn=detailBiblioForm&amp;sid=3AF1A6EA9B0020D202DE0DA13A</v>
      </c>
    </row>
    <row r="6194" spans="3:5" ht="105" x14ac:dyDescent="0.25">
      <c r="C6194" s="15">
        <v>310110</v>
      </c>
      <c r="D6194" s="4" t="s">
        <v>6198</v>
      </c>
      <c r="E6194" s="4" t="str">
        <f>HYPERLINK("https://app.crepc.sk/?fn=detailBiblioForm&amp;sid=E9F63DECD21F072F8845FE53D1")</f>
        <v>https://app.crepc.sk/?fn=detailBiblioForm&amp;sid=E9F63DECD21F072F8845FE53D1</v>
      </c>
    </row>
    <row r="6195" spans="3:5" ht="135" x14ac:dyDescent="0.25">
      <c r="C6195" s="15">
        <v>118543</v>
      </c>
      <c r="D6195" s="4" t="s">
        <v>6199</v>
      </c>
      <c r="E6195" s="4" t="str">
        <f>HYPERLINK("https://app.crepc.sk/?fn=detailBiblioForm&amp;sid=5E5121F04DA708F8C7C078AA89")</f>
        <v>https://app.crepc.sk/?fn=detailBiblioForm&amp;sid=5E5121F04DA708F8C7C078AA89</v>
      </c>
    </row>
    <row r="6196" spans="3:5" ht="90" x14ac:dyDescent="0.25">
      <c r="C6196" s="15">
        <v>127595</v>
      </c>
      <c r="D6196" s="4" t="s">
        <v>6200</v>
      </c>
      <c r="E6196" s="4" t="str">
        <f>HYPERLINK("https://app.crepc.sk/?fn=detailBiblioForm&amp;sid=DBEBBE2C2F1C2B14AA858ECF74")</f>
        <v>https://app.crepc.sk/?fn=detailBiblioForm&amp;sid=DBEBBE2C2F1C2B14AA858ECF74</v>
      </c>
    </row>
    <row r="6197" spans="3:5" ht="105" x14ac:dyDescent="0.25">
      <c r="C6197" s="15">
        <v>123778</v>
      </c>
      <c r="D6197" s="4" t="s">
        <v>6201</v>
      </c>
      <c r="E6197" s="4" t="str">
        <f>HYPERLINK("https://app.crepc.sk/?fn=detailBiblioForm&amp;sid=6AF24C20D77B2492BA6B80C111")</f>
        <v>https://app.crepc.sk/?fn=detailBiblioForm&amp;sid=6AF24C20D77B2492BA6B80C111</v>
      </c>
    </row>
    <row r="6198" spans="3:5" ht="75" x14ac:dyDescent="0.25">
      <c r="C6198" s="15">
        <v>152222</v>
      </c>
      <c r="D6198" s="4" t="s">
        <v>6202</v>
      </c>
      <c r="E6198" s="4" t="str">
        <f>HYPERLINK("https://app.crepc.sk/?fn=detailBiblioForm&amp;sid=C3244647CD7CB0B77B726FBDAB")</f>
        <v>https://app.crepc.sk/?fn=detailBiblioForm&amp;sid=C3244647CD7CB0B77B726FBDAB</v>
      </c>
    </row>
    <row r="6199" spans="3:5" ht="75" x14ac:dyDescent="0.25">
      <c r="C6199" s="15">
        <v>173383</v>
      </c>
      <c r="D6199" s="4" t="s">
        <v>6203</v>
      </c>
      <c r="E6199" s="4" t="str">
        <f>HYPERLINK("https://app.crepc.sk/?fn=detailBiblioForm&amp;sid=BDC2D20A28F62792189C748D91")</f>
        <v>https://app.crepc.sk/?fn=detailBiblioForm&amp;sid=BDC2D20A28F62792189C748D91</v>
      </c>
    </row>
    <row r="6200" spans="3:5" ht="90" x14ac:dyDescent="0.25">
      <c r="C6200" s="15">
        <v>140220</v>
      </c>
      <c r="D6200" s="4" t="s">
        <v>6204</v>
      </c>
      <c r="E6200" s="4" t="str">
        <f>HYPERLINK("https://app.crepc.sk/?fn=detailBiblioForm&amp;sid=4A220BA9C567A849190657C72F")</f>
        <v>https://app.crepc.sk/?fn=detailBiblioForm&amp;sid=4A220BA9C567A849190657C72F</v>
      </c>
    </row>
    <row r="6201" spans="3:5" ht="105" x14ac:dyDescent="0.25">
      <c r="C6201" s="15">
        <v>204339</v>
      </c>
      <c r="D6201" s="4" t="s">
        <v>6205</v>
      </c>
      <c r="E6201" s="4" t="str">
        <f>HYPERLINK("https://app.crepc.sk/?fn=detailBiblioForm&amp;sid=8E201614D5D231968169729F83")</f>
        <v>https://app.crepc.sk/?fn=detailBiblioForm&amp;sid=8E201614D5D231968169729F83</v>
      </c>
    </row>
    <row r="6202" spans="3:5" ht="75" x14ac:dyDescent="0.25">
      <c r="C6202" s="15">
        <v>219493</v>
      </c>
      <c r="D6202" s="4" t="s">
        <v>6206</v>
      </c>
      <c r="E6202" s="4" t="str">
        <f>HYPERLINK("https://app.crepc.sk/?fn=detailBiblioForm&amp;sid=8474A37DD4CFE7851F568DE929")</f>
        <v>https://app.crepc.sk/?fn=detailBiblioForm&amp;sid=8474A37DD4CFE7851F568DE929</v>
      </c>
    </row>
    <row r="6203" spans="3:5" ht="75" x14ac:dyDescent="0.25">
      <c r="C6203" s="15">
        <v>191646</v>
      </c>
      <c r="D6203" s="4" t="s">
        <v>6207</v>
      </c>
      <c r="E6203" s="4" t="str">
        <f>HYPERLINK("https://app.crepc.sk/?fn=detailBiblioForm&amp;sid=2BD2C66034D627EB7D01C4F76F")</f>
        <v>https://app.crepc.sk/?fn=detailBiblioForm&amp;sid=2BD2C66034D627EB7D01C4F76F</v>
      </c>
    </row>
    <row r="6204" spans="3:5" ht="90" x14ac:dyDescent="0.25">
      <c r="C6204" s="15">
        <v>56810</v>
      </c>
      <c r="D6204" s="4" t="s">
        <v>6208</v>
      </c>
      <c r="E6204" s="4" t="str">
        <f>HYPERLINK("https://app.crepc.sk/?fn=detailBiblioForm&amp;sid=847C032103C44298C9C374CF")</f>
        <v>https://app.crepc.sk/?fn=detailBiblioForm&amp;sid=847C032103C44298C9C374CF</v>
      </c>
    </row>
    <row r="6205" spans="3:5" ht="105" x14ac:dyDescent="0.25">
      <c r="C6205" s="15">
        <v>140607</v>
      </c>
      <c r="D6205" s="4" t="s">
        <v>6209</v>
      </c>
      <c r="E6205" s="4" t="str">
        <f>HYPERLINK("https://app.crepc.sk/?fn=detailBiblioForm&amp;sid=63B76DDB09E75D01423C855B57")</f>
        <v>https://app.crepc.sk/?fn=detailBiblioForm&amp;sid=63B76DDB09E75D01423C855B57</v>
      </c>
    </row>
    <row r="6206" spans="3:5" ht="90" x14ac:dyDescent="0.25">
      <c r="C6206" s="15">
        <v>120964</v>
      </c>
      <c r="D6206" s="4" t="s">
        <v>6210</v>
      </c>
      <c r="E6206" s="4" t="str">
        <f>HYPERLINK("https://app.crepc.sk/?fn=detailBiblioForm&amp;sid=873ABE7B6F49B7A56C4CA3806A")</f>
        <v>https://app.crepc.sk/?fn=detailBiblioForm&amp;sid=873ABE7B6F49B7A56C4CA3806A</v>
      </c>
    </row>
    <row r="6207" spans="3:5" ht="75" x14ac:dyDescent="0.25">
      <c r="C6207" s="15">
        <v>122512</v>
      </c>
      <c r="D6207" s="4" t="s">
        <v>6211</v>
      </c>
      <c r="E6207" s="4" t="str">
        <f>HYPERLINK("https://app.crepc.sk/?fn=detailBiblioForm&amp;sid=6C0594DA955AD34A417DC5FCEF")</f>
        <v>https://app.crepc.sk/?fn=detailBiblioForm&amp;sid=6C0594DA955AD34A417DC5FCEF</v>
      </c>
    </row>
    <row r="6208" spans="3:5" ht="90" x14ac:dyDescent="0.25">
      <c r="C6208" s="15">
        <v>59079</v>
      </c>
      <c r="D6208" s="4" t="s">
        <v>6212</v>
      </c>
      <c r="E6208" s="4" t="str">
        <f>HYPERLINK("https://app.crepc.sk/?fn=detailBiblioForm&amp;sid=BAEBD31AA67B280D921259DF")</f>
        <v>https://app.crepc.sk/?fn=detailBiblioForm&amp;sid=BAEBD31AA67B280D921259DF</v>
      </c>
    </row>
    <row r="6209" spans="3:5" ht="90" x14ac:dyDescent="0.25">
      <c r="C6209" s="15">
        <v>183183</v>
      </c>
      <c r="D6209" s="4" t="s">
        <v>6213</v>
      </c>
      <c r="E6209" s="4" t="str">
        <f>HYPERLINK("https://app.crepc.sk/?fn=detailBiblioForm&amp;sid=38EFE54B98F197D5B310EA12EF")</f>
        <v>https://app.crepc.sk/?fn=detailBiblioForm&amp;sid=38EFE54B98F197D5B310EA12EF</v>
      </c>
    </row>
    <row r="6210" spans="3:5" ht="105" x14ac:dyDescent="0.25">
      <c r="C6210" s="15">
        <v>138441</v>
      </c>
      <c r="D6210" s="4" t="s">
        <v>6214</v>
      </c>
      <c r="E6210" s="4" t="str">
        <f>HYPERLINK("https://app.crepc.sk/?fn=detailBiblioForm&amp;sid=3AF1A6EA9B0020D202DD0DA13A")</f>
        <v>https://app.crepc.sk/?fn=detailBiblioForm&amp;sid=3AF1A6EA9B0020D202DD0DA13A</v>
      </c>
    </row>
    <row r="6211" spans="3:5" ht="90" x14ac:dyDescent="0.25">
      <c r="C6211" s="15">
        <v>59343</v>
      </c>
      <c r="D6211" s="4" t="s">
        <v>6215</v>
      </c>
      <c r="E6211" s="4" t="str">
        <f>HYPERLINK("https://app.crepc.sk/?fn=detailBiblioForm&amp;sid=CBFF5BADE935698AD49999A2")</f>
        <v>https://app.crepc.sk/?fn=detailBiblioForm&amp;sid=CBFF5BADE935698AD49999A2</v>
      </c>
    </row>
    <row r="6212" spans="3:5" ht="75" x14ac:dyDescent="0.25">
      <c r="C6212" s="15">
        <v>148101</v>
      </c>
      <c r="D6212" s="4" t="s">
        <v>6216</v>
      </c>
      <c r="E6212" s="4" t="str">
        <f>HYPERLINK("https://app.crepc.sk/?fn=detailBiblioForm&amp;sid=A513BA47383E377399F0066018")</f>
        <v>https://app.crepc.sk/?fn=detailBiblioForm&amp;sid=A513BA47383E377399F0066018</v>
      </c>
    </row>
    <row r="6213" spans="3:5" ht="120" x14ac:dyDescent="0.25">
      <c r="C6213" s="15">
        <v>310036</v>
      </c>
      <c r="D6213" s="4" t="s">
        <v>6217</v>
      </c>
      <c r="E6213" s="4" t="str">
        <f>HYPERLINK("https://app.crepc.sk/?fn=detailBiblioForm&amp;sid=F566C6E0CB47072BFFE822F69C")</f>
        <v>https://app.crepc.sk/?fn=detailBiblioForm&amp;sid=F566C6E0CB47072BFFE822F69C</v>
      </c>
    </row>
    <row r="6214" spans="3:5" ht="90" x14ac:dyDescent="0.25">
      <c r="C6214" s="15">
        <v>127567</v>
      </c>
      <c r="D6214" s="4" t="s">
        <v>6218</v>
      </c>
      <c r="E6214" s="4" t="str">
        <f>HYPERLINK("https://app.crepc.sk/?fn=detailBiblioForm&amp;sid=DBEBBE2C2F1C2B14A5878ECF74")</f>
        <v>https://app.crepc.sk/?fn=detailBiblioForm&amp;sid=DBEBBE2C2F1C2B14A5878ECF74</v>
      </c>
    </row>
    <row r="6215" spans="3:5" ht="105" x14ac:dyDescent="0.25">
      <c r="C6215" s="15">
        <v>145060</v>
      </c>
      <c r="D6215" s="4" t="s">
        <v>6219</v>
      </c>
      <c r="E6215" s="4" t="str">
        <f>HYPERLINK("https://app.crepc.sk/?fn=detailBiblioForm&amp;sid=A067BA41CFE566E7B3827B2D76")</f>
        <v>https://app.crepc.sk/?fn=detailBiblioForm&amp;sid=A067BA41CFE566E7B3827B2D76</v>
      </c>
    </row>
    <row r="6216" spans="3:5" ht="120" x14ac:dyDescent="0.25">
      <c r="C6216" s="15">
        <v>197103</v>
      </c>
      <c r="D6216" s="4" t="s">
        <v>6220</v>
      </c>
      <c r="E6216" s="4" t="str">
        <f>HYPERLINK("https://app.crepc.sk/?fn=detailBiblioForm&amp;sid=50940FCC7D65E2419BD09A99B7")</f>
        <v>https://app.crepc.sk/?fn=detailBiblioForm&amp;sid=50940FCC7D65E2419BD09A99B7</v>
      </c>
    </row>
    <row r="6217" spans="3:5" ht="90" x14ac:dyDescent="0.25">
      <c r="C6217" s="15">
        <v>155530</v>
      </c>
      <c r="D6217" s="4" t="s">
        <v>6221</v>
      </c>
      <c r="E6217" s="4" t="str">
        <f>HYPERLINK("https://app.crepc.sk/?fn=detailBiblioForm&amp;sid=C5CEB0A71A9E9E69861213A9DA")</f>
        <v>https://app.crepc.sk/?fn=detailBiblioForm&amp;sid=C5CEB0A71A9E9E69861213A9DA</v>
      </c>
    </row>
    <row r="6218" spans="3:5" ht="75" x14ac:dyDescent="0.25">
      <c r="C6218" s="15">
        <v>148121</v>
      </c>
      <c r="D6218" s="4" t="s">
        <v>6222</v>
      </c>
      <c r="E6218" s="4" t="str">
        <f>HYPERLINK("https://app.crepc.sk/?fn=detailBiblioForm&amp;sid=A513BA47383E37739BF0066018")</f>
        <v>https://app.crepc.sk/?fn=detailBiblioForm&amp;sid=A513BA47383E37739BF0066018</v>
      </c>
    </row>
    <row r="6219" spans="3:5" ht="90" x14ac:dyDescent="0.25">
      <c r="C6219" s="15">
        <v>166809</v>
      </c>
      <c r="D6219" s="4" t="s">
        <v>6223</v>
      </c>
      <c r="E6219" s="4" t="str">
        <f>HYPERLINK("https://app.crepc.sk/?fn=detailBiblioForm&amp;sid=8E0A01F6D74C9FCBCE41860839")</f>
        <v>https://app.crepc.sk/?fn=detailBiblioForm&amp;sid=8E0A01F6D74C9FCBCE41860839</v>
      </c>
    </row>
    <row r="6220" spans="3:5" ht="90" x14ac:dyDescent="0.25">
      <c r="C6220" s="15">
        <v>310892</v>
      </c>
      <c r="D6220" s="4" t="s">
        <v>6224</v>
      </c>
      <c r="E6220" s="4" t="str">
        <f>HYPERLINK("https://app.crepc.sk/?fn=detailBiblioForm&amp;sid=AD34DD3FE2DEE04E7AFD563787")</f>
        <v>https://app.crepc.sk/?fn=detailBiblioForm&amp;sid=AD34DD3FE2DEE04E7AFD563787</v>
      </c>
    </row>
    <row r="6221" spans="3:5" ht="105" x14ac:dyDescent="0.25">
      <c r="C6221" s="15">
        <v>138430</v>
      </c>
      <c r="D6221" s="4" t="s">
        <v>6225</v>
      </c>
      <c r="E6221" s="4" t="str">
        <f>HYPERLINK("https://app.crepc.sk/?fn=detailBiblioForm&amp;sid=3AF1A6EA9B0020D205DC0DA13A")</f>
        <v>https://app.crepc.sk/?fn=detailBiblioForm&amp;sid=3AF1A6EA9B0020D205DC0DA13A</v>
      </c>
    </row>
    <row r="6222" spans="3:5" ht="90" x14ac:dyDescent="0.25">
      <c r="C6222" s="15">
        <v>84856</v>
      </c>
      <c r="D6222" s="4" t="s">
        <v>6226</v>
      </c>
      <c r="E6222" s="4" t="str">
        <f>HYPERLINK("https://app.crepc.sk/?fn=detailBiblioForm&amp;sid=51F485D30AAD6093236C3779")</f>
        <v>https://app.crepc.sk/?fn=detailBiblioForm&amp;sid=51F485D30AAD6093236C3779</v>
      </c>
    </row>
    <row r="6223" spans="3:5" ht="105" x14ac:dyDescent="0.25">
      <c r="C6223" s="15">
        <v>59026</v>
      </c>
      <c r="D6223" s="4" t="s">
        <v>6227</v>
      </c>
      <c r="E6223" s="4" t="str">
        <f>HYPERLINK("https://app.crepc.sk/?fn=detailBiblioForm&amp;sid=10E9BC5EEB995468F8C47B3A")</f>
        <v>https://app.crepc.sk/?fn=detailBiblioForm&amp;sid=10E9BC5EEB995468F8C47B3A</v>
      </c>
    </row>
    <row r="6224" spans="3:5" ht="105" x14ac:dyDescent="0.25">
      <c r="C6224" s="15">
        <v>218389</v>
      </c>
      <c r="D6224" s="4" t="s">
        <v>6228</v>
      </c>
      <c r="E6224" s="4" t="str">
        <f>HYPERLINK("https://app.crepc.sk/?fn=detailBiblioForm&amp;sid=720B017E8D72D19895A95B079E")</f>
        <v>https://app.crepc.sk/?fn=detailBiblioForm&amp;sid=720B017E8D72D19895A95B079E</v>
      </c>
    </row>
    <row r="6225" spans="3:5" ht="90" x14ac:dyDescent="0.25">
      <c r="C6225" s="15">
        <v>310158</v>
      </c>
      <c r="D6225" s="4" t="s">
        <v>6229</v>
      </c>
      <c r="E6225" s="4" t="str">
        <f>HYPERLINK("https://app.crepc.sk/?fn=detailBiblioForm&amp;sid=E9F63DECD21F072F8C4DFE53D1")</f>
        <v>https://app.crepc.sk/?fn=detailBiblioForm&amp;sid=E9F63DECD21F072F8C4DFE53D1</v>
      </c>
    </row>
    <row r="6226" spans="3:5" ht="90" x14ac:dyDescent="0.25">
      <c r="C6226" s="15">
        <v>178743</v>
      </c>
      <c r="D6226" s="4" t="s">
        <v>6230</v>
      </c>
      <c r="E6226" s="4" t="str">
        <f>HYPERLINK("https://app.crepc.sk/?fn=detailBiblioForm&amp;sid=32866E47BC3455BDB0F216D8BD")</f>
        <v>https://app.crepc.sk/?fn=detailBiblioForm&amp;sid=32866E47BC3455BDB0F216D8BD</v>
      </c>
    </row>
    <row r="6227" spans="3:5" ht="105" x14ac:dyDescent="0.25">
      <c r="C6227" s="15">
        <v>424725</v>
      </c>
      <c r="D6227" s="4" t="s">
        <v>6231</v>
      </c>
      <c r="E6227" s="4" t="str">
        <f>HYPERLINK("https://app.crepc.sk/?fn=detailBiblioForm&amp;sid=43F9B6408AF690528F452D677C")</f>
        <v>https://app.crepc.sk/?fn=detailBiblioForm&amp;sid=43F9B6408AF690528F452D677C</v>
      </c>
    </row>
    <row r="6228" spans="3:5" ht="75" x14ac:dyDescent="0.25">
      <c r="C6228" s="15">
        <v>82935</v>
      </c>
      <c r="D6228" s="4" t="s">
        <v>6232</v>
      </c>
      <c r="E6228" s="4" t="str">
        <f>HYPERLINK("https://app.crepc.sk/?fn=detailBiblioForm&amp;sid=CA79548F26BCCA1708E94D0F")</f>
        <v>https://app.crepc.sk/?fn=detailBiblioForm&amp;sid=CA79548F26BCCA1708E94D0F</v>
      </c>
    </row>
    <row r="6229" spans="3:5" ht="75" x14ac:dyDescent="0.25">
      <c r="C6229" s="15">
        <v>114910</v>
      </c>
      <c r="D6229" s="4" t="s">
        <v>6233</v>
      </c>
      <c r="E6229" s="4" t="str">
        <f>HYPERLINK("https://app.crepc.sk/?fn=detailBiblioForm&amp;sid=E52557BEC79C1752D6B3186CCD")</f>
        <v>https://app.crepc.sk/?fn=detailBiblioForm&amp;sid=E52557BEC79C1752D6B3186CCD</v>
      </c>
    </row>
    <row r="6230" spans="3:5" ht="90" x14ac:dyDescent="0.25">
      <c r="C6230" s="15">
        <v>60677</v>
      </c>
      <c r="D6230" s="4" t="s">
        <v>6234</v>
      </c>
      <c r="E6230" s="4" t="str">
        <f>HYPERLINK("https://app.crepc.sk/?fn=detailBiblioForm&amp;sid=CED4C9076F172FE91BB8BB88")</f>
        <v>https://app.crepc.sk/?fn=detailBiblioForm&amp;sid=CED4C9076F172FE91BB8BB88</v>
      </c>
    </row>
    <row r="6231" spans="3:5" ht="90" x14ac:dyDescent="0.25">
      <c r="C6231" s="15">
        <v>155534</v>
      </c>
      <c r="D6231" s="4" t="s">
        <v>6235</v>
      </c>
      <c r="E6231" s="4" t="str">
        <f>HYPERLINK("https://app.crepc.sk/?fn=detailBiblioForm&amp;sid=C5CEB0A71A9E9E69861613A9DA")</f>
        <v>https://app.crepc.sk/?fn=detailBiblioForm&amp;sid=C5CEB0A71A9E9E69861613A9DA</v>
      </c>
    </row>
    <row r="6232" spans="3:5" ht="75" x14ac:dyDescent="0.25">
      <c r="C6232" s="15">
        <v>219497</v>
      </c>
      <c r="D6232" s="4" t="s">
        <v>6236</v>
      </c>
      <c r="E6232" s="4" t="str">
        <f>HYPERLINK("https://app.crepc.sk/?fn=detailBiblioForm&amp;sid=8474A37DD4CFE7851F528DE929")</f>
        <v>https://app.crepc.sk/?fn=detailBiblioForm&amp;sid=8474A37DD4CFE7851F528DE929</v>
      </c>
    </row>
    <row r="6233" spans="3:5" ht="90" x14ac:dyDescent="0.25">
      <c r="C6233" s="15">
        <v>140144</v>
      </c>
      <c r="D6233" s="4" t="s">
        <v>6237</v>
      </c>
      <c r="E6233" s="4" t="str">
        <f>HYPERLINK("https://app.crepc.sk/?fn=detailBiblioForm&amp;sid=17899838D38E4BD1521BEAAA4C")</f>
        <v>https://app.crepc.sk/?fn=detailBiblioForm&amp;sid=17899838D38E4BD1521BEAAA4C</v>
      </c>
    </row>
    <row r="6234" spans="3:5" ht="75" x14ac:dyDescent="0.25">
      <c r="C6234" s="15">
        <v>240729</v>
      </c>
      <c r="D6234" s="4" t="s">
        <v>6238</v>
      </c>
      <c r="E6234" s="4" t="str">
        <f>HYPERLINK("https://app.crepc.sk/?fn=detailBiblioForm&amp;sid=B5C4CE62DFD1802A832BA31AF2")</f>
        <v>https://app.crepc.sk/?fn=detailBiblioForm&amp;sid=B5C4CE62DFD1802A832BA31AF2</v>
      </c>
    </row>
    <row r="6235" spans="3:5" ht="75" x14ac:dyDescent="0.25">
      <c r="C6235" s="15">
        <v>79464</v>
      </c>
      <c r="D6235" s="4" t="s">
        <v>6239</v>
      </c>
      <c r="E6235" s="4" t="str">
        <f>HYPERLINK("https://app.crepc.sk/?fn=detailBiblioForm&amp;sid=F4000B2892B01738E0589370")</f>
        <v>https://app.crepc.sk/?fn=detailBiblioForm&amp;sid=F4000B2892B01738E0589370</v>
      </c>
    </row>
    <row r="6236" spans="3:5" ht="75" x14ac:dyDescent="0.25">
      <c r="C6236" s="15">
        <v>219494</v>
      </c>
      <c r="D6236" s="4" t="s">
        <v>6240</v>
      </c>
      <c r="E6236" s="4" t="str">
        <f>HYPERLINK("https://app.crepc.sk/?fn=detailBiblioForm&amp;sid=8474A37DD4CFE7851F518DE929")</f>
        <v>https://app.crepc.sk/?fn=detailBiblioForm&amp;sid=8474A37DD4CFE7851F518DE929</v>
      </c>
    </row>
    <row r="6237" spans="3:5" ht="105" x14ac:dyDescent="0.25">
      <c r="C6237" s="15">
        <v>85749</v>
      </c>
      <c r="D6237" s="4" t="s">
        <v>6241</v>
      </c>
      <c r="E6237" s="4" t="str">
        <f>HYPERLINK("https://app.crepc.sk/?fn=detailBiblioForm&amp;sid=DA020F6A872F6ACA3476CEA3")</f>
        <v>https://app.crepc.sk/?fn=detailBiblioForm&amp;sid=DA020F6A872F6ACA3476CEA3</v>
      </c>
    </row>
    <row r="6238" spans="3:5" ht="90" x14ac:dyDescent="0.25">
      <c r="C6238" s="15">
        <v>56655</v>
      </c>
      <c r="D6238" s="4" t="s">
        <v>6242</v>
      </c>
      <c r="E6238" s="4" t="str">
        <f>HYPERLINK("https://app.crepc.sk/?fn=detailBiblioForm&amp;sid=BC9BB0C185BD75DF2D5D0903")</f>
        <v>https://app.crepc.sk/?fn=detailBiblioForm&amp;sid=BC9BB0C185BD75DF2D5D0903</v>
      </c>
    </row>
    <row r="6239" spans="3:5" ht="90" x14ac:dyDescent="0.25">
      <c r="C6239" s="15">
        <v>139575</v>
      </c>
      <c r="D6239" s="4" t="s">
        <v>6243</v>
      </c>
      <c r="E6239" s="4" t="str">
        <f>HYPERLINK("https://app.crepc.sk/?fn=detailBiblioForm&amp;sid=2753E74A420B011D75D212E075")</f>
        <v>https://app.crepc.sk/?fn=detailBiblioForm&amp;sid=2753E74A420B011D75D212E075</v>
      </c>
    </row>
    <row r="6240" spans="3:5" ht="90" x14ac:dyDescent="0.25">
      <c r="C6240" s="15">
        <v>161674</v>
      </c>
      <c r="D6240" s="4" t="s">
        <v>6244</v>
      </c>
      <c r="E6240" s="4" t="str">
        <f>HYPERLINK("https://app.crepc.sk/?fn=detailBiblioForm&amp;sid=1D69B1A76ABEB527B76ABB2E6D")</f>
        <v>https://app.crepc.sk/?fn=detailBiblioForm&amp;sid=1D69B1A76ABEB527B76ABB2E6D</v>
      </c>
    </row>
    <row r="6241" spans="3:5" ht="75" x14ac:dyDescent="0.25">
      <c r="C6241" s="15">
        <v>122490</v>
      </c>
      <c r="D6241" s="4" t="s">
        <v>6245</v>
      </c>
      <c r="E6241" s="4" t="str">
        <f>HYPERLINK("https://app.crepc.sk/?fn=detailBiblioForm&amp;sid=BA98F1178B40464E5CE6C111D8")</f>
        <v>https://app.crepc.sk/?fn=detailBiblioForm&amp;sid=BA98F1178B40464E5CE6C111D8</v>
      </c>
    </row>
    <row r="6242" spans="3:5" ht="105" x14ac:dyDescent="0.25">
      <c r="C6242" s="15">
        <v>131998</v>
      </c>
      <c r="D6242" s="4" t="s">
        <v>6246</v>
      </c>
      <c r="E6242" s="4" t="str">
        <f>HYPERLINK("https://app.crepc.sk/?fn=detailBiblioForm&amp;sid=0202559EFCC7E8BF18ACBC9722")</f>
        <v>https://app.crepc.sk/?fn=detailBiblioForm&amp;sid=0202559EFCC7E8BF18ACBC9722</v>
      </c>
    </row>
    <row r="6243" spans="3:5" ht="105" x14ac:dyDescent="0.25">
      <c r="C6243" s="15">
        <v>434258</v>
      </c>
      <c r="D6243" s="4" t="s">
        <v>6247</v>
      </c>
      <c r="E6243" s="4" t="str">
        <f>HYPERLINK("https://app.crepc.sk/?fn=detailBiblioForm&amp;sid=2BEE0F4350026A7C8B456374D6")</f>
        <v>https://app.crepc.sk/?fn=detailBiblioForm&amp;sid=2BEE0F4350026A7C8B456374D6</v>
      </c>
    </row>
    <row r="6244" spans="3:5" ht="90" x14ac:dyDescent="0.25">
      <c r="C6244" s="15">
        <v>148673</v>
      </c>
      <c r="D6244" s="4" t="s">
        <v>6248</v>
      </c>
      <c r="E6244" s="4" t="str">
        <f>HYPERLINK("https://app.crepc.sk/?fn=detailBiblioForm&amp;sid=12C8EC1657C182290C856A8174")</f>
        <v>https://app.crepc.sk/?fn=detailBiblioForm&amp;sid=12C8EC1657C182290C856A8174</v>
      </c>
    </row>
    <row r="6245" spans="3:5" ht="105" x14ac:dyDescent="0.25">
      <c r="C6245" s="15">
        <v>204390</v>
      </c>
      <c r="D6245" s="4" t="s">
        <v>6249</v>
      </c>
      <c r="E6245" s="4" t="str">
        <f>HYPERLINK("https://app.crepc.sk/?fn=detailBiblioForm&amp;sid=8E201614D5D231968B60729F83")</f>
        <v>https://app.crepc.sk/?fn=detailBiblioForm&amp;sid=8E201614D5D231968B60729F83</v>
      </c>
    </row>
    <row r="6246" spans="3:5" ht="105" x14ac:dyDescent="0.25">
      <c r="C6246" s="15">
        <v>204367</v>
      </c>
      <c r="D6246" s="4" t="s">
        <v>6250</v>
      </c>
      <c r="E6246" s="4" t="str">
        <f>HYPERLINK("https://app.crepc.sk/?fn=detailBiblioForm&amp;sid=8E201614D5D231968467729F83")</f>
        <v>https://app.crepc.sk/?fn=detailBiblioForm&amp;sid=8E201614D5D231968467729F83</v>
      </c>
    </row>
    <row r="6247" spans="3:5" ht="105" x14ac:dyDescent="0.25">
      <c r="C6247" s="15">
        <v>57270</v>
      </c>
      <c r="D6247" s="4" t="s">
        <v>6251</v>
      </c>
      <c r="E6247" s="4" t="str">
        <f>HYPERLINK("https://app.crepc.sk/?fn=detailBiblioForm&amp;sid=1601040EFD2ADB2050ADC187")</f>
        <v>https://app.crepc.sk/?fn=detailBiblioForm&amp;sid=1601040EFD2ADB2050ADC187</v>
      </c>
    </row>
    <row r="6248" spans="3:5" ht="75" x14ac:dyDescent="0.25">
      <c r="C6248" s="15">
        <v>115372</v>
      </c>
      <c r="D6248" s="4" t="s">
        <v>6252</v>
      </c>
      <c r="E6248" s="4" t="str">
        <f>HYPERLINK("https://app.crepc.sk/?fn=detailBiblioForm&amp;sid=8C29D0037FD6DED9F78532D43D")</f>
        <v>https://app.crepc.sk/?fn=detailBiblioForm&amp;sid=8C29D0037FD6DED9F78532D43D</v>
      </c>
    </row>
    <row r="6249" spans="3:5" ht="75" x14ac:dyDescent="0.25">
      <c r="C6249" s="15">
        <v>202536</v>
      </c>
      <c r="D6249" s="4" t="s">
        <v>6253</v>
      </c>
      <c r="E6249" s="4" t="str">
        <f>HYPERLINK("https://app.crepc.sk/?fn=detailBiblioForm&amp;sid=3036734F2764D6FCC633D36630")</f>
        <v>https://app.crepc.sk/?fn=detailBiblioForm&amp;sid=3036734F2764D6FCC633D36630</v>
      </c>
    </row>
    <row r="6250" spans="3:5" ht="105" x14ac:dyDescent="0.25">
      <c r="C6250" s="15">
        <v>204384</v>
      </c>
      <c r="D6250" s="4" t="s">
        <v>6254</v>
      </c>
      <c r="E6250" s="4" t="str">
        <f>HYPERLINK("https://app.crepc.sk/?fn=detailBiblioForm&amp;sid=8E201614D5D231968A64729F83")</f>
        <v>https://app.crepc.sk/?fn=detailBiblioForm&amp;sid=8E201614D5D231968A64729F83</v>
      </c>
    </row>
    <row r="6251" spans="3:5" ht="105" x14ac:dyDescent="0.25">
      <c r="C6251" s="15">
        <v>204387</v>
      </c>
      <c r="D6251" s="4" t="s">
        <v>6255</v>
      </c>
      <c r="E6251" s="4" t="str">
        <f>HYPERLINK("https://app.crepc.sk/?fn=detailBiblioForm&amp;sid=8E201614D5D231968A67729F83")</f>
        <v>https://app.crepc.sk/?fn=detailBiblioForm&amp;sid=8E201614D5D231968A67729F83</v>
      </c>
    </row>
    <row r="6252" spans="3:5" ht="90" x14ac:dyDescent="0.25">
      <c r="C6252" s="15">
        <v>151012</v>
      </c>
      <c r="D6252" s="4" t="s">
        <v>6256</v>
      </c>
      <c r="E6252" s="4" t="str">
        <f>HYPERLINK("https://app.crepc.sk/?fn=detailBiblioForm&amp;sid=CF8918690100D9B326090B4BDB")</f>
        <v>https://app.crepc.sk/?fn=detailBiblioForm&amp;sid=CF8918690100D9B326090B4BDB</v>
      </c>
    </row>
    <row r="6253" spans="3:5" ht="75" x14ac:dyDescent="0.25">
      <c r="C6253" s="15">
        <v>115534</v>
      </c>
      <c r="D6253" s="4" t="s">
        <v>6257</v>
      </c>
      <c r="E6253" s="4" t="str">
        <f>HYPERLINK("https://app.crepc.sk/?fn=detailBiblioForm&amp;sid=1BA59A9E340A94C04C3448CB50")</f>
        <v>https://app.crepc.sk/?fn=detailBiblioForm&amp;sid=1BA59A9E340A94C04C3448CB50</v>
      </c>
    </row>
    <row r="6254" spans="3:5" ht="105" x14ac:dyDescent="0.25">
      <c r="C6254" s="15">
        <v>85253</v>
      </c>
      <c r="D6254" s="4" t="s">
        <v>6258</v>
      </c>
      <c r="E6254" s="4" t="str">
        <f>HYPERLINK("https://app.crepc.sk/?fn=detailBiblioForm&amp;sid=93100AC43EB6CB973F383171")</f>
        <v>https://app.crepc.sk/?fn=detailBiblioForm&amp;sid=93100AC43EB6CB973F383171</v>
      </c>
    </row>
    <row r="6255" spans="3:5" ht="120" x14ac:dyDescent="0.25">
      <c r="C6255" s="15">
        <v>448227</v>
      </c>
      <c r="D6255" s="4" t="s">
        <v>6259</v>
      </c>
      <c r="E6255" s="4" t="str">
        <f>HYPERLINK("https://app.crepc.sk/?fn=detailBiblioForm&amp;sid=5BE501D611F83A9AA89B67DA3F")</f>
        <v>https://app.crepc.sk/?fn=detailBiblioForm&amp;sid=5BE501D611F83A9AA89B67DA3F</v>
      </c>
    </row>
    <row r="6256" spans="3:5" ht="90" x14ac:dyDescent="0.25">
      <c r="C6256" s="15">
        <v>127656</v>
      </c>
      <c r="D6256" s="4" t="s">
        <v>6260</v>
      </c>
      <c r="E6256" s="4" t="str">
        <f>HYPERLINK("https://app.crepc.sk/?fn=detailBiblioForm&amp;sid=A61021784F381E68C209E78699")</f>
        <v>https://app.crepc.sk/?fn=detailBiblioForm&amp;sid=A61021784F381E68C209E78699</v>
      </c>
    </row>
    <row r="6257" spans="3:5" ht="90" x14ac:dyDescent="0.25">
      <c r="C6257" s="15">
        <v>87932</v>
      </c>
      <c r="D6257" s="4" t="s">
        <v>6261</v>
      </c>
      <c r="E6257" s="4" t="str">
        <f>HYPERLINK("https://app.crepc.sk/?fn=detailBiblioForm&amp;sid=EF0688F41A47105B77616B49")</f>
        <v>https://app.crepc.sk/?fn=detailBiblioForm&amp;sid=EF0688F41A47105B77616B49</v>
      </c>
    </row>
    <row r="6258" spans="3:5" ht="75" x14ac:dyDescent="0.25">
      <c r="C6258" s="15">
        <v>55173</v>
      </c>
      <c r="D6258" s="4" t="s">
        <v>6262</v>
      </c>
      <c r="E6258" s="4" t="str">
        <f>HYPERLINK("https://app.crepc.sk/?fn=detailBiblioForm&amp;sid=0089DD498B2B646CC421F40D")</f>
        <v>https://app.crepc.sk/?fn=detailBiblioForm&amp;sid=0089DD498B2B646CC421F40D</v>
      </c>
    </row>
    <row r="6259" spans="3:5" ht="90" x14ac:dyDescent="0.25">
      <c r="C6259" s="15">
        <v>147315</v>
      </c>
      <c r="D6259" s="4" t="s">
        <v>6263</v>
      </c>
      <c r="E6259" s="4" t="str">
        <f>HYPERLINK("https://app.crepc.sk/?fn=detailBiblioForm&amp;sid=B0ECE52FE577B8B950CE0BFF73")</f>
        <v>https://app.crepc.sk/?fn=detailBiblioForm&amp;sid=B0ECE52FE577B8B950CE0BFF73</v>
      </c>
    </row>
    <row r="6260" spans="3:5" ht="75" x14ac:dyDescent="0.25">
      <c r="C6260" s="15">
        <v>193351</v>
      </c>
      <c r="D6260" s="4" t="s">
        <v>6264</v>
      </c>
      <c r="E6260" s="4" t="str">
        <f>HYPERLINK("https://app.crepc.sk/?fn=detailBiblioForm&amp;sid=62C9246E761951300648EE17EE")</f>
        <v>https://app.crepc.sk/?fn=detailBiblioForm&amp;sid=62C9246E761951300648EE17EE</v>
      </c>
    </row>
    <row r="6261" spans="3:5" ht="90" x14ac:dyDescent="0.25">
      <c r="C6261" s="15">
        <v>59044</v>
      </c>
      <c r="D6261" s="4" t="s">
        <v>6265</v>
      </c>
      <c r="E6261" s="4" t="str">
        <f>HYPERLINK("https://app.crepc.sk/?fn=detailBiblioForm&amp;sid=8FDB8D517B62C0DD96BD96C7")</f>
        <v>https://app.crepc.sk/?fn=detailBiblioForm&amp;sid=8FDB8D517B62C0DD96BD96C7</v>
      </c>
    </row>
    <row r="6262" spans="3:5" ht="75" x14ac:dyDescent="0.25">
      <c r="C6262" s="15">
        <v>105440</v>
      </c>
      <c r="D6262" s="4" t="s">
        <v>6266</v>
      </c>
      <c r="E6262" s="4" t="str">
        <f>HYPERLINK("https://app.crepc.sk/?fn=detailBiblioForm&amp;sid=C9F2ED9DAFACD725E16530F024")</f>
        <v>https://app.crepc.sk/?fn=detailBiblioForm&amp;sid=C9F2ED9DAFACD725E16530F024</v>
      </c>
    </row>
    <row r="6263" spans="3:5" ht="90" x14ac:dyDescent="0.25">
      <c r="C6263" s="15">
        <v>56619</v>
      </c>
      <c r="D6263" s="4" t="s">
        <v>6267</v>
      </c>
      <c r="E6263" s="4" t="str">
        <f>HYPERLINK("https://app.crepc.sk/?fn=detailBiblioForm&amp;sid=CD9AB9F5FA5EE2F676624025")</f>
        <v>https://app.crepc.sk/?fn=detailBiblioForm&amp;sid=CD9AB9F5FA5EE2F676624025</v>
      </c>
    </row>
    <row r="6264" spans="3:5" ht="90" x14ac:dyDescent="0.25">
      <c r="C6264" s="15">
        <v>58485</v>
      </c>
      <c r="D6264" s="4" t="s">
        <v>6268</v>
      </c>
      <c r="E6264" s="4" t="str">
        <f>HYPERLINK("https://app.crepc.sk/?fn=detailBiblioForm&amp;sid=49D47289FE31BF1060EB3456")</f>
        <v>https://app.crepc.sk/?fn=detailBiblioForm&amp;sid=49D47289FE31BF1060EB3456</v>
      </c>
    </row>
    <row r="6265" spans="3:5" ht="75" x14ac:dyDescent="0.25">
      <c r="C6265" s="15">
        <v>193061</v>
      </c>
      <c r="D6265" s="4" t="s">
        <v>6269</v>
      </c>
      <c r="E6265" s="4" t="str">
        <f>HYPERLINK("https://app.crepc.sk/?fn=detailBiblioForm&amp;sid=574F2F10DB8DFA9B733BA06CC1")</f>
        <v>https://app.crepc.sk/?fn=detailBiblioForm&amp;sid=574F2F10DB8DFA9B733BA06CC1</v>
      </c>
    </row>
    <row r="6266" spans="3:5" ht="90" x14ac:dyDescent="0.25">
      <c r="C6266" s="15">
        <v>86515</v>
      </c>
      <c r="D6266" s="4" t="s">
        <v>6270</v>
      </c>
      <c r="E6266" s="4" t="str">
        <f>HYPERLINK("https://app.crepc.sk/?fn=detailBiblioForm&amp;sid=5F1651DA6F56D90E7144619C")</f>
        <v>https://app.crepc.sk/?fn=detailBiblioForm&amp;sid=5F1651DA6F56D90E7144619C</v>
      </c>
    </row>
    <row r="6267" spans="3:5" ht="75" x14ac:dyDescent="0.25">
      <c r="C6267" s="15">
        <v>84954</v>
      </c>
      <c r="D6267" s="4" t="s">
        <v>6271</v>
      </c>
      <c r="E6267" s="4" t="str">
        <f>HYPERLINK("https://app.crepc.sk/?fn=detailBiblioForm&amp;sid=A853A51B5C8D29BC559E9F7C")</f>
        <v>https://app.crepc.sk/?fn=detailBiblioForm&amp;sid=A853A51B5C8D29BC559E9F7C</v>
      </c>
    </row>
    <row r="6268" spans="3:5" ht="90" x14ac:dyDescent="0.25">
      <c r="C6268" s="15">
        <v>134795</v>
      </c>
      <c r="D6268" s="4" t="s">
        <v>6272</v>
      </c>
      <c r="E6268" s="4" t="str">
        <f>HYPERLINK("https://app.crepc.sk/?fn=detailBiblioForm&amp;sid=30B1ADDF6CEA0E22BD5BBE07DF")</f>
        <v>https://app.crepc.sk/?fn=detailBiblioForm&amp;sid=30B1ADDF6CEA0E22BD5BBE07DF</v>
      </c>
    </row>
    <row r="6269" spans="3:5" ht="75" x14ac:dyDescent="0.25">
      <c r="C6269" s="15">
        <v>167503</v>
      </c>
      <c r="D6269" s="4" t="s">
        <v>6273</v>
      </c>
      <c r="E6269" s="4" t="str">
        <f>HYPERLINK("https://app.crepc.sk/?fn=detailBiblioForm&amp;sid=13B4E46DA990E2A2325E4F501F")</f>
        <v>https://app.crepc.sk/?fn=detailBiblioForm&amp;sid=13B4E46DA990E2A2325E4F501F</v>
      </c>
    </row>
    <row r="6270" spans="3:5" ht="90" x14ac:dyDescent="0.25">
      <c r="C6270" s="15">
        <v>310915</v>
      </c>
      <c r="D6270" s="4" t="s">
        <v>6274</v>
      </c>
      <c r="E6270" s="4" t="str">
        <f>HYPERLINK("https://app.crepc.sk/?fn=detailBiblioForm&amp;sid=BA7DB3FBE0F90E42C7BD035470")</f>
        <v>https://app.crepc.sk/?fn=detailBiblioForm&amp;sid=BA7DB3FBE0F90E42C7BD035470</v>
      </c>
    </row>
    <row r="6271" spans="3:5" ht="105" x14ac:dyDescent="0.25">
      <c r="C6271" s="15">
        <v>182540</v>
      </c>
      <c r="D6271" s="4" t="s">
        <v>6275</v>
      </c>
      <c r="E6271" s="4" t="str">
        <f>HYPERLINK("https://app.crepc.sk/?fn=detailBiblioForm&amp;sid=CC8450CBF10FC669857E97D74A")</f>
        <v>https://app.crepc.sk/?fn=detailBiblioForm&amp;sid=CC8450CBF10FC669857E97D74A</v>
      </c>
    </row>
    <row r="6272" spans="3:5" ht="90" x14ac:dyDescent="0.25">
      <c r="C6272" s="15">
        <v>310912</v>
      </c>
      <c r="D6272" s="4" t="s">
        <v>6276</v>
      </c>
      <c r="E6272" s="4" t="str">
        <f>HYPERLINK("https://app.crepc.sk/?fn=detailBiblioForm&amp;sid=BA7DB3FBE0F90E42C7BA035470")</f>
        <v>https://app.crepc.sk/?fn=detailBiblioForm&amp;sid=BA7DB3FBE0F90E42C7BA035470</v>
      </c>
    </row>
    <row r="6273" spans="3:5" ht="75" x14ac:dyDescent="0.25">
      <c r="C6273" s="15">
        <v>253514</v>
      </c>
      <c r="D6273" s="4" t="s">
        <v>6277</v>
      </c>
      <c r="E6273" s="4" t="str">
        <f>HYPERLINK("https://app.crepc.sk/?fn=detailBiblioForm&amp;sid=CEF2DEE1832EFB79ABBC6939C9")</f>
        <v>https://app.crepc.sk/?fn=detailBiblioForm&amp;sid=CEF2DEE1832EFB79ABBC6939C9</v>
      </c>
    </row>
    <row r="6274" spans="3:5" ht="90" x14ac:dyDescent="0.25">
      <c r="C6274" s="15">
        <v>58194</v>
      </c>
      <c r="D6274" s="4" t="s">
        <v>6278</v>
      </c>
      <c r="E6274" s="4" t="str">
        <f>HYPERLINK("https://app.crepc.sk/?fn=detailBiblioForm&amp;sid=60CE7F7ED8C5BA0D04578543")</f>
        <v>https://app.crepc.sk/?fn=detailBiblioForm&amp;sid=60CE7F7ED8C5BA0D04578543</v>
      </c>
    </row>
    <row r="6275" spans="3:5" ht="75" x14ac:dyDescent="0.25">
      <c r="C6275" s="15">
        <v>223163</v>
      </c>
      <c r="D6275" s="4" t="s">
        <v>6279</v>
      </c>
      <c r="E6275" s="4" t="str">
        <f>HYPERLINK("https://app.crepc.sk/?fn=detailBiblioForm&amp;sid=3CCA95DFCBDFD550326DFB1A00")</f>
        <v>https://app.crepc.sk/?fn=detailBiblioForm&amp;sid=3CCA95DFCBDFD550326DFB1A00</v>
      </c>
    </row>
    <row r="6276" spans="3:5" ht="90" x14ac:dyDescent="0.25">
      <c r="C6276" s="15">
        <v>59081</v>
      </c>
      <c r="D6276" s="4" t="s">
        <v>6280</v>
      </c>
      <c r="E6276" s="4" t="str">
        <f>HYPERLINK("https://app.crepc.sk/?fn=detailBiblioForm&amp;sid=E8C426D7FE435BB56E4CCA3C")</f>
        <v>https://app.crepc.sk/?fn=detailBiblioForm&amp;sid=E8C426D7FE435BB56E4CCA3C</v>
      </c>
    </row>
    <row r="6277" spans="3:5" ht="105" x14ac:dyDescent="0.25">
      <c r="C6277" s="15">
        <v>91527</v>
      </c>
      <c r="D6277" s="4" t="s">
        <v>6281</v>
      </c>
      <c r="E6277" s="4" t="str">
        <f>HYPERLINK("https://app.crepc.sk/?fn=detailBiblioForm&amp;sid=EFA25887E3AD2AADA3FEFC42")</f>
        <v>https://app.crepc.sk/?fn=detailBiblioForm&amp;sid=EFA25887E3AD2AADA3FEFC42</v>
      </c>
    </row>
    <row r="6278" spans="3:5" ht="75" x14ac:dyDescent="0.25">
      <c r="C6278" s="15">
        <v>78679</v>
      </c>
      <c r="D6278" s="4" t="s">
        <v>6282</v>
      </c>
      <c r="E6278" s="4" t="str">
        <f>HYPERLINK("https://app.crepc.sk/?fn=detailBiblioForm&amp;sid=1A12600E67EB071811782F73")</f>
        <v>https://app.crepc.sk/?fn=detailBiblioForm&amp;sid=1A12600E67EB071811782F73</v>
      </c>
    </row>
    <row r="6279" spans="3:5" ht="105" x14ac:dyDescent="0.25">
      <c r="C6279" s="15">
        <v>121683</v>
      </c>
      <c r="D6279" s="4" t="s">
        <v>6283</v>
      </c>
      <c r="E6279" s="4" t="str">
        <f>HYPERLINK("https://app.crepc.sk/?fn=detailBiblioForm&amp;sid=9E0AC4D4538162957D007E0B88")</f>
        <v>https://app.crepc.sk/?fn=detailBiblioForm&amp;sid=9E0AC4D4538162957D007E0B88</v>
      </c>
    </row>
    <row r="6280" spans="3:5" ht="90" x14ac:dyDescent="0.25">
      <c r="C6280" s="15">
        <v>123217</v>
      </c>
      <c r="D6280" s="4" t="s">
        <v>6284</v>
      </c>
      <c r="E6280" s="4" t="str">
        <f>HYPERLINK("https://app.crepc.sk/?fn=detailBiblioForm&amp;sid=84A6561E00D8E3617D2CA633F8")</f>
        <v>https://app.crepc.sk/?fn=detailBiblioForm&amp;sid=84A6561E00D8E3617D2CA633F8</v>
      </c>
    </row>
    <row r="6281" spans="3:5" ht="75" x14ac:dyDescent="0.25">
      <c r="C6281" s="15">
        <v>105649</v>
      </c>
      <c r="D6281" s="4" t="s">
        <v>6285</v>
      </c>
      <c r="E6281" s="4" t="str">
        <f>HYPERLINK("https://app.crepc.sk/?fn=detailBiblioForm&amp;sid=FD881BC05B1F2F7E405E6C9F59")</f>
        <v>https://app.crepc.sk/?fn=detailBiblioForm&amp;sid=FD881BC05B1F2F7E405E6C9F59</v>
      </c>
    </row>
    <row r="6282" spans="3:5" ht="90" x14ac:dyDescent="0.25">
      <c r="C6282" s="15">
        <v>120395</v>
      </c>
      <c r="D6282" s="4" t="s">
        <v>6286</v>
      </c>
      <c r="E6282" s="4" t="str">
        <f>HYPERLINK("https://app.crepc.sk/?fn=detailBiblioForm&amp;sid=7C8EC80C674BD33D4DA86DBADF")</f>
        <v>https://app.crepc.sk/?fn=detailBiblioForm&amp;sid=7C8EC80C674BD33D4DA86DBADF</v>
      </c>
    </row>
    <row r="6283" spans="3:5" ht="90" x14ac:dyDescent="0.25">
      <c r="C6283" s="15">
        <v>311293</v>
      </c>
      <c r="D6283" s="4" t="s">
        <v>6287</v>
      </c>
      <c r="E6283" s="4" t="str">
        <f>HYPERLINK("https://app.crepc.sk/?fn=detailBiblioForm&amp;sid=6D44F4CF48601E8188E3174471")</f>
        <v>https://app.crepc.sk/?fn=detailBiblioForm&amp;sid=6D44F4CF48601E8188E3174471</v>
      </c>
    </row>
    <row r="6284" spans="3:5" ht="75" x14ac:dyDescent="0.25">
      <c r="C6284" s="15">
        <v>438803</v>
      </c>
      <c r="D6284" s="4" t="s">
        <v>6288</v>
      </c>
      <c r="E6284" s="4" t="str">
        <f>HYPERLINK("https://app.crepc.sk/?fn=detailBiblioForm&amp;sid=B88753DAFC7FC95041F70EB611")</f>
        <v>https://app.crepc.sk/?fn=detailBiblioForm&amp;sid=B88753DAFC7FC95041F70EB611</v>
      </c>
    </row>
    <row r="6285" spans="3:5" ht="105" x14ac:dyDescent="0.25">
      <c r="C6285" s="15">
        <v>146057</v>
      </c>
      <c r="D6285" s="4" t="s">
        <v>6289</v>
      </c>
      <c r="E6285" s="4" t="str">
        <f>HYPERLINK("https://app.crepc.sk/?fn=detailBiblioForm&amp;sid=6F91D8ED6CD6362D952831705F")</f>
        <v>https://app.crepc.sk/?fn=detailBiblioForm&amp;sid=6F91D8ED6CD6362D952831705F</v>
      </c>
    </row>
    <row r="6286" spans="3:5" ht="90" x14ac:dyDescent="0.25">
      <c r="C6286" s="15">
        <v>90345</v>
      </c>
      <c r="D6286" s="4" t="s">
        <v>6290</v>
      </c>
      <c r="E6286" s="4" t="str">
        <f>HYPERLINK("https://app.crepc.sk/?fn=detailBiblioForm&amp;sid=41B6CCA8289CA490EC9793E7")</f>
        <v>https://app.crepc.sk/?fn=detailBiblioForm&amp;sid=41B6CCA8289CA490EC9793E7</v>
      </c>
    </row>
    <row r="6287" spans="3:5" ht="90" x14ac:dyDescent="0.25">
      <c r="C6287" s="15">
        <v>59216</v>
      </c>
      <c r="D6287" s="4" t="s">
        <v>6291</v>
      </c>
      <c r="E6287" s="4" t="str">
        <f>HYPERLINK("https://app.crepc.sk/?fn=detailBiblioForm&amp;sid=C0F0D778877047F350E25074")</f>
        <v>https://app.crepc.sk/?fn=detailBiblioForm&amp;sid=C0F0D778877047F350E25074</v>
      </c>
    </row>
    <row r="6288" spans="3:5" ht="90" x14ac:dyDescent="0.25">
      <c r="C6288" s="15">
        <v>155821</v>
      </c>
      <c r="D6288" s="4" t="s">
        <v>6292</v>
      </c>
      <c r="E6288" s="4" t="str">
        <f>HYPERLINK("https://app.crepc.sk/?fn=detailBiblioForm&amp;sid=E6565C9ED97EA02FC503D38A9D")</f>
        <v>https://app.crepc.sk/?fn=detailBiblioForm&amp;sid=E6565C9ED97EA02FC503D38A9D</v>
      </c>
    </row>
    <row r="6289" spans="3:5" ht="105" x14ac:dyDescent="0.25">
      <c r="C6289" s="15">
        <v>204352</v>
      </c>
      <c r="D6289" s="4" t="s">
        <v>6293</v>
      </c>
      <c r="E6289" s="4" t="str">
        <f>HYPERLINK("https://app.crepc.sk/?fn=detailBiblioForm&amp;sid=8E201614D5D231968762729F83")</f>
        <v>https://app.crepc.sk/?fn=detailBiblioForm&amp;sid=8E201614D5D231968762729F83</v>
      </c>
    </row>
    <row r="6290" spans="3:5" ht="105" x14ac:dyDescent="0.25">
      <c r="C6290" s="15">
        <v>204372</v>
      </c>
      <c r="D6290" s="4" t="s">
        <v>6294</v>
      </c>
      <c r="E6290" s="4" t="str">
        <f>HYPERLINK("https://app.crepc.sk/?fn=detailBiblioForm&amp;sid=8E201614D5D231968562729F83")</f>
        <v>https://app.crepc.sk/?fn=detailBiblioForm&amp;sid=8E201614D5D231968562729F83</v>
      </c>
    </row>
    <row r="6291" spans="3:5" ht="105" x14ac:dyDescent="0.25">
      <c r="C6291" s="15">
        <v>127579</v>
      </c>
      <c r="D6291" s="4" t="s">
        <v>6295</v>
      </c>
      <c r="E6291" s="4" t="str">
        <f>HYPERLINK("https://app.crepc.sk/?fn=detailBiblioForm&amp;sid=DBEBBE2C2F1C2B14A4898ECF74")</f>
        <v>https://app.crepc.sk/?fn=detailBiblioForm&amp;sid=DBEBBE2C2F1C2B14A4898ECF74</v>
      </c>
    </row>
    <row r="6292" spans="3:5" ht="75" x14ac:dyDescent="0.25">
      <c r="C6292" s="15">
        <v>438811</v>
      </c>
      <c r="D6292" s="4" t="s">
        <v>6296</v>
      </c>
      <c r="E6292" s="4" t="str">
        <f>HYPERLINK("https://app.crepc.sk/?fn=detailBiblioForm&amp;sid=B88753DAFC7FC95040F50EB611")</f>
        <v>https://app.crepc.sk/?fn=detailBiblioForm&amp;sid=B88753DAFC7FC95040F50EB611</v>
      </c>
    </row>
    <row r="6293" spans="3:5" ht="105" x14ac:dyDescent="0.25">
      <c r="C6293" s="15">
        <v>125903</v>
      </c>
      <c r="D6293" s="4" t="s">
        <v>6297</v>
      </c>
      <c r="E6293" s="4" t="str">
        <f>HYPERLINK("https://app.crepc.sk/?fn=detailBiblioForm&amp;sid=CAA13C70E4379491E3888A0CB9")</f>
        <v>https://app.crepc.sk/?fn=detailBiblioForm&amp;sid=CAA13C70E4379491E3888A0CB9</v>
      </c>
    </row>
    <row r="6294" spans="3:5" ht="90" x14ac:dyDescent="0.25">
      <c r="C6294" s="15">
        <v>72894</v>
      </c>
      <c r="D6294" s="4" t="s">
        <v>6298</v>
      </c>
      <c r="E6294" s="4" t="str">
        <f>HYPERLINK("https://app.crepc.sk/?fn=detailBiblioForm&amp;sid=A15CB01E9EBA100F1ABBBEF0")</f>
        <v>https://app.crepc.sk/?fn=detailBiblioForm&amp;sid=A15CB01E9EBA100F1ABBBEF0</v>
      </c>
    </row>
    <row r="6295" spans="3:5" ht="105" x14ac:dyDescent="0.25">
      <c r="C6295" s="15">
        <v>59276</v>
      </c>
      <c r="D6295" s="4" t="s">
        <v>6299</v>
      </c>
      <c r="E6295" s="4" t="str">
        <f>HYPERLINK("https://app.crepc.sk/?fn=detailBiblioForm&amp;sid=73C8EE269DF3551B49F06185")</f>
        <v>https://app.crepc.sk/?fn=detailBiblioForm&amp;sid=73C8EE269DF3551B49F06185</v>
      </c>
    </row>
    <row r="6296" spans="3:5" ht="105" x14ac:dyDescent="0.25">
      <c r="C6296" s="15">
        <v>172906</v>
      </c>
      <c r="D6296" s="4" t="s">
        <v>6300</v>
      </c>
      <c r="E6296" s="4" t="str">
        <f>HYPERLINK("https://app.crepc.sk/?fn=detailBiblioForm&amp;sid=D6903242A3B61C7D27CF80C097")</f>
        <v>https://app.crepc.sk/?fn=detailBiblioForm&amp;sid=D6903242A3B61C7D27CF80C097</v>
      </c>
    </row>
    <row r="6297" spans="3:5" ht="90" x14ac:dyDescent="0.25">
      <c r="C6297" s="15">
        <v>56807</v>
      </c>
      <c r="D6297" s="4" t="s">
        <v>6301</v>
      </c>
      <c r="E6297" s="4" t="str">
        <f>HYPERLINK("https://app.crepc.sk/?fn=detailBiblioForm&amp;sid=1F82C58C11E147D5108FEA32")</f>
        <v>https://app.crepc.sk/?fn=detailBiblioForm&amp;sid=1F82C58C11E147D5108FEA32</v>
      </c>
    </row>
    <row r="6298" spans="3:5" ht="90" x14ac:dyDescent="0.25">
      <c r="C6298" s="15">
        <v>111129</v>
      </c>
      <c r="D6298" s="4" t="s">
        <v>6302</v>
      </c>
      <c r="E6298" s="4" t="str">
        <f>HYPERLINK("https://app.crepc.sk/?fn=detailBiblioForm&amp;sid=100EE58FA53739A60C52370883")</f>
        <v>https://app.crepc.sk/?fn=detailBiblioForm&amp;sid=100EE58FA53739A60C52370883</v>
      </c>
    </row>
    <row r="6299" spans="3:5" ht="105" x14ac:dyDescent="0.25">
      <c r="C6299" s="15">
        <v>227824</v>
      </c>
      <c r="D6299" s="4" t="s">
        <v>6303</v>
      </c>
      <c r="E6299" s="4" t="str">
        <f>HYPERLINK("https://app.crepc.sk/?fn=detailBiblioForm&amp;sid=D57B83470BBFCEC225823FD33C")</f>
        <v>https://app.crepc.sk/?fn=detailBiblioForm&amp;sid=D57B83470BBFCEC225823FD33C</v>
      </c>
    </row>
    <row r="6300" spans="3:5" ht="75" x14ac:dyDescent="0.25">
      <c r="C6300" s="15">
        <v>435155</v>
      </c>
      <c r="D6300" s="4" t="s">
        <v>6304</v>
      </c>
      <c r="E6300" s="4" t="str">
        <f>HYPERLINK("https://app.crepc.sk/?fn=detailBiblioForm&amp;sid=AD8868FB556EBD592A3FBB48EF")</f>
        <v>https://app.crepc.sk/?fn=detailBiblioForm&amp;sid=AD8868FB556EBD592A3FBB48EF</v>
      </c>
    </row>
    <row r="6301" spans="3:5" ht="75" x14ac:dyDescent="0.25">
      <c r="C6301" s="15">
        <v>161887</v>
      </c>
      <c r="D6301" s="4" t="s">
        <v>6305</v>
      </c>
      <c r="E6301" s="4" t="str">
        <f>HYPERLINK("https://app.crepc.sk/?fn=detailBiblioForm&amp;sid=9F8942B94996237AA3FA74E07C")</f>
        <v>https://app.crepc.sk/?fn=detailBiblioForm&amp;sid=9F8942B94996237AA3FA74E07C</v>
      </c>
    </row>
    <row r="6302" spans="3:5" ht="75" x14ac:dyDescent="0.25">
      <c r="C6302" s="15">
        <v>187260</v>
      </c>
      <c r="D6302" s="4" t="s">
        <v>6306</v>
      </c>
      <c r="E6302" s="4" t="str">
        <f>HYPERLINK("https://app.crepc.sk/?fn=detailBiblioForm&amp;sid=8D80AD18777FCC7F6AB4DC5BD8")</f>
        <v>https://app.crepc.sk/?fn=detailBiblioForm&amp;sid=8D80AD18777FCC7F6AB4DC5BD8</v>
      </c>
    </row>
    <row r="6303" spans="3:5" ht="75" x14ac:dyDescent="0.25">
      <c r="C6303" s="15">
        <v>310645</v>
      </c>
      <c r="D6303" s="4" t="s">
        <v>6307</v>
      </c>
      <c r="E6303" s="4" t="str">
        <f>HYPERLINK("https://app.crepc.sk/?fn=detailBiblioForm&amp;sid=1650EFDC8A2C2619D886A1BCCD")</f>
        <v>https://app.crepc.sk/?fn=detailBiblioForm&amp;sid=1650EFDC8A2C2619D886A1BCCD</v>
      </c>
    </row>
    <row r="6304" spans="3:5" ht="75" x14ac:dyDescent="0.25">
      <c r="C6304" s="15">
        <v>438794</v>
      </c>
      <c r="D6304" s="4" t="s">
        <v>6308</v>
      </c>
      <c r="E6304" s="4" t="str">
        <f>HYPERLINK("https://app.crepc.sk/?fn=detailBiblioForm&amp;sid=4D4EB440459E0EAA19809C14B4")</f>
        <v>https://app.crepc.sk/?fn=detailBiblioForm&amp;sid=4D4EB440459E0EAA19809C14B4</v>
      </c>
    </row>
    <row r="6305" spans="3:5" ht="90" x14ac:dyDescent="0.25">
      <c r="C6305" s="15">
        <v>318074</v>
      </c>
      <c r="D6305" s="4" t="s">
        <v>6309</v>
      </c>
      <c r="E6305" s="4" t="str">
        <f>HYPERLINK("https://app.crepc.sk/?fn=detailBiblioForm&amp;sid=4FD2F56B6FC316F1AD531EA618")</f>
        <v>https://app.crepc.sk/?fn=detailBiblioForm&amp;sid=4FD2F56B6FC316F1AD531EA618</v>
      </c>
    </row>
    <row r="6306" spans="3:5" ht="120" x14ac:dyDescent="0.25">
      <c r="C6306" s="15">
        <v>118545</v>
      </c>
      <c r="D6306" s="4" t="s">
        <v>6310</v>
      </c>
      <c r="E6306" s="4" t="str">
        <f>HYPERLINK("https://app.crepc.sk/?fn=detailBiblioForm&amp;sid=5E5121F04DA708F8C7C678AA89")</f>
        <v>https://app.crepc.sk/?fn=detailBiblioForm&amp;sid=5E5121F04DA708F8C7C678AA89</v>
      </c>
    </row>
    <row r="6307" spans="3:5" ht="75" x14ac:dyDescent="0.25">
      <c r="C6307" s="15">
        <v>206921</v>
      </c>
      <c r="D6307" s="4" t="s">
        <v>6311</v>
      </c>
      <c r="E6307" s="4" t="str">
        <f>HYPERLINK("https://app.crepc.sk/?fn=detailBiblioForm&amp;sid=C3A916DF7A5355BD5F1F3ED7A5")</f>
        <v>https://app.crepc.sk/?fn=detailBiblioForm&amp;sid=C3A916DF7A5355BD5F1F3ED7A5</v>
      </c>
    </row>
    <row r="6308" spans="3:5" ht="75" x14ac:dyDescent="0.25">
      <c r="C6308" s="15">
        <v>219264</v>
      </c>
      <c r="D6308" s="4" t="s">
        <v>6312</v>
      </c>
      <c r="E6308" s="4" t="str">
        <f>HYPERLINK("https://app.crepc.sk/?fn=detailBiblioForm&amp;sid=64D180458FCA690E38F5681750")</f>
        <v>https://app.crepc.sk/?fn=detailBiblioForm&amp;sid=64D180458FCA690E38F5681750</v>
      </c>
    </row>
    <row r="6309" spans="3:5" ht="105" x14ac:dyDescent="0.25">
      <c r="C6309" s="15">
        <v>58452</v>
      </c>
      <c r="D6309" s="4" t="s">
        <v>6313</v>
      </c>
      <c r="E6309" s="4" t="str">
        <f>HYPERLINK("https://app.crepc.sk/?fn=detailBiblioForm&amp;sid=7AAF619F905301CB0C971E4C")</f>
        <v>https://app.crepc.sk/?fn=detailBiblioForm&amp;sid=7AAF619F905301CB0C971E4C</v>
      </c>
    </row>
    <row r="6310" spans="3:5" ht="90" x14ac:dyDescent="0.25">
      <c r="C6310" s="15">
        <v>123779</v>
      </c>
      <c r="D6310" s="4" t="s">
        <v>6314</v>
      </c>
      <c r="E6310" s="4" t="str">
        <f>HYPERLINK("https://app.crepc.sk/?fn=detailBiblioForm&amp;sid=6AF24C20D77B2492BA6A80C111")</f>
        <v>https://app.crepc.sk/?fn=detailBiblioForm&amp;sid=6AF24C20D77B2492BA6A80C111</v>
      </c>
    </row>
    <row r="6311" spans="3:5" ht="75" x14ac:dyDescent="0.25">
      <c r="C6311" s="15">
        <v>219498</v>
      </c>
      <c r="D6311" s="4" t="s">
        <v>6315</v>
      </c>
      <c r="E6311" s="4" t="str">
        <f>HYPERLINK("https://app.crepc.sk/?fn=detailBiblioForm&amp;sid=8474A37DD4CFE7851F5D8DE929")</f>
        <v>https://app.crepc.sk/?fn=detailBiblioForm&amp;sid=8474A37DD4CFE7851F5D8DE929</v>
      </c>
    </row>
    <row r="6312" spans="3:5" ht="90" x14ac:dyDescent="0.25">
      <c r="C6312" s="15">
        <v>87914</v>
      </c>
      <c r="D6312" s="4" t="s">
        <v>6316</v>
      </c>
      <c r="E6312" s="4" t="str">
        <f>HYPERLINK("https://app.crepc.sk/?fn=detailBiblioForm&amp;sid=409D63A8FD49F4824070EC99")</f>
        <v>https://app.crepc.sk/?fn=detailBiblioForm&amp;sid=409D63A8FD49F4824070EC99</v>
      </c>
    </row>
    <row r="6313" spans="3:5" ht="90" x14ac:dyDescent="0.25">
      <c r="C6313" s="15">
        <v>218009</v>
      </c>
      <c r="D6313" s="4" t="s">
        <v>6317</v>
      </c>
      <c r="E6313" s="4" t="str">
        <f>HYPERLINK("https://app.crepc.sk/?fn=detailBiblioForm&amp;sid=B4AE1C6FCFC18FC5C7A5C31CB6")</f>
        <v>https://app.crepc.sk/?fn=detailBiblioForm&amp;sid=B4AE1C6FCFC18FC5C7A5C31CB6</v>
      </c>
    </row>
    <row r="6314" spans="3:5" ht="75" x14ac:dyDescent="0.25">
      <c r="C6314" s="15">
        <v>115678</v>
      </c>
      <c r="D6314" s="4" t="s">
        <v>6318</v>
      </c>
      <c r="E6314" s="4" t="str">
        <f>HYPERLINK("https://app.crepc.sk/?fn=detailBiblioForm&amp;sid=8B887CD3FF777E5053BC7BD084")</f>
        <v>https://app.crepc.sk/?fn=detailBiblioForm&amp;sid=8B887CD3FF777E5053BC7BD084</v>
      </c>
    </row>
    <row r="6315" spans="3:5" ht="105" x14ac:dyDescent="0.25">
      <c r="C6315" s="15">
        <v>138438</v>
      </c>
      <c r="D6315" s="4" t="s">
        <v>6319</v>
      </c>
      <c r="E6315" s="4" t="str">
        <f>HYPERLINK("https://app.crepc.sk/?fn=detailBiblioForm&amp;sid=3AF1A6EA9B0020D205D40DA13A")</f>
        <v>https://app.crepc.sk/?fn=detailBiblioForm&amp;sid=3AF1A6EA9B0020D205D40DA13A</v>
      </c>
    </row>
    <row r="6316" spans="3:5" ht="75" x14ac:dyDescent="0.25">
      <c r="C6316" s="15">
        <v>251115</v>
      </c>
      <c r="D6316" s="4" t="s">
        <v>6320</v>
      </c>
      <c r="E6316" s="4" t="str">
        <f>HYPERLINK("https://app.crepc.sk/?fn=detailBiblioForm&amp;sid=39F653ADC89B9C3282BCF67185")</f>
        <v>https://app.crepc.sk/?fn=detailBiblioForm&amp;sid=39F653ADC89B9C3282BCF67185</v>
      </c>
    </row>
    <row r="6317" spans="3:5" ht="90" x14ac:dyDescent="0.25">
      <c r="C6317" s="15">
        <v>51970</v>
      </c>
      <c r="D6317" s="4" t="s">
        <v>6321</v>
      </c>
      <c r="E6317" s="4" t="str">
        <f>HYPERLINK("https://app.crepc.sk/?fn=detailBiblioForm&amp;sid=3CF9681F115FD6E29809C569")</f>
        <v>https://app.crepc.sk/?fn=detailBiblioForm&amp;sid=3CF9681F115FD6E29809C569</v>
      </c>
    </row>
    <row r="6318" spans="3:5" ht="90" x14ac:dyDescent="0.25">
      <c r="C6318" s="15">
        <v>51227</v>
      </c>
      <c r="D6318" s="4" t="s">
        <v>6322</v>
      </c>
      <c r="E6318" s="4" t="str">
        <f>HYPERLINK("https://app.crepc.sk/?fn=detailBiblioForm&amp;sid=8E6CCBF4393295FA71B7A107")</f>
        <v>https://app.crepc.sk/?fn=detailBiblioForm&amp;sid=8E6CCBF4393295FA71B7A107</v>
      </c>
    </row>
    <row r="6319" spans="3:5" ht="105" x14ac:dyDescent="0.25">
      <c r="C6319" s="15">
        <v>310014</v>
      </c>
      <c r="D6319" s="4" t="s">
        <v>6323</v>
      </c>
      <c r="E6319" s="4" t="str">
        <f>HYPERLINK("https://app.crepc.sk/?fn=detailBiblioForm&amp;sid=F566C6E0CB47072BFDEA22F69C")</f>
        <v>https://app.crepc.sk/?fn=detailBiblioForm&amp;sid=F566C6E0CB47072BFDEA22F69C</v>
      </c>
    </row>
    <row r="6320" spans="3:5" ht="90" x14ac:dyDescent="0.25">
      <c r="C6320" s="15">
        <v>140147</v>
      </c>
      <c r="D6320" s="4" t="s">
        <v>6324</v>
      </c>
      <c r="E6320" s="4" t="str">
        <f>HYPERLINK("https://app.crepc.sk/?fn=detailBiblioForm&amp;sid=17899838D38E4BD15218EAAA4C")</f>
        <v>https://app.crepc.sk/?fn=detailBiblioForm&amp;sid=17899838D38E4BD15218EAAA4C</v>
      </c>
    </row>
    <row r="6321" spans="3:5" ht="75" x14ac:dyDescent="0.25">
      <c r="C6321" s="15">
        <v>66699</v>
      </c>
      <c r="D6321" s="4" t="s">
        <v>6325</v>
      </c>
      <c r="E6321" s="4" t="str">
        <f>HYPERLINK("https://app.crepc.sk/?fn=detailBiblioForm&amp;sid=247B19570A0C8D4C1028B392")</f>
        <v>https://app.crepc.sk/?fn=detailBiblioForm&amp;sid=247B19570A0C8D4C1028B392</v>
      </c>
    </row>
    <row r="6322" spans="3:5" ht="90" x14ac:dyDescent="0.25">
      <c r="C6322" s="15">
        <v>152883</v>
      </c>
      <c r="D6322" s="4" t="s">
        <v>6326</v>
      </c>
      <c r="E6322" s="4" t="str">
        <f>HYPERLINK("https://app.crepc.sk/?fn=detailBiblioForm&amp;sid=4CB0668AE2C8F277B2A7C0BA9E")</f>
        <v>https://app.crepc.sk/?fn=detailBiblioForm&amp;sid=4CB0668AE2C8F277B2A7C0BA9E</v>
      </c>
    </row>
    <row r="6323" spans="3:5" ht="90" x14ac:dyDescent="0.25">
      <c r="C6323" s="15">
        <v>182535</v>
      </c>
      <c r="D6323" s="4" t="s">
        <v>6327</v>
      </c>
      <c r="E6323" s="4" t="str">
        <f>HYPERLINK("https://app.crepc.sk/?fn=detailBiblioForm&amp;sid=CC8450CBF10FC669827B97D74A")</f>
        <v>https://app.crepc.sk/?fn=detailBiblioForm&amp;sid=CC8450CBF10FC669827B97D74A</v>
      </c>
    </row>
    <row r="6324" spans="3:5" ht="90" x14ac:dyDescent="0.25">
      <c r="C6324" s="15">
        <v>197174</v>
      </c>
      <c r="D6324" s="4" t="s">
        <v>6328</v>
      </c>
      <c r="E6324" s="4" t="str">
        <f>HYPERLINK("https://app.crepc.sk/?fn=detailBiblioForm&amp;sid=50940FCC7D65E2419CD79A99B7")</f>
        <v>https://app.crepc.sk/?fn=detailBiblioForm&amp;sid=50940FCC7D65E2419CD79A99B7</v>
      </c>
    </row>
    <row r="6325" spans="3:5" ht="90" x14ac:dyDescent="0.25">
      <c r="C6325" s="15">
        <v>59032</v>
      </c>
      <c r="D6325" s="4" t="s">
        <v>6329</v>
      </c>
      <c r="E6325" s="4" t="str">
        <f>HYPERLINK("https://app.crepc.sk/?fn=detailBiblioForm&amp;sid=92870E21EE950DD135F00F23")</f>
        <v>https://app.crepc.sk/?fn=detailBiblioForm&amp;sid=92870E21EE950DD135F00F23</v>
      </c>
    </row>
    <row r="6326" spans="3:5" ht="90" x14ac:dyDescent="0.25">
      <c r="C6326" s="15">
        <v>87162</v>
      </c>
      <c r="D6326" s="4" t="s">
        <v>6330</v>
      </c>
      <c r="E6326" s="4" t="str">
        <f>HYPERLINK("https://app.crepc.sk/?fn=detailBiblioForm&amp;sid=FDD55183B52C4790130C1F77")</f>
        <v>https://app.crepc.sk/?fn=detailBiblioForm&amp;sid=FDD55183B52C4790130C1F77</v>
      </c>
    </row>
    <row r="6327" spans="3:5" ht="90" x14ac:dyDescent="0.25">
      <c r="C6327" s="15">
        <v>311075</v>
      </c>
      <c r="D6327" s="4" t="s">
        <v>6331</v>
      </c>
      <c r="E6327" s="4" t="str">
        <f>HYPERLINK("https://app.crepc.sk/?fn=detailBiblioForm&amp;sid=2D3067B65E7513C569B4F81B67")</f>
        <v>https://app.crepc.sk/?fn=detailBiblioForm&amp;sid=2D3067B65E7513C569B4F81B67</v>
      </c>
    </row>
    <row r="6328" spans="3:5" ht="75" x14ac:dyDescent="0.25">
      <c r="C6328" s="15">
        <v>244648</v>
      </c>
      <c r="D6328" s="4" t="s">
        <v>6332</v>
      </c>
      <c r="E6328" s="4" t="str">
        <f>HYPERLINK("https://app.crepc.sk/?fn=detailBiblioForm&amp;sid=5693C4557D2BC9900DB8BAE0E3")</f>
        <v>https://app.crepc.sk/?fn=detailBiblioForm&amp;sid=5693C4557D2BC9900DB8BAE0E3</v>
      </c>
    </row>
    <row r="6329" spans="3:5" ht="120" x14ac:dyDescent="0.25">
      <c r="C6329" s="15">
        <v>245555</v>
      </c>
      <c r="D6329" s="4" t="s">
        <v>6333</v>
      </c>
      <c r="E6329" s="4" t="str">
        <f>HYPERLINK("https://app.crepc.sk/?fn=detailBiblioForm&amp;sid=2D7D087DC286DEBC76C5E2F33B")</f>
        <v>https://app.crepc.sk/?fn=detailBiblioForm&amp;sid=2D7D087DC286DEBC76C5E2F33B</v>
      </c>
    </row>
    <row r="6330" spans="3:5" ht="105" x14ac:dyDescent="0.25">
      <c r="C6330" s="15">
        <v>127654</v>
      </c>
      <c r="D6330" s="4" t="s">
        <v>6334</v>
      </c>
      <c r="E6330" s="4" t="str">
        <f>HYPERLINK("https://app.crepc.sk/?fn=detailBiblioForm&amp;sid=A61021784F381E68C20BE78699")</f>
        <v>https://app.crepc.sk/?fn=detailBiblioForm&amp;sid=A61021784F381E68C20BE78699</v>
      </c>
    </row>
    <row r="6331" spans="3:5" ht="105" x14ac:dyDescent="0.25">
      <c r="C6331" s="15">
        <v>204361</v>
      </c>
      <c r="D6331" s="4" t="s">
        <v>6335</v>
      </c>
      <c r="E6331" s="4" t="str">
        <f>HYPERLINK("https://app.crepc.sk/?fn=detailBiblioForm&amp;sid=8E201614D5D231968461729F83")</f>
        <v>https://app.crepc.sk/?fn=detailBiblioForm&amp;sid=8E201614D5D231968461729F83</v>
      </c>
    </row>
    <row r="6332" spans="3:5" ht="75" x14ac:dyDescent="0.25">
      <c r="C6332" s="15">
        <v>166089</v>
      </c>
      <c r="D6332" s="4" t="s">
        <v>6336</v>
      </c>
      <c r="E6332" s="4" t="str">
        <f>HYPERLINK("https://app.crepc.sk/?fn=detailBiblioForm&amp;sid=AFB64E0160B4F4E92E46BB898C")</f>
        <v>https://app.crepc.sk/?fn=detailBiblioForm&amp;sid=AFB64E0160B4F4E92E46BB898C</v>
      </c>
    </row>
    <row r="6333" spans="3:5" ht="75" x14ac:dyDescent="0.25">
      <c r="C6333" s="15">
        <v>51066</v>
      </c>
      <c r="D6333" s="4" t="s">
        <v>6337</v>
      </c>
      <c r="E6333" s="4" t="str">
        <f>HYPERLINK("https://app.crepc.sk/?fn=detailBiblioForm&amp;sid=BB29F255FBB69693A2F43919")</f>
        <v>https://app.crepc.sk/?fn=detailBiblioForm&amp;sid=BB29F255FBB69693A2F43919</v>
      </c>
    </row>
    <row r="6334" spans="3:5" ht="90" x14ac:dyDescent="0.25">
      <c r="C6334" s="15">
        <v>117513</v>
      </c>
      <c r="D6334" s="4" t="s">
        <v>6338</v>
      </c>
      <c r="E6334" s="4" t="str">
        <f>HYPERLINK("https://app.crepc.sk/?fn=detailBiblioForm&amp;sid=782C7F190F5282740FA72FB4FF")</f>
        <v>https://app.crepc.sk/?fn=detailBiblioForm&amp;sid=782C7F190F5282740FA72FB4FF</v>
      </c>
    </row>
    <row r="6335" spans="3:5" ht="90" x14ac:dyDescent="0.25">
      <c r="C6335" s="15">
        <v>427949</v>
      </c>
      <c r="D6335" s="4" t="s">
        <v>6339</v>
      </c>
      <c r="E6335" s="4" t="str">
        <f>HYPERLINK("https://app.crepc.sk/?fn=detailBiblioForm&amp;sid=8C33B2022A85A58E8FB384D0D1")</f>
        <v>https://app.crepc.sk/?fn=detailBiblioForm&amp;sid=8C33B2022A85A58E8FB384D0D1</v>
      </c>
    </row>
    <row r="6336" spans="3:5" ht="75" x14ac:dyDescent="0.25">
      <c r="C6336" s="15">
        <v>161823</v>
      </c>
      <c r="D6336" s="4" t="s">
        <v>6340</v>
      </c>
      <c r="E6336" s="4" t="str">
        <f>HYPERLINK("https://app.crepc.sk/?fn=detailBiblioForm&amp;sid=9F8942B94996237AA9FE74E07C")</f>
        <v>https://app.crepc.sk/?fn=detailBiblioForm&amp;sid=9F8942B94996237AA9FE74E07C</v>
      </c>
    </row>
    <row r="6337" spans="3:5" ht="75" x14ac:dyDescent="0.25">
      <c r="C6337" s="15">
        <v>193348</v>
      </c>
      <c r="D6337" s="4" t="s">
        <v>6341</v>
      </c>
      <c r="E6337" s="4" t="str">
        <f>HYPERLINK("https://app.crepc.sk/?fn=detailBiblioForm&amp;sid=62C9246E761951300741EE17EE")</f>
        <v>https://app.crepc.sk/?fn=detailBiblioForm&amp;sid=62C9246E761951300741EE17EE</v>
      </c>
    </row>
    <row r="6338" spans="3:5" ht="105" x14ac:dyDescent="0.25">
      <c r="C6338" s="15">
        <v>167247</v>
      </c>
      <c r="D6338" s="4" t="s">
        <v>6342</v>
      </c>
      <c r="E6338" s="4" t="str">
        <f>HYPERLINK("https://app.crepc.sk/?fn=detailBiblioForm&amp;sid=D028D1829C892C28C722C3551B")</f>
        <v>https://app.crepc.sk/?fn=detailBiblioForm&amp;sid=D028D1829C892C28C722C3551B</v>
      </c>
    </row>
    <row r="6339" spans="3:5" ht="75" x14ac:dyDescent="0.25">
      <c r="C6339" s="15">
        <v>96340</v>
      </c>
      <c r="D6339" s="4" t="s">
        <v>6343</v>
      </c>
      <c r="E6339" s="4" t="str">
        <f>HYPERLINK("https://app.crepc.sk/?fn=detailBiblioForm&amp;sid=77A304A27F77AD5A73757C02")</f>
        <v>https://app.crepc.sk/?fn=detailBiblioForm&amp;sid=77A304A27F77AD5A73757C02</v>
      </c>
    </row>
    <row r="6340" spans="3:5" ht="75" x14ac:dyDescent="0.25">
      <c r="C6340" s="15">
        <v>81173</v>
      </c>
      <c r="D6340" s="4" t="s">
        <v>6344</v>
      </c>
      <c r="E6340" s="4" t="str">
        <f>HYPERLINK("https://app.crepc.sk/?fn=detailBiblioForm&amp;sid=520727E167DA00949E226332")</f>
        <v>https://app.crepc.sk/?fn=detailBiblioForm&amp;sid=520727E167DA00949E226332</v>
      </c>
    </row>
    <row r="6341" spans="3:5" ht="90" x14ac:dyDescent="0.25">
      <c r="C6341" s="15">
        <v>432751</v>
      </c>
      <c r="D6341" s="4" t="s">
        <v>6345</v>
      </c>
      <c r="E6341" s="4" t="str">
        <f>HYPERLINK("https://app.crepc.sk/?fn=detailBiblioForm&amp;sid=91973449B9DED6545111A96A9B")</f>
        <v>https://app.crepc.sk/?fn=detailBiblioForm&amp;sid=91973449B9DED6545111A96A9B</v>
      </c>
    </row>
    <row r="6342" spans="3:5" ht="75" x14ac:dyDescent="0.25">
      <c r="C6342" s="15">
        <v>186902</v>
      </c>
      <c r="D6342" s="4" t="s">
        <v>6346</v>
      </c>
      <c r="E6342" s="4" t="str">
        <f>HYPERLINK("https://app.crepc.sk/?fn=detailBiblioForm&amp;sid=9EB7DDC054CB7EBFE370B5FCE5")</f>
        <v>https://app.crepc.sk/?fn=detailBiblioForm&amp;sid=9EB7DDC054CB7EBFE370B5FCE5</v>
      </c>
    </row>
    <row r="6343" spans="3:5" ht="90" x14ac:dyDescent="0.25">
      <c r="C6343" s="15">
        <v>63470</v>
      </c>
      <c r="D6343" s="4" t="s">
        <v>6347</v>
      </c>
      <c r="E6343" s="4" t="str">
        <f>HYPERLINK("https://app.crepc.sk/?fn=detailBiblioForm&amp;sid=0C13525346FD3A183E124691")</f>
        <v>https://app.crepc.sk/?fn=detailBiblioForm&amp;sid=0C13525346FD3A183E124691</v>
      </c>
    </row>
    <row r="6344" spans="3:5" ht="90" x14ac:dyDescent="0.25">
      <c r="C6344" s="15">
        <v>96325</v>
      </c>
      <c r="D6344" s="4" t="s">
        <v>6348</v>
      </c>
      <c r="E6344" s="4" t="str">
        <f>HYPERLINK("https://app.crepc.sk/?fn=detailBiblioForm&amp;sid=66B5802B8B6E1AE8A4AD884B")</f>
        <v>https://app.crepc.sk/?fn=detailBiblioForm&amp;sid=66B5802B8B6E1AE8A4AD884B</v>
      </c>
    </row>
    <row r="6345" spans="3:5" ht="75" x14ac:dyDescent="0.25">
      <c r="C6345" s="15">
        <v>122431</v>
      </c>
      <c r="D6345" s="4" t="s">
        <v>6349</v>
      </c>
      <c r="E6345" s="4" t="str">
        <f>HYPERLINK("https://app.crepc.sk/?fn=detailBiblioForm&amp;sid=BA98F1178B40464E56E7C111D8")</f>
        <v>https://app.crepc.sk/?fn=detailBiblioForm&amp;sid=BA98F1178B40464E56E7C111D8</v>
      </c>
    </row>
    <row r="6346" spans="3:5" ht="105" x14ac:dyDescent="0.25">
      <c r="C6346" s="15">
        <v>204392</v>
      </c>
      <c r="D6346" s="4" t="s">
        <v>6350</v>
      </c>
      <c r="E6346" s="4" t="str">
        <f>HYPERLINK("https://app.crepc.sk/?fn=detailBiblioForm&amp;sid=8E201614D5D231968B62729F83")</f>
        <v>https://app.crepc.sk/?fn=detailBiblioForm&amp;sid=8E201614D5D231968B62729F83</v>
      </c>
    </row>
    <row r="6347" spans="3:5" ht="75" x14ac:dyDescent="0.25">
      <c r="C6347" s="15">
        <v>122476</v>
      </c>
      <c r="D6347" s="4" t="s">
        <v>6351</v>
      </c>
      <c r="E6347" s="4" t="str">
        <f>HYPERLINK("https://app.crepc.sk/?fn=detailBiblioForm&amp;sid=BA98F1178B40464E52E0C111D8")</f>
        <v>https://app.crepc.sk/?fn=detailBiblioForm&amp;sid=BA98F1178B40464E52E0C111D8</v>
      </c>
    </row>
    <row r="6348" spans="3:5" ht="285" x14ac:dyDescent="0.25">
      <c r="C6348" s="15">
        <v>79819</v>
      </c>
      <c r="D6348" s="4" t="s">
        <v>6352</v>
      </c>
      <c r="E6348" s="4" t="str">
        <f>HYPERLINK("https://app.crepc.sk/?fn=detailBiblioForm&amp;sid=FD934B47EF693A47CA1835DE")</f>
        <v>https://app.crepc.sk/?fn=detailBiblioForm&amp;sid=FD934B47EF693A47CA1835DE</v>
      </c>
    </row>
    <row r="6349" spans="3:5" ht="90" x14ac:dyDescent="0.25">
      <c r="C6349" s="15">
        <v>56625</v>
      </c>
      <c r="D6349" s="4" t="s">
        <v>6353</v>
      </c>
      <c r="E6349" s="4" t="str">
        <f>HYPERLINK("https://app.crepc.sk/?fn=detailBiblioForm&amp;sid=64676C5C5679219365400BE8")</f>
        <v>https://app.crepc.sk/?fn=detailBiblioForm&amp;sid=64676C5C5679219365400BE8</v>
      </c>
    </row>
    <row r="6350" spans="3:5" ht="90" x14ac:dyDescent="0.25">
      <c r="C6350" s="15">
        <v>105698</v>
      </c>
      <c r="D6350" s="4" t="s">
        <v>6354</v>
      </c>
      <c r="E6350" s="4" t="str">
        <f>HYPERLINK("https://app.crepc.sk/?fn=detailBiblioForm&amp;sid=FD881BC05B1F2F7E4D5F6C9F59")</f>
        <v>https://app.crepc.sk/?fn=detailBiblioForm&amp;sid=FD881BC05B1F2F7E4D5F6C9F59</v>
      </c>
    </row>
    <row r="6351" spans="3:5" ht="105" x14ac:dyDescent="0.25">
      <c r="C6351" s="15">
        <v>310031</v>
      </c>
      <c r="D6351" s="4" t="s">
        <v>6355</v>
      </c>
      <c r="E6351" s="4" t="str">
        <f>HYPERLINK("https://app.crepc.sk/?fn=detailBiblioForm&amp;sid=F566C6E0CB47072BFFEF22F69C")</f>
        <v>https://app.crepc.sk/?fn=detailBiblioForm&amp;sid=F566C6E0CB47072BFFEF22F69C</v>
      </c>
    </row>
    <row r="6352" spans="3:5" ht="75" x14ac:dyDescent="0.25">
      <c r="C6352" s="15">
        <v>125306</v>
      </c>
      <c r="D6352" s="4" t="s">
        <v>6356</v>
      </c>
      <c r="E6352" s="4" t="str">
        <f>HYPERLINK("https://app.crepc.sk/?fn=detailBiblioForm&amp;sid=9A77F24CB1252B04C1D03D143A")</f>
        <v>https://app.crepc.sk/?fn=detailBiblioForm&amp;sid=9A77F24CB1252B04C1D03D143A</v>
      </c>
    </row>
    <row r="6353" spans="3:5" ht="75" x14ac:dyDescent="0.25">
      <c r="C6353" s="15">
        <v>315216</v>
      </c>
      <c r="D6353" s="4" t="s">
        <v>6357</v>
      </c>
      <c r="E6353" s="4" t="str">
        <f>HYPERLINK("https://app.crepc.sk/?fn=detailBiblioForm&amp;sid=D8E909CCB801991832B2757C25")</f>
        <v>https://app.crepc.sk/?fn=detailBiblioForm&amp;sid=D8E909CCB801991832B2757C25</v>
      </c>
    </row>
    <row r="6354" spans="3:5" ht="105" x14ac:dyDescent="0.25">
      <c r="C6354" s="15">
        <v>206835</v>
      </c>
      <c r="D6354" s="4" t="s">
        <v>6358</v>
      </c>
      <c r="E6354" s="4" t="str">
        <f>HYPERLINK("https://app.crepc.sk/?fn=detailBiblioForm&amp;sid=01F693E10B74071540B1413BCF")</f>
        <v>https://app.crepc.sk/?fn=detailBiblioForm&amp;sid=01F693E10B74071540B1413BCF</v>
      </c>
    </row>
    <row r="6355" spans="3:5" ht="75" x14ac:dyDescent="0.25">
      <c r="C6355" s="15">
        <v>138857</v>
      </c>
      <c r="D6355" s="4" t="s">
        <v>6359</v>
      </c>
      <c r="E6355" s="4" t="str">
        <f>HYPERLINK("https://app.crepc.sk/?fn=detailBiblioForm&amp;sid=AA7BC2660C5D798CF5F3F1C62C")</f>
        <v>https://app.crepc.sk/?fn=detailBiblioForm&amp;sid=AA7BC2660C5D798CF5F3F1C62C</v>
      </c>
    </row>
    <row r="6356" spans="3:5" ht="105" x14ac:dyDescent="0.25">
      <c r="C6356" s="15">
        <v>140602</v>
      </c>
      <c r="D6356" s="4" t="s">
        <v>6360</v>
      </c>
      <c r="E6356" s="4" t="str">
        <f>HYPERLINK("https://app.crepc.sk/?fn=detailBiblioForm&amp;sid=63B76DDB09E75D014239855B57")</f>
        <v>https://app.crepc.sk/?fn=detailBiblioForm&amp;sid=63B76DDB09E75D014239855B57</v>
      </c>
    </row>
    <row r="6357" spans="3:5" ht="90" x14ac:dyDescent="0.25">
      <c r="C6357" s="15">
        <v>139561</v>
      </c>
      <c r="D6357" s="4" t="s">
        <v>6361</v>
      </c>
      <c r="E6357" s="4" t="str">
        <f>HYPERLINK("https://app.crepc.sk/?fn=detailBiblioForm&amp;sid=2753E74A420B011D74D612E075")</f>
        <v>https://app.crepc.sk/?fn=detailBiblioForm&amp;sid=2753E74A420B011D74D612E075</v>
      </c>
    </row>
    <row r="6358" spans="3:5" ht="90" x14ac:dyDescent="0.25">
      <c r="C6358" s="15">
        <v>56665</v>
      </c>
      <c r="D6358" s="4" t="s">
        <v>6362</v>
      </c>
      <c r="E6358" s="4" t="str">
        <f>HYPERLINK("https://app.crepc.sk/?fn=detailBiblioForm&amp;sid=8BB2EB227141DDE1B466DE76")</f>
        <v>https://app.crepc.sk/?fn=detailBiblioForm&amp;sid=8BB2EB227141DDE1B466DE76</v>
      </c>
    </row>
    <row r="6359" spans="3:5" ht="135" x14ac:dyDescent="0.25">
      <c r="C6359" s="15">
        <v>420073</v>
      </c>
      <c r="D6359" s="4" t="s">
        <v>6363</v>
      </c>
      <c r="E6359" s="4" t="str">
        <f>HYPERLINK("https://app.crepc.sk/?fn=detailBiblioForm&amp;sid=BC87E1A17A7C37FB608111D17E")</f>
        <v>https://app.crepc.sk/?fn=detailBiblioForm&amp;sid=BC87E1A17A7C37FB608111D17E</v>
      </c>
    </row>
    <row r="6360" spans="3:5" ht="90" x14ac:dyDescent="0.25">
      <c r="C6360" s="15">
        <v>106939</v>
      </c>
      <c r="D6360" s="4" t="s">
        <v>6364</v>
      </c>
      <c r="E6360" s="4" t="str">
        <f>HYPERLINK("https://app.crepc.sk/?fn=detailBiblioForm&amp;sid=5E43C523DBCDA7252D17253062")</f>
        <v>https://app.crepc.sk/?fn=detailBiblioForm&amp;sid=5E43C523DBCDA7252D17253062</v>
      </c>
    </row>
    <row r="6361" spans="3:5" ht="90" x14ac:dyDescent="0.25">
      <c r="C6361" s="15">
        <v>85780</v>
      </c>
      <c r="D6361" s="4" t="s">
        <v>6365</v>
      </c>
      <c r="E6361" s="4" t="str">
        <f>HYPERLINK("https://app.crepc.sk/?fn=detailBiblioForm&amp;sid=124AD03C9ECA356CF5F05100")</f>
        <v>https://app.crepc.sk/?fn=detailBiblioForm&amp;sid=124AD03C9ECA356CF5F05100</v>
      </c>
    </row>
    <row r="6362" spans="3:5" ht="60" x14ac:dyDescent="0.25">
      <c r="C6362" s="15">
        <v>221578</v>
      </c>
      <c r="D6362" s="4" t="s">
        <v>6366</v>
      </c>
      <c r="E6362" s="4" t="str">
        <f>HYPERLINK("https://app.crepc.sk/?fn=detailBiblioForm&amp;sid=096E4EA415965CD7666AF7FE38")</f>
        <v>https://app.crepc.sk/?fn=detailBiblioForm&amp;sid=096E4EA415965CD7666AF7FE38</v>
      </c>
    </row>
    <row r="6363" spans="3:5" ht="75" x14ac:dyDescent="0.25">
      <c r="C6363" s="15">
        <v>415889</v>
      </c>
      <c r="D6363" s="4" t="s">
        <v>6367</v>
      </c>
      <c r="E6363" s="4" t="str">
        <f>HYPERLINK("https://app.crepc.sk/?fn=detailBiblioForm&amp;sid=891DCCC3F171D8A71DB7E1DB34")</f>
        <v>https://app.crepc.sk/?fn=detailBiblioForm&amp;sid=891DCCC3F171D8A71DB7E1DB34</v>
      </c>
    </row>
    <row r="6364" spans="3:5" ht="75" x14ac:dyDescent="0.25">
      <c r="C6364" s="15">
        <v>219496</v>
      </c>
      <c r="D6364" s="4" t="s">
        <v>6368</v>
      </c>
      <c r="E6364" s="4" t="str">
        <f>HYPERLINK("https://app.crepc.sk/?fn=detailBiblioForm&amp;sid=8474A37DD4CFE7851F538DE929")</f>
        <v>https://app.crepc.sk/?fn=detailBiblioForm&amp;sid=8474A37DD4CFE7851F538DE929</v>
      </c>
    </row>
    <row r="6365" spans="3:5" ht="75" x14ac:dyDescent="0.25">
      <c r="C6365" s="15">
        <v>219487</v>
      </c>
      <c r="D6365" s="4" t="s">
        <v>6369</v>
      </c>
      <c r="E6365" s="4" t="str">
        <f>HYPERLINK("https://app.crepc.sk/?fn=detailBiblioForm&amp;sid=8474A37DD4CFE7851E528DE929")</f>
        <v>https://app.crepc.sk/?fn=detailBiblioForm&amp;sid=8474A37DD4CFE7851E528DE929</v>
      </c>
    </row>
    <row r="6366" spans="3:5" ht="90" x14ac:dyDescent="0.25">
      <c r="C6366" s="15">
        <v>137955</v>
      </c>
      <c r="D6366" s="4" t="s">
        <v>6370</v>
      </c>
      <c r="E6366" s="4" t="str">
        <f>HYPERLINK("https://app.crepc.sk/?fn=detailBiblioForm&amp;sid=8922FF609D62574E8E4C3E73A4")</f>
        <v>https://app.crepc.sk/?fn=detailBiblioForm&amp;sid=8922FF609D62574E8E4C3E73A4</v>
      </c>
    </row>
    <row r="6367" spans="3:5" ht="90" x14ac:dyDescent="0.25">
      <c r="C6367" s="15">
        <v>127649</v>
      </c>
      <c r="D6367" s="4" t="s">
        <v>6371</v>
      </c>
      <c r="E6367" s="4" t="str">
        <f>HYPERLINK("https://app.crepc.sk/?fn=detailBiblioForm&amp;sid=A61021784F381E68C306E78699")</f>
        <v>https://app.crepc.sk/?fn=detailBiblioForm&amp;sid=A61021784F381E68C306E78699</v>
      </c>
    </row>
    <row r="6368" spans="3:5" ht="105" x14ac:dyDescent="0.25">
      <c r="C6368" s="15">
        <v>57031</v>
      </c>
      <c r="D6368" s="4" t="s">
        <v>6372</v>
      </c>
      <c r="E6368" s="4" t="str">
        <f>HYPERLINK("https://app.crepc.sk/?fn=detailBiblioForm&amp;sid=CA14426B32D398589A88E22B")</f>
        <v>https://app.crepc.sk/?fn=detailBiblioForm&amp;sid=CA14426B32D398589A88E22B</v>
      </c>
    </row>
    <row r="6369" spans="3:5" ht="105" x14ac:dyDescent="0.25">
      <c r="C6369" s="15">
        <v>139691</v>
      </c>
      <c r="D6369" s="4" t="s">
        <v>6373</v>
      </c>
      <c r="E6369" s="4" t="str">
        <f>HYPERLINK("https://app.crepc.sk/?fn=detailBiblioForm&amp;sid=75DF474C0110DDF9BC43562AAA")</f>
        <v>https://app.crepc.sk/?fn=detailBiblioForm&amp;sid=75DF474C0110DDF9BC43562AAA</v>
      </c>
    </row>
    <row r="6370" spans="3:5" ht="105" x14ac:dyDescent="0.25">
      <c r="C6370" s="15">
        <v>57028</v>
      </c>
      <c r="D6370" s="4" t="s">
        <v>6374</v>
      </c>
      <c r="E6370" s="4" t="str">
        <f>HYPERLINK("https://app.crepc.sk/?fn=detailBiblioForm&amp;sid=35470329E2AB3928A24C02E8")</f>
        <v>https://app.crepc.sk/?fn=detailBiblioForm&amp;sid=35470329E2AB3928A24C02E8</v>
      </c>
    </row>
    <row r="6371" spans="3:5" ht="75" x14ac:dyDescent="0.25">
      <c r="C6371" s="15">
        <v>241201</v>
      </c>
      <c r="D6371" s="4" t="s">
        <v>6375</v>
      </c>
      <c r="E6371" s="4" t="str">
        <f>HYPERLINK("https://app.crepc.sk/?fn=detailBiblioForm&amp;sid=219D60F26EF95CE108552B998E")</f>
        <v>https://app.crepc.sk/?fn=detailBiblioForm&amp;sid=219D60F26EF95CE108552B998E</v>
      </c>
    </row>
    <row r="6372" spans="3:5" ht="75" x14ac:dyDescent="0.25">
      <c r="C6372" s="15">
        <v>84784</v>
      </c>
      <c r="D6372" s="4" t="s">
        <v>6376</v>
      </c>
      <c r="E6372" s="4" t="str">
        <f>HYPERLINK("https://app.crepc.sk/?fn=detailBiblioForm&amp;sid=42C9546B56DB23EF4C94FC30")</f>
        <v>https://app.crepc.sk/?fn=detailBiblioForm&amp;sid=42C9546B56DB23EF4C94FC30</v>
      </c>
    </row>
    <row r="6373" spans="3:5" ht="75" x14ac:dyDescent="0.25">
      <c r="C6373" s="15">
        <v>448053</v>
      </c>
      <c r="D6373" s="4" t="s">
        <v>6377</v>
      </c>
      <c r="E6373" s="4" t="str">
        <f>HYPERLINK("https://app.crepc.sk/?fn=detailBiblioForm&amp;sid=C456FEA07AAA4EFBD1EB4E7345")</f>
        <v>https://app.crepc.sk/?fn=detailBiblioForm&amp;sid=C456FEA07AAA4EFBD1EB4E7345</v>
      </c>
    </row>
    <row r="6374" spans="3:5" ht="90" x14ac:dyDescent="0.25">
      <c r="C6374" s="15">
        <v>140226</v>
      </c>
      <c r="D6374" s="4" t="s">
        <v>6378</v>
      </c>
      <c r="E6374" s="4" t="str">
        <f>HYPERLINK("https://app.crepc.sk/?fn=detailBiblioForm&amp;sid=4A220BA9C567A849190057C72F")</f>
        <v>https://app.crepc.sk/?fn=detailBiblioForm&amp;sid=4A220BA9C567A849190057C72F</v>
      </c>
    </row>
    <row r="6375" spans="3:5" ht="120" x14ac:dyDescent="0.25">
      <c r="C6375" s="15">
        <v>197144</v>
      </c>
      <c r="D6375" s="4" t="s">
        <v>6379</v>
      </c>
      <c r="E6375" s="4" t="str">
        <f>HYPERLINK("https://app.crepc.sk/?fn=detailBiblioForm&amp;sid=50940FCC7D65E2419FD79A99B7")</f>
        <v>https://app.crepc.sk/?fn=detailBiblioForm&amp;sid=50940FCC7D65E2419FD79A99B7</v>
      </c>
    </row>
    <row r="6376" spans="3:5" ht="105" x14ac:dyDescent="0.25">
      <c r="C6376" s="15">
        <v>59269</v>
      </c>
      <c r="D6376" s="4" t="s">
        <v>6380</v>
      </c>
      <c r="E6376" s="4" t="str">
        <f>HYPERLINK("https://app.crepc.sk/?fn=detailBiblioForm&amp;sid=E8CA23F388112108FC704198")</f>
        <v>https://app.crepc.sk/?fn=detailBiblioForm&amp;sid=E8CA23F388112108FC704198</v>
      </c>
    </row>
    <row r="6377" spans="3:5" ht="90" x14ac:dyDescent="0.25">
      <c r="C6377" s="15">
        <v>425440</v>
      </c>
      <c r="D6377" s="4" t="s">
        <v>6381</v>
      </c>
      <c r="E6377" s="4" t="str">
        <f>HYPERLINK("https://app.crepc.sk/?fn=detailBiblioForm&amp;sid=397948A370E721DAF4C3E83A15")</f>
        <v>https://app.crepc.sk/?fn=detailBiblioForm&amp;sid=397948A370E721DAF4C3E83A15</v>
      </c>
    </row>
    <row r="6378" spans="3:5" ht="90" x14ac:dyDescent="0.25">
      <c r="C6378" s="15">
        <v>56621</v>
      </c>
      <c r="D6378" s="4" t="s">
        <v>6382</v>
      </c>
      <c r="E6378" s="4" t="str">
        <f>HYPERLINK("https://app.crepc.sk/?fn=detailBiblioForm&amp;sid=64676C5C5679219361400BE8")</f>
        <v>https://app.crepc.sk/?fn=detailBiblioForm&amp;sid=64676C5C5679219361400BE8</v>
      </c>
    </row>
    <row r="6379" spans="3:5" ht="75" x14ac:dyDescent="0.25">
      <c r="C6379" s="15">
        <v>155817</v>
      </c>
      <c r="D6379" s="4" t="s">
        <v>6383</v>
      </c>
      <c r="E6379" s="4" t="str">
        <f>HYPERLINK("https://app.crepc.sk/?fn=detailBiblioForm&amp;sid=E6565C9ED97EA02FC605D38A9D")</f>
        <v>https://app.crepc.sk/?fn=detailBiblioForm&amp;sid=E6565C9ED97EA02FC605D38A9D</v>
      </c>
    </row>
    <row r="6380" spans="3:5" ht="75" x14ac:dyDescent="0.25">
      <c r="C6380" s="15">
        <v>106183</v>
      </c>
      <c r="D6380" s="4" t="s">
        <v>6384</v>
      </c>
      <c r="E6380" s="4" t="str">
        <f>HYPERLINK("https://app.crepc.sk/?fn=detailBiblioForm&amp;sid=4D4650D7C82505D341F876FBD7")</f>
        <v>https://app.crepc.sk/?fn=detailBiblioForm&amp;sid=4D4650D7C82505D341F876FBD7</v>
      </c>
    </row>
    <row r="6381" spans="3:5" ht="75" x14ac:dyDescent="0.25">
      <c r="C6381" s="15">
        <v>136616</v>
      </c>
      <c r="D6381" s="4" t="s">
        <v>6385</v>
      </c>
      <c r="E6381" s="4" t="str">
        <f>HYPERLINK("https://app.crepc.sk/?fn=detailBiblioForm&amp;sid=4D4167EFBDF6647E3CCCC3831D")</f>
        <v>https://app.crepc.sk/?fn=detailBiblioForm&amp;sid=4D4167EFBDF6647E3CCCC3831D</v>
      </c>
    </row>
    <row r="6382" spans="3:5" ht="90" x14ac:dyDescent="0.25">
      <c r="C6382" s="15">
        <v>58501</v>
      </c>
      <c r="D6382" s="4" t="s">
        <v>6386</v>
      </c>
      <c r="E6382" s="4" t="str">
        <f>HYPERLINK("https://app.crepc.sk/?fn=detailBiblioForm&amp;sid=2AAC6D0AD793C659BA0ACE46")</f>
        <v>https://app.crepc.sk/?fn=detailBiblioForm&amp;sid=2AAC6D0AD793C659BA0ACE46</v>
      </c>
    </row>
    <row r="6383" spans="3:5" ht="90" x14ac:dyDescent="0.25">
      <c r="C6383" s="15">
        <v>98814</v>
      </c>
      <c r="D6383" s="4" t="s">
        <v>6387</v>
      </c>
      <c r="E6383" s="4" t="str">
        <f>HYPERLINK("https://app.crepc.sk/?fn=detailBiblioForm&amp;sid=F80B7016A42F56E7F1D2D16D")</f>
        <v>https://app.crepc.sk/?fn=detailBiblioForm&amp;sid=F80B7016A42F56E7F1D2D16D</v>
      </c>
    </row>
    <row r="6384" spans="3:5" ht="90" x14ac:dyDescent="0.25">
      <c r="C6384" s="15">
        <v>85097</v>
      </c>
      <c r="D6384" s="4" t="s">
        <v>6388</v>
      </c>
      <c r="E6384" s="4" t="str">
        <f>HYPERLINK("https://app.crepc.sk/?fn=detailBiblioForm&amp;sid=DCB3707E7811B2B3BC7A60EB")</f>
        <v>https://app.crepc.sk/?fn=detailBiblioForm&amp;sid=DCB3707E7811B2B3BC7A60EB</v>
      </c>
    </row>
    <row r="6385" spans="3:5" ht="75" x14ac:dyDescent="0.25">
      <c r="C6385" s="15">
        <v>309925</v>
      </c>
      <c r="D6385" s="4" t="s">
        <v>6389</v>
      </c>
      <c r="E6385" s="4" t="str">
        <f>HYPERLINK("https://app.crepc.sk/?fn=detailBiblioForm&amp;sid=01D3392D979C937CACBDD90611")</f>
        <v>https://app.crepc.sk/?fn=detailBiblioForm&amp;sid=01D3392D979C937CACBDD90611</v>
      </c>
    </row>
    <row r="6386" spans="3:5" ht="105" x14ac:dyDescent="0.25">
      <c r="C6386" s="15">
        <v>197139</v>
      </c>
      <c r="D6386" s="4" t="s">
        <v>6390</v>
      </c>
      <c r="E6386" s="4" t="str">
        <f>HYPERLINK("https://app.crepc.sk/?fn=detailBiblioForm&amp;sid=50940FCC7D65E24198DA9A99B7")</f>
        <v>https://app.crepc.sk/?fn=detailBiblioForm&amp;sid=50940FCC7D65E24198DA9A99B7</v>
      </c>
    </row>
    <row r="6387" spans="3:5" ht="90" x14ac:dyDescent="0.25">
      <c r="C6387" s="15">
        <v>122486</v>
      </c>
      <c r="D6387" s="4" t="s">
        <v>6391</v>
      </c>
      <c r="E6387" s="4" t="str">
        <f>HYPERLINK("https://app.crepc.sk/?fn=detailBiblioForm&amp;sid=BA98F1178B40464E5DE0C111D8")</f>
        <v>https://app.crepc.sk/?fn=detailBiblioForm&amp;sid=BA98F1178B40464E5DE0C111D8</v>
      </c>
    </row>
    <row r="6388" spans="3:5" ht="75" x14ac:dyDescent="0.25">
      <c r="C6388" s="15">
        <v>224773</v>
      </c>
      <c r="D6388" s="4" t="s">
        <v>6392</v>
      </c>
      <c r="E6388" s="4" t="str">
        <f>HYPERLINK("https://app.crepc.sk/?fn=detailBiblioForm&amp;sid=68194651F96F8DBEF12A5DD8C8")</f>
        <v>https://app.crepc.sk/?fn=detailBiblioForm&amp;sid=68194651F96F8DBEF12A5DD8C8</v>
      </c>
    </row>
    <row r="6389" spans="3:5" ht="75" x14ac:dyDescent="0.25">
      <c r="C6389" s="15">
        <v>163760</v>
      </c>
      <c r="D6389" s="4" t="s">
        <v>6393</v>
      </c>
      <c r="E6389" s="4" t="str">
        <f>HYPERLINK("https://app.crepc.sk/?fn=detailBiblioForm&amp;sid=8DB42373D07F62A0DEAB45CC59")</f>
        <v>https://app.crepc.sk/?fn=detailBiblioForm&amp;sid=8DB42373D07F62A0DEAB45CC59</v>
      </c>
    </row>
    <row r="6390" spans="3:5" ht="105" x14ac:dyDescent="0.25">
      <c r="C6390" s="15">
        <v>91535</v>
      </c>
      <c r="D6390" s="4" t="s">
        <v>6394</v>
      </c>
      <c r="E6390" s="4" t="str">
        <f>HYPERLINK("https://app.crepc.sk/?fn=detailBiblioForm&amp;sid=D26EDA66432D1315303AE652")</f>
        <v>https://app.crepc.sk/?fn=detailBiblioForm&amp;sid=D26EDA66432D1315303AE652</v>
      </c>
    </row>
    <row r="6391" spans="3:5" ht="90" x14ac:dyDescent="0.25">
      <c r="C6391" s="15">
        <v>139582</v>
      </c>
      <c r="D6391" s="4" t="s">
        <v>6395</v>
      </c>
      <c r="E6391" s="4" t="str">
        <f>HYPERLINK("https://app.crepc.sk/?fn=detailBiblioForm&amp;sid=2753E74A420B011D7AD512E075")</f>
        <v>https://app.crepc.sk/?fn=detailBiblioForm&amp;sid=2753E74A420B011D7AD512E075</v>
      </c>
    </row>
    <row r="6392" spans="3:5" ht="60" x14ac:dyDescent="0.25">
      <c r="C6392" s="15">
        <v>82293</v>
      </c>
      <c r="D6392" s="4" t="s">
        <v>6396</v>
      </c>
      <c r="E6392" s="4" t="str">
        <f>HYPERLINK("https://app.crepc.sk/?fn=detailBiblioForm&amp;sid=BB3A65FA47D6C96087330141")</f>
        <v>https://app.crepc.sk/?fn=detailBiblioForm&amp;sid=BB3A65FA47D6C96087330141</v>
      </c>
    </row>
    <row r="6393" spans="3:5" ht="105" x14ac:dyDescent="0.25">
      <c r="C6393" s="15">
        <v>190596</v>
      </c>
      <c r="D6393" s="4" t="s">
        <v>6397</v>
      </c>
      <c r="E6393" s="4" t="str">
        <f>HYPERLINK("https://app.crepc.sk/?fn=detailBiblioForm&amp;sid=005BEC6325B5BA049117BB253F")</f>
        <v>https://app.crepc.sk/?fn=detailBiblioForm&amp;sid=005BEC6325B5BA049117BB253F</v>
      </c>
    </row>
    <row r="6394" spans="3:5" ht="75" x14ac:dyDescent="0.25">
      <c r="C6394" s="15">
        <v>78904</v>
      </c>
      <c r="D6394" s="4" t="s">
        <v>6398</v>
      </c>
      <c r="E6394" s="4" t="str">
        <f>HYPERLINK("https://app.crepc.sk/?fn=detailBiblioForm&amp;sid=E3B40CE130D218FEB5ABA550")</f>
        <v>https://app.crepc.sk/?fn=detailBiblioForm&amp;sid=E3B40CE130D218FEB5ABA550</v>
      </c>
    </row>
    <row r="6395" spans="3:5" ht="90" x14ac:dyDescent="0.25">
      <c r="C6395" s="15">
        <v>161814</v>
      </c>
      <c r="D6395" s="4" t="s">
        <v>6399</v>
      </c>
      <c r="E6395" s="4" t="str">
        <f>HYPERLINK("https://app.crepc.sk/?fn=detailBiblioForm&amp;sid=9F8942B94996237AAAF974E07C")</f>
        <v>https://app.crepc.sk/?fn=detailBiblioForm&amp;sid=9F8942B94996237AAAF974E07C</v>
      </c>
    </row>
    <row r="6396" spans="3:5" ht="75" x14ac:dyDescent="0.25">
      <c r="C6396" s="15">
        <v>442527</v>
      </c>
      <c r="D6396" s="4" t="s">
        <v>6400</v>
      </c>
      <c r="E6396" s="4" t="str">
        <f>HYPERLINK("https://app.crepc.sk/?fn=detailBiblioForm&amp;sid=A9CFFDCBD31163D914ABFD67B2")</f>
        <v>https://app.crepc.sk/?fn=detailBiblioForm&amp;sid=A9CFFDCBD31163D914ABFD67B2</v>
      </c>
    </row>
    <row r="6397" spans="3:5" ht="75" x14ac:dyDescent="0.25">
      <c r="C6397" s="15">
        <v>129010</v>
      </c>
      <c r="D6397" s="4" t="s">
        <v>6401</v>
      </c>
      <c r="E6397" s="4" t="str">
        <f>HYPERLINK("https://app.crepc.sk/?fn=detailBiblioForm&amp;sid=8ED2C2B0C8CAA517FB6A6E93E7")</f>
        <v>https://app.crepc.sk/?fn=detailBiblioForm&amp;sid=8ED2C2B0C8CAA517FB6A6E93E7</v>
      </c>
    </row>
    <row r="6398" spans="3:5" ht="90" x14ac:dyDescent="0.25">
      <c r="C6398" s="15">
        <v>126918</v>
      </c>
      <c r="D6398" s="4" t="s">
        <v>6402</v>
      </c>
      <c r="E6398" s="4" t="str">
        <f>HYPERLINK("https://app.crepc.sk/?fn=detailBiblioForm&amp;sid=0D77803B6B9621F08668B73F55")</f>
        <v>https://app.crepc.sk/?fn=detailBiblioForm&amp;sid=0D77803B6B9621F08668B73F55</v>
      </c>
    </row>
    <row r="6399" spans="3:5" ht="75" x14ac:dyDescent="0.25">
      <c r="C6399" s="15">
        <v>116806</v>
      </c>
      <c r="D6399" s="4" t="s">
        <v>6403</v>
      </c>
      <c r="E6399" s="4" t="str">
        <f>HYPERLINK("https://app.crepc.sk/?fn=detailBiblioForm&amp;sid=E72B30B2FBB5A43D8C8D052574")</f>
        <v>https://app.crepc.sk/?fn=detailBiblioForm&amp;sid=E72B30B2FBB5A43D8C8D052574</v>
      </c>
    </row>
    <row r="6400" spans="3:5" ht="150" x14ac:dyDescent="0.25">
      <c r="C6400" s="15">
        <v>420937</v>
      </c>
      <c r="D6400" s="4" t="s">
        <v>6404</v>
      </c>
      <c r="E6400" s="4" t="str">
        <f>HYPERLINK("https://app.crepc.sk/?fn=detailBiblioForm&amp;sid=18CC9E69A325FAFD67CF0E03E6")</f>
        <v>https://app.crepc.sk/?fn=detailBiblioForm&amp;sid=18CC9E69A325FAFD67CF0E03E6</v>
      </c>
    </row>
    <row r="6401" spans="3:5" ht="75" x14ac:dyDescent="0.25">
      <c r="C6401" s="15">
        <v>61166</v>
      </c>
      <c r="D6401" s="4" t="s">
        <v>6405</v>
      </c>
      <c r="E6401" s="4" t="str">
        <f>HYPERLINK("https://app.crepc.sk/?fn=detailBiblioForm&amp;sid=57D44B08AF357A0D09EACBF1")</f>
        <v>https://app.crepc.sk/?fn=detailBiblioForm&amp;sid=57D44B08AF357A0D09EACBF1</v>
      </c>
    </row>
    <row r="6402" spans="3:5" ht="75" x14ac:dyDescent="0.25">
      <c r="C6402" s="15">
        <v>122482</v>
      </c>
      <c r="D6402" s="4" t="s">
        <v>6406</v>
      </c>
      <c r="E6402" s="4" t="str">
        <f>HYPERLINK("https://app.crepc.sk/?fn=detailBiblioForm&amp;sid=BA98F1178B40464E5DE4C111D8")</f>
        <v>https://app.crepc.sk/?fn=detailBiblioForm&amp;sid=BA98F1178B40464E5DE4C111D8</v>
      </c>
    </row>
    <row r="6403" spans="3:5" ht="90" x14ac:dyDescent="0.25">
      <c r="C6403" s="15">
        <v>59022</v>
      </c>
      <c r="D6403" s="4" t="s">
        <v>6407</v>
      </c>
      <c r="E6403" s="4" t="str">
        <f>HYPERLINK("https://app.crepc.sk/?fn=detailBiblioForm&amp;sid=10E9BC5EEB995468FCC47B3A")</f>
        <v>https://app.crepc.sk/?fn=detailBiblioForm&amp;sid=10E9BC5EEB995468FCC47B3A</v>
      </c>
    </row>
    <row r="6404" spans="3:5" ht="90" x14ac:dyDescent="0.25">
      <c r="C6404" s="15">
        <v>59075</v>
      </c>
      <c r="D6404" s="4" t="s">
        <v>6408</v>
      </c>
      <c r="E6404" s="4" t="str">
        <f>HYPERLINK("https://app.crepc.sk/?fn=detailBiblioForm&amp;sid=BAEBD31AA67B280D9E1259DF")</f>
        <v>https://app.crepc.sk/?fn=detailBiblioForm&amp;sid=BAEBD31AA67B280D9E1259DF</v>
      </c>
    </row>
    <row r="6405" spans="3:5" ht="90" x14ac:dyDescent="0.25">
      <c r="C6405" s="15">
        <v>56663</v>
      </c>
      <c r="D6405" s="4" t="s">
        <v>6409</v>
      </c>
      <c r="E6405" s="4" t="str">
        <f>HYPERLINK("https://app.crepc.sk/?fn=detailBiblioForm&amp;sid=8BB2EB227141DDE1B266DE76")</f>
        <v>https://app.crepc.sk/?fn=detailBiblioForm&amp;sid=8BB2EB227141DDE1B266DE76</v>
      </c>
    </row>
    <row r="6406" spans="3:5" ht="105" x14ac:dyDescent="0.25">
      <c r="C6406" s="15">
        <v>155529</v>
      </c>
      <c r="D6406" s="4" t="s">
        <v>6410</v>
      </c>
      <c r="E6406" s="4" t="str">
        <f>HYPERLINK("https://app.crepc.sk/?fn=detailBiblioForm&amp;sid=C5CEB0A71A9E9E69871B13A9DA")</f>
        <v>https://app.crepc.sk/?fn=detailBiblioForm&amp;sid=C5CEB0A71A9E9E69871B13A9DA</v>
      </c>
    </row>
    <row r="6407" spans="3:5" ht="90" x14ac:dyDescent="0.25">
      <c r="C6407" s="15">
        <v>97431</v>
      </c>
      <c r="D6407" s="4" t="s">
        <v>6411</v>
      </c>
      <c r="E6407" s="4" t="str">
        <f>HYPERLINK("https://app.crepc.sk/?fn=detailBiblioForm&amp;sid=4EA75FC389B9F28A2E364A0A")</f>
        <v>https://app.crepc.sk/?fn=detailBiblioForm&amp;sid=4EA75FC389B9F28A2E364A0A</v>
      </c>
    </row>
    <row r="6408" spans="3:5" ht="90" x14ac:dyDescent="0.25">
      <c r="C6408" s="15">
        <v>96473</v>
      </c>
      <c r="D6408" s="4" t="s">
        <v>6412</v>
      </c>
      <c r="E6408" s="4" t="str">
        <f>HYPERLINK("https://app.crepc.sk/?fn=detailBiblioForm&amp;sid=877D6D9D486CACC9843F422A")</f>
        <v>https://app.crepc.sk/?fn=detailBiblioForm&amp;sid=877D6D9D486CACC9843F422A</v>
      </c>
    </row>
    <row r="6409" spans="3:5" ht="105" x14ac:dyDescent="0.25">
      <c r="C6409" s="15">
        <v>197163</v>
      </c>
      <c r="D6409" s="4" t="s">
        <v>6413</v>
      </c>
      <c r="E6409" s="4" t="str">
        <f>HYPERLINK("https://app.crepc.sk/?fn=detailBiblioForm&amp;sid=50940FCC7D65E2419DD09A99B7")</f>
        <v>https://app.crepc.sk/?fn=detailBiblioForm&amp;sid=50940FCC7D65E2419DD09A99B7</v>
      </c>
    </row>
    <row r="6410" spans="3:5" ht="90" x14ac:dyDescent="0.25">
      <c r="C6410" s="15">
        <v>306511</v>
      </c>
      <c r="D6410" s="4" t="s">
        <v>6414</v>
      </c>
      <c r="E6410" s="4" t="str">
        <f>HYPERLINK("https://app.crepc.sk/?fn=detailBiblioForm&amp;sid=CBB657F935C68F148D4FAC8AF7")</f>
        <v>https://app.crepc.sk/?fn=detailBiblioForm&amp;sid=CBB657F935C68F148D4FAC8AF7</v>
      </c>
    </row>
    <row r="6411" spans="3:5" ht="75" x14ac:dyDescent="0.25">
      <c r="C6411" s="15">
        <v>105446</v>
      </c>
      <c r="D6411" s="4" t="s">
        <v>6415</v>
      </c>
      <c r="E6411" s="4" t="str">
        <f>HYPERLINK("https://app.crepc.sk/?fn=detailBiblioForm&amp;sid=C9F2ED9DAFACD725E16330F024")</f>
        <v>https://app.crepc.sk/?fn=detailBiblioForm&amp;sid=C9F2ED9DAFACD725E16330F024</v>
      </c>
    </row>
    <row r="6412" spans="3:5" ht="105" x14ac:dyDescent="0.25">
      <c r="C6412" s="15">
        <v>197171</v>
      </c>
      <c r="D6412" s="4" t="s">
        <v>6416</v>
      </c>
      <c r="E6412" s="4" t="str">
        <f>HYPERLINK("https://app.crepc.sk/?fn=detailBiblioForm&amp;sid=50940FCC7D65E2419CD29A99B7")</f>
        <v>https://app.crepc.sk/?fn=detailBiblioForm&amp;sid=50940FCC7D65E2419CD29A99B7</v>
      </c>
    </row>
    <row r="6413" spans="3:5" ht="90" x14ac:dyDescent="0.25">
      <c r="C6413" s="15">
        <v>127588</v>
      </c>
      <c r="D6413" s="4" t="s">
        <v>6417</v>
      </c>
      <c r="E6413" s="4" t="str">
        <f>HYPERLINK("https://app.crepc.sk/?fn=detailBiblioForm&amp;sid=DBEBBE2C2F1C2B14AB888ECF74")</f>
        <v>https://app.crepc.sk/?fn=detailBiblioForm&amp;sid=DBEBBE2C2F1C2B14AB888ECF74</v>
      </c>
    </row>
    <row r="6414" spans="3:5" ht="105" x14ac:dyDescent="0.25">
      <c r="C6414" s="15">
        <v>172956</v>
      </c>
      <c r="D6414" s="4" t="s">
        <v>6418</v>
      </c>
      <c r="E6414" s="4" t="str">
        <f>HYPERLINK("https://app.crepc.sk/?fn=detailBiblioForm&amp;sid=D6903242A3B61C7D22CF80C097")</f>
        <v>https://app.crepc.sk/?fn=detailBiblioForm&amp;sid=D6903242A3B61C7D22CF80C097</v>
      </c>
    </row>
    <row r="6415" spans="3:5" ht="75" x14ac:dyDescent="0.25">
      <c r="C6415" s="15">
        <v>167506</v>
      </c>
      <c r="D6415" s="4" t="s">
        <v>6419</v>
      </c>
      <c r="E6415" s="4" t="str">
        <f>HYPERLINK("https://app.crepc.sk/?fn=detailBiblioForm&amp;sid=13B4E46DA990E2A2325B4F501F")</f>
        <v>https://app.crepc.sk/?fn=detailBiblioForm&amp;sid=13B4E46DA990E2A2325B4F501F</v>
      </c>
    </row>
    <row r="6416" spans="3:5" ht="105" x14ac:dyDescent="0.25">
      <c r="C6416" s="15">
        <v>59220</v>
      </c>
      <c r="D6416" s="4" t="s">
        <v>6420</v>
      </c>
      <c r="E6416" s="4" t="str">
        <f>HYPERLINK("https://app.crepc.sk/?fn=detailBiblioForm&amp;sid=8E97BEC89BDBCE9716E91C0D")</f>
        <v>https://app.crepc.sk/?fn=detailBiblioForm&amp;sid=8E97BEC89BDBCE9716E91C0D</v>
      </c>
    </row>
    <row r="6417" spans="3:5" ht="105" x14ac:dyDescent="0.25">
      <c r="C6417" s="15">
        <v>217653</v>
      </c>
      <c r="D6417" s="4" t="s">
        <v>6421</v>
      </c>
      <c r="E6417" s="4" t="str">
        <f>HYPERLINK("https://app.crepc.sk/?fn=detailBiblioForm&amp;sid=DB0D4AC0076DAAFDC76A9FF450")</f>
        <v>https://app.crepc.sk/?fn=detailBiblioForm&amp;sid=DB0D4AC0076DAAFDC76A9FF450</v>
      </c>
    </row>
    <row r="6418" spans="3:5" ht="105" x14ac:dyDescent="0.25">
      <c r="C6418" s="15">
        <v>58443</v>
      </c>
      <c r="D6418" s="4" t="s">
        <v>6422</v>
      </c>
      <c r="E6418" s="4" t="str">
        <f>HYPERLINK("https://app.crepc.sk/?fn=detailBiblioForm&amp;sid=4E84065A295BDF8D0C460BBD")</f>
        <v>https://app.crepc.sk/?fn=detailBiblioForm&amp;sid=4E84065A295BDF8D0C460BBD</v>
      </c>
    </row>
    <row r="6419" spans="3:5" ht="105" x14ac:dyDescent="0.25">
      <c r="C6419" s="15">
        <v>87885</v>
      </c>
      <c r="D6419" s="4" t="s">
        <v>6423</v>
      </c>
      <c r="E6419" s="4" t="str">
        <f>HYPERLINK("https://app.crepc.sk/?fn=detailBiblioForm&amp;sid=0E25BC2ED309A87CF55BB9B0")</f>
        <v>https://app.crepc.sk/?fn=detailBiblioForm&amp;sid=0E25BC2ED309A87CF55BB9B0</v>
      </c>
    </row>
    <row r="6420" spans="3:5" ht="90" x14ac:dyDescent="0.25">
      <c r="C6420" s="15">
        <v>155863</v>
      </c>
      <c r="D6420" s="4" t="s">
        <v>6424</v>
      </c>
      <c r="E6420" s="4" t="str">
        <f>HYPERLINK("https://app.crepc.sk/?fn=detailBiblioForm&amp;sid=E6565C9ED97EA02FC101D38A9D")</f>
        <v>https://app.crepc.sk/?fn=detailBiblioForm&amp;sid=E6565C9ED97EA02FC101D38A9D</v>
      </c>
    </row>
    <row r="6421" spans="3:5" ht="90" x14ac:dyDescent="0.25">
      <c r="C6421" s="15">
        <v>87928</v>
      </c>
      <c r="D6421" s="4" t="s">
        <v>6425</v>
      </c>
      <c r="E6421" s="4" t="str">
        <f>HYPERLINK("https://app.crepc.sk/?fn=detailBiblioForm&amp;sid=374BCAB9F2E4FD66CBAFBE14")</f>
        <v>https://app.crepc.sk/?fn=detailBiblioForm&amp;sid=374BCAB9F2E4FD66CBAFBE14</v>
      </c>
    </row>
    <row r="6422" spans="3:5" ht="105" x14ac:dyDescent="0.25">
      <c r="C6422" s="15">
        <v>59045</v>
      </c>
      <c r="D6422" s="4" t="s">
        <v>6426</v>
      </c>
      <c r="E6422" s="4" t="str">
        <f>HYPERLINK("https://app.crepc.sk/?fn=detailBiblioForm&amp;sid=8FDB8D517B62C0DD97BD96C7")</f>
        <v>https://app.crepc.sk/?fn=detailBiblioForm&amp;sid=8FDB8D517B62C0DD97BD96C7</v>
      </c>
    </row>
    <row r="6423" spans="3:5" ht="90" x14ac:dyDescent="0.25">
      <c r="C6423" s="15">
        <v>161689</v>
      </c>
      <c r="D6423" s="4" t="s">
        <v>6427</v>
      </c>
      <c r="E6423" s="4" t="str">
        <f>HYPERLINK("https://app.crepc.sk/?fn=detailBiblioForm&amp;sid=1D69B1A76ABEB527B867BB2E6D")</f>
        <v>https://app.crepc.sk/?fn=detailBiblioForm&amp;sid=1D69B1A76ABEB527B867BB2E6D</v>
      </c>
    </row>
    <row r="6424" spans="3:5" ht="75" x14ac:dyDescent="0.25">
      <c r="C6424" s="15">
        <v>206916</v>
      </c>
      <c r="D6424" s="4" t="s">
        <v>6428</v>
      </c>
      <c r="E6424" s="4" t="str">
        <f>HYPERLINK("https://app.crepc.sk/?fn=detailBiblioForm&amp;sid=C3A916DF7A5355BD5C183ED7A5")</f>
        <v>https://app.crepc.sk/?fn=detailBiblioForm&amp;sid=C3A916DF7A5355BD5C183ED7A5</v>
      </c>
    </row>
    <row r="6425" spans="3:5" ht="120" x14ac:dyDescent="0.25">
      <c r="C6425" s="15">
        <v>58420</v>
      </c>
      <c r="D6425" s="4" t="s">
        <v>6429</v>
      </c>
      <c r="E6425" s="4" t="str">
        <f>HYPERLINK("https://app.crepc.sk/?fn=detailBiblioForm&amp;sid=CED22A9171A9F2395C3DAF71")</f>
        <v>https://app.crepc.sk/?fn=detailBiblioForm&amp;sid=CED22A9171A9F2395C3DAF71</v>
      </c>
    </row>
    <row r="6426" spans="3:5" ht="90" x14ac:dyDescent="0.25">
      <c r="C6426" s="15">
        <v>127357</v>
      </c>
      <c r="D6426" s="4" t="s">
        <v>6430</v>
      </c>
      <c r="E6426" s="4" t="str">
        <f>HYPERLINK("https://app.crepc.sk/?fn=detailBiblioForm&amp;sid=5D4D29B46C695A5DF49F722909")</f>
        <v>https://app.crepc.sk/?fn=detailBiblioForm&amp;sid=5D4D29B46C695A5DF49F722909</v>
      </c>
    </row>
    <row r="6427" spans="3:5" ht="135" x14ac:dyDescent="0.25">
      <c r="C6427" s="15">
        <v>420936</v>
      </c>
      <c r="D6427" s="4" t="s">
        <v>6431</v>
      </c>
      <c r="E6427" s="4" t="str">
        <f>HYPERLINK("https://app.crepc.sk/?fn=detailBiblioForm&amp;sid=18CC9E69A325FAFD67CE0E03E6")</f>
        <v>https://app.crepc.sk/?fn=detailBiblioForm&amp;sid=18CC9E69A325FAFD67CE0E03E6</v>
      </c>
    </row>
    <row r="6428" spans="3:5" ht="105" x14ac:dyDescent="0.25">
      <c r="C6428" s="15">
        <v>139578</v>
      </c>
      <c r="D6428" s="4" t="s">
        <v>6432</v>
      </c>
      <c r="E6428" s="4" t="str">
        <f>HYPERLINK("https://app.crepc.sk/?fn=detailBiblioForm&amp;sid=2753E74A420B011D75DF12E075")</f>
        <v>https://app.crepc.sk/?fn=detailBiblioForm&amp;sid=2753E74A420B011D75DF12E075</v>
      </c>
    </row>
    <row r="6429" spans="3:5" ht="75" x14ac:dyDescent="0.25">
      <c r="C6429" s="15">
        <v>133823</v>
      </c>
      <c r="D6429" s="4" t="s">
        <v>6433</v>
      </c>
      <c r="E6429" s="4" t="str">
        <f>HYPERLINK("https://app.crepc.sk/?fn=detailBiblioForm&amp;sid=C6384B4AD84FDE7B3EC35272DC")</f>
        <v>https://app.crepc.sk/?fn=detailBiblioForm&amp;sid=C6384B4AD84FDE7B3EC35272DC</v>
      </c>
    </row>
    <row r="6430" spans="3:5" ht="90" x14ac:dyDescent="0.25">
      <c r="C6430" s="15">
        <v>111123</v>
      </c>
      <c r="D6430" s="4" t="s">
        <v>6434</v>
      </c>
      <c r="E6430" s="4" t="str">
        <f>HYPERLINK("https://app.crepc.sk/?fn=detailBiblioForm&amp;sid=100EE58FA53739A60C58370883")</f>
        <v>https://app.crepc.sk/?fn=detailBiblioForm&amp;sid=100EE58FA53739A60C58370883</v>
      </c>
    </row>
    <row r="6431" spans="3:5" ht="90" x14ac:dyDescent="0.25">
      <c r="C6431" s="15">
        <v>127662</v>
      </c>
      <c r="D6431" s="4" t="s">
        <v>6435</v>
      </c>
      <c r="E6431" s="4" t="str">
        <f>HYPERLINK("https://app.crepc.sk/?fn=detailBiblioForm&amp;sid=A61021784F381E68C10DE78699")</f>
        <v>https://app.crepc.sk/?fn=detailBiblioForm&amp;sid=A61021784F381E68C10DE78699</v>
      </c>
    </row>
    <row r="6432" spans="3:5" ht="75" x14ac:dyDescent="0.25">
      <c r="C6432" s="15">
        <v>161750</v>
      </c>
      <c r="D6432" s="4" t="s">
        <v>6436</v>
      </c>
      <c r="E6432" s="4" t="str">
        <f>HYPERLINK("https://app.crepc.sk/?fn=detailBiblioForm&amp;sid=BCA102CB6C4CA54D49EFC863D9")</f>
        <v>https://app.crepc.sk/?fn=detailBiblioForm&amp;sid=BCA102CB6C4CA54D49EFC863D9</v>
      </c>
    </row>
    <row r="6433" spans="3:5" ht="75" x14ac:dyDescent="0.25">
      <c r="C6433" s="15">
        <v>133456</v>
      </c>
      <c r="D6433" s="4" t="s">
        <v>6437</v>
      </c>
      <c r="E6433" s="4" t="str">
        <f>HYPERLINK("https://app.crepc.sk/?fn=detailBiblioForm&amp;sid=062C1ED5E40068C512D37EA354")</f>
        <v>https://app.crepc.sk/?fn=detailBiblioForm&amp;sid=062C1ED5E40068C512D37EA354</v>
      </c>
    </row>
    <row r="6434" spans="3:5" ht="90" x14ac:dyDescent="0.25">
      <c r="C6434" s="15">
        <v>83338</v>
      </c>
      <c r="D6434" s="4" t="s">
        <v>6438</v>
      </c>
      <c r="E6434" s="4" t="str">
        <f>HYPERLINK("https://app.crepc.sk/?fn=detailBiblioForm&amp;sid=D91392DB7FD79742F26D3D62")</f>
        <v>https://app.crepc.sk/?fn=detailBiblioForm&amp;sid=D91392DB7FD79742F26D3D62</v>
      </c>
    </row>
    <row r="6435" spans="3:5" ht="105" x14ac:dyDescent="0.25">
      <c r="C6435" s="15">
        <v>59431</v>
      </c>
      <c r="D6435" s="4" t="s">
        <v>6439</v>
      </c>
      <c r="E6435" s="4" t="str">
        <f>HYPERLINK("https://app.crepc.sk/?fn=detailBiblioForm&amp;sid=86250A8250B9FAE1FB3CB28F")</f>
        <v>https://app.crepc.sk/?fn=detailBiblioForm&amp;sid=86250A8250B9FAE1FB3CB28F</v>
      </c>
    </row>
    <row r="6436" spans="3:5" ht="105" x14ac:dyDescent="0.25">
      <c r="C6436" s="15">
        <v>161808</v>
      </c>
      <c r="D6436" s="4" t="s">
        <v>6440</v>
      </c>
      <c r="E6436" s="4" t="str">
        <f>HYPERLINK("https://app.crepc.sk/?fn=detailBiblioForm&amp;sid=9F8942B94996237AABF574E07C")</f>
        <v>https://app.crepc.sk/?fn=detailBiblioForm&amp;sid=9F8942B94996237AABF574E07C</v>
      </c>
    </row>
    <row r="6437" spans="3:5" ht="75" x14ac:dyDescent="0.25">
      <c r="C6437" s="15">
        <v>75385</v>
      </c>
      <c r="D6437" s="4" t="s">
        <v>6441</v>
      </c>
      <c r="E6437" s="4" t="str">
        <f>HYPERLINK("https://app.crepc.sk/?fn=detailBiblioForm&amp;sid=72B3808FFA6EB03F5EF85F3A")</f>
        <v>https://app.crepc.sk/?fn=detailBiblioForm&amp;sid=72B3808FFA6EB03F5EF85F3A</v>
      </c>
    </row>
    <row r="6438" spans="3:5" ht="90" x14ac:dyDescent="0.25">
      <c r="C6438" s="15">
        <v>140599</v>
      </c>
      <c r="D6438" s="4" t="s">
        <v>6442</v>
      </c>
      <c r="E6438" s="4" t="str">
        <f>HYPERLINK("https://app.crepc.sk/?fn=detailBiblioForm&amp;sid=54F4268BA0160071D14337B81F")</f>
        <v>https://app.crepc.sk/?fn=detailBiblioForm&amp;sid=54F4268BA0160071D14337B81F</v>
      </c>
    </row>
    <row r="6439" spans="3:5" ht="105" x14ac:dyDescent="0.25">
      <c r="C6439" s="15">
        <v>139567</v>
      </c>
      <c r="D6439" s="4" t="s">
        <v>6443</v>
      </c>
      <c r="E6439" s="4" t="str">
        <f>HYPERLINK("https://app.crepc.sk/?fn=detailBiblioForm&amp;sid=2753E74A420B011D74D012E075")</f>
        <v>https://app.crepc.sk/?fn=detailBiblioForm&amp;sid=2753E74A420B011D74D012E075</v>
      </c>
    </row>
    <row r="6440" spans="3:5" ht="75" x14ac:dyDescent="0.25">
      <c r="C6440" s="15">
        <v>148124</v>
      </c>
      <c r="D6440" s="4" t="s">
        <v>6444</v>
      </c>
      <c r="E6440" s="4" t="str">
        <f>HYPERLINK("https://app.crepc.sk/?fn=detailBiblioForm&amp;sid=A513BA47383E37739BF5066018")</f>
        <v>https://app.crepc.sk/?fn=detailBiblioForm&amp;sid=A513BA47383E37739BF5066018</v>
      </c>
    </row>
    <row r="6441" spans="3:5" ht="90" x14ac:dyDescent="0.25">
      <c r="C6441" s="15">
        <v>422448</v>
      </c>
      <c r="D6441" s="4" t="s">
        <v>6445</v>
      </c>
      <c r="E6441" s="4" t="str">
        <f>HYPERLINK("https://app.crepc.sk/?fn=detailBiblioForm&amp;sid=50C23C962AC4873683FB98C4F3")</f>
        <v>https://app.crepc.sk/?fn=detailBiblioForm&amp;sid=50C23C962AC4873683FB98C4F3</v>
      </c>
    </row>
    <row r="6442" spans="3:5" ht="90" x14ac:dyDescent="0.25">
      <c r="C6442" s="15">
        <v>59348</v>
      </c>
      <c r="D6442" s="4" t="s">
        <v>6446</v>
      </c>
      <c r="E6442" s="4" t="str">
        <f>HYPERLINK("https://app.crepc.sk/?fn=detailBiblioForm&amp;sid=CBFF5BADE935698ADF9999A2")</f>
        <v>https://app.crepc.sk/?fn=detailBiblioForm&amp;sid=CBFF5BADE935698ADF9999A2</v>
      </c>
    </row>
    <row r="6443" spans="3:5" ht="90" x14ac:dyDescent="0.25">
      <c r="C6443" s="15">
        <v>137944</v>
      </c>
      <c r="D6443" s="4" t="s">
        <v>6447</v>
      </c>
      <c r="E6443" s="4" t="str">
        <f>HYPERLINK("https://app.crepc.sk/?fn=detailBiblioForm&amp;sid=8922FF609D62574E8F4D3E73A4")</f>
        <v>https://app.crepc.sk/?fn=detailBiblioForm&amp;sid=8922FF609D62574E8F4D3E73A4</v>
      </c>
    </row>
    <row r="6444" spans="3:5" ht="90" x14ac:dyDescent="0.25">
      <c r="C6444" s="15">
        <v>218630</v>
      </c>
      <c r="D6444" s="4" t="s">
        <v>6448</v>
      </c>
      <c r="E6444" s="4" t="str">
        <f>HYPERLINK("https://app.crepc.sk/?fn=detailBiblioForm&amp;sid=74446F55A9349C991AD40AA1D3")</f>
        <v>https://app.crepc.sk/?fn=detailBiblioForm&amp;sid=74446F55A9349C991AD40AA1D3</v>
      </c>
    </row>
    <row r="6445" spans="3:5" ht="90" x14ac:dyDescent="0.25">
      <c r="C6445" s="15">
        <v>127364</v>
      </c>
      <c r="D6445" s="4" t="s">
        <v>6449</v>
      </c>
      <c r="E6445" s="4" t="str">
        <f>HYPERLINK("https://app.crepc.sk/?fn=detailBiblioForm&amp;sid=5D4D29B46C695A5DF79C722909")</f>
        <v>https://app.crepc.sk/?fn=detailBiblioForm&amp;sid=5D4D29B46C695A5DF79C722909</v>
      </c>
    </row>
    <row r="6446" spans="3:5" ht="90" x14ac:dyDescent="0.25">
      <c r="C6446" s="15">
        <v>232027</v>
      </c>
      <c r="D6446" s="4" t="s">
        <v>6450</v>
      </c>
      <c r="E6446" s="4" t="str">
        <f>HYPERLINK("https://app.crepc.sk/?fn=detailBiblioForm&amp;sid=C65CC4D34354C627FAE59B975D")</f>
        <v>https://app.crepc.sk/?fn=detailBiblioForm&amp;sid=C65CC4D34354C627FAE59B975D</v>
      </c>
    </row>
    <row r="6447" spans="3:5" ht="90" x14ac:dyDescent="0.25">
      <c r="C6447" s="15">
        <v>190508</v>
      </c>
      <c r="D6447" s="4" t="s">
        <v>6451</v>
      </c>
      <c r="E6447" s="4" t="str">
        <f>HYPERLINK("https://app.crepc.sk/?fn=detailBiblioForm&amp;sid=005BEC6325B5BA049819BB253F")</f>
        <v>https://app.crepc.sk/?fn=detailBiblioForm&amp;sid=005BEC6325B5BA049819BB253F</v>
      </c>
    </row>
    <row r="6448" spans="3:5" ht="90" x14ac:dyDescent="0.25">
      <c r="C6448" s="15">
        <v>61115</v>
      </c>
      <c r="D6448" s="4" t="s">
        <v>6452</v>
      </c>
      <c r="E6448" s="4" t="str">
        <f>HYPERLINK("https://app.crepc.sk/?fn=detailBiblioForm&amp;sid=07761D0AF77A5373EB775B47")</f>
        <v>https://app.crepc.sk/?fn=detailBiblioForm&amp;sid=07761D0AF77A5373EB775B47</v>
      </c>
    </row>
    <row r="6449" spans="3:5" ht="75" x14ac:dyDescent="0.25">
      <c r="C6449" s="15">
        <v>149391</v>
      </c>
      <c r="D6449" s="4" t="s">
        <v>6453</v>
      </c>
      <c r="E6449" s="4" t="str">
        <f>HYPERLINK("https://app.crepc.sk/?fn=detailBiblioForm&amp;sid=D01AE3E6A036F3F6518C797264")</f>
        <v>https://app.crepc.sk/?fn=detailBiblioForm&amp;sid=D01AE3E6A036F3F6518C797264</v>
      </c>
    </row>
    <row r="6450" spans="3:5" ht="75" x14ac:dyDescent="0.25">
      <c r="C6450" s="15">
        <v>227855</v>
      </c>
      <c r="D6450" s="4" t="s">
        <v>6454</v>
      </c>
      <c r="E6450" s="4" t="str">
        <f>HYPERLINK("https://app.crepc.sk/?fn=detailBiblioForm&amp;sid=D57B83470BBFCEC222833FD33C")</f>
        <v>https://app.crepc.sk/?fn=detailBiblioForm&amp;sid=D57B83470BBFCEC222833FD33C</v>
      </c>
    </row>
    <row r="6451" spans="3:5" ht="75" x14ac:dyDescent="0.25">
      <c r="C6451" s="15">
        <v>430217</v>
      </c>
      <c r="D6451" s="4" t="s">
        <v>6455</v>
      </c>
      <c r="E6451" s="4" t="str">
        <f>HYPERLINK("https://app.crepc.sk/?fn=detailBiblioForm&amp;sid=8BEC0704DEFF770458D2B6FDB1")</f>
        <v>https://app.crepc.sk/?fn=detailBiblioForm&amp;sid=8BEC0704DEFF770458D2B6FDB1</v>
      </c>
    </row>
    <row r="6452" spans="3:5" ht="75" x14ac:dyDescent="0.25">
      <c r="C6452" s="15">
        <v>148118</v>
      </c>
      <c r="D6452" s="4" t="s">
        <v>6456</v>
      </c>
      <c r="E6452" s="4" t="str">
        <f>HYPERLINK("https://app.crepc.sk/?fn=detailBiblioForm&amp;sid=A513BA47383E377398F9066018")</f>
        <v>https://app.crepc.sk/?fn=detailBiblioForm&amp;sid=A513BA47383E377398F9066018</v>
      </c>
    </row>
    <row r="6453" spans="3:5" ht="105" x14ac:dyDescent="0.25">
      <c r="C6453" s="15">
        <v>58503</v>
      </c>
      <c r="D6453" s="4" t="s">
        <v>6457</v>
      </c>
      <c r="E6453" s="4" t="str">
        <f>HYPERLINK("https://app.crepc.sk/?fn=detailBiblioForm&amp;sid=2AAC6D0AD793C659B80ACE46")</f>
        <v>https://app.crepc.sk/?fn=detailBiblioForm&amp;sid=2AAC6D0AD793C659B80ACE46</v>
      </c>
    </row>
    <row r="6454" spans="3:5" ht="90" x14ac:dyDescent="0.25">
      <c r="C6454" s="15">
        <v>56661</v>
      </c>
      <c r="D6454" s="4" t="s">
        <v>6458</v>
      </c>
      <c r="E6454" s="4" t="str">
        <f>HYPERLINK("https://app.crepc.sk/?fn=detailBiblioForm&amp;sid=8BB2EB227141DDE1B066DE76")</f>
        <v>https://app.crepc.sk/?fn=detailBiblioForm&amp;sid=8BB2EB227141DDE1B066DE76</v>
      </c>
    </row>
    <row r="6455" spans="3:5" ht="90" x14ac:dyDescent="0.25">
      <c r="C6455" s="15">
        <v>152217</v>
      </c>
      <c r="D6455" s="4" t="s">
        <v>6459</v>
      </c>
      <c r="E6455" s="4" t="str">
        <f>HYPERLINK("https://app.crepc.sk/?fn=detailBiblioForm&amp;sid=C3244647CD7CB0B778776FBDAB")</f>
        <v>https://app.crepc.sk/?fn=detailBiblioForm&amp;sid=C3244647CD7CB0B778776FBDAB</v>
      </c>
    </row>
    <row r="6456" spans="3:5" ht="105" x14ac:dyDescent="0.25">
      <c r="C6456" s="15">
        <v>312421</v>
      </c>
      <c r="D6456" s="4" t="s">
        <v>6460</v>
      </c>
      <c r="E6456" s="4" t="str">
        <f>HYPERLINK("https://app.crepc.sk/?fn=detailBiblioForm&amp;sid=29E831AA7AE2D1910DE12E0FED")</f>
        <v>https://app.crepc.sk/?fn=detailBiblioForm&amp;sid=29E831AA7AE2D1910DE12E0FED</v>
      </c>
    </row>
    <row r="6457" spans="3:5" ht="75" x14ac:dyDescent="0.25">
      <c r="C6457" s="15">
        <v>429062</v>
      </c>
      <c r="D6457" s="4" t="s">
        <v>6461</v>
      </c>
      <c r="E6457" s="4" t="str">
        <f>HYPERLINK("https://app.crepc.sk/?fn=detailBiblioForm&amp;sid=5CE6D2FA027A2B788917CD66D3")</f>
        <v>https://app.crepc.sk/?fn=detailBiblioForm&amp;sid=5CE6D2FA027A2B788917CD66D3</v>
      </c>
    </row>
    <row r="6458" spans="3:5" ht="75" x14ac:dyDescent="0.25">
      <c r="C6458" s="15">
        <v>223166</v>
      </c>
      <c r="D6458" s="4" t="s">
        <v>6462</v>
      </c>
      <c r="E6458" s="4" t="str">
        <f>HYPERLINK("https://app.crepc.sk/?fn=detailBiblioForm&amp;sid=3CCA95DFCBDFD5503268FB1A00")</f>
        <v>https://app.crepc.sk/?fn=detailBiblioForm&amp;sid=3CCA95DFCBDFD5503268FB1A00</v>
      </c>
    </row>
    <row r="6459" spans="3:5" ht="75" x14ac:dyDescent="0.25">
      <c r="C6459" s="15">
        <v>172548</v>
      </c>
      <c r="D6459" s="4" t="s">
        <v>6463</v>
      </c>
      <c r="E6459" s="4" t="str">
        <f>HYPERLINK("https://app.crepc.sk/?fn=detailBiblioForm&amp;sid=C15045651E1CB51B04E9221423")</f>
        <v>https://app.crepc.sk/?fn=detailBiblioForm&amp;sid=C15045651E1CB51B04E9221423</v>
      </c>
    </row>
    <row r="6460" spans="3:5" ht="105" x14ac:dyDescent="0.25">
      <c r="C6460" s="15">
        <v>152895</v>
      </c>
      <c r="D6460" s="4" t="s">
        <v>6464</v>
      </c>
      <c r="E6460" s="4" t="str">
        <f>HYPERLINK("https://app.crepc.sk/?fn=detailBiblioForm&amp;sid=4CB0668AE2C8F277B3A1C0BA9E")</f>
        <v>https://app.crepc.sk/?fn=detailBiblioForm&amp;sid=4CB0668AE2C8F277B3A1C0BA9E</v>
      </c>
    </row>
    <row r="6461" spans="3:5" ht="105" x14ac:dyDescent="0.25">
      <c r="C6461" s="15">
        <v>87907</v>
      </c>
      <c r="D6461" s="4" t="s">
        <v>6465</v>
      </c>
      <c r="E6461" s="4" t="str">
        <f>HYPERLINK("https://app.crepc.sk/?fn=detailBiblioForm&amp;sid=85E2CD3EF4872C46D1A76342")</f>
        <v>https://app.crepc.sk/?fn=detailBiblioForm&amp;sid=85E2CD3EF4872C46D1A76342</v>
      </c>
    </row>
    <row r="6462" spans="3:5" ht="90" x14ac:dyDescent="0.25">
      <c r="C6462" s="15">
        <v>87911</v>
      </c>
      <c r="D6462" s="4" t="s">
        <v>6466</v>
      </c>
      <c r="E6462" s="4" t="str">
        <f>HYPERLINK("https://app.crepc.sk/?fn=detailBiblioForm&amp;sid=409D63A8FD49F4824570EC99")</f>
        <v>https://app.crepc.sk/?fn=detailBiblioForm&amp;sid=409D63A8FD49F4824570EC99</v>
      </c>
    </row>
    <row r="6463" spans="3:5" ht="75" x14ac:dyDescent="0.25">
      <c r="C6463" s="15">
        <v>167232</v>
      </c>
      <c r="D6463" s="4" t="s">
        <v>6467</v>
      </c>
      <c r="E6463" s="4" t="str">
        <f>HYPERLINK("https://app.crepc.sk/?fn=detailBiblioForm&amp;sid=D028D1829C892C28C027C3551B")</f>
        <v>https://app.crepc.sk/?fn=detailBiblioForm&amp;sid=D028D1829C892C28C027C3551B</v>
      </c>
    </row>
    <row r="6464" spans="3:5" ht="90" x14ac:dyDescent="0.25">
      <c r="C6464" s="15">
        <v>88276</v>
      </c>
      <c r="D6464" s="4" t="s">
        <v>6468</v>
      </c>
      <c r="E6464" s="4" t="str">
        <f>HYPERLINK("https://app.crepc.sk/?fn=detailBiblioForm&amp;sid=8DAF1B3C6D71D05B06C5A1D0")</f>
        <v>https://app.crepc.sk/?fn=detailBiblioForm&amp;sid=8DAF1B3C6D71D05B06C5A1D0</v>
      </c>
    </row>
    <row r="6465" spans="3:5" ht="105" x14ac:dyDescent="0.25">
      <c r="C6465" s="15">
        <v>310146</v>
      </c>
      <c r="D6465" s="4" t="s">
        <v>6469</v>
      </c>
      <c r="E6465" s="4" t="str">
        <f>HYPERLINK("https://app.crepc.sk/?fn=detailBiblioForm&amp;sid=E9F63DECD21F072F8D43FE53D1")</f>
        <v>https://app.crepc.sk/?fn=detailBiblioForm&amp;sid=E9F63DECD21F072F8D43FE53D1</v>
      </c>
    </row>
    <row r="6466" spans="3:5" ht="75" x14ac:dyDescent="0.25">
      <c r="C6466" s="15">
        <v>421876</v>
      </c>
      <c r="D6466" s="4" t="s">
        <v>6470</v>
      </c>
      <c r="E6466" s="4" t="str">
        <f>HYPERLINK("https://app.crepc.sk/?fn=detailBiblioForm&amp;sid=EE09CE23445DA698B3FC8833E1")</f>
        <v>https://app.crepc.sk/?fn=detailBiblioForm&amp;sid=EE09CE23445DA698B3FC8833E1</v>
      </c>
    </row>
    <row r="6467" spans="3:5" ht="90" x14ac:dyDescent="0.25">
      <c r="C6467" s="15">
        <v>139585</v>
      </c>
      <c r="D6467" s="4" t="s">
        <v>6471</v>
      </c>
      <c r="E6467" s="4" t="str">
        <f>HYPERLINK("https://app.crepc.sk/?fn=detailBiblioForm&amp;sid=2753E74A420B011D7AD212E075")</f>
        <v>https://app.crepc.sk/?fn=detailBiblioForm&amp;sid=2753E74A420B011D7AD212E075</v>
      </c>
    </row>
    <row r="6468" spans="3:5" ht="75" x14ac:dyDescent="0.25">
      <c r="C6468" s="15">
        <v>79435</v>
      </c>
      <c r="D6468" s="4" t="s">
        <v>6472</v>
      </c>
      <c r="E6468" s="4" t="str">
        <f>HYPERLINK("https://app.crepc.sk/?fn=detailBiblioForm&amp;sid=3D6A3929D2D49C8617C18B70")</f>
        <v>https://app.crepc.sk/?fn=detailBiblioForm&amp;sid=3D6A3929D2D49C8617C18B70</v>
      </c>
    </row>
    <row r="6469" spans="3:5" ht="75" x14ac:dyDescent="0.25">
      <c r="C6469" s="15">
        <v>167498</v>
      </c>
      <c r="D6469" s="4" t="s">
        <v>6473</v>
      </c>
      <c r="E6469" s="4" t="str">
        <f>HYPERLINK("https://app.crepc.sk/?fn=detailBiblioForm&amp;sid=5C1288C836E60822DDEFCB6202")</f>
        <v>https://app.crepc.sk/?fn=detailBiblioForm&amp;sid=5C1288C836E60822DDEFCB6202</v>
      </c>
    </row>
    <row r="6470" spans="3:5" ht="105" x14ac:dyDescent="0.25">
      <c r="C6470" s="15">
        <v>58433</v>
      </c>
      <c r="D6470" s="4" t="s">
        <v>6474</v>
      </c>
      <c r="E6470" s="4" t="str">
        <f>HYPERLINK("https://app.crepc.sk/?fn=detailBiblioForm&amp;sid=EEA2F15C349D2F280248290C")</f>
        <v>https://app.crepc.sk/?fn=detailBiblioForm&amp;sid=EEA2F15C349D2F280248290C</v>
      </c>
    </row>
    <row r="6471" spans="3:5" ht="90" x14ac:dyDescent="0.25">
      <c r="C6471" s="15">
        <v>127356</v>
      </c>
      <c r="D6471" s="4" t="s">
        <v>6475</v>
      </c>
      <c r="E6471" s="4" t="str">
        <f>HYPERLINK("https://app.crepc.sk/?fn=detailBiblioForm&amp;sid=5D4D29B46C695A5DF49E722909")</f>
        <v>https://app.crepc.sk/?fn=detailBiblioForm&amp;sid=5D4D29B46C695A5DF49E722909</v>
      </c>
    </row>
    <row r="6472" spans="3:5" ht="90" x14ac:dyDescent="0.25">
      <c r="C6472" s="15">
        <v>454607</v>
      </c>
      <c r="D6472" s="4" t="s">
        <v>6476</v>
      </c>
      <c r="E6472" s="4" t="str">
        <f>HYPERLINK("https://app.crepc.sk/?fn=detailBiblioForm&amp;sid=0314BB39F7D326E3DCFC531052")</f>
        <v>https://app.crepc.sk/?fn=detailBiblioForm&amp;sid=0314BB39F7D326E3DCFC531052</v>
      </c>
    </row>
    <row r="6473" spans="3:5" ht="90" x14ac:dyDescent="0.25">
      <c r="C6473" s="15">
        <v>87964</v>
      </c>
      <c r="D6473" s="4" t="s">
        <v>6477</v>
      </c>
      <c r="E6473" s="4" t="str">
        <f>HYPERLINK("https://app.crepc.sk/?fn=detailBiblioForm&amp;sid=19D3781EEF9F454C1E1F5CFB")</f>
        <v>https://app.crepc.sk/?fn=detailBiblioForm&amp;sid=19D3781EEF9F454C1E1F5CFB</v>
      </c>
    </row>
    <row r="6474" spans="3:5" ht="105" x14ac:dyDescent="0.25">
      <c r="C6474" s="15">
        <v>87956</v>
      </c>
      <c r="D6474" s="4" t="s">
        <v>6478</v>
      </c>
      <c r="E6474" s="4" t="str">
        <f>HYPERLINK("https://app.crepc.sk/?fn=detailBiblioForm&amp;sid=10F68F5ACD4BEA2F7B8BB681")</f>
        <v>https://app.crepc.sk/?fn=detailBiblioForm&amp;sid=10F68F5ACD4BEA2F7B8BB681</v>
      </c>
    </row>
    <row r="6475" spans="3:5" ht="105" x14ac:dyDescent="0.25">
      <c r="C6475" s="15">
        <v>310830</v>
      </c>
      <c r="D6475" s="4" t="s">
        <v>6479</v>
      </c>
      <c r="E6475" s="4" t="str">
        <f>HYPERLINK("https://app.crepc.sk/?fn=detailBiblioForm&amp;sid=AD34DD3FE2DEE04E70FF563787")</f>
        <v>https://app.crepc.sk/?fn=detailBiblioForm&amp;sid=AD34DD3FE2DEE04E70FF563787</v>
      </c>
    </row>
    <row r="6476" spans="3:5" ht="90" x14ac:dyDescent="0.25">
      <c r="C6476" s="15">
        <v>127657</v>
      </c>
      <c r="D6476" s="4" t="s">
        <v>6480</v>
      </c>
      <c r="E6476" s="4" t="str">
        <f>HYPERLINK("https://app.crepc.sk/?fn=detailBiblioForm&amp;sid=A61021784F381E68C208E78699")</f>
        <v>https://app.crepc.sk/?fn=detailBiblioForm&amp;sid=A61021784F381E68C208E78699</v>
      </c>
    </row>
    <row r="6477" spans="3:5" ht="105" x14ac:dyDescent="0.25">
      <c r="C6477" s="15">
        <v>310169</v>
      </c>
      <c r="D6477" s="4" t="s">
        <v>6481</v>
      </c>
      <c r="E6477" s="4" t="str">
        <f>HYPERLINK("https://app.crepc.sk/?fn=detailBiblioForm&amp;sid=E9F63DECD21F072F8F4CFE53D1")</f>
        <v>https://app.crepc.sk/?fn=detailBiblioForm&amp;sid=E9F63DECD21F072F8F4CFE53D1</v>
      </c>
    </row>
    <row r="6478" spans="3:5" ht="135" x14ac:dyDescent="0.25">
      <c r="C6478" s="15">
        <v>418607</v>
      </c>
      <c r="D6478" s="4" t="s">
        <v>6482</v>
      </c>
      <c r="E6478" s="4" t="str">
        <f>HYPERLINK("https://app.crepc.sk/?fn=detailBiblioForm&amp;sid=EF9BA79F4EF8CB95B721CE6080")</f>
        <v>https://app.crepc.sk/?fn=detailBiblioForm&amp;sid=EF9BA79F4EF8CB95B721CE6080</v>
      </c>
    </row>
    <row r="6479" spans="3:5" ht="75" x14ac:dyDescent="0.25">
      <c r="C6479" s="15">
        <v>78903</v>
      </c>
      <c r="D6479" s="4" t="s">
        <v>6483</v>
      </c>
      <c r="E6479" s="4" t="str">
        <f>HYPERLINK("https://app.crepc.sk/?fn=detailBiblioForm&amp;sid=E3B40CE130D218FEB2ABA550")</f>
        <v>https://app.crepc.sk/?fn=detailBiblioForm&amp;sid=E3B40CE130D218FEB2ABA550</v>
      </c>
    </row>
    <row r="6480" spans="3:5" ht="75" x14ac:dyDescent="0.25">
      <c r="C6480" s="15">
        <v>57156</v>
      </c>
      <c r="D6480" s="4" t="s">
        <v>6484</v>
      </c>
      <c r="E6480" s="4" t="str">
        <f>HYPERLINK("https://app.crepc.sk/?fn=detailBiblioForm&amp;sid=20548036C1AF5D67BF4A943D")</f>
        <v>https://app.crepc.sk/?fn=detailBiblioForm&amp;sid=20548036C1AF5D67BF4A943D</v>
      </c>
    </row>
    <row r="6481" spans="3:5" ht="90" x14ac:dyDescent="0.25">
      <c r="C6481" s="15">
        <v>219495</v>
      </c>
      <c r="D6481" s="4" t="s">
        <v>6485</v>
      </c>
      <c r="E6481" s="4" t="str">
        <f>HYPERLINK("https://app.crepc.sk/?fn=detailBiblioForm&amp;sid=8474A37DD4CFE7851F508DE929")</f>
        <v>https://app.crepc.sk/?fn=detailBiblioForm&amp;sid=8474A37DD4CFE7851F508DE929</v>
      </c>
    </row>
    <row r="6482" spans="3:5" ht="75" x14ac:dyDescent="0.25">
      <c r="C6482" s="15">
        <v>219492</v>
      </c>
      <c r="D6482" s="4" t="s">
        <v>6486</v>
      </c>
      <c r="E6482" s="4" t="str">
        <f>HYPERLINK("https://app.crepc.sk/?fn=detailBiblioForm&amp;sid=8474A37DD4CFE7851F578DE929")</f>
        <v>https://app.crepc.sk/?fn=detailBiblioForm&amp;sid=8474A37DD4CFE7851F578DE929</v>
      </c>
    </row>
    <row r="6483" spans="3:5" ht="120" x14ac:dyDescent="0.25">
      <c r="C6483" s="15">
        <v>161857</v>
      </c>
      <c r="D6483" s="4" t="s">
        <v>6487</v>
      </c>
      <c r="E6483" s="4" t="str">
        <f>HYPERLINK("https://app.crepc.sk/?fn=detailBiblioForm&amp;sid=9F8942B94996237AAEFA74E07C")</f>
        <v>https://app.crepc.sk/?fn=detailBiblioForm&amp;sid=9F8942B94996237AAEFA74E07C</v>
      </c>
    </row>
    <row r="6484" spans="3:5" ht="105" x14ac:dyDescent="0.25">
      <c r="C6484" s="15">
        <v>57167</v>
      </c>
      <c r="D6484" s="4" t="s">
        <v>6488</v>
      </c>
      <c r="E6484" s="4" t="str">
        <f>HYPERLINK("https://app.crepc.sk/?fn=detailBiblioForm&amp;sid=06A90E9C0AE29F12D5C96D5F")</f>
        <v>https://app.crepc.sk/?fn=detailBiblioForm&amp;sid=06A90E9C0AE29F12D5C96D5F</v>
      </c>
    </row>
    <row r="6485" spans="3:5" ht="60" x14ac:dyDescent="0.25">
      <c r="C6485" s="15">
        <v>134089</v>
      </c>
      <c r="D6485" s="4" t="s">
        <v>6489</v>
      </c>
      <c r="E6485" s="4" t="str">
        <f>HYPERLINK("https://app.crepc.sk/?fn=detailBiblioForm&amp;sid=5E30695270CDBCB7AB617D836D")</f>
        <v>https://app.crepc.sk/?fn=detailBiblioForm&amp;sid=5E30695270CDBCB7AB617D836D</v>
      </c>
    </row>
    <row r="6486" spans="3:5" ht="150" x14ac:dyDescent="0.25">
      <c r="C6486" s="15">
        <v>420931</v>
      </c>
      <c r="D6486" s="4" t="s">
        <v>6490</v>
      </c>
      <c r="E6486" s="4" t="str">
        <f>HYPERLINK("https://app.crepc.sk/?fn=detailBiblioForm&amp;sid=18CC9E69A325FAFD67C90E03E6")</f>
        <v>https://app.crepc.sk/?fn=detailBiblioForm&amp;sid=18CC9E69A325FAFD67C90E03E6</v>
      </c>
    </row>
    <row r="6487" spans="3:5" ht="105" x14ac:dyDescent="0.25">
      <c r="C6487" s="15">
        <v>127652</v>
      </c>
      <c r="D6487" s="4" t="s">
        <v>6491</v>
      </c>
      <c r="E6487" s="4" t="str">
        <f>HYPERLINK("https://app.crepc.sk/?fn=detailBiblioForm&amp;sid=A61021784F381E68C20DE78699")</f>
        <v>https://app.crepc.sk/?fn=detailBiblioForm&amp;sid=A61021784F381E68C20DE78699</v>
      </c>
    </row>
    <row r="6488" spans="3:5" ht="90" x14ac:dyDescent="0.25">
      <c r="C6488" s="15">
        <v>133662</v>
      </c>
      <c r="D6488" s="4" t="s">
        <v>6492</v>
      </c>
      <c r="E6488" s="4" t="str">
        <f>HYPERLINK("https://app.crepc.sk/?fn=detailBiblioForm&amp;sid=843FECD318613D3B11EEA125F3")</f>
        <v>https://app.crepc.sk/?fn=detailBiblioForm&amp;sid=843FECD318613D3B11EEA125F3</v>
      </c>
    </row>
    <row r="6489" spans="3:5" ht="75" x14ac:dyDescent="0.25">
      <c r="C6489" s="15">
        <v>206504</v>
      </c>
      <c r="D6489" s="4" t="s">
        <v>6493</v>
      </c>
      <c r="E6489" s="4" t="str">
        <f>HYPERLINK("https://app.crepc.sk/?fn=detailBiblioForm&amp;sid=B40681A0D6A7C80C3AEC9B741B")</f>
        <v>https://app.crepc.sk/?fn=detailBiblioForm&amp;sid=B40681A0D6A7C80C3AEC9B741B</v>
      </c>
    </row>
    <row r="6490" spans="3:5" ht="75" x14ac:dyDescent="0.25">
      <c r="C6490" s="15">
        <v>206923</v>
      </c>
      <c r="D6490" s="4" t="s">
        <v>6494</v>
      </c>
      <c r="E6490" s="4" t="str">
        <f>HYPERLINK("https://app.crepc.sk/?fn=detailBiblioForm&amp;sid=C3A916DF7A5355BD5F1D3ED7A5")</f>
        <v>https://app.crepc.sk/?fn=detailBiblioForm&amp;sid=C3A916DF7A5355BD5F1D3ED7A5</v>
      </c>
    </row>
    <row r="6491" spans="3:5" ht="105" x14ac:dyDescent="0.25">
      <c r="C6491" s="15">
        <v>58449</v>
      </c>
      <c r="D6491" s="4" t="s">
        <v>6495</v>
      </c>
      <c r="E6491" s="4" t="str">
        <f>HYPERLINK("https://app.crepc.sk/?fn=detailBiblioForm&amp;sid=4E84065A295BDF8D06460BBD")</f>
        <v>https://app.crepc.sk/?fn=detailBiblioForm&amp;sid=4E84065A295BDF8D06460BBD</v>
      </c>
    </row>
    <row r="6492" spans="3:5" ht="90" x14ac:dyDescent="0.25">
      <c r="C6492" s="15">
        <v>58468</v>
      </c>
      <c r="D6492" s="4" t="s">
        <v>6496</v>
      </c>
      <c r="E6492" s="4" t="str">
        <f>HYPERLINK("https://app.crepc.sk/?fn=detailBiblioForm&amp;sid=C41B81D66BF7E2C7B794648F")</f>
        <v>https://app.crepc.sk/?fn=detailBiblioForm&amp;sid=C41B81D66BF7E2C7B794648F</v>
      </c>
    </row>
    <row r="6493" spans="3:5" ht="90" x14ac:dyDescent="0.25">
      <c r="C6493" s="15">
        <v>59213</v>
      </c>
      <c r="D6493" s="4" t="s">
        <v>6497</v>
      </c>
      <c r="E6493" s="4" t="str">
        <f>HYPERLINK("https://app.crepc.sk/?fn=detailBiblioForm&amp;sid=C0F0D778877047F355E25074")</f>
        <v>https://app.crepc.sk/?fn=detailBiblioForm&amp;sid=C0F0D778877047F355E25074</v>
      </c>
    </row>
    <row r="6494" spans="3:5" ht="90" x14ac:dyDescent="0.25">
      <c r="C6494" s="15">
        <v>310102</v>
      </c>
      <c r="D6494" s="4" t="s">
        <v>6498</v>
      </c>
      <c r="E6494" s="4" t="str">
        <f>HYPERLINK("https://app.crepc.sk/?fn=detailBiblioForm&amp;sid=E9F63DECD21F072F8947FE53D1")</f>
        <v>https://app.crepc.sk/?fn=detailBiblioForm&amp;sid=E9F63DECD21F072F8947FE53D1</v>
      </c>
    </row>
    <row r="6495" spans="3:5" ht="105" x14ac:dyDescent="0.25">
      <c r="C6495" s="15">
        <v>182539</v>
      </c>
      <c r="D6495" s="4" t="s">
        <v>6499</v>
      </c>
      <c r="E6495" s="4" t="str">
        <f>HYPERLINK("https://app.crepc.sk/?fn=detailBiblioForm&amp;sid=CC8450CBF10FC669827797D74A")</f>
        <v>https://app.crepc.sk/?fn=detailBiblioForm&amp;sid=CC8450CBF10FC669827797D74A</v>
      </c>
    </row>
    <row r="6496" spans="3:5" ht="90" x14ac:dyDescent="0.25">
      <c r="C6496" s="15">
        <v>64436</v>
      </c>
      <c r="D6496" s="4" t="s">
        <v>6500</v>
      </c>
      <c r="E6496" s="4" t="str">
        <f>HYPERLINK("https://app.crepc.sk/?fn=detailBiblioForm&amp;sid=E3898334BEA61CED205EFF14")</f>
        <v>https://app.crepc.sk/?fn=detailBiblioForm&amp;sid=E3898334BEA61CED205EFF14</v>
      </c>
    </row>
    <row r="6497" spans="3:5" ht="75" x14ac:dyDescent="0.25">
      <c r="C6497" s="15">
        <v>122506</v>
      </c>
      <c r="D6497" s="4" t="s">
        <v>6501</v>
      </c>
      <c r="E6497" s="4" t="str">
        <f>HYPERLINK("https://app.crepc.sk/?fn=detailBiblioForm&amp;sid=6C0594DA955AD34A4079C5FCEF")</f>
        <v>https://app.crepc.sk/?fn=detailBiblioForm&amp;sid=6C0594DA955AD34A4079C5FCEF</v>
      </c>
    </row>
    <row r="6498" spans="3:5" ht="90" x14ac:dyDescent="0.25">
      <c r="C6498" s="15">
        <v>57168</v>
      </c>
      <c r="D6498" s="4" t="s">
        <v>6502</v>
      </c>
      <c r="E6498" s="4" t="str">
        <f>HYPERLINK("https://app.crepc.sk/?fn=detailBiblioForm&amp;sid=06A90E9C0AE29F12DAC96D5F")</f>
        <v>https://app.crepc.sk/?fn=detailBiblioForm&amp;sid=06A90E9C0AE29F12DAC96D5F</v>
      </c>
    </row>
    <row r="6499" spans="3:5" ht="75" x14ac:dyDescent="0.25">
      <c r="C6499" s="15">
        <v>100634</v>
      </c>
      <c r="D6499" s="4" t="s">
        <v>6503</v>
      </c>
      <c r="E6499" s="4" t="str">
        <f>HYPERLINK("https://app.crepc.sk/?fn=detailBiblioForm&amp;sid=2204B64E72E25FC8EA69F15BC1")</f>
        <v>https://app.crepc.sk/?fn=detailBiblioForm&amp;sid=2204B64E72E25FC8EA69F15BC1</v>
      </c>
    </row>
    <row r="6500" spans="3:5" ht="75" x14ac:dyDescent="0.25">
      <c r="C6500" s="15">
        <v>81196</v>
      </c>
      <c r="D6500" s="4" t="s">
        <v>6504</v>
      </c>
      <c r="E6500" s="4" t="str">
        <f>HYPERLINK("https://app.crepc.sk/?fn=detailBiblioForm&amp;sid=C4A993F71EA4F2E024A0184B")</f>
        <v>https://app.crepc.sk/?fn=detailBiblioForm&amp;sid=C4A993F71EA4F2E024A0184B</v>
      </c>
    </row>
    <row r="6501" spans="3:5" ht="75" x14ac:dyDescent="0.25">
      <c r="C6501" s="15">
        <v>58847</v>
      </c>
      <c r="D6501" s="4" t="s">
        <v>6505</v>
      </c>
      <c r="E6501" s="4" t="str">
        <f>HYPERLINK("https://app.crepc.sk/?fn=detailBiblioForm&amp;sid=54B485957AB4C1F3D72C2E3F")</f>
        <v>https://app.crepc.sk/?fn=detailBiblioForm&amp;sid=54B485957AB4C1F3D72C2E3F</v>
      </c>
    </row>
    <row r="6502" spans="3:5" ht="75" x14ac:dyDescent="0.25">
      <c r="C6502" s="15">
        <v>424557</v>
      </c>
      <c r="D6502" s="4" t="s">
        <v>6506</v>
      </c>
      <c r="E6502" s="4" t="str">
        <f>HYPERLINK("https://app.crepc.sk/?fn=detailBiblioForm&amp;sid=012CCE62C622B66939F559F13E")</f>
        <v>https://app.crepc.sk/?fn=detailBiblioForm&amp;sid=012CCE62C622B66939F559F13E</v>
      </c>
    </row>
    <row r="6503" spans="3:5" ht="75" x14ac:dyDescent="0.25">
      <c r="C6503" s="15">
        <v>212166</v>
      </c>
      <c r="D6503" s="4" t="s">
        <v>6507</v>
      </c>
      <c r="E6503" s="4" t="str">
        <f>HYPERLINK("https://app.crepc.sk/?fn=detailBiblioForm&amp;sid=A1202DE7B01A324D6EF887F106")</f>
        <v>https://app.crepc.sk/?fn=detailBiblioForm&amp;sid=A1202DE7B01A324D6EF887F106</v>
      </c>
    </row>
    <row r="6504" spans="3:5" ht="105" x14ac:dyDescent="0.25">
      <c r="C6504" s="15">
        <v>197142</v>
      </c>
      <c r="D6504" s="4" t="s">
        <v>6508</v>
      </c>
      <c r="E6504" s="4" t="str">
        <f>HYPERLINK("https://app.crepc.sk/?fn=detailBiblioForm&amp;sid=50940FCC7D65E2419FD19A99B7")</f>
        <v>https://app.crepc.sk/?fn=detailBiblioForm&amp;sid=50940FCC7D65E2419FD19A99B7</v>
      </c>
    </row>
    <row r="6505" spans="3:5" ht="90" x14ac:dyDescent="0.25">
      <c r="C6505" s="15">
        <v>223108</v>
      </c>
      <c r="D6505" s="4" t="s">
        <v>6509</v>
      </c>
      <c r="E6505" s="4" t="str">
        <f>HYPERLINK("https://app.crepc.sk/?fn=detailBiblioForm&amp;sid=3CCA95DFCBDFD5503466FB1A00")</f>
        <v>https://app.crepc.sk/?fn=detailBiblioForm&amp;sid=3CCA95DFCBDFD5503466FB1A00</v>
      </c>
    </row>
    <row r="6506" spans="3:5" ht="75" x14ac:dyDescent="0.25">
      <c r="C6506" s="15">
        <v>176082</v>
      </c>
      <c r="D6506" s="4" t="s">
        <v>6510</v>
      </c>
      <c r="E6506" s="4" t="str">
        <f>HYPERLINK("https://app.crepc.sk/?fn=detailBiblioForm&amp;sid=36F4BD7000BAB49A1AC22BC6B7")</f>
        <v>https://app.crepc.sk/?fn=detailBiblioForm&amp;sid=36F4BD7000BAB49A1AC22BC6B7</v>
      </c>
    </row>
    <row r="6507" spans="3:5" ht="90" x14ac:dyDescent="0.25">
      <c r="C6507" s="15">
        <v>132402</v>
      </c>
      <c r="D6507" s="4" t="s">
        <v>6511</v>
      </c>
      <c r="E6507" s="4" t="str">
        <f>HYPERLINK("https://app.crepc.sk/?fn=detailBiblioForm&amp;sid=5CA03D74BE9D7FDDA5CD721DC3")</f>
        <v>https://app.crepc.sk/?fn=detailBiblioForm&amp;sid=5CA03D74BE9D7FDDA5CD721DC3</v>
      </c>
    </row>
    <row r="6508" spans="3:5" ht="90" x14ac:dyDescent="0.25">
      <c r="C6508" s="15">
        <v>134091</v>
      </c>
      <c r="D6508" s="4" t="s">
        <v>6512</v>
      </c>
      <c r="E6508" s="4" t="str">
        <f>HYPERLINK("https://app.crepc.sk/?fn=detailBiblioForm&amp;sid=5E30695270CDBCB7AA697D836D")</f>
        <v>https://app.crepc.sk/?fn=detailBiblioForm&amp;sid=5E30695270CDBCB7AA697D836D</v>
      </c>
    </row>
    <row r="6509" spans="3:5" ht="105" x14ac:dyDescent="0.25">
      <c r="C6509" s="15">
        <v>73828</v>
      </c>
      <c r="D6509" s="4" t="s">
        <v>6513</v>
      </c>
      <c r="E6509" s="4" t="str">
        <f>HYPERLINK("https://app.crepc.sk/?fn=detailBiblioForm&amp;sid=E064DD8CEA13120887CF1839")</f>
        <v>https://app.crepc.sk/?fn=detailBiblioForm&amp;sid=E064DD8CEA13120887CF1839</v>
      </c>
    </row>
    <row r="6510" spans="3:5" ht="75" x14ac:dyDescent="0.25">
      <c r="C6510" s="15">
        <v>435143</v>
      </c>
      <c r="D6510" s="4" t="s">
        <v>6514</v>
      </c>
      <c r="E6510" s="4" t="str">
        <f>HYPERLINK("https://app.crepc.sk/?fn=detailBiblioForm&amp;sid=AD8868FB556EBD592B39BB48EF")</f>
        <v>https://app.crepc.sk/?fn=detailBiblioForm&amp;sid=AD8868FB556EBD592B39BB48EF</v>
      </c>
    </row>
    <row r="6511" spans="3:5" ht="105" x14ac:dyDescent="0.25">
      <c r="C6511" s="15">
        <v>145059</v>
      </c>
      <c r="D6511" s="4" t="s">
        <v>6515</v>
      </c>
      <c r="E6511" s="4" t="str">
        <f>HYPERLINK("https://app.crepc.sk/?fn=detailBiblioForm&amp;sid=A067BA41CFE566E7B08B7B2D76")</f>
        <v>https://app.crepc.sk/?fn=detailBiblioForm&amp;sid=A067BA41CFE566E7B08B7B2D76</v>
      </c>
    </row>
    <row r="6512" spans="3:5" ht="90" x14ac:dyDescent="0.25">
      <c r="C6512" s="15">
        <v>79028</v>
      </c>
      <c r="D6512" s="4" t="s">
        <v>6516</v>
      </c>
      <c r="E6512" s="4" t="str">
        <f>HYPERLINK("https://app.crepc.sk/?fn=detailBiblioForm&amp;sid=1DFF75A9F2732FFCBF56B15F")</f>
        <v>https://app.crepc.sk/?fn=detailBiblioForm&amp;sid=1DFF75A9F2732FFCBF56B15F</v>
      </c>
    </row>
    <row r="6513" spans="3:5" ht="105" x14ac:dyDescent="0.25">
      <c r="C6513" s="15">
        <v>181028</v>
      </c>
      <c r="D6513" s="4" t="s">
        <v>6517</v>
      </c>
      <c r="E6513" s="4" t="str">
        <f>HYPERLINK("https://app.crepc.sk/?fn=detailBiblioForm&amp;sid=641DE671020428D569440CFE7E")</f>
        <v>https://app.crepc.sk/?fn=detailBiblioForm&amp;sid=641DE671020428D569440CFE7E</v>
      </c>
    </row>
    <row r="6514" spans="3:5" ht="90" x14ac:dyDescent="0.25">
      <c r="C6514" s="15">
        <v>197228</v>
      </c>
      <c r="D6514" s="4" t="s">
        <v>6518</v>
      </c>
      <c r="E6514" s="4" t="str">
        <f>HYPERLINK("https://app.crepc.sk/?fn=detailBiblioForm&amp;sid=DD548C8F9E86EAB0870FBC14DD")</f>
        <v>https://app.crepc.sk/?fn=detailBiblioForm&amp;sid=DD548C8F9E86EAB0870FBC14DD</v>
      </c>
    </row>
    <row r="6515" spans="3:5" ht="105" x14ac:dyDescent="0.25">
      <c r="C6515" s="15">
        <v>139572</v>
      </c>
      <c r="D6515" s="4" t="s">
        <v>6519</v>
      </c>
      <c r="E6515" s="4" t="str">
        <f>HYPERLINK("https://app.crepc.sk/?fn=detailBiblioForm&amp;sid=2753E74A420B011D75D512E075")</f>
        <v>https://app.crepc.sk/?fn=detailBiblioForm&amp;sid=2753E74A420B011D75D512E075</v>
      </c>
    </row>
    <row r="6516" spans="3:5" ht="60" x14ac:dyDescent="0.25">
      <c r="C6516" s="15">
        <v>96993</v>
      </c>
      <c r="D6516" s="4" t="s">
        <v>6520</v>
      </c>
      <c r="E6516" s="4" t="str">
        <f>HYPERLINK("https://app.crepc.sk/?fn=detailBiblioForm&amp;sid=4DB01A480A84113DEF4119FD")</f>
        <v>https://app.crepc.sk/?fn=detailBiblioForm&amp;sid=4DB01A480A84113DEF4119FD</v>
      </c>
    </row>
    <row r="6517" spans="3:5" ht="75" x14ac:dyDescent="0.25">
      <c r="C6517" s="15">
        <v>140246</v>
      </c>
      <c r="D6517" s="4" t="s">
        <v>6521</v>
      </c>
      <c r="E6517" s="4" t="str">
        <f>HYPERLINK("https://app.crepc.sk/?fn=detailBiblioForm&amp;sid=4A220BA9C567A8491F0057C72F")</f>
        <v>https://app.crepc.sk/?fn=detailBiblioForm&amp;sid=4A220BA9C567A8491F0057C72F</v>
      </c>
    </row>
    <row r="6518" spans="3:5" ht="105" x14ac:dyDescent="0.25">
      <c r="C6518" s="15">
        <v>138729</v>
      </c>
      <c r="D6518" s="4" t="s">
        <v>6522</v>
      </c>
      <c r="E6518" s="4" t="str">
        <f>HYPERLINK("https://app.crepc.sk/?fn=detailBiblioForm&amp;sid=B05445C3B1156175C2CEE1ECCB")</f>
        <v>https://app.crepc.sk/?fn=detailBiblioForm&amp;sid=B05445C3B1156175C2CEE1ECCB</v>
      </c>
    </row>
    <row r="6519" spans="3:5" ht="75" x14ac:dyDescent="0.25">
      <c r="C6519" s="15">
        <v>75387</v>
      </c>
      <c r="D6519" s="4" t="s">
        <v>6523</v>
      </c>
      <c r="E6519" s="4" t="str">
        <f>HYPERLINK("https://app.crepc.sk/?fn=detailBiblioForm&amp;sid=72B3808FFA6EB03F5CF85F3A")</f>
        <v>https://app.crepc.sk/?fn=detailBiblioForm&amp;sid=72B3808FFA6EB03F5CF85F3A</v>
      </c>
    </row>
    <row r="6520" spans="3:5" ht="75" x14ac:dyDescent="0.25">
      <c r="C6520" s="15">
        <v>449560</v>
      </c>
      <c r="D6520" s="4" t="s">
        <v>6524</v>
      </c>
      <c r="E6520" s="4" t="str">
        <f>HYPERLINK("https://app.crepc.sk/?fn=detailBiblioForm&amp;sid=BD225944E7E3AB4020A8E2D004")</f>
        <v>https://app.crepc.sk/?fn=detailBiblioForm&amp;sid=BD225944E7E3AB4020A8E2D004</v>
      </c>
    </row>
    <row r="6521" spans="3:5" ht="75" x14ac:dyDescent="0.25">
      <c r="C6521" s="15">
        <v>141819</v>
      </c>
      <c r="D6521" s="4" t="s">
        <v>6525</v>
      </c>
      <c r="E6521" s="4" t="str">
        <f>HYPERLINK("https://app.crepc.sk/?fn=detailBiblioForm&amp;sid=A7BD2F096A49022F27C3F921E4")</f>
        <v>https://app.crepc.sk/?fn=detailBiblioForm&amp;sid=A7BD2F096A49022F27C3F921E4</v>
      </c>
    </row>
    <row r="6522" spans="3:5" ht="90" x14ac:dyDescent="0.25">
      <c r="C6522" s="15">
        <v>429639</v>
      </c>
      <c r="D6522" s="4" t="s">
        <v>6526</v>
      </c>
      <c r="E6522" s="4" t="str">
        <f>HYPERLINK("https://app.crepc.sk/?fn=detailBiblioForm&amp;sid=D24F18FC100570A67D24C782E8")</f>
        <v>https://app.crepc.sk/?fn=detailBiblioForm&amp;sid=D24F18FC100570A67D24C782E8</v>
      </c>
    </row>
    <row r="6523" spans="3:5" ht="90" x14ac:dyDescent="0.25">
      <c r="C6523" s="15">
        <v>126919</v>
      </c>
      <c r="D6523" s="4" t="s">
        <v>6527</v>
      </c>
      <c r="E6523" s="4" t="str">
        <f>HYPERLINK("https://app.crepc.sk/?fn=detailBiblioForm&amp;sid=0D77803B6B9621F08669B73F55")</f>
        <v>https://app.crepc.sk/?fn=detailBiblioForm&amp;sid=0D77803B6B9621F08669B73F55</v>
      </c>
    </row>
    <row r="6524" spans="3:5" ht="75" x14ac:dyDescent="0.25">
      <c r="C6524" s="15">
        <v>123781</v>
      </c>
      <c r="D6524" s="4" t="s">
        <v>6528</v>
      </c>
      <c r="E6524" s="4" t="str">
        <f>HYPERLINK("https://app.crepc.sk/?fn=detailBiblioForm&amp;sid=6AF24C20D77B2492B56280C111")</f>
        <v>https://app.crepc.sk/?fn=detailBiblioForm&amp;sid=6AF24C20D77B2492B56280C111</v>
      </c>
    </row>
    <row r="6525" spans="3:5" ht="90" x14ac:dyDescent="0.25">
      <c r="C6525" s="15">
        <v>189305</v>
      </c>
      <c r="D6525" s="4" t="s">
        <v>6529</v>
      </c>
      <c r="E6525" s="4" t="str">
        <f>HYPERLINK("https://app.crepc.sk/?fn=detailBiblioForm&amp;sid=81706160F8CD7D6D7014CBB3A7")</f>
        <v>https://app.crepc.sk/?fn=detailBiblioForm&amp;sid=81706160F8CD7D6D7014CBB3A7</v>
      </c>
    </row>
    <row r="6526" spans="3:5" ht="60" x14ac:dyDescent="0.25">
      <c r="C6526" s="15">
        <v>133140</v>
      </c>
      <c r="D6526" s="4" t="s">
        <v>6530</v>
      </c>
      <c r="E6526" s="4" t="str">
        <f>HYPERLINK("https://app.crepc.sk/?fn=detailBiblioForm&amp;sid=A87535322FFBFE64CED2F88649")</f>
        <v>https://app.crepc.sk/?fn=detailBiblioForm&amp;sid=A87535322FFBFE64CED2F88649</v>
      </c>
    </row>
    <row r="6527" spans="3:5" ht="135" x14ac:dyDescent="0.25">
      <c r="C6527" s="15">
        <v>201217</v>
      </c>
      <c r="D6527" s="4" t="s">
        <v>6531</v>
      </c>
      <c r="E6527" s="4" t="str">
        <f>HYPERLINK("https://app.crepc.sk/?fn=detailBiblioForm&amp;sid=4DA2528AD0C8792BAA8848611A")</f>
        <v>https://app.crepc.sk/?fn=detailBiblioForm&amp;sid=4DA2528AD0C8792BAA8848611A</v>
      </c>
    </row>
    <row r="6528" spans="3:5" ht="75" x14ac:dyDescent="0.25">
      <c r="C6528" s="15">
        <v>185639</v>
      </c>
      <c r="D6528" s="4" t="s">
        <v>6532</v>
      </c>
      <c r="E6528" s="4" t="str">
        <f>HYPERLINK("https://app.crepc.sk/?fn=detailBiblioForm&amp;sid=34C6DEE6AF59A5FA6F00B732A0")</f>
        <v>https://app.crepc.sk/?fn=detailBiblioForm&amp;sid=34C6DEE6AF59A5FA6F00B732A0</v>
      </c>
    </row>
    <row r="6529" spans="3:5" ht="75" x14ac:dyDescent="0.25">
      <c r="C6529" s="15">
        <v>114904</v>
      </c>
      <c r="D6529" s="4" t="s">
        <v>6533</v>
      </c>
      <c r="E6529" s="4" t="str">
        <f>HYPERLINK("https://app.crepc.sk/?fn=detailBiblioForm&amp;sid=E52557BEC79C1752D7B7186CCD")</f>
        <v>https://app.crepc.sk/?fn=detailBiblioForm&amp;sid=E52557BEC79C1752D7B7186CCD</v>
      </c>
    </row>
    <row r="6530" spans="3:5" ht="75" x14ac:dyDescent="0.25">
      <c r="C6530" s="15">
        <v>78841</v>
      </c>
      <c r="D6530" s="4" t="s">
        <v>6534</v>
      </c>
      <c r="E6530" s="4" t="str">
        <f>HYPERLINK("https://app.crepc.sk/?fn=detailBiblioForm&amp;sid=C62F7038660B1B60155FC4E7")</f>
        <v>https://app.crepc.sk/?fn=detailBiblioForm&amp;sid=C62F7038660B1B60155FC4E7</v>
      </c>
    </row>
    <row r="6531" spans="3:5" ht="105" x14ac:dyDescent="0.25">
      <c r="C6531" s="15">
        <v>312967</v>
      </c>
      <c r="D6531" s="4" t="s">
        <v>6535</v>
      </c>
      <c r="E6531" s="4" t="str">
        <f>HYPERLINK("https://app.crepc.sk/?fn=detailBiblioForm&amp;sid=31CB60CA56D70B77E311987C86")</f>
        <v>https://app.crepc.sk/?fn=detailBiblioForm&amp;sid=31CB60CA56D70B77E311987C86</v>
      </c>
    </row>
    <row r="6532" spans="3:5" ht="75" x14ac:dyDescent="0.25">
      <c r="C6532" s="15">
        <v>125483</v>
      </c>
      <c r="D6532" s="4" t="s">
        <v>6536</v>
      </c>
      <c r="E6532" s="4" t="str">
        <f>HYPERLINK("https://app.crepc.sk/?fn=detailBiblioForm&amp;sid=F2C5C64D9C64B04EAD7C2133DE")</f>
        <v>https://app.crepc.sk/?fn=detailBiblioForm&amp;sid=F2C5C64D9C64B04EAD7C2133DE</v>
      </c>
    </row>
    <row r="6533" spans="3:5" ht="90" x14ac:dyDescent="0.25">
      <c r="C6533" s="15">
        <v>125900</v>
      </c>
      <c r="D6533" s="4" t="s">
        <v>6537</v>
      </c>
      <c r="E6533" s="4" t="str">
        <f>HYPERLINK("https://app.crepc.sk/?fn=detailBiblioForm&amp;sid=CAA13C70E4379491E38B8A0CB9")</f>
        <v>https://app.crepc.sk/?fn=detailBiblioForm&amp;sid=CAA13C70E4379491E38B8A0CB9</v>
      </c>
    </row>
    <row r="6534" spans="3:5" ht="165" x14ac:dyDescent="0.25">
      <c r="C6534" s="15">
        <v>138422</v>
      </c>
      <c r="D6534" s="4" t="s">
        <v>6538</v>
      </c>
      <c r="E6534" s="4" t="str">
        <f>HYPERLINK("https://app.crepc.sk/?fn=detailBiblioForm&amp;sid=3AF1A6EA9B0020D204DE0DA13A")</f>
        <v>https://app.crepc.sk/?fn=detailBiblioForm&amp;sid=3AF1A6EA9B0020D204DE0DA13A</v>
      </c>
    </row>
    <row r="6535" spans="3:5" ht="90" x14ac:dyDescent="0.25">
      <c r="C6535" s="15">
        <v>122497</v>
      </c>
      <c r="D6535" s="4" t="s">
        <v>6539</v>
      </c>
      <c r="E6535" s="4" t="str">
        <f>HYPERLINK("https://app.crepc.sk/?fn=detailBiblioForm&amp;sid=BA98F1178B40464E5CE1C111D8")</f>
        <v>https://app.crepc.sk/?fn=detailBiblioForm&amp;sid=BA98F1178B40464E5CE1C111D8</v>
      </c>
    </row>
    <row r="6536" spans="3:5" ht="60" x14ac:dyDescent="0.25">
      <c r="C6536" s="15">
        <v>133142</v>
      </c>
      <c r="D6536" s="4" t="s">
        <v>6540</v>
      </c>
      <c r="E6536" s="4" t="str">
        <f>HYPERLINK("https://app.crepc.sk/?fn=detailBiblioForm&amp;sid=A87535322FFBFE64CED0F88649")</f>
        <v>https://app.crepc.sk/?fn=detailBiblioForm&amp;sid=A87535322FFBFE64CED0F88649</v>
      </c>
    </row>
    <row r="6537" spans="3:5" ht="90" x14ac:dyDescent="0.25">
      <c r="C6537" s="15">
        <v>415736</v>
      </c>
      <c r="D6537" s="4" t="s">
        <v>6541</v>
      </c>
      <c r="E6537" s="4" t="str">
        <f>HYPERLINK("https://app.crepc.sk/?fn=detailBiblioForm&amp;sid=2D6FF2DAFCD33121B69F641FCB")</f>
        <v>https://app.crepc.sk/?fn=detailBiblioForm&amp;sid=2D6FF2DAFCD33121B69F641FCB</v>
      </c>
    </row>
    <row r="6538" spans="3:5" ht="105" x14ac:dyDescent="0.25">
      <c r="C6538" s="15">
        <v>127549</v>
      </c>
      <c r="D6538" s="4" t="s">
        <v>6542</v>
      </c>
      <c r="E6538" s="4" t="str">
        <f>HYPERLINK("https://app.crepc.sk/?fn=detailBiblioForm&amp;sid=DBEBBE2C2F1C2B14A7898ECF74")</f>
        <v>https://app.crepc.sk/?fn=detailBiblioForm&amp;sid=DBEBBE2C2F1C2B14A7898ECF74</v>
      </c>
    </row>
    <row r="6539" spans="3:5" ht="105" x14ac:dyDescent="0.25">
      <c r="C6539" s="15">
        <v>127566</v>
      </c>
      <c r="D6539" s="4" t="s">
        <v>6543</v>
      </c>
      <c r="E6539" s="4" t="str">
        <f>HYPERLINK("https://app.crepc.sk/?fn=detailBiblioForm&amp;sid=DBEBBE2C2F1C2B14A5868ECF74")</f>
        <v>https://app.crepc.sk/?fn=detailBiblioForm&amp;sid=DBEBBE2C2F1C2B14A5868ECF74</v>
      </c>
    </row>
    <row r="6540" spans="3:5" ht="75" x14ac:dyDescent="0.25">
      <c r="C6540" s="15">
        <v>82931</v>
      </c>
      <c r="D6540" s="4" t="s">
        <v>6544</v>
      </c>
      <c r="E6540" s="4" t="str">
        <f>HYPERLINK("https://app.crepc.sk/?fn=detailBiblioForm&amp;sid=CA79548F26BCCA170CE94D0F")</f>
        <v>https://app.crepc.sk/?fn=detailBiblioForm&amp;sid=CA79548F26BCCA170CE94D0F</v>
      </c>
    </row>
    <row r="6541" spans="3:5" ht="90" x14ac:dyDescent="0.25">
      <c r="C6541" s="15">
        <v>196853</v>
      </c>
      <c r="D6541" s="4" t="s">
        <v>6545</v>
      </c>
      <c r="E6541" s="4" t="str">
        <f>HYPERLINK("https://app.crepc.sk/?fn=detailBiblioForm&amp;sid=71273B11B862991D720E63B5FC")</f>
        <v>https://app.crepc.sk/?fn=detailBiblioForm&amp;sid=71273B11B862991D720E63B5FC</v>
      </c>
    </row>
    <row r="6542" spans="3:5" ht="105" x14ac:dyDescent="0.25">
      <c r="C6542" s="15">
        <v>161760</v>
      </c>
      <c r="D6542" s="4" t="s">
        <v>6546</v>
      </c>
      <c r="E6542" s="4" t="str">
        <f>HYPERLINK("https://app.crepc.sk/?fn=detailBiblioForm&amp;sid=BCA102CB6C4CA54D4AEFC863D9")</f>
        <v>https://app.crepc.sk/?fn=detailBiblioForm&amp;sid=BCA102CB6C4CA54D4AEFC863D9</v>
      </c>
    </row>
    <row r="6543" spans="3:5" ht="90" x14ac:dyDescent="0.25">
      <c r="C6543" s="15">
        <v>56956</v>
      </c>
      <c r="D6543" s="4" t="s">
        <v>6547</v>
      </c>
      <c r="E6543" s="4" t="str">
        <f>HYPERLINK("https://app.crepc.sk/?fn=detailBiblioForm&amp;sid=6DCFCB875A59208604C37E06")</f>
        <v>https://app.crepc.sk/?fn=detailBiblioForm&amp;sid=6DCFCB875A59208604C37E06</v>
      </c>
    </row>
    <row r="6544" spans="3:5" ht="90" x14ac:dyDescent="0.25">
      <c r="C6544" s="15">
        <v>56662</v>
      </c>
      <c r="D6544" s="4" t="s">
        <v>6548</v>
      </c>
      <c r="E6544" s="4" t="str">
        <f>HYPERLINK("https://app.crepc.sk/?fn=detailBiblioForm&amp;sid=8BB2EB227141DDE1B366DE76")</f>
        <v>https://app.crepc.sk/?fn=detailBiblioForm&amp;sid=8BB2EB227141DDE1B366DE76</v>
      </c>
    </row>
    <row r="6545" spans="3:5" ht="90" x14ac:dyDescent="0.25">
      <c r="C6545" s="15">
        <v>431913</v>
      </c>
      <c r="D6545" s="4" t="s">
        <v>6549</v>
      </c>
      <c r="E6545" s="4" t="str">
        <f>HYPERLINK("https://app.crepc.sk/?fn=detailBiblioForm&amp;sid=93CE305C59B115305FCC28A514")</f>
        <v>https://app.crepc.sk/?fn=detailBiblioForm&amp;sid=93CE305C59B115305FCC28A514</v>
      </c>
    </row>
    <row r="6546" spans="3:5" ht="75" x14ac:dyDescent="0.25">
      <c r="C6546" s="15">
        <v>180728</v>
      </c>
      <c r="D6546" s="4" t="s">
        <v>6550</v>
      </c>
      <c r="E6546" s="4" t="str">
        <f>HYPERLINK("https://app.crepc.sk/?fn=detailBiblioForm&amp;sid=46F337D26E70386BCC3D0607C3")</f>
        <v>https://app.crepc.sk/?fn=detailBiblioForm&amp;sid=46F337D26E70386BCC3D0607C3</v>
      </c>
    </row>
    <row r="6547" spans="3:5" ht="90" x14ac:dyDescent="0.25">
      <c r="C6547" s="15">
        <v>61114</v>
      </c>
      <c r="D6547" s="4" t="s">
        <v>6551</v>
      </c>
      <c r="E6547" s="4" t="str">
        <f>HYPERLINK("https://app.crepc.sk/?fn=detailBiblioForm&amp;sid=07761D0AF77A5373EA775B47")</f>
        <v>https://app.crepc.sk/?fn=detailBiblioForm&amp;sid=07761D0AF77A5373EA775B47</v>
      </c>
    </row>
    <row r="6548" spans="3:5" ht="90" x14ac:dyDescent="0.25">
      <c r="C6548" s="15">
        <v>60241</v>
      </c>
      <c r="D6548" s="4" t="s">
        <v>6552</v>
      </c>
      <c r="E6548" s="4" t="str">
        <f>HYPERLINK("https://app.crepc.sk/?fn=detailBiblioForm&amp;sid=5AFE21CCFF747D9A801A36C6")</f>
        <v>https://app.crepc.sk/?fn=detailBiblioForm&amp;sid=5AFE21CCFF747D9A801A36C6</v>
      </c>
    </row>
    <row r="6549" spans="3:5" ht="90" x14ac:dyDescent="0.25">
      <c r="C6549" s="15">
        <v>221257</v>
      </c>
      <c r="D6549" s="4" t="s">
        <v>6553</v>
      </c>
      <c r="E6549" s="4" t="str">
        <f>HYPERLINK("https://app.crepc.sk/?fn=detailBiblioForm&amp;sid=62435F0A620EC90ACC5403E392")</f>
        <v>https://app.crepc.sk/?fn=detailBiblioForm&amp;sid=62435F0A620EC90ACC5403E392</v>
      </c>
    </row>
    <row r="6550" spans="3:5" ht="105" x14ac:dyDescent="0.25">
      <c r="C6550" s="15">
        <v>310021</v>
      </c>
      <c r="D6550" s="4" t="s">
        <v>6554</v>
      </c>
      <c r="E6550" s="4" t="str">
        <f>HYPERLINK("https://app.crepc.sk/?fn=detailBiblioForm&amp;sid=F566C6E0CB47072BFEEF22F69C")</f>
        <v>https://app.crepc.sk/?fn=detailBiblioForm&amp;sid=F566C6E0CB47072BFEEF22F69C</v>
      </c>
    </row>
    <row r="6551" spans="3:5" ht="105" x14ac:dyDescent="0.25">
      <c r="C6551" s="15">
        <v>58422</v>
      </c>
      <c r="D6551" s="4" t="s">
        <v>6555</v>
      </c>
      <c r="E6551" s="4" t="str">
        <f>HYPERLINK("https://app.crepc.sk/?fn=detailBiblioForm&amp;sid=CED22A9171A9F2395E3DAF71")</f>
        <v>https://app.crepc.sk/?fn=detailBiblioForm&amp;sid=CED22A9171A9F2395E3DAF71</v>
      </c>
    </row>
    <row r="6552" spans="3:5" ht="90" x14ac:dyDescent="0.25">
      <c r="C6552" s="15">
        <v>211719</v>
      </c>
      <c r="D6552" s="4" t="s">
        <v>6556</v>
      </c>
      <c r="E6552" s="4" t="str">
        <f>HYPERLINK("https://app.crepc.sk/?fn=detailBiblioForm&amp;sid=936179ABD4330FC854DB09B041")</f>
        <v>https://app.crepc.sk/?fn=detailBiblioForm&amp;sid=936179ABD4330FC854DB09B041</v>
      </c>
    </row>
    <row r="6553" spans="3:5" ht="105" x14ac:dyDescent="0.25">
      <c r="C6553" s="15">
        <v>56958</v>
      </c>
      <c r="D6553" s="4" t="s">
        <v>6557</v>
      </c>
      <c r="E6553" s="4" t="str">
        <f>HYPERLINK("https://app.crepc.sk/?fn=detailBiblioForm&amp;sid=6DCFCB875A5920860AC37E06")</f>
        <v>https://app.crepc.sk/?fn=detailBiblioForm&amp;sid=6DCFCB875A5920860AC37E06</v>
      </c>
    </row>
    <row r="6554" spans="3:5" ht="90" x14ac:dyDescent="0.25">
      <c r="C6554" s="15">
        <v>58866</v>
      </c>
      <c r="D6554" s="4" t="s">
        <v>6558</v>
      </c>
      <c r="E6554" s="4" t="str">
        <f>HYPERLINK("https://app.crepc.sk/?fn=detailBiblioForm&amp;sid=713A05DA4AF030F11506661E")</f>
        <v>https://app.crepc.sk/?fn=detailBiblioForm&amp;sid=713A05DA4AF030F11506661E</v>
      </c>
    </row>
    <row r="6555" spans="3:5" ht="90" x14ac:dyDescent="0.25">
      <c r="C6555" s="15">
        <v>58475</v>
      </c>
      <c r="D6555" s="4" t="s">
        <v>6559</v>
      </c>
      <c r="E6555" s="4" t="str">
        <f>HYPERLINK("https://app.crepc.sk/?fn=detailBiblioForm&amp;sid=C8A73CFE51EFC6DFD7534F30")</f>
        <v>https://app.crepc.sk/?fn=detailBiblioForm&amp;sid=C8A73CFE51EFC6DFD7534F30</v>
      </c>
    </row>
    <row r="6556" spans="3:5" ht="105" x14ac:dyDescent="0.25">
      <c r="C6556" s="15">
        <v>98818</v>
      </c>
      <c r="D6556" s="4" t="s">
        <v>6560</v>
      </c>
      <c r="E6556" s="4" t="str">
        <f>HYPERLINK("https://app.crepc.sk/?fn=detailBiblioForm&amp;sid=F80B7016A42F56E7FDD2D16D")</f>
        <v>https://app.crepc.sk/?fn=detailBiblioForm&amp;sid=F80B7016A42F56E7FDD2D16D</v>
      </c>
    </row>
    <row r="6557" spans="3:5" ht="90" x14ac:dyDescent="0.25">
      <c r="C6557" s="15">
        <v>187640</v>
      </c>
      <c r="D6557" s="4" t="s">
        <v>6561</v>
      </c>
      <c r="E6557" s="4" t="str">
        <f>HYPERLINK("https://app.crepc.sk/?fn=detailBiblioForm&amp;sid=F921CFC32F39CED90E15EA791A")</f>
        <v>https://app.crepc.sk/?fn=detailBiblioForm&amp;sid=F921CFC32F39CED90E15EA791A</v>
      </c>
    </row>
    <row r="6558" spans="3:5" ht="90" x14ac:dyDescent="0.25">
      <c r="C6558" s="15">
        <v>96359</v>
      </c>
      <c r="D6558" s="4" t="s">
        <v>6562</v>
      </c>
      <c r="E6558" s="4" t="str">
        <f>HYPERLINK("https://app.crepc.sk/?fn=detailBiblioForm&amp;sid=1DD390912653C5BDFBE84804")</f>
        <v>https://app.crepc.sk/?fn=detailBiblioForm&amp;sid=1DD390912653C5BDFBE84804</v>
      </c>
    </row>
    <row r="6559" spans="3:5" ht="75" x14ac:dyDescent="0.25">
      <c r="C6559" s="15">
        <v>152901</v>
      </c>
      <c r="D6559" s="4" t="s">
        <v>6563</v>
      </c>
      <c r="E6559" s="4" t="str">
        <f>HYPERLINK("https://app.crepc.sk/?fn=detailBiblioForm&amp;sid=877A1C170D2F97A1DA3DCF3DE1")</f>
        <v>https://app.crepc.sk/?fn=detailBiblioForm&amp;sid=877A1C170D2F97A1DA3DCF3DE1</v>
      </c>
    </row>
    <row r="6560" spans="3:5" ht="90" x14ac:dyDescent="0.25">
      <c r="C6560" s="15">
        <v>140211</v>
      </c>
      <c r="D6560" s="4" t="s">
        <v>6564</v>
      </c>
      <c r="E6560" s="4" t="str">
        <f>HYPERLINK("https://app.crepc.sk/?fn=detailBiblioForm&amp;sid=4A220BA9C567A8491A0757C72F")</f>
        <v>https://app.crepc.sk/?fn=detailBiblioForm&amp;sid=4A220BA9C567A8491A0757C72F</v>
      </c>
    </row>
    <row r="6561" spans="3:5" ht="90" x14ac:dyDescent="0.25">
      <c r="C6561" s="15">
        <v>316646</v>
      </c>
      <c r="D6561" s="4" t="s">
        <v>6565</v>
      </c>
      <c r="E6561" s="4" t="str">
        <f>HYPERLINK("https://app.crepc.sk/?fn=detailBiblioForm&amp;sid=D102289ED89A4A14AE1A573231")</f>
        <v>https://app.crepc.sk/?fn=detailBiblioForm&amp;sid=D102289ED89A4A14AE1A573231</v>
      </c>
    </row>
    <row r="6562" spans="3:5" ht="105" x14ac:dyDescent="0.25">
      <c r="C6562" s="15">
        <v>204381</v>
      </c>
      <c r="D6562" s="4" t="s">
        <v>6566</v>
      </c>
      <c r="E6562" s="4" t="str">
        <f>HYPERLINK("https://app.crepc.sk/?fn=detailBiblioForm&amp;sid=8E201614D5D231968A61729F83")</f>
        <v>https://app.crepc.sk/?fn=detailBiblioForm&amp;sid=8E201614D5D231968A61729F83</v>
      </c>
    </row>
    <row r="6563" spans="3:5" ht="105" x14ac:dyDescent="0.25">
      <c r="C6563" s="15">
        <v>448065</v>
      </c>
      <c r="D6563" s="4" t="s">
        <v>6567</v>
      </c>
      <c r="E6563" s="4" t="str">
        <f>HYPERLINK("https://app.crepc.sk/?fn=detailBiblioForm&amp;sid=C456FEA07AAA4EFBD2ED4E7345")</f>
        <v>https://app.crepc.sk/?fn=detailBiblioForm&amp;sid=C456FEA07AAA4EFBD2ED4E7345</v>
      </c>
    </row>
    <row r="6564" spans="3:5" ht="90" x14ac:dyDescent="0.25">
      <c r="C6564" s="15">
        <v>91630</v>
      </c>
      <c r="D6564" s="4" t="s">
        <v>6568</v>
      </c>
      <c r="E6564" s="4" t="str">
        <f>HYPERLINK("https://app.crepc.sk/?fn=detailBiblioForm&amp;sid=B18BA60F4204AE8BDC7ECCB3")</f>
        <v>https://app.crepc.sk/?fn=detailBiblioForm&amp;sid=B18BA60F4204AE8BDC7ECCB3</v>
      </c>
    </row>
    <row r="6565" spans="3:5" ht="90" x14ac:dyDescent="0.25">
      <c r="C6565" s="15">
        <v>242255</v>
      </c>
      <c r="D6565" s="4" t="s">
        <v>6569</v>
      </c>
      <c r="E6565" s="4" t="str">
        <f>HYPERLINK("https://app.crepc.sk/?fn=detailBiblioForm&amp;sid=231E70CAEA5D636BE250F2C2AB")</f>
        <v>https://app.crepc.sk/?fn=detailBiblioForm&amp;sid=231E70CAEA5D636BE250F2C2AB</v>
      </c>
    </row>
    <row r="6566" spans="3:5" ht="90" x14ac:dyDescent="0.25">
      <c r="C6566" s="15">
        <v>425452</v>
      </c>
      <c r="D6566" s="4" t="s">
        <v>6570</v>
      </c>
      <c r="E6566" s="4" t="str">
        <f>HYPERLINK("https://app.crepc.sk/?fn=detailBiblioForm&amp;sid=397948A370E721DAF5C1E83A15")</f>
        <v>https://app.crepc.sk/?fn=detailBiblioForm&amp;sid=397948A370E721DAF5C1E83A15</v>
      </c>
    </row>
    <row r="6567" spans="3:5" ht="105" x14ac:dyDescent="0.25">
      <c r="C6567" s="15">
        <v>72126</v>
      </c>
      <c r="D6567" s="4" t="s">
        <v>6571</v>
      </c>
      <c r="E6567" s="4" t="str">
        <f>HYPERLINK("https://app.crepc.sk/?fn=detailBiblioForm&amp;sid=A9E995175A2D878AE28AD162")</f>
        <v>https://app.crepc.sk/?fn=detailBiblioForm&amp;sid=A9E995175A2D878AE28AD162</v>
      </c>
    </row>
    <row r="6568" spans="3:5" ht="75" x14ac:dyDescent="0.25">
      <c r="C6568" s="15">
        <v>66357</v>
      </c>
      <c r="D6568" s="4" t="s">
        <v>6572</v>
      </c>
      <c r="E6568" s="4" t="str">
        <f>HYPERLINK("https://app.crepc.sk/?fn=detailBiblioForm&amp;sid=905635A5B533D3945963A446")</f>
        <v>https://app.crepc.sk/?fn=detailBiblioForm&amp;sid=905635A5B533D3945963A446</v>
      </c>
    </row>
    <row r="6569" spans="3:5" ht="90" x14ac:dyDescent="0.25">
      <c r="C6569" s="15">
        <v>118701</v>
      </c>
      <c r="D6569" s="4" t="s">
        <v>6573</v>
      </c>
      <c r="E6569" s="4" t="str">
        <f>HYPERLINK("https://app.crepc.sk/?fn=detailBiblioForm&amp;sid=46EC41480997D7F100BFC7D544")</f>
        <v>https://app.crepc.sk/?fn=detailBiblioForm&amp;sid=46EC41480997D7F100BFC7D544</v>
      </c>
    </row>
    <row r="6570" spans="3:5" ht="105" x14ac:dyDescent="0.25">
      <c r="C6570" s="15">
        <v>161850</v>
      </c>
      <c r="D6570" s="4" t="s">
        <v>6574</v>
      </c>
      <c r="E6570" s="4" t="str">
        <f>HYPERLINK("https://app.crepc.sk/?fn=detailBiblioForm&amp;sid=9F8942B94996237AAEFD74E07C")</f>
        <v>https://app.crepc.sk/?fn=detailBiblioForm&amp;sid=9F8942B94996237AAEFD74E07C</v>
      </c>
    </row>
    <row r="6571" spans="3:5" ht="90" x14ac:dyDescent="0.25">
      <c r="C6571" s="15">
        <v>172932</v>
      </c>
      <c r="D6571" s="4" t="s">
        <v>6575</v>
      </c>
      <c r="E6571" s="4" t="str">
        <f>HYPERLINK("https://app.crepc.sk/?fn=detailBiblioForm&amp;sid=D6903242A3B61C7D24CB80C097")</f>
        <v>https://app.crepc.sk/?fn=detailBiblioForm&amp;sid=D6903242A3B61C7D24CB80C097</v>
      </c>
    </row>
    <row r="6572" spans="3:5" ht="105" x14ac:dyDescent="0.25">
      <c r="C6572" s="15">
        <v>172940</v>
      </c>
      <c r="D6572" s="4" t="s">
        <v>6576</v>
      </c>
      <c r="E6572" s="4" t="str">
        <f>HYPERLINK("https://app.crepc.sk/?fn=detailBiblioForm&amp;sid=D6903242A3B61C7D23C980C097")</f>
        <v>https://app.crepc.sk/?fn=detailBiblioForm&amp;sid=D6903242A3B61C7D23C980C097</v>
      </c>
    </row>
    <row r="6573" spans="3:5" ht="75" x14ac:dyDescent="0.25">
      <c r="C6573" s="15">
        <v>115683</v>
      </c>
      <c r="D6573" s="4" t="s">
        <v>6577</v>
      </c>
      <c r="E6573" s="4" t="str">
        <f>HYPERLINK("https://app.crepc.sk/?fn=detailBiblioForm&amp;sid=8B887CD3FF777E505CB77BD084")</f>
        <v>https://app.crepc.sk/?fn=detailBiblioForm&amp;sid=8B887CD3FF777E505CB77BD084</v>
      </c>
    </row>
    <row r="6574" spans="3:5" ht="75" x14ac:dyDescent="0.25">
      <c r="C6574" s="15">
        <v>136617</v>
      </c>
      <c r="D6574" s="4" t="s">
        <v>6578</v>
      </c>
      <c r="E6574" s="4" t="str">
        <f>HYPERLINK("https://app.crepc.sk/?fn=detailBiblioForm&amp;sid=4D4167EFBDF6647E3CCDC3831D")</f>
        <v>https://app.crepc.sk/?fn=detailBiblioForm&amp;sid=4D4167EFBDF6647E3CCDC3831D</v>
      </c>
    </row>
    <row r="6575" spans="3:5" ht="105" x14ac:dyDescent="0.25">
      <c r="C6575" s="15">
        <v>161712</v>
      </c>
      <c r="D6575" s="4" t="s">
        <v>6579</v>
      </c>
      <c r="E6575" s="4" t="str">
        <f>HYPERLINK("https://app.crepc.sk/?fn=detailBiblioForm&amp;sid=BCA102CB6C4CA54D4DEDC863D9")</f>
        <v>https://app.crepc.sk/?fn=detailBiblioForm&amp;sid=BCA102CB6C4CA54D4DEDC863D9</v>
      </c>
    </row>
    <row r="6576" spans="3:5" ht="150" x14ac:dyDescent="0.25">
      <c r="C6576" s="15">
        <v>117465</v>
      </c>
      <c r="D6576" s="4" t="s">
        <v>6580</v>
      </c>
      <c r="E6576" s="4" t="str">
        <f>HYPERLINK("https://app.crepc.sk/?fn=detailBiblioForm&amp;sid=43C9917007CDA3B7D5596DB67E")</f>
        <v>https://app.crepc.sk/?fn=detailBiblioForm&amp;sid=43C9917007CDA3B7D5596DB67E</v>
      </c>
    </row>
    <row r="6577" spans="3:5" ht="150" x14ac:dyDescent="0.25">
      <c r="C6577" s="15">
        <v>117479</v>
      </c>
      <c r="D6577" s="4" t="s">
        <v>6581</v>
      </c>
      <c r="E6577" s="4" t="str">
        <f>HYPERLINK("https://app.crepc.sk/?fn=detailBiblioForm&amp;sid=43C9917007CDA3B7D4556DB67E")</f>
        <v>https://app.crepc.sk/?fn=detailBiblioForm&amp;sid=43C9917007CDA3B7D4556DB67E</v>
      </c>
    </row>
    <row r="6578" spans="3:5" ht="135" x14ac:dyDescent="0.25">
      <c r="C6578" s="15">
        <v>116632</v>
      </c>
      <c r="D6578" s="4" t="s">
        <v>6582</v>
      </c>
      <c r="E6578" s="4" t="str">
        <f>HYPERLINK("https://app.crepc.sk/?fn=detailBiblioForm&amp;sid=C7058B2E53B5EC4D93150DAE3B")</f>
        <v>https://app.crepc.sk/?fn=detailBiblioForm&amp;sid=C7058B2E53B5EC4D93150DAE3B</v>
      </c>
    </row>
    <row r="6579" spans="3:5" ht="90" x14ac:dyDescent="0.25">
      <c r="C6579" s="15">
        <v>179580</v>
      </c>
      <c r="D6579" s="4" t="s">
        <v>6583</v>
      </c>
      <c r="E6579" s="4" t="str">
        <f>HYPERLINK("https://app.crepc.sk/?fn=detailBiblioForm&amp;sid=D2CDA85DA56256F2783D8485A6")</f>
        <v>https://app.crepc.sk/?fn=detailBiblioForm&amp;sid=D2CDA85DA56256F2783D8485A6</v>
      </c>
    </row>
    <row r="6580" spans="3:5" ht="60" x14ac:dyDescent="0.25">
      <c r="C6580" s="15">
        <v>73704</v>
      </c>
      <c r="D6580" s="4" t="s">
        <v>6584</v>
      </c>
      <c r="E6580" s="4" t="str">
        <f>HYPERLINK("https://app.crepc.sk/?fn=detailBiblioForm&amp;sid=5880598EDBBB2C0A93A849F7")</f>
        <v>https://app.crepc.sk/?fn=detailBiblioForm&amp;sid=5880598EDBBB2C0A93A849F7</v>
      </c>
    </row>
    <row r="6581" spans="3:5" ht="90" x14ac:dyDescent="0.25">
      <c r="C6581" s="15">
        <v>145047</v>
      </c>
      <c r="D6581" s="4" t="s">
        <v>6585</v>
      </c>
      <c r="E6581" s="4" t="str">
        <f>HYPERLINK("https://app.crepc.sk/?fn=detailBiblioForm&amp;sid=A067BA41CFE566E7B1857B2D76")</f>
        <v>https://app.crepc.sk/?fn=detailBiblioForm&amp;sid=A067BA41CFE566E7B1857B2D76</v>
      </c>
    </row>
    <row r="6582" spans="3:5" ht="75" x14ac:dyDescent="0.25">
      <c r="C6582" s="15">
        <v>212123</v>
      </c>
      <c r="D6582" s="4" t="s">
        <v>6586</v>
      </c>
      <c r="E6582" s="4" t="str">
        <f>HYPERLINK("https://app.crepc.sk/?fn=detailBiblioForm&amp;sid=A1202DE7B01A324D6AFD87F106")</f>
        <v>https://app.crepc.sk/?fn=detailBiblioForm&amp;sid=A1202DE7B01A324D6AFD87F106</v>
      </c>
    </row>
    <row r="6583" spans="3:5" ht="75" x14ac:dyDescent="0.25">
      <c r="C6583" s="15">
        <v>96653</v>
      </c>
      <c r="D6583" s="4" t="s">
        <v>6587</v>
      </c>
      <c r="E6583" s="4" t="str">
        <f>HYPERLINK("https://app.crepc.sk/?fn=detailBiblioForm&amp;sid=FC29C4E759368BCAC1295F9F")</f>
        <v>https://app.crepc.sk/?fn=detailBiblioForm&amp;sid=FC29C4E759368BCAC1295F9F</v>
      </c>
    </row>
    <row r="6584" spans="3:5" ht="90" x14ac:dyDescent="0.25">
      <c r="C6584" s="15">
        <v>75399</v>
      </c>
      <c r="D6584" s="4" t="s">
        <v>6588</v>
      </c>
      <c r="E6584" s="4" t="str">
        <f>HYPERLINK("https://app.crepc.sk/?fn=detailBiblioForm&amp;sid=3B3650A23D98103506E447A4")</f>
        <v>https://app.crepc.sk/?fn=detailBiblioForm&amp;sid=3B3650A23D98103506E447A4</v>
      </c>
    </row>
    <row r="6585" spans="3:5" ht="90" x14ac:dyDescent="0.25">
      <c r="C6585" s="15">
        <v>152017</v>
      </c>
      <c r="D6585" s="4" t="s">
        <v>6589</v>
      </c>
      <c r="E6585" s="4" t="str">
        <f>HYPERLINK("https://app.crepc.sk/?fn=detailBiblioForm&amp;sid=EE347D3FB9176FA23D6D0F6DAD")</f>
        <v>https://app.crepc.sk/?fn=detailBiblioForm&amp;sid=EE347D3FB9176FA23D6D0F6DAD</v>
      </c>
    </row>
    <row r="6586" spans="3:5" ht="90" x14ac:dyDescent="0.25">
      <c r="C6586" s="15">
        <v>179489</v>
      </c>
      <c r="D6586" s="4" t="s">
        <v>6590</v>
      </c>
      <c r="E6586" s="4" t="str">
        <f>HYPERLINK("https://app.crepc.sk/?fn=detailBiblioForm&amp;sid=74EB4C9215C2376F59BC26C93D")</f>
        <v>https://app.crepc.sk/?fn=detailBiblioForm&amp;sid=74EB4C9215C2376F59BC26C93D</v>
      </c>
    </row>
    <row r="6587" spans="3:5" ht="105" x14ac:dyDescent="0.25">
      <c r="C6587" s="15">
        <v>148713</v>
      </c>
      <c r="D6587" s="4" t="s">
        <v>6591</v>
      </c>
      <c r="E6587" s="4" t="str">
        <f>HYPERLINK("https://app.crepc.sk/?fn=detailBiblioForm&amp;sid=03D0BDF1F4ACE5DDEE2ED01F34")</f>
        <v>https://app.crepc.sk/?fn=detailBiblioForm&amp;sid=03D0BDF1F4ACE5DDEE2ED01F34</v>
      </c>
    </row>
    <row r="6588" spans="3:5" ht="135" x14ac:dyDescent="0.25">
      <c r="C6588" s="15">
        <v>416615</v>
      </c>
      <c r="D6588" s="4" t="s">
        <v>6592</v>
      </c>
      <c r="E6588" s="4" t="str">
        <f>HYPERLINK("https://app.crepc.sk/?fn=detailBiblioForm&amp;sid=B6526AA191AAC983452585990B")</f>
        <v>https://app.crepc.sk/?fn=detailBiblioForm&amp;sid=B6526AA191AAC983452585990B</v>
      </c>
    </row>
    <row r="6589" spans="3:5" ht="90" x14ac:dyDescent="0.25">
      <c r="C6589" s="15">
        <v>58418</v>
      </c>
      <c r="D6589" s="4" t="s">
        <v>6593</v>
      </c>
      <c r="E6589" s="4" t="str">
        <f>HYPERLINK("https://app.crepc.sk/?fn=detailBiblioForm&amp;sid=237E064BE3429247043D09B6")</f>
        <v>https://app.crepc.sk/?fn=detailBiblioForm&amp;sid=237E064BE3429247043D09B6</v>
      </c>
    </row>
    <row r="6590" spans="3:5" ht="105" x14ac:dyDescent="0.25">
      <c r="C6590" s="15">
        <v>178761</v>
      </c>
      <c r="D6590" s="4" t="s">
        <v>6594</v>
      </c>
      <c r="E6590" s="4" t="str">
        <f>HYPERLINK("https://app.crepc.sk/?fn=detailBiblioForm&amp;sid=32866E47BC3455BDB2F016D8BD")</f>
        <v>https://app.crepc.sk/?fn=detailBiblioForm&amp;sid=32866E47BC3455BDB2F016D8BD</v>
      </c>
    </row>
    <row r="6591" spans="3:5" ht="90" x14ac:dyDescent="0.25">
      <c r="C6591" s="15">
        <v>68888</v>
      </c>
      <c r="D6591" s="4" t="s">
        <v>6595</v>
      </c>
      <c r="E6591" s="4" t="str">
        <f>HYPERLINK("https://app.crepc.sk/?fn=detailBiblioForm&amp;sid=2533A2EEA5B00B5C661AFBFF")</f>
        <v>https://app.crepc.sk/?fn=detailBiblioForm&amp;sid=2533A2EEA5B00B5C661AFBFF</v>
      </c>
    </row>
    <row r="6592" spans="3:5" ht="90" x14ac:dyDescent="0.25">
      <c r="C6592" s="15">
        <v>147640</v>
      </c>
      <c r="D6592" s="4" t="s">
        <v>6596</v>
      </c>
      <c r="E6592" s="4" t="str">
        <f>HYPERLINK("https://app.crepc.sk/?fn=detailBiblioForm&amp;sid=1F2DA89437FD00828F4DCCC94C")</f>
        <v>https://app.crepc.sk/?fn=detailBiblioForm&amp;sid=1F2DA89437FD00828F4DCCC94C</v>
      </c>
    </row>
    <row r="6593" spans="3:5" ht="90" x14ac:dyDescent="0.25">
      <c r="C6593" s="15">
        <v>59039</v>
      </c>
      <c r="D6593" s="4" t="s">
        <v>6597</v>
      </c>
      <c r="E6593" s="4" t="str">
        <f>HYPERLINK("https://app.crepc.sk/?fn=detailBiblioForm&amp;sid=92870E21EE950DD13EF00F23")</f>
        <v>https://app.crepc.sk/?fn=detailBiblioForm&amp;sid=92870E21EE950DD13EF00F23</v>
      </c>
    </row>
    <row r="6594" spans="3:5" ht="75" x14ac:dyDescent="0.25">
      <c r="C6594" s="15">
        <v>148115</v>
      </c>
      <c r="D6594" s="4" t="s">
        <v>6598</v>
      </c>
      <c r="E6594" s="4" t="str">
        <f>HYPERLINK("https://app.crepc.sk/?fn=detailBiblioForm&amp;sid=A513BA47383E377398F4066018")</f>
        <v>https://app.crepc.sk/?fn=detailBiblioForm&amp;sid=A513BA47383E377398F4066018</v>
      </c>
    </row>
    <row r="6595" spans="3:5" ht="75" x14ac:dyDescent="0.25">
      <c r="C6595" s="15">
        <v>187446</v>
      </c>
      <c r="D6595" s="4" t="s">
        <v>6599</v>
      </c>
      <c r="E6595" s="4" t="str">
        <f>HYPERLINK("https://app.crepc.sk/?fn=detailBiblioForm&amp;sid=E1578DECED3BC9A507A5219864")</f>
        <v>https://app.crepc.sk/?fn=detailBiblioForm&amp;sid=E1578DECED3BC9A507A5219864</v>
      </c>
    </row>
    <row r="6596" spans="3:5" ht="75" x14ac:dyDescent="0.25">
      <c r="C6596" s="15">
        <v>450466</v>
      </c>
      <c r="D6596" s="4" t="s">
        <v>6600</v>
      </c>
      <c r="E6596" s="4" t="str">
        <f>HYPERLINK("https://app.crepc.sk/?fn=detailBiblioForm&amp;sid=5CE5487D4325501C0AEB60C9E2")</f>
        <v>https://app.crepc.sk/?fn=detailBiblioForm&amp;sid=5CE5487D4325501C0AEB60C9E2</v>
      </c>
    </row>
    <row r="6597" spans="3:5" ht="75" x14ac:dyDescent="0.25">
      <c r="C6597" s="15">
        <v>82901</v>
      </c>
      <c r="D6597" s="4" t="s">
        <v>6601</v>
      </c>
      <c r="E6597" s="4" t="str">
        <f>HYPERLINK("https://app.crepc.sk/?fn=detailBiblioForm&amp;sid=100EC39CAF0A7CC55D85A8D3")</f>
        <v>https://app.crepc.sk/?fn=detailBiblioForm&amp;sid=100EC39CAF0A7CC55D85A8D3</v>
      </c>
    </row>
    <row r="6598" spans="3:5" ht="75" x14ac:dyDescent="0.25">
      <c r="C6598" s="15">
        <v>435145</v>
      </c>
      <c r="D6598" s="4" t="s">
        <v>6602</v>
      </c>
      <c r="E6598" s="4" t="str">
        <f>HYPERLINK("https://app.crepc.sk/?fn=detailBiblioForm&amp;sid=AD8868FB556EBD592B3FBB48EF")</f>
        <v>https://app.crepc.sk/?fn=detailBiblioForm&amp;sid=AD8868FB556EBD592B3FBB48EF</v>
      </c>
    </row>
    <row r="6599" spans="3:5" ht="90" x14ac:dyDescent="0.25">
      <c r="C6599" s="15">
        <v>97445</v>
      </c>
      <c r="D6599" s="4" t="s">
        <v>6603</v>
      </c>
      <c r="E6599" s="4" t="str">
        <f>HYPERLINK("https://app.crepc.sk/?fn=detailBiblioForm&amp;sid=7E21DD2402F4DA4F3795772F")</f>
        <v>https://app.crepc.sk/?fn=detailBiblioForm&amp;sid=7E21DD2402F4DA4F3795772F</v>
      </c>
    </row>
    <row r="6600" spans="3:5" ht="75" x14ac:dyDescent="0.25">
      <c r="C6600" s="15">
        <v>95452</v>
      </c>
      <c r="D6600" s="4" t="s">
        <v>6604</v>
      </c>
      <c r="E6600" s="4" t="str">
        <f>HYPERLINK("https://app.crepc.sk/?fn=detailBiblioForm&amp;sid=3E0E7FF42BF9D23684AD3817")</f>
        <v>https://app.crepc.sk/?fn=detailBiblioForm&amp;sid=3E0E7FF42BF9D23684AD3817</v>
      </c>
    </row>
    <row r="6601" spans="3:5" ht="90" x14ac:dyDescent="0.25">
      <c r="C6601" s="15">
        <v>58018</v>
      </c>
      <c r="D6601" s="4" t="s">
        <v>6605</v>
      </c>
      <c r="E6601" s="4" t="str">
        <f>HYPERLINK("https://app.crepc.sk/?fn=detailBiblioForm&amp;sid=3E29BB5F54A96E94622FF76D")</f>
        <v>https://app.crepc.sk/?fn=detailBiblioForm&amp;sid=3E29BB5F54A96E94622FF76D</v>
      </c>
    </row>
    <row r="6602" spans="3:5" ht="90" x14ac:dyDescent="0.25">
      <c r="C6602" s="15">
        <v>140208</v>
      </c>
      <c r="D6602" s="4" t="s">
        <v>6606</v>
      </c>
      <c r="E6602" s="4" t="str">
        <f>HYPERLINK("https://app.crepc.sk/?fn=detailBiblioForm&amp;sid=4A220BA9C567A8491B0E57C72F")</f>
        <v>https://app.crepc.sk/?fn=detailBiblioForm&amp;sid=4A220BA9C567A8491B0E57C72F</v>
      </c>
    </row>
    <row r="6603" spans="3:5" ht="90" x14ac:dyDescent="0.25">
      <c r="C6603" s="15">
        <v>127581</v>
      </c>
      <c r="D6603" s="4" t="s">
        <v>6607</v>
      </c>
      <c r="E6603" s="4" t="str">
        <f>HYPERLINK("https://app.crepc.sk/?fn=detailBiblioForm&amp;sid=DBEBBE2C2F1C2B14AB818ECF74")</f>
        <v>https://app.crepc.sk/?fn=detailBiblioForm&amp;sid=DBEBBE2C2F1C2B14AB818ECF74</v>
      </c>
    </row>
    <row r="6604" spans="3:5" ht="90" x14ac:dyDescent="0.25">
      <c r="C6604" s="15">
        <v>75393</v>
      </c>
      <c r="D6604" s="4" t="s">
        <v>6608</v>
      </c>
      <c r="E6604" s="4" t="str">
        <f>HYPERLINK("https://app.crepc.sk/?fn=detailBiblioForm&amp;sid=3B3650A23D9810350CE447A4")</f>
        <v>https://app.crepc.sk/?fn=detailBiblioForm&amp;sid=3B3650A23D9810350CE447A4</v>
      </c>
    </row>
    <row r="6605" spans="3:5" ht="75" x14ac:dyDescent="0.25">
      <c r="C6605" s="15">
        <v>228938</v>
      </c>
      <c r="D6605" s="4" t="s">
        <v>6609</v>
      </c>
      <c r="E6605" s="4" t="str">
        <f>HYPERLINK("https://app.crepc.sk/?fn=detailBiblioForm&amp;sid=A7DFDA93880351E58177ED50F0")</f>
        <v>https://app.crepc.sk/?fn=detailBiblioForm&amp;sid=A7DFDA93880351E58177ED50F0</v>
      </c>
    </row>
    <row r="6606" spans="3:5" ht="90" x14ac:dyDescent="0.25">
      <c r="C6606" s="15">
        <v>85307</v>
      </c>
      <c r="D6606" s="4" t="s">
        <v>6610</v>
      </c>
      <c r="E6606" s="4" t="str">
        <f>HYPERLINK("https://app.crepc.sk/?fn=detailBiblioForm&amp;sid=3A93C8D8B05C2D45853330E2")</f>
        <v>https://app.crepc.sk/?fn=detailBiblioForm&amp;sid=3A93C8D8B05C2D45853330E2</v>
      </c>
    </row>
    <row r="6607" spans="3:5" ht="90" x14ac:dyDescent="0.25">
      <c r="C6607" s="15">
        <v>59067</v>
      </c>
      <c r="D6607" s="4" t="s">
        <v>6611</v>
      </c>
      <c r="E6607" s="4" t="str">
        <f>HYPERLINK("https://app.crepc.sk/?fn=detailBiblioForm&amp;sid=4EA88BAE954AC8D2A0DB2340")</f>
        <v>https://app.crepc.sk/?fn=detailBiblioForm&amp;sid=4EA88BAE954AC8D2A0DB2340</v>
      </c>
    </row>
    <row r="6608" spans="3:5" ht="90" x14ac:dyDescent="0.25">
      <c r="C6608" s="15">
        <v>153020</v>
      </c>
      <c r="D6608" s="4" t="s">
        <v>6612</v>
      </c>
      <c r="E6608" s="4" t="str">
        <f>HYPERLINK("https://app.crepc.sk/?fn=detailBiblioForm&amp;sid=E7FF18FD4FFD5019DFFA812AD9")</f>
        <v>https://app.crepc.sk/?fn=detailBiblioForm&amp;sid=E7FF18FD4FFD5019DFFA812AD9</v>
      </c>
    </row>
    <row r="6609" spans="3:5" ht="90" x14ac:dyDescent="0.25">
      <c r="C6609" s="15">
        <v>79691</v>
      </c>
      <c r="D6609" s="4" t="s">
        <v>6613</v>
      </c>
      <c r="E6609" s="4" t="str">
        <f>HYPERLINK("https://app.crepc.sk/?fn=detailBiblioForm&amp;sid=825DCFA73230557E90DCC286")</f>
        <v>https://app.crepc.sk/?fn=detailBiblioForm&amp;sid=825DCFA73230557E90DCC286</v>
      </c>
    </row>
    <row r="6610" spans="3:5" ht="90" x14ac:dyDescent="0.25">
      <c r="C6610" s="15">
        <v>126102</v>
      </c>
      <c r="D6610" s="4" t="s">
        <v>6614</v>
      </c>
      <c r="E6610" s="4" t="str">
        <f>HYPERLINK("https://app.crepc.sk/?fn=detailBiblioForm&amp;sid=1C98E395077C3113525A831412")</f>
        <v>https://app.crepc.sk/?fn=detailBiblioForm&amp;sid=1C98E395077C3113525A831412</v>
      </c>
    </row>
    <row r="6611" spans="3:5" ht="75" x14ac:dyDescent="0.25">
      <c r="C6611" s="15">
        <v>96306</v>
      </c>
      <c r="D6611" s="4" t="s">
        <v>6615</v>
      </c>
      <c r="E6611" s="4" t="str">
        <f>HYPERLINK("https://app.crepc.sk/?fn=detailBiblioForm&amp;sid=89D3C428D1982E406EBA8678")</f>
        <v>https://app.crepc.sk/?fn=detailBiblioForm&amp;sid=89D3C428D1982E406EBA8678</v>
      </c>
    </row>
    <row r="6612" spans="3:5" ht="75" x14ac:dyDescent="0.25">
      <c r="C6612" s="15">
        <v>86404</v>
      </c>
      <c r="D6612" s="4" t="s">
        <v>6616</v>
      </c>
      <c r="E6612" s="4" t="str">
        <f>HYPERLINK("https://app.crepc.sk/?fn=detailBiblioForm&amp;sid=14B2105D5C165146E2CC16C8")</f>
        <v>https://app.crepc.sk/?fn=detailBiblioForm&amp;sid=14B2105D5C165146E2CC16C8</v>
      </c>
    </row>
    <row r="6613" spans="3:5" ht="90" x14ac:dyDescent="0.25">
      <c r="C6613" s="15">
        <v>137950</v>
      </c>
      <c r="D6613" s="4" t="s">
        <v>6617</v>
      </c>
      <c r="E6613" s="4" t="str">
        <f>HYPERLINK("https://app.crepc.sk/?fn=detailBiblioForm&amp;sid=8922FF609D62574E8E493E73A4")</f>
        <v>https://app.crepc.sk/?fn=detailBiblioForm&amp;sid=8922FF609D62574E8E493E73A4</v>
      </c>
    </row>
    <row r="6614" spans="3:5" ht="105" x14ac:dyDescent="0.25">
      <c r="C6614" s="15">
        <v>154239</v>
      </c>
      <c r="D6614" s="4" t="s">
        <v>6618</v>
      </c>
      <c r="E6614" s="4" t="str">
        <f>HYPERLINK("https://app.crepc.sk/?fn=detailBiblioForm&amp;sid=257C140978EBB75C00559283D6")</f>
        <v>https://app.crepc.sk/?fn=detailBiblioForm&amp;sid=257C140978EBB75C00559283D6</v>
      </c>
    </row>
    <row r="6615" spans="3:5" ht="90" x14ac:dyDescent="0.25">
      <c r="C6615" s="15">
        <v>242827</v>
      </c>
      <c r="D6615" s="4" t="s">
        <v>6619</v>
      </c>
      <c r="E6615" s="4" t="str">
        <f>HYPERLINK("https://app.crepc.sk/?fn=detailBiblioForm&amp;sid=11BB39C9E8B430AEC6FAE2A5C9")</f>
        <v>https://app.crepc.sk/?fn=detailBiblioForm&amp;sid=11BB39C9E8B430AEC6FAE2A5C9</v>
      </c>
    </row>
    <row r="6616" spans="3:5" ht="90" x14ac:dyDescent="0.25">
      <c r="C6616" s="15">
        <v>145062</v>
      </c>
      <c r="D6616" s="4" t="s">
        <v>6620</v>
      </c>
      <c r="E6616" s="4" t="str">
        <f>HYPERLINK("https://app.crepc.sk/?fn=detailBiblioForm&amp;sid=A067BA41CFE566E7B3807B2D76")</f>
        <v>https://app.crepc.sk/?fn=detailBiblioForm&amp;sid=A067BA41CFE566E7B3807B2D76</v>
      </c>
    </row>
    <row r="6617" spans="3:5" ht="75" x14ac:dyDescent="0.25">
      <c r="C6617" s="15">
        <v>114505</v>
      </c>
      <c r="D6617" s="4" t="s">
        <v>6621</v>
      </c>
      <c r="E6617" s="4" t="str">
        <f>HYPERLINK("https://app.crepc.sk/?fn=detailBiblioForm&amp;sid=A4D39FE022EC143D231BF44F4D")</f>
        <v>https://app.crepc.sk/?fn=detailBiblioForm&amp;sid=A4D39FE022EC143D231BF44F4D</v>
      </c>
    </row>
    <row r="6618" spans="3:5" ht="90" x14ac:dyDescent="0.25">
      <c r="C6618" s="15">
        <v>61109</v>
      </c>
      <c r="D6618" s="4" t="s">
        <v>6622</v>
      </c>
      <c r="E6618" s="4" t="str">
        <f>HYPERLINK("https://app.crepc.sk/?fn=detailBiblioForm&amp;sid=38FC361BC8F9177286395269")</f>
        <v>https://app.crepc.sk/?fn=detailBiblioForm&amp;sid=38FC361BC8F9177286395269</v>
      </c>
    </row>
    <row r="6619" spans="3:5" ht="105" x14ac:dyDescent="0.25">
      <c r="C6619" s="15">
        <v>138410</v>
      </c>
      <c r="D6619" s="4" t="s">
        <v>6623</v>
      </c>
      <c r="E6619" s="4" t="str">
        <f>HYPERLINK("https://app.crepc.sk/?fn=detailBiblioForm&amp;sid=3AF1A6EA9B0020D207DC0DA13A")</f>
        <v>https://app.crepc.sk/?fn=detailBiblioForm&amp;sid=3AF1A6EA9B0020D207DC0DA13A</v>
      </c>
    </row>
    <row r="6620" spans="3:5" ht="90" x14ac:dyDescent="0.25">
      <c r="C6620" s="15">
        <v>57734</v>
      </c>
      <c r="D6620" s="4" t="s">
        <v>6624</v>
      </c>
      <c r="E6620" s="4" t="str">
        <f>HYPERLINK("https://app.crepc.sk/?fn=detailBiblioForm&amp;sid=CAFC3DFAFE1A853A30550878")</f>
        <v>https://app.crepc.sk/?fn=detailBiblioForm&amp;sid=CAFC3DFAFE1A853A30550878</v>
      </c>
    </row>
    <row r="6621" spans="3:5" ht="90" x14ac:dyDescent="0.25">
      <c r="C6621" s="15">
        <v>138429</v>
      </c>
      <c r="D6621" s="4" t="s">
        <v>6625</v>
      </c>
      <c r="E6621" s="4" t="str">
        <f>HYPERLINK("https://app.crepc.sk/?fn=detailBiblioForm&amp;sid=3AF1A6EA9B0020D204D50DA13A")</f>
        <v>https://app.crepc.sk/?fn=detailBiblioForm&amp;sid=3AF1A6EA9B0020D204D50DA13A</v>
      </c>
    </row>
    <row r="6622" spans="3:5" ht="90" x14ac:dyDescent="0.25">
      <c r="C6622" s="15">
        <v>69094</v>
      </c>
      <c r="D6622" s="4" t="s">
        <v>6626</v>
      </c>
      <c r="E6622" s="4" t="str">
        <f>HYPERLINK("https://app.crepc.sk/?fn=detailBiblioForm&amp;sid=59B48166C59378FBCBA8421B")</f>
        <v>https://app.crepc.sk/?fn=detailBiblioForm&amp;sid=59B48166C59378FBCBA8421B</v>
      </c>
    </row>
    <row r="6623" spans="3:5" ht="75" x14ac:dyDescent="0.25">
      <c r="C6623" s="15">
        <v>187439</v>
      </c>
      <c r="D6623" s="4" t="s">
        <v>6627</v>
      </c>
      <c r="E6623" s="4" t="str">
        <f>HYPERLINK("https://app.crepc.sk/?fn=detailBiblioForm&amp;sid=E1578DECED3BC9A500AA219864")</f>
        <v>https://app.crepc.sk/?fn=detailBiblioForm&amp;sid=E1578DECED3BC9A500AA219864</v>
      </c>
    </row>
    <row r="6624" spans="3:5" ht="75" x14ac:dyDescent="0.25">
      <c r="C6624" s="15">
        <v>223171</v>
      </c>
      <c r="D6624" s="4" t="s">
        <v>6628</v>
      </c>
      <c r="E6624" s="4" t="str">
        <f>HYPERLINK("https://app.crepc.sk/?fn=detailBiblioForm&amp;sid=3CCA95DFCBDFD550336FFB1A00")</f>
        <v>https://app.crepc.sk/?fn=detailBiblioForm&amp;sid=3CCA95DFCBDFD550336FFB1A00</v>
      </c>
    </row>
    <row r="6625" spans="3:5" ht="90" x14ac:dyDescent="0.25">
      <c r="C6625" s="15">
        <v>124931</v>
      </c>
      <c r="D6625" s="4" t="s">
        <v>6629</v>
      </c>
      <c r="E6625" s="4" t="str">
        <f>HYPERLINK("https://app.crepc.sk/?fn=detailBiblioForm&amp;sid=5D21D4E84343AF6ACA91277571")</f>
        <v>https://app.crepc.sk/?fn=detailBiblioForm&amp;sid=5D21D4E84343AF6ACA91277571</v>
      </c>
    </row>
    <row r="6626" spans="3:5" ht="75" x14ac:dyDescent="0.25">
      <c r="C6626" s="15">
        <v>82910</v>
      </c>
      <c r="D6626" s="4" t="s">
        <v>6630</v>
      </c>
      <c r="E6626" s="4" t="str">
        <f>HYPERLINK("https://app.crepc.sk/?fn=detailBiblioForm&amp;sid=0733D031CE79F75CED781619")</f>
        <v>https://app.crepc.sk/?fn=detailBiblioForm&amp;sid=0733D031CE79F75CED781619</v>
      </c>
    </row>
    <row r="6627" spans="3:5" ht="105" x14ac:dyDescent="0.25">
      <c r="C6627" s="15">
        <v>58436</v>
      </c>
      <c r="D6627" s="4" t="s">
        <v>6631</v>
      </c>
      <c r="E6627" s="4" t="str">
        <f>HYPERLINK("https://app.crepc.sk/?fn=detailBiblioForm&amp;sid=EEA2F15C349D2F280748290C")</f>
        <v>https://app.crepc.sk/?fn=detailBiblioForm&amp;sid=EEA2F15C349D2F280748290C</v>
      </c>
    </row>
    <row r="6628" spans="3:5" ht="105" x14ac:dyDescent="0.25">
      <c r="C6628" s="15">
        <v>218008</v>
      </c>
      <c r="D6628" s="4" t="s">
        <v>6632</v>
      </c>
      <c r="E6628" s="4" t="str">
        <f>HYPERLINK("https://app.crepc.sk/?fn=detailBiblioForm&amp;sid=B4AE1C6FCFC18FC5C7A4C31CB6")</f>
        <v>https://app.crepc.sk/?fn=detailBiblioForm&amp;sid=B4AE1C6FCFC18FC5C7A4C31CB6</v>
      </c>
    </row>
    <row r="6629" spans="3:5" ht="105" x14ac:dyDescent="0.25">
      <c r="C6629" s="15">
        <v>133663</v>
      </c>
      <c r="D6629" s="4" t="s">
        <v>6633</v>
      </c>
      <c r="E6629" s="4" t="str">
        <f>HYPERLINK("https://app.crepc.sk/?fn=detailBiblioForm&amp;sid=843FECD318613D3B11EFA125F3")</f>
        <v>https://app.crepc.sk/?fn=detailBiblioForm&amp;sid=843FECD318613D3B11EFA125F3</v>
      </c>
    </row>
    <row r="6630" spans="3:5" ht="90" x14ac:dyDescent="0.25">
      <c r="C6630" s="15">
        <v>429625</v>
      </c>
      <c r="D6630" s="4" t="s">
        <v>6634</v>
      </c>
      <c r="E6630" s="4" t="str">
        <f>HYPERLINK("https://app.crepc.sk/?fn=detailBiblioForm&amp;sid=D24F18FC100570A67C28C782E8")</f>
        <v>https://app.crepc.sk/?fn=detailBiblioForm&amp;sid=D24F18FC100570A67C28C782E8</v>
      </c>
    </row>
    <row r="6631" spans="3:5" ht="105" x14ac:dyDescent="0.25">
      <c r="C6631" s="15">
        <v>57027</v>
      </c>
      <c r="D6631" s="4" t="s">
        <v>6635</v>
      </c>
      <c r="E6631" s="4" t="str">
        <f>HYPERLINK("https://app.crepc.sk/?fn=detailBiblioForm&amp;sid=35470329E2AB3928AD4C02E8")</f>
        <v>https://app.crepc.sk/?fn=detailBiblioForm&amp;sid=35470329E2AB3928AD4C02E8</v>
      </c>
    </row>
    <row r="6632" spans="3:5" ht="90" x14ac:dyDescent="0.25">
      <c r="C6632" s="15">
        <v>51969</v>
      </c>
      <c r="D6632" s="4" t="s">
        <v>6636</v>
      </c>
      <c r="E6632" s="4" t="str">
        <f>HYPERLINK("https://app.crepc.sk/?fn=detailBiblioForm&amp;sid=88B0466A87B457940A8FE6A3")</f>
        <v>https://app.crepc.sk/?fn=detailBiblioForm&amp;sid=88B0466A87B457940A8FE6A3</v>
      </c>
    </row>
    <row r="6633" spans="3:5" ht="105" x14ac:dyDescent="0.25">
      <c r="C6633" s="15">
        <v>127556</v>
      </c>
      <c r="D6633" s="4" t="s">
        <v>6637</v>
      </c>
      <c r="E6633" s="4" t="str">
        <f>HYPERLINK("https://app.crepc.sk/?fn=detailBiblioForm&amp;sid=DBEBBE2C2F1C2B14A6868ECF74")</f>
        <v>https://app.crepc.sk/?fn=detailBiblioForm&amp;sid=DBEBBE2C2F1C2B14A6868ECF74</v>
      </c>
    </row>
    <row r="6634" spans="3:5" ht="120" x14ac:dyDescent="0.25">
      <c r="C6634" s="15">
        <v>127590</v>
      </c>
      <c r="D6634" s="4" t="s">
        <v>6638</v>
      </c>
      <c r="E6634" s="4" t="str">
        <f>HYPERLINK("https://app.crepc.sk/?fn=detailBiblioForm&amp;sid=DBEBBE2C2F1C2B14AA808ECF74")</f>
        <v>https://app.crepc.sk/?fn=detailBiblioForm&amp;sid=DBEBBE2C2F1C2B14AA808ECF74</v>
      </c>
    </row>
    <row r="6635" spans="3:5" ht="105" x14ac:dyDescent="0.25">
      <c r="C6635" s="15">
        <v>95488</v>
      </c>
      <c r="D6635" s="4" t="s">
        <v>6639</v>
      </c>
      <c r="E6635" s="4" t="str">
        <f>HYPERLINK("https://app.crepc.sk/?fn=detailBiblioForm&amp;sid=E1B50FEEE331A3D81A7AB2A4")</f>
        <v>https://app.crepc.sk/?fn=detailBiblioForm&amp;sid=E1B50FEEE331A3D81A7AB2A4</v>
      </c>
    </row>
    <row r="6636" spans="3:5" ht="90" x14ac:dyDescent="0.25">
      <c r="C6636" s="15">
        <v>83895</v>
      </c>
      <c r="D6636" s="4" t="s">
        <v>6640</v>
      </c>
      <c r="E6636" s="4" t="str">
        <f>HYPERLINK("https://app.crepc.sk/?fn=detailBiblioForm&amp;sid=BB6C4AFF036FC76C46A37B84")</f>
        <v>https://app.crepc.sk/?fn=detailBiblioForm&amp;sid=BB6C4AFF036FC76C46A37B84</v>
      </c>
    </row>
    <row r="6637" spans="3:5" ht="90" x14ac:dyDescent="0.25">
      <c r="C6637" s="15">
        <v>440378</v>
      </c>
      <c r="D6637" s="4" t="s">
        <v>6641</v>
      </c>
      <c r="E6637" s="4" t="str">
        <f>HYPERLINK("https://app.crepc.sk/?fn=detailBiblioForm&amp;sid=AC303CDBB1BEAE3AC865A7321B")</f>
        <v>https://app.crepc.sk/?fn=detailBiblioForm&amp;sid=AC303CDBB1BEAE3AC865A7321B</v>
      </c>
    </row>
    <row r="6638" spans="3:5" ht="90" x14ac:dyDescent="0.25">
      <c r="C6638" s="15">
        <v>196899</v>
      </c>
      <c r="D6638" s="4" t="s">
        <v>6642</v>
      </c>
      <c r="E6638" s="4" t="str">
        <f>HYPERLINK("https://app.crepc.sk/?fn=detailBiblioForm&amp;sid=71273B11B862991D7E0463B5FC")</f>
        <v>https://app.crepc.sk/?fn=detailBiblioForm&amp;sid=71273B11B862991D7E0463B5FC</v>
      </c>
    </row>
    <row r="6639" spans="3:5" ht="90" x14ac:dyDescent="0.25">
      <c r="C6639" s="15">
        <v>51065</v>
      </c>
      <c r="D6639" s="4" t="s">
        <v>6643</v>
      </c>
      <c r="E6639" s="4" t="str">
        <f>HYPERLINK("https://app.crepc.sk/?fn=detailBiblioForm&amp;sid=BB29F255FBB69693A1F43919")</f>
        <v>https://app.crepc.sk/?fn=detailBiblioForm&amp;sid=BB29F255FBB69693A1F43919</v>
      </c>
    </row>
    <row r="6640" spans="3:5" ht="75" x14ac:dyDescent="0.25">
      <c r="C6640" s="15">
        <v>161863</v>
      </c>
      <c r="D6640" s="4" t="s">
        <v>6644</v>
      </c>
      <c r="E6640" s="4" t="str">
        <f>HYPERLINK("https://app.crepc.sk/?fn=detailBiblioForm&amp;sid=9F8942B94996237AADFE74E07C")</f>
        <v>https://app.crepc.sk/?fn=detailBiblioForm&amp;sid=9F8942B94996237AADFE74E07C</v>
      </c>
    </row>
    <row r="6641" spans="3:5" ht="90" x14ac:dyDescent="0.25">
      <c r="C6641" s="15">
        <v>185504</v>
      </c>
      <c r="D6641" s="4" t="s">
        <v>6645</v>
      </c>
      <c r="E6641" s="4" t="str">
        <f>HYPERLINK("https://app.crepc.sk/?fn=detailBiblioForm&amp;sid=976842DB397D7CF04BB3A63B93")</f>
        <v>https://app.crepc.sk/?fn=detailBiblioForm&amp;sid=976842DB397D7CF04BB3A63B93</v>
      </c>
    </row>
    <row r="6642" spans="3:5" ht="75" x14ac:dyDescent="0.25">
      <c r="C6642" s="15">
        <v>424518</v>
      </c>
      <c r="D6642" s="4" t="s">
        <v>6646</v>
      </c>
      <c r="E6642" s="4" t="str">
        <f>HYPERLINK("https://app.crepc.sk/?fn=detailBiblioForm&amp;sid=012CCE62C622B6693DFA59F13E")</f>
        <v>https://app.crepc.sk/?fn=detailBiblioForm&amp;sid=012CCE62C622B6693DFA59F13E</v>
      </c>
    </row>
    <row r="6643" spans="3:5" ht="90" x14ac:dyDescent="0.25">
      <c r="C6643" s="15">
        <v>73634</v>
      </c>
      <c r="D6643" s="4" t="s">
        <v>6647</v>
      </c>
      <c r="E6643" s="4" t="str">
        <f>HYPERLINK("https://app.crepc.sk/?fn=detailBiblioForm&amp;sid=46C98DF2F13828516D344A19")</f>
        <v>https://app.crepc.sk/?fn=detailBiblioForm&amp;sid=46C98DF2F13828516D344A19</v>
      </c>
    </row>
    <row r="6644" spans="3:5" ht="105" x14ac:dyDescent="0.25">
      <c r="C6644" s="15">
        <v>211421</v>
      </c>
      <c r="D6644" s="4" t="s">
        <v>6648</v>
      </c>
      <c r="E6644" s="4" t="str">
        <f>HYPERLINK("https://app.crepc.sk/?fn=detailBiblioForm&amp;sid=E68DA448349DA48E3039AC5BDB")</f>
        <v>https://app.crepc.sk/?fn=detailBiblioForm&amp;sid=E68DA448349DA48E3039AC5BDB</v>
      </c>
    </row>
    <row r="6645" spans="3:5" ht="90" x14ac:dyDescent="0.25">
      <c r="C6645" s="15">
        <v>61101</v>
      </c>
      <c r="D6645" s="4" t="s">
        <v>6649</v>
      </c>
      <c r="E6645" s="4" t="str">
        <f>HYPERLINK("https://app.crepc.sk/?fn=detailBiblioForm&amp;sid=38FC361BC8F917728E395269")</f>
        <v>https://app.crepc.sk/?fn=detailBiblioForm&amp;sid=38FC361BC8F917728E395269</v>
      </c>
    </row>
    <row r="6646" spans="3:5" ht="90" x14ac:dyDescent="0.25">
      <c r="C6646" s="15">
        <v>127664</v>
      </c>
      <c r="D6646" s="4" t="s">
        <v>6650</v>
      </c>
      <c r="E6646" s="4" t="str">
        <f>HYPERLINK("https://app.crepc.sk/?fn=detailBiblioForm&amp;sid=A61021784F381E68C10BE78699")</f>
        <v>https://app.crepc.sk/?fn=detailBiblioForm&amp;sid=A61021784F381E68C10BE78699</v>
      </c>
    </row>
    <row r="6647" spans="3:5" ht="105" x14ac:dyDescent="0.25">
      <c r="C6647" s="15">
        <v>97447</v>
      </c>
      <c r="D6647" s="4" t="s">
        <v>6651</v>
      </c>
      <c r="E6647" s="4" t="str">
        <f>HYPERLINK("https://app.crepc.sk/?fn=detailBiblioForm&amp;sid=7E21DD2402F4DA4F3595772F")</f>
        <v>https://app.crepc.sk/?fn=detailBiblioForm&amp;sid=7E21DD2402F4DA4F3595772F</v>
      </c>
    </row>
    <row r="6648" spans="3:5" ht="90" x14ac:dyDescent="0.25">
      <c r="C6648" s="15">
        <v>73808</v>
      </c>
      <c r="D6648" s="4" t="s">
        <v>6652</v>
      </c>
      <c r="E6648" s="4" t="str">
        <f>HYPERLINK("https://app.crepc.sk/?fn=detailBiblioForm&amp;sid=E5BD2B1E8E0267D9E51759F9")</f>
        <v>https://app.crepc.sk/?fn=detailBiblioForm&amp;sid=E5BD2B1E8E0267D9E51759F9</v>
      </c>
    </row>
    <row r="6649" spans="3:5" ht="105" x14ac:dyDescent="0.25">
      <c r="C6649" s="15">
        <v>73814</v>
      </c>
      <c r="D6649" s="4" t="s">
        <v>6653</v>
      </c>
      <c r="E6649" s="4" t="str">
        <f>HYPERLINK("https://app.crepc.sk/?fn=detailBiblioForm&amp;sid=C8D150E7D6A9DAA97A91B7E3")</f>
        <v>https://app.crepc.sk/?fn=detailBiblioForm&amp;sid=C8D150E7D6A9DAA97A91B7E3</v>
      </c>
    </row>
    <row r="6650" spans="3:5" ht="90" x14ac:dyDescent="0.25">
      <c r="C6650" s="15">
        <v>73818</v>
      </c>
      <c r="D6650" s="4" t="s">
        <v>6654</v>
      </c>
      <c r="E6650" s="4" t="str">
        <f>HYPERLINK("https://app.crepc.sk/?fn=detailBiblioForm&amp;sid=C8D150E7D6A9DAA97691B7E3")</f>
        <v>https://app.crepc.sk/?fn=detailBiblioForm&amp;sid=C8D150E7D6A9DAA97691B7E3</v>
      </c>
    </row>
    <row r="6651" spans="3:5" ht="75" x14ac:dyDescent="0.25">
      <c r="C6651" s="15">
        <v>188509</v>
      </c>
      <c r="D6651" s="4" t="s">
        <v>6655</v>
      </c>
      <c r="E6651" s="4" t="str">
        <f>HYPERLINK("https://app.crepc.sk/?fn=detailBiblioForm&amp;sid=CEC4BB8C8D9EFEE358DA659C47")</f>
        <v>https://app.crepc.sk/?fn=detailBiblioForm&amp;sid=CEC4BB8C8D9EFEE358DA659C47</v>
      </c>
    </row>
    <row r="6652" spans="3:5" ht="105" x14ac:dyDescent="0.25">
      <c r="C6652" s="15">
        <v>310161</v>
      </c>
      <c r="D6652" s="4" t="s">
        <v>6656</v>
      </c>
      <c r="E6652" s="4" t="str">
        <f>HYPERLINK("https://app.crepc.sk/?fn=detailBiblioForm&amp;sid=E9F63DECD21F072F8F44FE53D1")</f>
        <v>https://app.crepc.sk/?fn=detailBiblioForm&amp;sid=E9F63DECD21F072F8F44FE53D1</v>
      </c>
    </row>
    <row r="6653" spans="3:5" ht="90" x14ac:dyDescent="0.25">
      <c r="C6653" s="15">
        <v>182538</v>
      </c>
      <c r="D6653" s="4" t="s">
        <v>6657</v>
      </c>
      <c r="E6653" s="4" t="str">
        <f>HYPERLINK("https://app.crepc.sk/?fn=detailBiblioForm&amp;sid=CC8450CBF10FC669827697D74A")</f>
        <v>https://app.crepc.sk/?fn=detailBiblioForm&amp;sid=CC8450CBF10FC669827697D74A</v>
      </c>
    </row>
    <row r="6654" spans="3:5" ht="90" x14ac:dyDescent="0.25">
      <c r="C6654" s="15">
        <v>124935</v>
      </c>
      <c r="D6654" s="4" t="s">
        <v>6658</v>
      </c>
      <c r="E6654" s="4" t="str">
        <f>HYPERLINK("https://app.crepc.sk/?fn=detailBiblioForm&amp;sid=5D21D4E84343AF6ACA95277571")</f>
        <v>https://app.crepc.sk/?fn=detailBiblioForm&amp;sid=5D21D4E84343AF6ACA95277571</v>
      </c>
    </row>
    <row r="6655" spans="3:5" ht="90" x14ac:dyDescent="0.25">
      <c r="C6655" s="15">
        <v>231303</v>
      </c>
      <c r="D6655" s="4" t="s">
        <v>6659</v>
      </c>
      <c r="E6655" s="4" t="str">
        <f>HYPERLINK("https://app.crepc.sk/?fn=detailBiblioForm&amp;sid=AB2F48E8C57E5DFBAC7A7BA9FC")</f>
        <v>https://app.crepc.sk/?fn=detailBiblioForm&amp;sid=AB2F48E8C57E5DFBAC7A7BA9FC</v>
      </c>
    </row>
    <row r="6656" spans="3:5" ht="120" x14ac:dyDescent="0.25">
      <c r="C6656" s="15">
        <v>56954</v>
      </c>
      <c r="D6656" s="4" t="s">
        <v>6660</v>
      </c>
      <c r="E6656" s="4" t="str">
        <f>HYPERLINK("https://app.crepc.sk/?fn=detailBiblioForm&amp;sid=6DCFCB875A59208606C37E06")</f>
        <v>https://app.crepc.sk/?fn=detailBiblioForm&amp;sid=6DCFCB875A59208606C37E06</v>
      </c>
    </row>
    <row r="6657" spans="3:5" ht="90" x14ac:dyDescent="0.25">
      <c r="C6657" s="15">
        <v>51081</v>
      </c>
      <c r="D6657" s="4" t="s">
        <v>6661</v>
      </c>
      <c r="E6657" s="4" t="str">
        <f>HYPERLINK("https://app.crepc.sk/?fn=detailBiblioForm&amp;sid=8098A5EBC517294D5F65490C")</f>
        <v>https://app.crepc.sk/?fn=detailBiblioForm&amp;sid=8098A5EBC517294D5F65490C</v>
      </c>
    </row>
    <row r="6658" spans="3:5" ht="90" x14ac:dyDescent="0.25">
      <c r="C6658" s="15">
        <v>310086</v>
      </c>
      <c r="D6658" s="4" t="s">
        <v>6662</v>
      </c>
      <c r="E6658" s="4" t="str">
        <f>HYPERLINK("https://app.crepc.sk/?fn=detailBiblioForm&amp;sid=F566C6E0CB47072BF4E822F69C")</f>
        <v>https://app.crepc.sk/?fn=detailBiblioForm&amp;sid=F566C6E0CB47072BF4E822F69C</v>
      </c>
    </row>
    <row r="6659" spans="3:5" ht="75" x14ac:dyDescent="0.25">
      <c r="C6659" s="15">
        <v>310901</v>
      </c>
      <c r="D6659" s="4" t="s">
        <v>6663</v>
      </c>
      <c r="E6659" s="4" t="str">
        <f>HYPERLINK("https://app.crepc.sk/?fn=detailBiblioForm&amp;sid=BA7DB3FBE0F90E42C6B9035470")</f>
        <v>https://app.crepc.sk/?fn=detailBiblioForm&amp;sid=BA7DB3FBE0F90E42C6B9035470</v>
      </c>
    </row>
    <row r="6660" spans="3:5" ht="105" x14ac:dyDescent="0.25">
      <c r="C6660" s="15">
        <v>218007</v>
      </c>
      <c r="D6660" s="4" t="s">
        <v>6664</v>
      </c>
      <c r="E6660" s="4" t="str">
        <f>HYPERLINK("https://app.crepc.sk/?fn=detailBiblioForm&amp;sid=B4AE1C6FCFC18FC5C7ABC31CB6")</f>
        <v>https://app.crepc.sk/?fn=detailBiblioForm&amp;sid=B4AE1C6FCFC18FC5C7ABC31CB6</v>
      </c>
    </row>
    <row r="6661" spans="3:5" ht="90" x14ac:dyDescent="0.25">
      <c r="C6661" s="15">
        <v>52956</v>
      </c>
      <c r="D6661" s="4" t="s">
        <v>6665</v>
      </c>
      <c r="E6661" s="4" t="str">
        <f>HYPERLINK("https://app.crepc.sk/?fn=detailBiblioForm&amp;sid=C1777F55D8EA2EA7F5B690DD")</f>
        <v>https://app.crepc.sk/?fn=detailBiblioForm&amp;sid=C1777F55D8EA2EA7F5B690DD</v>
      </c>
    </row>
    <row r="6662" spans="3:5" ht="90" x14ac:dyDescent="0.25">
      <c r="C6662" s="15">
        <v>77599</v>
      </c>
      <c r="D6662" s="4" t="s">
        <v>6666</v>
      </c>
      <c r="E6662" s="4" t="str">
        <f>HYPERLINK("https://app.crepc.sk/?fn=detailBiblioForm&amp;sid=53C925FF696E92198EC1773A")</f>
        <v>https://app.crepc.sk/?fn=detailBiblioForm&amp;sid=53C925FF696E92198EC1773A</v>
      </c>
    </row>
    <row r="6663" spans="3:5" ht="90" x14ac:dyDescent="0.25">
      <c r="C6663" s="15">
        <v>429621</v>
      </c>
      <c r="D6663" s="4" t="s">
        <v>6667</v>
      </c>
      <c r="E6663" s="4" t="str">
        <f>HYPERLINK("https://app.crepc.sk/?fn=detailBiblioForm&amp;sid=D24F18FC100570A67C2CC782E8")</f>
        <v>https://app.crepc.sk/?fn=detailBiblioForm&amp;sid=D24F18FC100570A67C2CC782E8</v>
      </c>
    </row>
    <row r="6664" spans="3:5" ht="90" x14ac:dyDescent="0.25">
      <c r="C6664" s="15">
        <v>58490</v>
      </c>
      <c r="D6664" s="4" t="s">
        <v>6668</v>
      </c>
      <c r="E6664" s="4" t="str">
        <f>HYPERLINK("https://app.crepc.sk/?fn=detailBiblioForm&amp;sid=B4E202342B06CC6AB59A527E")</f>
        <v>https://app.crepc.sk/?fn=detailBiblioForm&amp;sid=B4E202342B06CC6AB59A527E</v>
      </c>
    </row>
    <row r="6665" spans="3:5" ht="90" x14ac:dyDescent="0.25">
      <c r="C6665" s="15">
        <v>127601</v>
      </c>
      <c r="D6665" s="4" t="s">
        <v>6669</v>
      </c>
      <c r="E6665" s="4" t="str">
        <f>HYPERLINK("https://app.crepc.sk/?fn=detailBiblioForm&amp;sid=A61021784F381E68C70EE78699")</f>
        <v>https://app.crepc.sk/?fn=detailBiblioForm&amp;sid=A61021784F381E68C70EE78699</v>
      </c>
    </row>
    <row r="6666" spans="3:5" ht="105" x14ac:dyDescent="0.25">
      <c r="C6666" s="15">
        <v>114815</v>
      </c>
      <c r="D6666" s="4" t="s">
        <v>6670</v>
      </c>
      <c r="E6666" s="4" t="str">
        <f>HYPERLINK("https://app.crepc.sk/?fn=detailBiblioForm&amp;sid=C957D02FE2D4481C6EB882EBB8")</f>
        <v>https://app.crepc.sk/?fn=detailBiblioForm&amp;sid=C957D02FE2D4481C6EB882EBB8</v>
      </c>
    </row>
    <row r="6667" spans="3:5" ht="75" x14ac:dyDescent="0.25">
      <c r="C6667" s="15">
        <v>438801</v>
      </c>
      <c r="D6667" s="4" t="s">
        <v>6671</v>
      </c>
      <c r="E6667" s="4" t="str">
        <f>HYPERLINK("https://app.crepc.sk/?fn=detailBiblioForm&amp;sid=B88753DAFC7FC95041F50EB611")</f>
        <v>https://app.crepc.sk/?fn=detailBiblioForm&amp;sid=B88753DAFC7FC95041F50EB611</v>
      </c>
    </row>
    <row r="6668" spans="3:5" ht="90" x14ac:dyDescent="0.25">
      <c r="C6668" s="15">
        <v>58453</v>
      </c>
      <c r="D6668" s="4" t="s">
        <v>6672</v>
      </c>
      <c r="E6668" s="4" t="str">
        <f>HYPERLINK("https://app.crepc.sk/?fn=detailBiblioForm&amp;sid=7AAF619F905301CB0D971E4C")</f>
        <v>https://app.crepc.sk/?fn=detailBiblioForm&amp;sid=7AAF619F905301CB0D971E4C</v>
      </c>
    </row>
    <row r="6669" spans="3:5" ht="105" x14ac:dyDescent="0.25">
      <c r="C6669" s="15">
        <v>161773</v>
      </c>
      <c r="D6669" s="4" t="s">
        <v>6673</v>
      </c>
      <c r="E6669" s="4" t="str">
        <f>HYPERLINK("https://app.crepc.sk/?fn=detailBiblioForm&amp;sid=BCA102CB6C4CA54D4BECC863D9")</f>
        <v>https://app.crepc.sk/?fn=detailBiblioForm&amp;sid=BCA102CB6C4CA54D4BECC863D9</v>
      </c>
    </row>
    <row r="6670" spans="3:5" ht="75" x14ac:dyDescent="0.25">
      <c r="C6670" s="15">
        <v>418582</v>
      </c>
      <c r="D6670" s="4" t="s">
        <v>6674</v>
      </c>
      <c r="E6670" s="4" t="str">
        <f>HYPERLINK("https://app.crepc.sk/?fn=detailBiblioForm&amp;sid=C3BF054227B45EA573BD7B6664")</f>
        <v>https://app.crepc.sk/?fn=detailBiblioForm&amp;sid=C3BF054227B45EA573BD7B6664</v>
      </c>
    </row>
    <row r="6671" spans="3:5" ht="75" x14ac:dyDescent="0.25">
      <c r="C6671" s="15">
        <v>102255</v>
      </c>
      <c r="D6671" s="4" t="s">
        <v>6675</v>
      </c>
      <c r="E6671" s="4" t="str">
        <f>HYPERLINK("https://app.crepc.sk/?fn=detailBiblioForm&amp;sid=2E010DF3E4CBC231702B41E259")</f>
        <v>https://app.crepc.sk/?fn=detailBiblioForm&amp;sid=2E010DF3E4CBC231702B41E259</v>
      </c>
    </row>
    <row r="6672" spans="3:5" ht="90" x14ac:dyDescent="0.25">
      <c r="C6672" s="15">
        <v>56666</v>
      </c>
      <c r="D6672" s="4" t="s">
        <v>6676</v>
      </c>
      <c r="E6672" s="4" t="str">
        <f>HYPERLINK("https://app.crepc.sk/?fn=detailBiblioForm&amp;sid=8BB2EB227141DDE1B766DE76")</f>
        <v>https://app.crepc.sk/?fn=detailBiblioForm&amp;sid=8BB2EB227141DDE1B766DE76</v>
      </c>
    </row>
    <row r="6673" spans="3:5" ht="90" x14ac:dyDescent="0.25">
      <c r="C6673" s="15">
        <v>57029</v>
      </c>
      <c r="D6673" s="4" t="s">
        <v>6677</v>
      </c>
      <c r="E6673" s="4" t="str">
        <f>HYPERLINK("https://app.crepc.sk/?fn=detailBiblioForm&amp;sid=35470329E2AB3928A34C02E8")</f>
        <v>https://app.crepc.sk/?fn=detailBiblioForm&amp;sid=35470329E2AB3928A34C02E8</v>
      </c>
    </row>
    <row r="6674" spans="3:5" ht="120" x14ac:dyDescent="0.25">
      <c r="C6674" s="15">
        <v>217981</v>
      </c>
      <c r="D6674" s="4" t="s">
        <v>6678</v>
      </c>
      <c r="E6674" s="4" t="str">
        <f>HYPERLINK("https://app.crepc.sk/?fn=detailBiblioForm&amp;sid=9E759344E92A278512E1C915AD")</f>
        <v>https://app.crepc.sk/?fn=detailBiblioForm&amp;sid=9E759344E92A278512E1C915AD</v>
      </c>
    </row>
    <row r="6675" spans="3:5" ht="75" x14ac:dyDescent="0.25">
      <c r="C6675" s="15">
        <v>424956</v>
      </c>
      <c r="D6675" s="4" t="s">
        <v>6679</v>
      </c>
      <c r="E6675" s="4" t="str">
        <f>HYPERLINK("https://app.crepc.sk/?fn=detailBiblioForm&amp;sid=7789A5EFF79401FA6A91E79E56")</f>
        <v>https://app.crepc.sk/?fn=detailBiblioForm&amp;sid=7789A5EFF79401FA6A91E79E56</v>
      </c>
    </row>
    <row r="6676" spans="3:5" ht="75" x14ac:dyDescent="0.25">
      <c r="C6676" s="15">
        <v>96314</v>
      </c>
      <c r="D6676" s="4" t="s">
        <v>6680</v>
      </c>
      <c r="E6676" s="4" t="str">
        <f>HYPERLINK("https://app.crepc.sk/?fn=detailBiblioForm&amp;sid=6F53960689FE8DB4DE7D7BA1")</f>
        <v>https://app.crepc.sk/?fn=detailBiblioForm&amp;sid=6F53960689FE8DB4DE7D7BA1</v>
      </c>
    </row>
    <row r="6677" spans="3:5" ht="60" x14ac:dyDescent="0.25">
      <c r="C6677" s="15">
        <v>124657</v>
      </c>
      <c r="D6677" s="4" t="s">
        <v>6681</v>
      </c>
      <c r="E6677" s="4" t="str">
        <f>HYPERLINK("https://app.crepc.sk/?fn=detailBiblioForm&amp;sid=B3BB44064DB947D4D6BF555DEE")</f>
        <v>https://app.crepc.sk/?fn=detailBiblioForm&amp;sid=B3BB44064DB947D4D6BF555DEE</v>
      </c>
    </row>
    <row r="6678" spans="3:5" ht="75" x14ac:dyDescent="0.25">
      <c r="C6678" s="15">
        <v>115071</v>
      </c>
      <c r="D6678" s="4" t="s">
        <v>6682</v>
      </c>
      <c r="E6678" s="4" t="str">
        <f>HYPERLINK("https://app.crepc.sk/?fn=detailBiblioForm&amp;sid=A30F35851761A7E993AB66B56F")</f>
        <v>https://app.crepc.sk/?fn=detailBiblioForm&amp;sid=A30F35851761A7E993AB66B56F</v>
      </c>
    </row>
    <row r="6679" spans="3:5" ht="90" x14ac:dyDescent="0.25">
      <c r="C6679" s="15">
        <v>142991</v>
      </c>
      <c r="D6679" s="4" t="s">
        <v>6683</v>
      </c>
      <c r="E6679" s="4" t="str">
        <f>HYPERLINK("https://app.crepc.sk/?fn=detailBiblioForm&amp;sid=6A3A32DBBC315C829489AD927B")</f>
        <v>https://app.crepc.sk/?fn=detailBiblioForm&amp;sid=6A3A32DBBC315C829489AD927B</v>
      </c>
    </row>
    <row r="6680" spans="3:5" ht="75" x14ac:dyDescent="0.25">
      <c r="C6680" s="15">
        <v>95457</v>
      </c>
      <c r="D6680" s="4" t="s">
        <v>6684</v>
      </c>
      <c r="E6680" s="4" t="str">
        <f>HYPERLINK("https://app.crepc.sk/?fn=detailBiblioForm&amp;sid=3E0E7FF42BF9D23681AD3817")</f>
        <v>https://app.crepc.sk/?fn=detailBiblioForm&amp;sid=3E0E7FF42BF9D23681AD3817</v>
      </c>
    </row>
    <row r="6681" spans="3:5" ht="105" x14ac:dyDescent="0.25">
      <c r="C6681" s="15">
        <v>197136</v>
      </c>
      <c r="D6681" s="4" t="s">
        <v>6685</v>
      </c>
      <c r="E6681" s="4" t="str">
        <f>HYPERLINK("https://app.crepc.sk/?fn=detailBiblioForm&amp;sid=50940FCC7D65E24198D59A99B7")</f>
        <v>https://app.crepc.sk/?fn=detailBiblioForm&amp;sid=50940FCC7D65E24198D59A99B7</v>
      </c>
    </row>
    <row r="6682" spans="3:5" ht="90" x14ac:dyDescent="0.25">
      <c r="C6682" s="15">
        <v>163043</v>
      </c>
      <c r="D6682" s="4" t="s">
        <v>6686</v>
      </c>
      <c r="E6682" s="4" t="str">
        <f>HYPERLINK("https://app.crepc.sk/?fn=detailBiblioForm&amp;sid=50FE609ECAA3CD9EE4CB01F139")</f>
        <v>https://app.crepc.sk/?fn=detailBiblioForm&amp;sid=50FE609ECAA3CD9EE4CB01F139</v>
      </c>
    </row>
    <row r="6683" spans="3:5" ht="105" x14ac:dyDescent="0.25">
      <c r="C6683" s="15">
        <v>58141</v>
      </c>
      <c r="D6683" s="4" t="s">
        <v>6687</v>
      </c>
      <c r="E6683" s="4" t="str">
        <f>HYPERLINK("https://app.crepc.sk/?fn=detailBiblioForm&amp;sid=1D4D808FF730E4944D44D1EA")</f>
        <v>https://app.crepc.sk/?fn=detailBiblioForm&amp;sid=1D4D808FF730E4944D44D1EA</v>
      </c>
    </row>
    <row r="6684" spans="3:5" ht="90" x14ac:dyDescent="0.25">
      <c r="C6684" s="15">
        <v>216739</v>
      </c>
      <c r="D6684" s="4" t="s">
        <v>6688</v>
      </c>
      <c r="E6684" s="4" t="str">
        <f>HYPERLINK("https://app.crepc.sk/?fn=detailBiblioForm&amp;sid=73B630D0391B7B04C9CA33631C")</f>
        <v>https://app.crepc.sk/?fn=detailBiblioForm&amp;sid=73B630D0391B7B04C9CA33631C</v>
      </c>
    </row>
    <row r="6685" spans="3:5" ht="90" x14ac:dyDescent="0.25">
      <c r="C6685" s="15">
        <v>56941</v>
      </c>
      <c r="D6685" s="4" t="s">
        <v>6689</v>
      </c>
      <c r="E6685" s="4" t="str">
        <f>HYPERLINK("https://app.crepc.sk/?fn=detailBiblioForm&amp;sid=9CE618E84519267BBD1F12D2")</f>
        <v>https://app.crepc.sk/?fn=detailBiblioForm&amp;sid=9CE618E84519267BBD1F12D2</v>
      </c>
    </row>
    <row r="6686" spans="3:5" ht="120" x14ac:dyDescent="0.25">
      <c r="C6686" s="15">
        <v>238617</v>
      </c>
      <c r="D6686" s="4" t="s">
        <v>6690</v>
      </c>
      <c r="E6686" s="4" t="str">
        <f>HYPERLINK("https://app.crepc.sk/?fn=detailBiblioForm&amp;sid=078FC86817C6D21AAD22D25C61")</f>
        <v>https://app.crepc.sk/?fn=detailBiblioForm&amp;sid=078FC86817C6D21AAD22D25C61</v>
      </c>
    </row>
    <row r="6687" spans="3:5" ht="90" x14ac:dyDescent="0.25">
      <c r="C6687" s="15">
        <v>148111</v>
      </c>
      <c r="D6687" s="4" t="s">
        <v>6691</v>
      </c>
      <c r="E6687" s="4" t="str">
        <f>HYPERLINK("https://app.crepc.sk/?fn=detailBiblioForm&amp;sid=A513BA47383E377398F0066018")</f>
        <v>https://app.crepc.sk/?fn=detailBiblioForm&amp;sid=A513BA47383E377398F0066018</v>
      </c>
    </row>
    <row r="6688" spans="3:5" ht="75" x14ac:dyDescent="0.25">
      <c r="C6688" s="15">
        <v>141934</v>
      </c>
      <c r="D6688" s="4" t="s">
        <v>6692</v>
      </c>
      <c r="E6688" s="4" t="str">
        <f>HYPERLINK("https://app.crepc.sk/?fn=detailBiblioForm&amp;sid=E75B5E22D326BA6A9BA7FAD9E5")</f>
        <v>https://app.crepc.sk/?fn=detailBiblioForm&amp;sid=E75B5E22D326BA6A9BA7FAD9E5</v>
      </c>
    </row>
    <row r="6689" spans="3:5" ht="90" x14ac:dyDescent="0.25">
      <c r="C6689" s="15">
        <v>78848</v>
      </c>
      <c r="D6689" s="4" t="s">
        <v>6693</v>
      </c>
      <c r="E6689" s="4" t="str">
        <f>HYPERLINK("https://app.crepc.sk/?fn=detailBiblioForm&amp;sid=C62F7038660B1B601C5FC4E7")</f>
        <v>https://app.crepc.sk/?fn=detailBiblioForm&amp;sid=C62F7038660B1B601C5FC4E7</v>
      </c>
    </row>
    <row r="6690" spans="3:5" ht="60" x14ac:dyDescent="0.25">
      <c r="C6690" s="15">
        <v>315217</v>
      </c>
      <c r="D6690" s="4" t="s">
        <v>6694</v>
      </c>
      <c r="E6690" s="4" t="str">
        <f>HYPERLINK("https://app.crepc.sk/?fn=detailBiblioForm&amp;sid=D8E909CCB801991832B3757C25")</f>
        <v>https://app.crepc.sk/?fn=detailBiblioForm&amp;sid=D8E909CCB801991832B3757C25</v>
      </c>
    </row>
    <row r="6691" spans="3:5" ht="90" x14ac:dyDescent="0.25">
      <c r="C6691" s="15">
        <v>95873</v>
      </c>
      <c r="D6691" s="4" t="s">
        <v>6695</v>
      </c>
      <c r="E6691" s="4" t="str">
        <f>HYPERLINK("https://app.crepc.sk/?fn=detailBiblioForm&amp;sid=A01AE44F0CC17C3E37D23FB7")</f>
        <v>https://app.crepc.sk/?fn=detailBiblioForm&amp;sid=A01AE44F0CC17C3E37D23FB7</v>
      </c>
    </row>
    <row r="6692" spans="3:5" ht="75" x14ac:dyDescent="0.25">
      <c r="C6692" s="15">
        <v>423492</v>
      </c>
      <c r="D6692" s="4" t="s">
        <v>6696</v>
      </c>
      <c r="E6692" s="4" t="str">
        <f>HYPERLINK("https://app.crepc.sk/?fn=detailBiblioForm&amp;sid=FA3B7316EF32B7DB8DE43C238D")</f>
        <v>https://app.crepc.sk/?fn=detailBiblioForm&amp;sid=FA3B7316EF32B7DB8DE43C238D</v>
      </c>
    </row>
    <row r="6693" spans="3:5" ht="75" x14ac:dyDescent="0.25">
      <c r="C6693" s="15">
        <v>148107</v>
      </c>
      <c r="D6693" s="4" t="s">
        <v>6697</v>
      </c>
      <c r="E6693" s="4" t="str">
        <f>HYPERLINK("https://app.crepc.sk/?fn=detailBiblioForm&amp;sid=A513BA47383E377399F6066018")</f>
        <v>https://app.crepc.sk/?fn=detailBiblioForm&amp;sid=A513BA47383E377399F6066018</v>
      </c>
    </row>
    <row r="6694" spans="3:5" ht="60" x14ac:dyDescent="0.25">
      <c r="C6694" s="15">
        <v>59470</v>
      </c>
      <c r="D6694" s="4" t="s">
        <v>6698</v>
      </c>
      <c r="E6694" s="4" t="str">
        <f>HYPERLINK("https://app.crepc.sk/?fn=detailBiblioForm&amp;sid=E785D36773C9203AFA31546A")</f>
        <v>https://app.crepc.sk/?fn=detailBiblioForm&amp;sid=E785D36773C9203AFA31546A</v>
      </c>
    </row>
    <row r="6695" spans="3:5" ht="75" x14ac:dyDescent="0.25">
      <c r="C6695" s="15">
        <v>167219</v>
      </c>
      <c r="D6695" s="4" t="s">
        <v>6699</v>
      </c>
      <c r="E6695" s="4" t="str">
        <f>HYPERLINK("https://app.crepc.sk/?fn=detailBiblioForm&amp;sid=D028D1829C892C28C22CC3551B")</f>
        <v>https://app.crepc.sk/?fn=detailBiblioForm&amp;sid=D028D1829C892C28C22CC3551B</v>
      </c>
    </row>
    <row r="6696" spans="3:5" ht="90" x14ac:dyDescent="0.25">
      <c r="C6696" s="15">
        <v>423017</v>
      </c>
      <c r="D6696" s="4" t="s">
        <v>6700</v>
      </c>
      <c r="E6696" s="4" t="str">
        <f>HYPERLINK("https://app.crepc.sk/?fn=detailBiblioForm&amp;sid=DB5C56B962FEDC7A0CDC9723F0")</f>
        <v>https://app.crepc.sk/?fn=detailBiblioForm&amp;sid=DB5C56B962FEDC7A0CDC9723F0</v>
      </c>
    </row>
    <row r="6697" spans="3:5" ht="75" x14ac:dyDescent="0.25">
      <c r="C6697" s="15">
        <v>243500</v>
      </c>
      <c r="D6697" s="4" t="s">
        <v>6701</v>
      </c>
      <c r="E6697" s="4" t="str">
        <f>HYPERLINK("https://app.crepc.sk/?fn=detailBiblioForm&amp;sid=137A7FA19A49BE0FB59036B665")</f>
        <v>https://app.crepc.sk/?fn=detailBiblioForm&amp;sid=137A7FA19A49BE0FB59036B665</v>
      </c>
    </row>
    <row r="6698" spans="3:5" ht="90" x14ac:dyDescent="0.25">
      <c r="C6698" s="15">
        <v>86082</v>
      </c>
      <c r="D6698" s="4" t="s">
        <v>6702</v>
      </c>
      <c r="E6698" s="4" t="str">
        <f>HYPERLINK("https://app.crepc.sk/?fn=detailBiblioForm&amp;sid=E23AA4B22FF411D80CAC38E3")</f>
        <v>https://app.crepc.sk/?fn=detailBiblioForm&amp;sid=E23AA4B22FF411D80CAC38E3</v>
      </c>
    </row>
    <row r="6699" spans="3:5" ht="75" x14ac:dyDescent="0.25">
      <c r="C6699" s="15">
        <v>82401</v>
      </c>
      <c r="D6699" s="4" t="s">
        <v>6703</v>
      </c>
      <c r="E6699" s="4" t="str">
        <f>HYPERLINK("https://app.crepc.sk/?fn=detailBiblioForm&amp;sid=5C1C8B7BA84A06446C1BBDC1")</f>
        <v>https://app.crepc.sk/?fn=detailBiblioForm&amp;sid=5C1C8B7BA84A06446C1BBDC1</v>
      </c>
    </row>
    <row r="6700" spans="3:5" ht="105" x14ac:dyDescent="0.25">
      <c r="C6700" s="15">
        <v>70730</v>
      </c>
      <c r="D6700" s="4" t="s">
        <v>6704</v>
      </c>
      <c r="E6700" s="4" t="str">
        <f>HYPERLINK("https://app.crepc.sk/?fn=detailBiblioForm&amp;sid=17A162BFB97AD800D93835E4")</f>
        <v>https://app.crepc.sk/?fn=detailBiblioForm&amp;sid=17A162BFB97AD800D93835E4</v>
      </c>
    </row>
    <row r="6701" spans="3:5" ht="90" x14ac:dyDescent="0.25">
      <c r="C6701" s="15">
        <v>311252</v>
      </c>
      <c r="D6701" s="4" t="s">
        <v>6705</v>
      </c>
      <c r="E6701" s="4" t="str">
        <f>HYPERLINK("https://app.crepc.sk/?fn=detailBiblioForm&amp;sid=6D44F4CF48601E8184E2174471")</f>
        <v>https://app.crepc.sk/?fn=detailBiblioForm&amp;sid=6D44F4CF48601E8184E2174471</v>
      </c>
    </row>
    <row r="6702" spans="3:5" ht="120" x14ac:dyDescent="0.25">
      <c r="C6702" s="15">
        <v>106934</v>
      </c>
      <c r="D6702" s="4" t="s">
        <v>6706</v>
      </c>
      <c r="E6702" s="4" t="str">
        <f>HYPERLINK("https://app.crepc.sk/?fn=detailBiblioForm&amp;sid=5E43C523DBCDA7252D1A253062")</f>
        <v>https://app.crepc.sk/?fn=detailBiblioForm&amp;sid=5E43C523DBCDA7252D1A253062</v>
      </c>
    </row>
    <row r="6703" spans="3:5" ht="90" x14ac:dyDescent="0.25">
      <c r="C6703" s="15">
        <v>56068</v>
      </c>
      <c r="D6703" s="4" t="s">
        <v>6707</v>
      </c>
      <c r="E6703" s="4" t="str">
        <f>HYPERLINK("https://app.crepc.sk/?fn=detailBiblioForm&amp;sid=0AD68B5C40C6C022B1E0920A")</f>
        <v>https://app.crepc.sk/?fn=detailBiblioForm&amp;sid=0AD68B5C40C6C022B1E0920A</v>
      </c>
    </row>
    <row r="6704" spans="3:5" ht="75" x14ac:dyDescent="0.25">
      <c r="C6704" s="15">
        <v>187641</v>
      </c>
      <c r="D6704" s="4" t="s">
        <v>6708</v>
      </c>
      <c r="E6704" s="4" t="str">
        <f>HYPERLINK("https://app.crepc.sk/?fn=detailBiblioForm&amp;sid=F921CFC32F39CED90E14EA791A")</f>
        <v>https://app.crepc.sk/?fn=detailBiblioForm&amp;sid=F921CFC32F39CED90E14EA791A</v>
      </c>
    </row>
    <row r="6705" spans="3:5" ht="90" x14ac:dyDescent="0.25">
      <c r="C6705" s="15">
        <v>58021</v>
      </c>
      <c r="D6705" s="4" t="s">
        <v>6709</v>
      </c>
      <c r="E6705" s="4" t="str">
        <f>HYPERLINK("https://app.crepc.sk/?fn=detailBiblioForm&amp;sid=4D1191EF449E3D86DC2AAB8F")</f>
        <v>https://app.crepc.sk/?fn=detailBiblioForm&amp;sid=4D1191EF449E3D86DC2AAB8F</v>
      </c>
    </row>
    <row r="6706" spans="3:5" ht="150" x14ac:dyDescent="0.25">
      <c r="C6706" s="15">
        <v>437397</v>
      </c>
      <c r="D6706" s="4" t="s">
        <v>6710</v>
      </c>
      <c r="E6706" s="4" t="str">
        <f>HYPERLINK("https://app.crepc.sk/?fn=detailBiblioForm&amp;sid=8BC9DDCFB45BB4090C61A2C05A")</f>
        <v>https://app.crepc.sk/?fn=detailBiblioForm&amp;sid=8BC9DDCFB45BB4090C61A2C05A</v>
      </c>
    </row>
    <row r="6707" spans="3:5" ht="90" x14ac:dyDescent="0.25">
      <c r="C6707" s="15">
        <v>58439</v>
      </c>
      <c r="D6707" s="4" t="s">
        <v>6711</v>
      </c>
      <c r="E6707" s="4" t="str">
        <f>HYPERLINK("https://app.crepc.sk/?fn=detailBiblioForm&amp;sid=EEA2F15C349D2F280848290C")</f>
        <v>https://app.crepc.sk/?fn=detailBiblioForm&amp;sid=EEA2F15C349D2F280848290C</v>
      </c>
    </row>
    <row r="6708" spans="3:5" ht="90" x14ac:dyDescent="0.25">
      <c r="C6708" s="15">
        <v>127598</v>
      </c>
      <c r="D6708" s="4" t="s">
        <v>6712</v>
      </c>
      <c r="E6708" s="4" t="str">
        <f>HYPERLINK("https://app.crepc.sk/?fn=detailBiblioForm&amp;sid=DBEBBE2C2F1C2B14AA888ECF74")</f>
        <v>https://app.crepc.sk/?fn=detailBiblioForm&amp;sid=DBEBBE2C2F1C2B14AA888ECF74</v>
      </c>
    </row>
    <row r="6709" spans="3:5" ht="105" x14ac:dyDescent="0.25">
      <c r="C6709" s="15">
        <v>57026</v>
      </c>
      <c r="D6709" s="4" t="s">
        <v>6713</v>
      </c>
      <c r="E6709" s="4" t="str">
        <f>HYPERLINK("https://app.crepc.sk/?fn=detailBiblioForm&amp;sid=35470329E2AB3928AC4C02E8")</f>
        <v>https://app.crepc.sk/?fn=detailBiblioForm&amp;sid=35470329E2AB3928AC4C02E8</v>
      </c>
    </row>
    <row r="6710" spans="3:5" ht="90" x14ac:dyDescent="0.25">
      <c r="C6710" s="15">
        <v>58447</v>
      </c>
      <c r="D6710" s="4" t="s">
        <v>6714</v>
      </c>
      <c r="E6710" s="4" t="str">
        <f>HYPERLINK("https://app.crepc.sk/?fn=detailBiblioForm&amp;sid=4E84065A295BDF8D08460BBD")</f>
        <v>https://app.crepc.sk/?fn=detailBiblioForm&amp;sid=4E84065A295BDF8D08460BBD</v>
      </c>
    </row>
    <row r="6711" spans="3:5" ht="90" x14ac:dyDescent="0.25">
      <c r="C6711" s="15">
        <v>58424</v>
      </c>
      <c r="D6711" s="4" t="s">
        <v>6715</v>
      </c>
      <c r="E6711" s="4" t="str">
        <f>HYPERLINK("https://app.crepc.sk/?fn=detailBiblioForm&amp;sid=CED22A9171A9F239583DAF71")</f>
        <v>https://app.crepc.sk/?fn=detailBiblioForm&amp;sid=CED22A9171A9F239583DAF71</v>
      </c>
    </row>
    <row r="6712" spans="3:5" ht="90" x14ac:dyDescent="0.25">
      <c r="C6712" s="15">
        <v>310109</v>
      </c>
      <c r="D6712" s="4" t="s">
        <v>6716</v>
      </c>
      <c r="E6712" s="4" t="str">
        <f>HYPERLINK("https://app.crepc.sk/?fn=detailBiblioForm&amp;sid=E9F63DECD21F072F894CFE53D1")</f>
        <v>https://app.crepc.sk/?fn=detailBiblioForm&amp;sid=E9F63DECD21F072F894CFE53D1</v>
      </c>
    </row>
    <row r="6713" spans="3:5" ht="75" x14ac:dyDescent="0.25">
      <c r="C6713" s="15">
        <v>305016</v>
      </c>
      <c r="D6713" s="4" t="s">
        <v>6717</v>
      </c>
      <c r="E6713" s="4" t="str">
        <f>HYPERLINK("https://app.crepc.sk/?fn=detailBiblioForm&amp;sid=00213BAD03C9700C74C29B3D24")</f>
        <v>https://app.crepc.sk/?fn=detailBiblioForm&amp;sid=00213BAD03C9700C74C29B3D24</v>
      </c>
    </row>
    <row r="6714" spans="3:5" ht="90" x14ac:dyDescent="0.25">
      <c r="C6714" s="15">
        <v>56623</v>
      </c>
      <c r="D6714" s="4" t="s">
        <v>6718</v>
      </c>
      <c r="E6714" s="4" t="str">
        <f>HYPERLINK("https://app.crepc.sk/?fn=detailBiblioForm&amp;sid=64676C5C5679219363400BE8")</f>
        <v>https://app.crepc.sk/?fn=detailBiblioForm&amp;sid=64676C5C5679219363400BE8</v>
      </c>
    </row>
    <row r="6715" spans="3:5" ht="90" x14ac:dyDescent="0.25">
      <c r="C6715" s="15">
        <v>209420</v>
      </c>
      <c r="D6715" s="4" t="s">
        <v>6719</v>
      </c>
      <c r="E6715" s="4" t="str">
        <f>HYPERLINK("https://app.crepc.sk/?fn=detailBiblioForm&amp;sid=C700BBDD7432265F2B9DB16113")</f>
        <v>https://app.crepc.sk/?fn=detailBiblioForm&amp;sid=C700BBDD7432265F2B9DB16113</v>
      </c>
    </row>
    <row r="6716" spans="3:5" ht="90" x14ac:dyDescent="0.25">
      <c r="C6716" s="15">
        <v>433870</v>
      </c>
      <c r="D6716" s="4" t="s">
        <v>6720</v>
      </c>
      <c r="E6716" s="4" t="str">
        <f>HYPERLINK("https://app.crepc.sk/?fn=detailBiblioForm&amp;sid=5B624FC076485487D69B362BC5")</f>
        <v>https://app.crepc.sk/?fn=detailBiblioForm&amp;sid=5B624FC076485487D69B362BC5</v>
      </c>
    </row>
    <row r="6717" spans="3:5" ht="105" x14ac:dyDescent="0.25">
      <c r="C6717" s="15">
        <v>127608</v>
      </c>
      <c r="D6717" s="4" t="s">
        <v>6721</v>
      </c>
      <c r="E6717" s="4" t="str">
        <f>HYPERLINK("https://app.crepc.sk/?fn=detailBiblioForm&amp;sid=A61021784F381E68C707E78699")</f>
        <v>https://app.crepc.sk/?fn=detailBiblioForm&amp;sid=A61021784F381E68C707E78699</v>
      </c>
    </row>
    <row r="6718" spans="3:5" ht="90" x14ac:dyDescent="0.25">
      <c r="C6718" s="15">
        <v>145610</v>
      </c>
      <c r="D6718" s="4" t="s">
        <v>6722</v>
      </c>
      <c r="E6718" s="4" t="str">
        <f>HYPERLINK("https://app.crepc.sk/?fn=detailBiblioForm&amp;sid=78BAD52BF05C0FB5884D9BA10D")</f>
        <v>https://app.crepc.sk/?fn=detailBiblioForm&amp;sid=78BAD52BF05C0FB5884D9BA10D</v>
      </c>
    </row>
    <row r="6719" spans="3:5" ht="90" x14ac:dyDescent="0.25">
      <c r="C6719" s="15">
        <v>58473</v>
      </c>
      <c r="D6719" s="4" t="s">
        <v>6723</v>
      </c>
      <c r="E6719" s="4" t="str">
        <f>HYPERLINK("https://app.crepc.sk/?fn=detailBiblioForm&amp;sid=C8A73CFE51EFC6DFD1534F30")</f>
        <v>https://app.crepc.sk/?fn=detailBiblioForm&amp;sid=C8A73CFE51EFC6DFD1534F30</v>
      </c>
    </row>
    <row r="6720" spans="3:5" ht="90" x14ac:dyDescent="0.25">
      <c r="C6720" s="15">
        <v>129069</v>
      </c>
      <c r="D6720" s="4" t="s">
        <v>6724</v>
      </c>
      <c r="E6720" s="4" t="str">
        <f>HYPERLINK("https://app.crepc.sk/?fn=detailBiblioForm&amp;sid=8ED2C2B0C8CAA517FC636E93E7")</f>
        <v>https://app.crepc.sk/?fn=detailBiblioForm&amp;sid=8ED2C2B0C8CAA517FC636E93E7</v>
      </c>
    </row>
    <row r="6721" spans="3:5" ht="75" x14ac:dyDescent="0.25">
      <c r="C6721" s="15">
        <v>105333</v>
      </c>
      <c r="D6721" s="4" t="s">
        <v>6725</v>
      </c>
      <c r="E6721" s="4" t="str">
        <f>HYPERLINK("https://app.crepc.sk/?fn=detailBiblioForm&amp;sid=E84B3E3EDA810AC00F6B399568")</f>
        <v>https://app.crepc.sk/?fn=detailBiblioForm&amp;sid=E84B3E3EDA810AC00F6B399568</v>
      </c>
    </row>
    <row r="6722" spans="3:5" ht="75" x14ac:dyDescent="0.25">
      <c r="C6722" s="15">
        <v>105653</v>
      </c>
      <c r="D6722" s="4" t="s">
        <v>6726</v>
      </c>
      <c r="E6722" s="4" t="str">
        <f>HYPERLINK("https://app.crepc.sk/?fn=detailBiblioForm&amp;sid=FD881BC05B1F2F7E41546C9F59")</f>
        <v>https://app.crepc.sk/?fn=detailBiblioForm&amp;sid=FD881BC05B1F2F7E41546C9F59</v>
      </c>
    </row>
    <row r="6723" spans="3:5" ht="75" x14ac:dyDescent="0.25">
      <c r="C6723" s="15">
        <v>155533</v>
      </c>
      <c r="D6723" s="4" t="s">
        <v>6727</v>
      </c>
      <c r="E6723" s="4" t="str">
        <f>HYPERLINK("https://app.crepc.sk/?fn=detailBiblioForm&amp;sid=C5CEB0A71A9E9E69861113A9DA")</f>
        <v>https://app.crepc.sk/?fn=detailBiblioForm&amp;sid=C5CEB0A71A9E9E69861113A9DA</v>
      </c>
    </row>
    <row r="6724" spans="3:5" ht="90" x14ac:dyDescent="0.25">
      <c r="C6724" s="15">
        <v>70319</v>
      </c>
      <c r="D6724" s="4" t="s">
        <v>6728</v>
      </c>
      <c r="E6724" s="4" t="str">
        <f>HYPERLINK("https://app.crepc.sk/?fn=detailBiblioForm&amp;sid=7741BFD4DADC37CDE89D9282")</f>
        <v>https://app.crepc.sk/?fn=detailBiblioForm&amp;sid=7741BFD4DADC37CDE89D9282</v>
      </c>
    </row>
    <row r="6725" spans="3:5" ht="75" x14ac:dyDescent="0.25">
      <c r="C6725" s="15">
        <v>137009</v>
      </c>
      <c r="D6725" s="4" t="s">
        <v>6729</v>
      </c>
      <c r="E6725" s="4" t="str">
        <f>HYPERLINK("https://app.crepc.sk/?fn=detailBiblioForm&amp;sid=47B6515BC383524504FC538378")</f>
        <v>https://app.crepc.sk/?fn=detailBiblioForm&amp;sid=47B6515BC383524504FC538378</v>
      </c>
    </row>
    <row r="6726" spans="3:5" ht="105" x14ac:dyDescent="0.25">
      <c r="C6726" s="15">
        <v>146002</v>
      </c>
      <c r="D6726" s="4" t="s">
        <v>6730</v>
      </c>
      <c r="E6726" s="4" t="str">
        <f>HYPERLINK("https://app.crepc.sk/?fn=detailBiblioForm&amp;sid=6F91D8ED6CD6362D902D31705F")</f>
        <v>https://app.crepc.sk/?fn=detailBiblioForm&amp;sid=6F91D8ED6CD6362D902D31705F</v>
      </c>
    </row>
    <row r="6727" spans="3:5" ht="75" x14ac:dyDescent="0.25">
      <c r="C6727" s="15">
        <v>81207</v>
      </c>
      <c r="D6727" s="4" t="s">
        <v>6731</v>
      </c>
      <c r="E6727" s="4" t="str">
        <f>HYPERLINK("https://app.crepc.sk/?fn=detailBiblioForm&amp;sid=FC582F3E02DD605AFFA9FBB2")</f>
        <v>https://app.crepc.sk/?fn=detailBiblioForm&amp;sid=FC582F3E02DD605AFFA9FBB2</v>
      </c>
    </row>
    <row r="6728" spans="3:5" ht="105" x14ac:dyDescent="0.25">
      <c r="C6728" s="15">
        <v>155847</v>
      </c>
      <c r="D6728" s="4" t="s">
        <v>6732</v>
      </c>
      <c r="E6728" s="4" t="str">
        <f>HYPERLINK("https://app.crepc.sk/?fn=detailBiblioForm&amp;sid=E6565C9ED97EA02FC305D38A9D")</f>
        <v>https://app.crepc.sk/?fn=detailBiblioForm&amp;sid=E6565C9ED97EA02FC305D38A9D</v>
      </c>
    </row>
    <row r="6729" spans="3:5" ht="90" x14ac:dyDescent="0.25">
      <c r="C6729" s="15">
        <v>190393</v>
      </c>
      <c r="D6729" s="4" t="s">
        <v>6733</v>
      </c>
      <c r="E6729" s="4" t="str">
        <f>HYPERLINK("https://app.crepc.sk/?fn=detailBiblioForm&amp;sid=E58AF41CA0468A4423D686DC73")</f>
        <v>https://app.crepc.sk/?fn=detailBiblioForm&amp;sid=E58AF41CA0468A4423D686DC73</v>
      </c>
    </row>
    <row r="6730" spans="3:5" ht="90" x14ac:dyDescent="0.25">
      <c r="C6730" s="15">
        <v>429589</v>
      </c>
      <c r="D6730" s="4" t="s">
        <v>6734</v>
      </c>
      <c r="E6730" s="4" t="str">
        <f>HYPERLINK("https://app.crepc.sk/?fn=detailBiblioForm&amp;sid=7133CB1904D2A856B69FFC5BD9")</f>
        <v>https://app.crepc.sk/?fn=detailBiblioForm&amp;sid=7133CB1904D2A856B69FFC5BD9</v>
      </c>
    </row>
    <row r="6731" spans="3:5" ht="75" x14ac:dyDescent="0.25">
      <c r="C6731" s="15">
        <v>112435</v>
      </c>
      <c r="D6731" s="4" t="s">
        <v>6735</v>
      </c>
      <c r="E6731" s="4" t="str">
        <f>HYPERLINK("https://app.crepc.sk/?fn=detailBiblioForm&amp;sid=6B00E789183A492A954AB14C71")</f>
        <v>https://app.crepc.sk/?fn=detailBiblioForm&amp;sid=6B00E789183A492A954AB14C71</v>
      </c>
    </row>
    <row r="6732" spans="3:5" ht="105" x14ac:dyDescent="0.25">
      <c r="C6732" s="15">
        <v>83184</v>
      </c>
      <c r="D6732" s="4" t="s">
        <v>6736</v>
      </c>
      <c r="E6732" s="4" t="str">
        <f>HYPERLINK("https://app.crepc.sk/?fn=detailBiblioForm&amp;sid=00B1942FEEE8EFE5FAFBA393")</f>
        <v>https://app.crepc.sk/?fn=detailBiblioForm&amp;sid=00B1942FEEE8EFE5FAFBA393</v>
      </c>
    </row>
    <row r="6733" spans="3:5" ht="75" x14ac:dyDescent="0.25">
      <c r="C6733" s="15">
        <v>148071</v>
      </c>
      <c r="D6733" s="4" t="s">
        <v>6737</v>
      </c>
      <c r="E6733" s="4" t="str">
        <f>HYPERLINK("https://app.crepc.sk/?fn=detailBiblioForm&amp;sid=41728D440EB1EF6290157B9F38")</f>
        <v>https://app.crepc.sk/?fn=detailBiblioForm&amp;sid=41728D440EB1EF6290157B9F38</v>
      </c>
    </row>
    <row r="6734" spans="3:5" ht="90" x14ac:dyDescent="0.25">
      <c r="C6734" s="15">
        <v>61107</v>
      </c>
      <c r="D6734" s="4" t="s">
        <v>6738</v>
      </c>
      <c r="E6734" s="4" t="str">
        <f>HYPERLINK("https://app.crepc.sk/?fn=detailBiblioForm&amp;sid=38FC361BC8F9177288395269")</f>
        <v>https://app.crepc.sk/?fn=detailBiblioForm&amp;sid=38FC361BC8F9177288395269</v>
      </c>
    </row>
    <row r="6735" spans="3:5" ht="75" x14ac:dyDescent="0.25">
      <c r="C6735" s="15">
        <v>239801</v>
      </c>
      <c r="D6735" s="4" t="s">
        <v>6739</v>
      </c>
      <c r="E6735" s="4" t="str">
        <f>HYPERLINK("https://app.crepc.sk/?fn=detailBiblioForm&amp;sid=264ED3FE4CF1513A3F1DD53EB9")</f>
        <v>https://app.crepc.sk/?fn=detailBiblioForm&amp;sid=264ED3FE4CF1513A3F1DD53EB9</v>
      </c>
    </row>
    <row r="6736" spans="3:5" ht="75" x14ac:dyDescent="0.25">
      <c r="C6736" s="15">
        <v>115085</v>
      </c>
      <c r="D6736" s="4" t="s">
        <v>6740</v>
      </c>
      <c r="E6736" s="4" t="str">
        <f>HYPERLINK("https://app.crepc.sk/?fn=detailBiblioForm&amp;sid=A30F35851761A7E99CAF66B56F")</f>
        <v>https://app.crepc.sk/?fn=detailBiblioForm&amp;sid=A30F35851761A7E99CAF66B56F</v>
      </c>
    </row>
    <row r="6737" spans="3:5" ht="75" x14ac:dyDescent="0.25">
      <c r="C6737" s="15">
        <v>120393</v>
      </c>
      <c r="D6737" s="4" t="s">
        <v>6741</v>
      </c>
      <c r="E6737" s="4" t="str">
        <f>HYPERLINK("https://app.crepc.sk/?fn=detailBiblioForm&amp;sid=7C8EC80C674BD33D4DAE6DBADF")</f>
        <v>https://app.crepc.sk/?fn=detailBiblioForm&amp;sid=7C8EC80C674BD33D4DAE6DBADF</v>
      </c>
    </row>
    <row r="6738" spans="3:5" ht="90" x14ac:dyDescent="0.25">
      <c r="C6738" s="15">
        <v>145067</v>
      </c>
      <c r="D6738" s="4" t="s">
        <v>6742</v>
      </c>
      <c r="E6738" s="4" t="str">
        <f>HYPERLINK("https://app.crepc.sk/?fn=detailBiblioForm&amp;sid=A067BA41CFE566E7B3857B2D76")</f>
        <v>https://app.crepc.sk/?fn=detailBiblioForm&amp;sid=A067BA41CFE566E7B3857B2D76</v>
      </c>
    </row>
    <row r="6739" spans="3:5" ht="90" x14ac:dyDescent="0.25">
      <c r="C6739" s="15">
        <v>105701</v>
      </c>
      <c r="D6739" s="4" t="s">
        <v>6743</v>
      </c>
      <c r="E6739" s="4" t="str">
        <f>HYPERLINK("https://app.crepc.sk/?fn=detailBiblioForm&amp;sid=8BCE8CAA360877AE7A4634C6D3")</f>
        <v>https://app.crepc.sk/?fn=detailBiblioForm&amp;sid=8BCE8CAA360877AE7A4634C6D3</v>
      </c>
    </row>
    <row r="6740" spans="3:5" ht="75" x14ac:dyDescent="0.25">
      <c r="C6740" s="15">
        <v>152223</v>
      </c>
      <c r="D6740" s="4" t="s">
        <v>6744</v>
      </c>
      <c r="E6740" s="4" t="str">
        <f>HYPERLINK("https://app.crepc.sk/?fn=detailBiblioForm&amp;sid=C3244647CD7CB0B77B736FBDAB")</f>
        <v>https://app.crepc.sk/?fn=detailBiblioForm&amp;sid=C3244647CD7CB0B77B736FBDAB</v>
      </c>
    </row>
    <row r="6741" spans="3:5" ht="90" x14ac:dyDescent="0.25">
      <c r="C6741" s="15">
        <v>218011</v>
      </c>
      <c r="D6741" s="4" t="s">
        <v>6745</v>
      </c>
      <c r="E6741" s="4" t="str">
        <f>HYPERLINK("https://app.crepc.sk/?fn=detailBiblioForm&amp;sid=B4AE1C6FCFC18FC5C6ADC31CB6")</f>
        <v>https://app.crepc.sk/?fn=detailBiblioForm&amp;sid=B4AE1C6FCFC18FC5C6ADC31CB6</v>
      </c>
    </row>
    <row r="6742" spans="3:5" ht="90" x14ac:dyDescent="0.25">
      <c r="C6742" s="15">
        <v>170238</v>
      </c>
      <c r="D6742" s="4" t="s">
        <v>6746</v>
      </c>
      <c r="E6742" s="4" t="str">
        <f>HYPERLINK("https://app.crepc.sk/?fn=detailBiblioForm&amp;sid=1CB25EF4639541CD28C5D9150E")</f>
        <v>https://app.crepc.sk/?fn=detailBiblioForm&amp;sid=1CB25EF4639541CD28C5D9150E</v>
      </c>
    </row>
    <row r="6743" spans="3:5" ht="105" x14ac:dyDescent="0.25">
      <c r="C6743" s="15">
        <v>125898</v>
      </c>
      <c r="D6743" s="4" t="s">
        <v>6747</v>
      </c>
      <c r="E6743" s="4" t="str">
        <f>HYPERLINK("https://app.crepc.sk/?fn=detailBiblioForm&amp;sid=E4A75C7E7E946ECA5D43472E95")</f>
        <v>https://app.crepc.sk/?fn=detailBiblioForm&amp;sid=E4A75C7E7E946ECA5D43472E95</v>
      </c>
    </row>
    <row r="6744" spans="3:5" ht="90" x14ac:dyDescent="0.25">
      <c r="C6744" s="15">
        <v>140313</v>
      </c>
      <c r="D6744" s="4" t="s">
        <v>6748</v>
      </c>
      <c r="E6744" s="4" t="str">
        <f>HYPERLINK("https://app.crepc.sk/?fn=detailBiblioForm&amp;sid=06ED14E8665C76DEA5C63482C7")</f>
        <v>https://app.crepc.sk/?fn=detailBiblioForm&amp;sid=06ED14E8665C76DEA5C63482C7</v>
      </c>
    </row>
    <row r="6745" spans="3:5" ht="90" x14ac:dyDescent="0.25">
      <c r="C6745" s="15">
        <v>310155</v>
      </c>
      <c r="D6745" s="4" t="s">
        <v>6749</v>
      </c>
      <c r="E6745" s="4" t="str">
        <f>HYPERLINK("https://app.crepc.sk/?fn=detailBiblioForm&amp;sid=E9F63DECD21F072F8C40FE53D1")</f>
        <v>https://app.crepc.sk/?fn=detailBiblioForm&amp;sid=E9F63DECD21F072F8C40FE53D1</v>
      </c>
    </row>
    <row r="6746" spans="3:5" ht="120" x14ac:dyDescent="0.25">
      <c r="C6746" s="15">
        <v>238621</v>
      </c>
      <c r="D6746" s="4" t="s">
        <v>6750</v>
      </c>
      <c r="E6746" s="4" t="str">
        <f>HYPERLINK("https://app.crepc.sk/?fn=detailBiblioForm&amp;sid=078FC86817C6D21AAE24D25C61")</f>
        <v>https://app.crepc.sk/?fn=detailBiblioForm&amp;sid=078FC86817C6D21AAE24D25C61</v>
      </c>
    </row>
    <row r="6747" spans="3:5" ht="75" x14ac:dyDescent="0.25">
      <c r="C6747" s="15">
        <v>181667</v>
      </c>
      <c r="D6747" s="4" t="s">
        <v>6751</v>
      </c>
      <c r="E6747" s="4" t="str">
        <f>HYPERLINK("https://app.crepc.sk/?fn=detailBiblioForm&amp;sid=F0082B7A009D1614BEC775AE99")</f>
        <v>https://app.crepc.sk/?fn=detailBiblioForm&amp;sid=F0082B7A009D1614BEC775AE99</v>
      </c>
    </row>
    <row r="6748" spans="3:5" ht="105" x14ac:dyDescent="0.25">
      <c r="C6748" s="15">
        <v>204364</v>
      </c>
      <c r="D6748" s="4" t="s">
        <v>6752</v>
      </c>
      <c r="E6748" s="4" t="str">
        <f>HYPERLINK("https://app.crepc.sk/?fn=detailBiblioForm&amp;sid=8E201614D5D231968464729F83")</f>
        <v>https://app.crepc.sk/?fn=detailBiblioForm&amp;sid=8E201614D5D231968464729F83</v>
      </c>
    </row>
    <row r="6749" spans="3:5" ht="75" x14ac:dyDescent="0.25">
      <c r="C6749" s="15">
        <v>135820</v>
      </c>
      <c r="D6749" s="4" t="s">
        <v>6753</v>
      </c>
      <c r="E6749" s="4" t="str">
        <f>HYPERLINK("https://app.crepc.sk/?fn=detailBiblioForm&amp;sid=C4A81F4561EDA09EA1D123AD34")</f>
        <v>https://app.crepc.sk/?fn=detailBiblioForm&amp;sid=C4A81F4561EDA09EA1D123AD34</v>
      </c>
    </row>
    <row r="6750" spans="3:5" ht="75" x14ac:dyDescent="0.25">
      <c r="C6750" s="15">
        <v>185768</v>
      </c>
      <c r="D6750" s="4" t="s">
        <v>6754</v>
      </c>
      <c r="E6750" s="4" t="str">
        <f>HYPERLINK("https://app.crepc.sk/?fn=detailBiblioForm&amp;sid=D39A92077CB2E2E727488E9F9A")</f>
        <v>https://app.crepc.sk/?fn=detailBiblioForm&amp;sid=D39A92077CB2E2E727488E9F9A</v>
      </c>
    </row>
    <row r="6751" spans="3:5" ht="75" x14ac:dyDescent="0.25">
      <c r="C6751" s="15">
        <v>105689</v>
      </c>
      <c r="D6751" s="4" t="s">
        <v>6755</v>
      </c>
      <c r="E6751" s="4" t="str">
        <f>HYPERLINK("https://app.crepc.sk/?fn=detailBiblioForm&amp;sid=FD881BC05B1F2F7E4C5E6C9F59")</f>
        <v>https://app.crepc.sk/?fn=detailBiblioForm&amp;sid=FD881BC05B1F2F7E4C5E6C9F59</v>
      </c>
    </row>
    <row r="6752" spans="3:5" ht="75" x14ac:dyDescent="0.25">
      <c r="C6752" s="15">
        <v>106227</v>
      </c>
      <c r="D6752" s="4" t="s">
        <v>6756</v>
      </c>
      <c r="E6752" s="4" t="str">
        <f>HYPERLINK("https://app.crepc.sk/?fn=detailBiblioForm&amp;sid=798E2CFD6C6534339F376779F2")</f>
        <v>https://app.crepc.sk/?fn=detailBiblioForm&amp;sid=798E2CFD6C6534339F376779F2</v>
      </c>
    </row>
    <row r="6753" spans="3:5" ht="90" x14ac:dyDescent="0.25">
      <c r="C6753" s="15">
        <v>97439</v>
      </c>
      <c r="D6753" s="4" t="s">
        <v>6757</v>
      </c>
      <c r="E6753" s="4" t="str">
        <f>HYPERLINK("https://app.crepc.sk/?fn=detailBiblioForm&amp;sid=4EA75FC389B9F28A26364A0A")</f>
        <v>https://app.crepc.sk/?fn=detailBiblioForm&amp;sid=4EA75FC389B9F28A26364A0A</v>
      </c>
    </row>
    <row r="6754" spans="3:5" ht="90" x14ac:dyDescent="0.25">
      <c r="C6754" s="15">
        <v>64290</v>
      </c>
      <c r="D6754" s="4" t="s">
        <v>6758</v>
      </c>
      <c r="E6754" s="4" t="str">
        <f>HYPERLINK("https://app.crepc.sk/?fn=detailBiblioForm&amp;sid=149DD0E32ECC4AC9819E8794")</f>
        <v>https://app.crepc.sk/?fn=detailBiblioForm&amp;sid=149DD0E32ECC4AC9819E8794</v>
      </c>
    </row>
    <row r="6755" spans="3:5" ht="90" x14ac:dyDescent="0.25">
      <c r="C6755" s="15">
        <v>56811</v>
      </c>
      <c r="D6755" s="4" t="s">
        <v>6759</v>
      </c>
      <c r="E6755" s="4" t="str">
        <f>HYPERLINK("https://app.crepc.sk/?fn=detailBiblioForm&amp;sid=847C032103C44298C8C374CF")</f>
        <v>https://app.crepc.sk/?fn=detailBiblioForm&amp;sid=847C032103C44298C8C374CF</v>
      </c>
    </row>
    <row r="6756" spans="3:5" ht="105" x14ac:dyDescent="0.25">
      <c r="C6756" s="15">
        <v>87748</v>
      </c>
      <c r="D6756" s="4" t="s">
        <v>6760</v>
      </c>
      <c r="E6756" s="4" t="str">
        <f>HYPERLINK("https://app.crepc.sk/?fn=detailBiblioForm&amp;sid=226ED39DFB3F328400D84189")</f>
        <v>https://app.crepc.sk/?fn=detailBiblioForm&amp;sid=226ED39DFB3F328400D84189</v>
      </c>
    </row>
    <row r="6757" spans="3:5" ht="105" x14ac:dyDescent="0.25">
      <c r="C6757" s="15">
        <v>114193</v>
      </c>
      <c r="D6757" s="4" t="s">
        <v>6761</v>
      </c>
      <c r="E6757" s="4" t="str">
        <f>HYPERLINK("https://app.crepc.sk/?fn=detailBiblioForm&amp;sid=502CD2BEFE4C860B081B18E448")</f>
        <v>https://app.crepc.sk/?fn=detailBiblioForm&amp;sid=502CD2BEFE4C860B081B18E448</v>
      </c>
    </row>
    <row r="6758" spans="3:5" ht="75" x14ac:dyDescent="0.25">
      <c r="C6758" s="15">
        <v>85221</v>
      </c>
      <c r="D6758" s="4" t="s">
        <v>6762</v>
      </c>
      <c r="E6758" s="4" t="str">
        <f>HYPERLINK("https://app.crepc.sk/?fn=detailBiblioForm&amp;sid=FD3422F9837C7B13D0C2E029")</f>
        <v>https://app.crepc.sk/?fn=detailBiblioForm&amp;sid=FD3422F9837C7B13D0C2E029</v>
      </c>
    </row>
    <row r="6759" spans="3:5" ht="90" x14ac:dyDescent="0.25">
      <c r="C6759" s="15">
        <v>73106</v>
      </c>
      <c r="D6759" s="4" t="s">
        <v>6763</v>
      </c>
      <c r="E6759" s="4" t="str">
        <f>HYPERLINK("https://app.crepc.sk/?fn=detailBiblioForm&amp;sid=F1D72A3A485DF959700C2F8A")</f>
        <v>https://app.crepc.sk/?fn=detailBiblioForm&amp;sid=F1D72A3A485DF959700C2F8A</v>
      </c>
    </row>
    <row r="6760" spans="3:5" ht="105" x14ac:dyDescent="0.25">
      <c r="C6760" s="15">
        <v>139493</v>
      </c>
      <c r="D6760" s="4" t="s">
        <v>6764</v>
      </c>
      <c r="E6760" s="4" t="str">
        <f>HYPERLINK("https://app.crepc.sk/?fn=detailBiblioForm&amp;sid=A3F3DC538E4836F27695BE03C8")</f>
        <v>https://app.crepc.sk/?fn=detailBiblioForm&amp;sid=A3F3DC538E4836F27695BE03C8</v>
      </c>
    </row>
    <row r="6761" spans="3:5" ht="75" x14ac:dyDescent="0.25">
      <c r="C6761" s="15">
        <v>121699</v>
      </c>
      <c r="D6761" s="4" t="s">
        <v>6765</v>
      </c>
      <c r="E6761" s="4" t="str">
        <f>HYPERLINK("https://app.crepc.sk/?fn=detailBiblioForm&amp;sid=9E0AC4D4538162957C0A7E0B88")</f>
        <v>https://app.crepc.sk/?fn=detailBiblioForm&amp;sid=9E0AC4D4538162957C0A7E0B88</v>
      </c>
    </row>
    <row r="6762" spans="3:5" ht="75" x14ac:dyDescent="0.25">
      <c r="C6762" s="15">
        <v>122489</v>
      </c>
      <c r="D6762" s="4" t="s">
        <v>6766</v>
      </c>
      <c r="E6762" s="4" t="str">
        <f>HYPERLINK("https://app.crepc.sk/?fn=detailBiblioForm&amp;sid=BA98F1178B40464E5DEFC111D8")</f>
        <v>https://app.crepc.sk/?fn=detailBiblioForm&amp;sid=BA98F1178B40464E5DEFC111D8</v>
      </c>
    </row>
    <row r="6763" spans="3:5" ht="75" x14ac:dyDescent="0.25">
      <c r="C6763" s="15">
        <v>96972</v>
      </c>
      <c r="D6763" s="4" t="s">
        <v>6767</v>
      </c>
      <c r="E6763" s="4" t="str">
        <f>HYPERLINK("https://app.crepc.sk/?fn=detailBiblioForm&amp;sid=60BC9CC2288391B953A4BB3C")</f>
        <v>https://app.crepc.sk/?fn=detailBiblioForm&amp;sid=60BC9CC2288391B953A4BB3C</v>
      </c>
    </row>
    <row r="6764" spans="3:5" ht="90" x14ac:dyDescent="0.25">
      <c r="C6764" s="15">
        <v>171716</v>
      </c>
      <c r="D6764" s="4" t="s">
        <v>6768</v>
      </c>
      <c r="E6764" s="4" t="str">
        <f>HYPERLINK("https://app.crepc.sk/?fn=detailBiblioForm&amp;sid=686F5EE91E1A998AA4F2DC7ED2")</f>
        <v>https://app.crepc.sk/?fn=detailBiblioForm&amp;sid=686F5EE91E1A998AA4F2DC7ED2</v>
      </c>
    </row>
    <row r="6765" spans="3:5" ht="90" x14ac:dyDescent="0.25">
      <c r="C6765" s="15">
        <v>95630</v>
      </c>
      <c r="D6765" s="4" t="s">
        <v>6769</v>
      </c>
      <c r="E6765" s="4" t="str">
        <f>HYPERLINK("https://app.crepc.sk/?fn=detailBiblioForm&amp;sid=4682E2C19E5E035342E054AA")</f>
        <v>https://app.crepc.sk/?fn=detailBiblioForm&amp;sid=4682E2C19E5E035342E054AA</v>
      </c>
    </row>
    <row r="6766" spans="3:5" ht="90" x14ac:dyDescent="0.25">
      <c r="C6766" s="15">
        <v>57732</v>
      </c>
      <c r="D6766" s="4" t="s">
        <v>6770</v>
      </c>
      <c r="E6766" s="4" t="str">
        <f>HYPERLINK("https://app.crepc.sk/?fn=detailBiblioForm&amp;sid=CAFC3DFAFE1A853A36550878")</f>
        <v>https://app.crepc.sk/?fn=detailBiblioForm&amp;sid=CAFC3DFAFE1A853A36550878</v>
      </c>
    </row>
    <row r="6767" spans="3:5" ht="105" x14ac:dyDescent="0.25">
      <c r="C6767" s="15">
        <v>127553</v>
      </c>
      <c r="D6767" s="4" t="s">
        <v>6771</v>
      </c>
      <c r="E6767" s="4" t="str">
        <f>HYPERLINK("https://app.crepc.sk/?fn=detailBiblioForm&amp;sid=DBEBBE2C2F1C2B14A6838ECF74")</f>
        <v>https://app.crepc.sk/?fn=detailBiblioForm&amp;sid=DBEBBE2C2F1C2B14A6838ECF74</v>
      </c>
    </row>
    <row r="6768" spans="3:5" ht="75" x14ac:dyDescent="0.25">
      <c r="C6768" s="15">
        <v>82928</v>
      </c>
      <c r="D6768" s="4" t="s">
        <v>6772</v>
      </c>
      <c r="E6768" s="4" t="str">
        <f>HYPERLINK("https://app.crepc.sk/?fn=detailBiblioForm&amp;sid=FC31FD1FA74B9BB61456477A")</f>
        <v>https://app.crepc.sk/?fn=detailBiblioForm&amp;sid=FC31FD1FA74B9BB61456477A</v>
      </c>
    </row>
    <row r="6769" spans="3:5" ht="90" x14ac:dyDescent="0.25">
      <c r="C6769" s="15">
        <v>429631</v>
      </c>
      <c r="D6769" s="4" t="s">
        <v>6773</v>
      </c>
      <c r="E6769" s="4" t="str">
        <f>HYPERLINK("https://app.crepc.sk/?fn=detailBiblioForm&amp;sid=D24F18FC100570A67D2CC782E8")</f>
        <v>https://app.crepc.sk/?fn=detailBiblioForm&amp;sid=D24F18FC100570A67D2CC782E8</v>
      </c>
    </row>
    <row r="6770" spans="3:5" ht="105" x14ac:dyDescent="0.25">
      <c r="C6770" s="15">
        <v>55453</v>
      </c>
      <c r="D6770" s="4" t="s">
        <v>6774</v>
      </c>
      <c r="E6770" s="4" t="str">
        <f>HYPERLINK("https://app.crepc.sk/?fn=detailBiblioForm&amp;sid=8146765BAA8C4992D149CBF0")</f>
        <v>https://app.crepc.sk/?fn=detailBiblioForm&amp;sid=8146765BAA8C4992D149CBF0</v>
      </c>
    </row>
    <row r="6771" spans="3:5" ht="90" x14ac:dyDescent="0.25">
      <c r="C6771" s="15">
        <v>94603</v>
      </c>
      <c r="D6771" s="4" t="s">
        <v>6775</v>
      </c>
      <c r="E6771" s="4" t="str">
        <f>HYPERLINK("https://app.crepc.sk/?fn=detailBiblioForm&amp;sid=AEEAD30FAD074717A7F9D986")</f>
        <v>https://app.crepc.sk/?fn=detailBiblioForm&amp;sid=AEEAD30FAD074717A7F9D986</v>
      </c>
    </row>
    <row r="6772" spans="3:5" ht="90" x14ac:dyDescent="0.25">
      <c r="C6772" s="15">
        <v>57737</v>
      </c>
      <c r="D6772" s="4" t="s">
        <v>6776</v>
      </c>
      <c r="E6772" s="4" t="str">
        <f>HYPERLINK("https://app.crepc.sk/?fn=detailBiblioForm&amp;sid=CAFC3DFAFE1A853A33550878")</f>
        <v>https://app.crepc.sk/?fn=detailBiblioForm&amp;sid=CAFC3DFAFE1A853A33550878</v>
      </c>
    </row>
    <row r="6773" spans="3:5" ht="90" x14ac:dyDescent="0.25">
      <c r="C6773" s="15">
        <v>179581</v>
      </c>
      <c r="D6773" s="4" t="s">
        <v>6777</v>
      </c>
      <c r="E6773" s="4" t="str">
        <f>HYPERLINK("https://app.crepc.sk/?fn=detailBiblioForm&amp;sid=D2CDA85DA56256F2783C8485A6")</f>
        <v>https://app.crepc.sk/?fn=detailBiblioForm&amp;sid=D2CDA85DA56256F2783C8485A6</v>
      </c>
    </row>
    <row r="6774" spans="3:5" ht="90" x14ac:dyDescent="0.25">
      <c r="C6774" s="15">
        <v>309927</v>
      </c>
      <c r="D6774" s="4" t="s">
        <v>6778</v>
      </c>
      <c r="E6774" s="4" t="str">
        <f>HYPERLINK("https://app.crepc.sk/?fn=detailBiblioForm&amp;sid=01D3392D979C937CACBFD90611")</f>
        <v>https://app.crepc.sk/?fn=detailBiblioForm&amp;sid=01D3392D979C937CACBFD90611</v>
      </c>
    </row>
    <row r="6775" spans="3:5" ht="90" x14ac:dyDescent="0.25">
      <c r="C6775" s="15">
        <v>309929</v>
      </c>
      <c r="D6775" s="4" t="s">
        <v>6779</v>
      </c>
      <c r="E6775" s="4" t="str">
        <f>HYPERLINK("https://app.crepc.sk/?fn=detailBiblioForm&amp;sid=01D3392D979C937CACB1D90611")</f>
        <v>https://app.crepc.sk/?fn=detailBiblioForm&amp;sid=01D3392D979C937CACB1D90611</v>
      </c>
    </row>
    <row r="6776" spans="3:5" ht="60" x14ac:dyDescent="0.25">
      <c r="C6776" s="15">
        <v>133139</v>
      </c>
      <c r="D6776" s="4" t="s">
        <v>6780</v>
      </c>
      <c r="E6776" s="4" t="str">
        <f>HYPERLINK("https://app.crepc.sk/?fn=detailBiblioForm&amp;sid=A87535322FFBFE64C9DBF88649")</f>
        <v>https://app.crepc.sk/?fn=detailBiblioForm&amp;sid=A87535322FFBFE64C9DBF88649</v>
      </c>
    </row>
    <row r="6777" spans="3:5" ht="60" x14ac:dyDescent="0.25">
      <c r="C6777" s="15">
        <v>312914</v>
      </c>
      <c r="D6777" s="4" t="s">
        <v>6781</v>
      </c>
      <c r="E6777" s="4" t="str">
        <f>HYPERLINK("https://app.crepc.sk/?fn=detailBiblioForm&amp;sid=31CB60CA56D70B77E412987C86")</f>
        <v>https://app.crepc.sk/?fn=detailBiblioForm&amp;sid=31CB60CA56D70B77E412987C86</v>
      </c>
    </row>
    <row r="6778" spans="3:5" ht="75" x14ac:dyDescent="0.25">
      <c r="C6778" s="15">
        <v>242568</v>
      </c>
      <c r="D6778" s="4" t="s">
        <v>6782</v>
      </c>
      <c r="E6778" s="4" t="str">
        <f>HYPERLINK("https://app.crepc.sk/?fn=detailBiblioForm&amp;sid=A11BF31DF2EAA4F53499545616")</f>
        <v>https://app.crepc.sk/?fn=detailBiblioForm&amp;sid=A11BF31DF2EAA4F53499545616</v>
      </c>
    </row>
    <row r="6779" spans="3:5" ht="90" x14ac:dyDescent="0.25">
      <c r="C6779" s="15">
        <v>124903</v>
      </c>
      <c r="D6779" s="4" t="s">
        <v>6783</v>
      </c>
      <c r="E6779" s="4" t="str">
        <f>HYPERLINK("https://app.crepc.sk/?fn=detailBiblioForm&amp;sid=5D21D4E84343AF6AC993277571")</f>
        <v>https://app.crepc.sk/?fn=detailBiblioForm&amp;sid=5D21D4E84343AF6AC993277571</v>
      </c>
    </row>
    <row r="6780" spans="3:5" ht="105" x14ac:dyDescent="0.25">
      <c r="C6780" s="15">
        <v>72890</v>
      </c>
      <c r="D6780" s="4" t="s">
        <v>6784</v>
      </c>
      <c r="E6780" s="4" t="str">
        <f>HYPERLINK("https://app.crepc.sk/?fn=detailBiblioForm&amp;sid=A15CB01E9EBA100F1EBBBEF0")</f>
        <v>https://app.crepc.sk/?fn=detailBiblioForm&amp;sid=A15CB01E9EBA100F1EBBBEF0</v>
      </c>
    </row>
    <row r="6781" spans="3:5" ht="150" x14ac:dyDescent="0.25">
      <c r="C6781" s="15">
        <v>420935</v>
      </c>
      <c r="D6781" s="4" t="s">
        <v>6785</v>
      </c>
      <c r="E6781" s="4" t="str">
        <f>HYPERLINK("https://app.crepc.sk/?fn=detailBiblioForm&amp;sid=18CC9E69A325FAFD67CD0E03E6")</f>
        <v>https://app.crepc.sk/?fn=detailBiblioForm&amp;sid=18CC9E69A325FAFD67CD0E03E6</v>
      </c>
    </row>
    <row r="6782" spans="3:5" ht="135" x14ac:dyDescent="0.25">
      <c r="C6782" s="15">
        <v>417303</v>
      </c>
      <c r="D6782" s="4" t="s">
        <v>6786</v>
      </c>
      <c r="E6782" s="4" t="str">
        <f>HYPERLINK("https://app.crepc.sk/?fn=detailBiblioForm&amp;sid=B6D9B98D67557AA7A917F10F82")</f>
        <v>https://app.crepc.sk/?fn=detailBiblioForm&amp;sid=B6D9B98D67557AA7A917F10F82</v>
      </c>
    </row>
    <row r="6783" spans="3:5" ht="90" x14ac:dyDescent="0.25">
      <c r="C6783" s="15">
        <v>58434</v>
      </c>
      <c r="D6783" s="4" t="s">
        <v>6787</v>
      </c>
      <c r="E6783" s="4" t="str">
        <f>HYPERLINK("https://app.crepc.sk/?fn=detailBiblioForm&amp;sid=EEA2F15C349D2F280548290C")</f>
        <v>https://app.crepc.sk/?fn=detailBiblioForm&amp;sid=EEA2F15C349D2F280548290C</v>
      </c>
    </row>
    <row r="6784" spans="3:5" ht="105" x14ac:dyDescent="0.25">
      <c r="C6784" s="15">
        <v>164717</v>
      </c>
      <c r="D6784" s="4" t="s">
        <v>6788</v>
      </c>
      <c r="E6784" s="4" t="str">
        <f>HYPERLINK("https://app.crepc.sk/?fn=detailBiblioForm&amp;sid=FD93F7145DB968626BD15BF9A8")</f>
        <v>https://app.crepc.sk/?fn=detailBiblioForm&amp;sid=FD93F7145DB968626BD15BF9A8</v>
      </c>
    </row>
    <row r="6785" spans="3:5" ht="90" x14ac:dyDescent="0.25">
      <c r="C6785" s="15">
        <v>246459</v>
      </c>
      <c r="D6785" s="4" t="s">
        <v>6789</v>
      </c>
      <c r="E6785" s="4" t="str">
        <f>HYPERLINK("https://app.crepc.sk/?fn=detailBiblioForm&amp;sid=C23082FBDA4977C5BC7722A713")</f>
        <v>https://app.crepc.sk/?fn=detailBiblioForm&amp;sid=C23082FBDA4977C5BC7722A713</v>
      </c>
    </row>
    <row r="6786" spans="3:5" ht="75" x14ac:dyDescent="0.25">
      <c r="C6786" s="15">
        <v>112439</v>
      </c>
      <c r="D6786" s="4" t="s">
        <v>6790</v>
      </c>
      <c r="E6786" s="4" t="str">
        <f>HYPERLINK("https://app.crepc.sk/?fn=detailBiblioForm&amp;sid=6B00E789183A492A9546B14C71")</f>
        <v>https://app.crepc.sk/?fn=detailBiblioForm&amp;sid=6B00E789183A492A9546B14C71</v>
      </c>
    </row>
    <row r="6787" spans="3:5" ht="75" x14ac:dyDescent="0.25">
      <c r="C6787" s="15">
        <v>121908</v>
      </c>
      <c r="D6787" s="4" t="s">
        <v>6791</v>
      </c>
      <c r="E6787" s="4" t="str">
        <f>HYPERLINK("https://app.crepc.sk/?fn=detailBiblioForm&amp;sid=BF793C73F52F4090C69EB67F35")</f>
        <v>https://app.crepc.sk/?fn=detailBiblioForm&amp;sid=BF793C73F52F4090C69EB67F35</v>
      </c>
    </row>
    <row r="6788" spans="3:5" ht="90" x14ac:dyDescent="0.25">
      <c r="C6788" s="15">
        <v>57735</v>
      </c>
      <c r="D6788" s="4" t="s">
        <v>6792</v>
      </c>
      <c r="E6788" s="4" t="str">
        <f>HYPERLINK("https://app.crepc.sk/?fn=detailBiblioForm&amp;sid=CAFC3DFAFE1A853A31550878")</f>
        <v>https://app.crepc.sk/?fn=detailBiblioForm&amp;sid=CAFC3DFAFE1A853A31550878</v>
      </c>
    </row>
    <row r="6789" spans="3:5" ht="90" x14ac:dyDescent="0.25">
      <c r="C6789" s="15">
        <v>161741</v>
      </c>
      <c r="D6789" s="4" t="s">
        <v>6793</v>
      </c>
      <c r="E6789" s="4" t="str">
        <f>HYPERLINK("https://app.crepc.sk/?fn=detailBiblioForm&amp;sid=BCA102CB6C4CA54D48EEC863D9")</f>
        <v>https://app.crepc.sk/?fn=detailBiblioForm&amp;sid=BCA102CB6C4CA54D48EEC863D9</v>
      </c>
    </row>
    <row r="6790" spans="3:5" ht="120" x14ac:dyDescent="0.25">
      <c r="C6790" s="15">
        <v>434257</v>
      </c>
      <c r="D6790" s="4" t="s">
        <v>6794</v>
      </c>
      <c r="E6790" s="4" t="str">
        <f>HYPERLINK("https://app.crepc.sk/?fn=detailBiblioForm&amp;sid=2BEE0F4350026A7C8B4A6374D6")</f>
        <v>https://app.crepc.sk/?fn=detailBiblioForm&amp;sid=2BEE0F4350026A7C8B4A6374D6</v>
      </c>
    </row>
    <row r="6791" spans="3:5" ht="90" x14ac:dyDescent="0.25">
      <c r="C6791" s="15">
        <v>429604</v>
      </c>
      <c r="D6791" s="4" t="s">
        <v>6795</v>
      </c>
      <c r="E6791" s="4" t="str">
        <f>HYPERLINK("https://app.crepc.sk/?fn=detailBiblioForm&amp;sid=D24F18FC100570A67E29C782E8")</f>
        <v>https://app.crepc.sk/?fn=detailBiblioForm&amp;sid=D24F18FC100570A67E29C782E8</v>
      </c>
    </row>
    <row r="6792" spans="3:5" ht="90" x14ac:dyDescent="0.25">
      <c r="C6792" s="15">
        <v>127605</v>
      </c>
      <c r="D6792" s="4" t="s">
        <v>6796</v>
      </c>
      <c r="E6792" s="4" t="str">
        <f>HYPERLINK("https://app.crepc.sk/?fn=detailBiblioForm&amp;sid=A61021784F381E68C70AE78699")</f>
        <v>https://app.crepc.sk/?fn=detailBiblioForm&amp;sid=A61021784F381E68C70AE78699</v>
      </c>
    </row>
    <row r="6793" spans="3:5" ht="105" x14ac:dyDescent="0.25">
      <c r="C6793" s="15">
        <v>127559</v>
      </c>
      <c r="D6793" s="4" t="s">
        <v>6797</v>
      </c>
      <c r="E6793" s="4" t="str">
        <f>HYPERLINK("https://app.crepc.sk/?fn=detailBiblioForm&amp;sid=DBEBBE2C2F1C2B14A6898ECF74")</f>
        <v>https://app.crepc.sk/?fn=detailBiblioForm&amp;sid=DBEBBE2C2F1C2B14A6898ECF74</v>
      </c>
    </row>
    <row r="6794" spans="3:5" ht="90" x14ac:dyDescent="0.25">
      <c r="C6794" s="15">
        <v>114876</v>
      </c>
      <c r="D6794" s="4" t="s">
        <v>6798</v>
      </c>
      <c r="E6794" s="4" t="str">
        <f>HYPERLINK("https://app.crepc.sk/?fn=detailBiblioForm&amp;sid=C957D02FE2D4481C68BB82EBB8")</f>
        <v>https://app.crepc.sk/?fn=detailBiblioForm&amp;sid=C957D02FE2D4481C68BB82EBB8</v>
      </c>
    </row>
    <row r="6795" spans="3:5" ht="75" x14ac:dyDescent="0.25">
      <c r="C6795" s="15">
        <v>227849</v>
      </c>
      <c r="D6795" s="4" t="s">
        <v>6799</v>
      </c>
      <c r="E6795" s="4" t="str">
        <f>HYPERLINK("https://app.crepc.sk/?fn=detailBiblioForm&amp;sid=D57B83470BBFCEC2238F3FD33C")</f>
        <v>https://app.crepc.sk/?fn=detailBiblioForm&amp;sid=D57B83470BBFCEC2238F3FD33C</v>
      </c>
    </row>
    <row r="6796" spans="3:5" ht="90" x14ac:dyDescent="0.25">
      <c r="C6796" s="15">
        <v>171706</v>
      </c>
      <c r="D6796" s="4" t="s">
        <v>6800</v>
      </c>
      <c r="E6796" s="4" t="str">
        <f>HYPERLINK("https://app.crepc.sk/?fn=detailBiblioForm&amp;sid=686F5EE91E1A998AA5F2DC7ED2")</f>
        <v>https://app.crepc.sk/?fn=detailBiblioForm&amp;sid=686F5EE91E1A998AA5F2DC7ED2</v>
      </c>
    </row>
    <row r="6797" spans="3:5" ht="90" x14ac:dyDescent="0.25">
      <c r="C6797" s="15">
        <v>440608</v>
      </c>
      <c r="D6797" s="4" t="s">
        <v>6801</v>
      </c>
      <c r="E6797" s="4" t="str">
        <f>HYPERLINK("https://app.crepc.sk/?fn=detailBiblioForm&amp;sid=41D0612371856B8758D44486F7")</f>
        <v>https://app.crepc.sk/?fn=detailBiblioForm&amp;sid=41D0612371856B8758D44486F7</v>
      </c>
    </row>
    <row r="6798" spans="3:5" ht="75" x14ac:dyDescent="0.25">
      <c r="C6798" s="15">
        <v>442327</v>
      </c>
      <c r="D6798" s="4" t="s">
        <v>6802</v>
      </c>
      <c r="E6798" s="4" t="str">
        <f>HYPERLINK("https://app.crepc.sk/?fn=detailBiblioForm&amp;sid=F661DE2421DD595D56CA62841D")</f>
        <v>https://app.crepc.sk/?fn=detailBiblioForm&amp;sid=F661DE2421DD595D56CA62841D</v>
      </c>
    </row>
    <row r="6799" spans="3:5" ht="75" x14ac:dyDescent="0.25">
      <c r="C6799" s="15">
        <v>114899</v>
      </c>
      <c r="D6799" s="4" t="s">
        <v>6803</v>
      </c>
      <c r="E6799" s="4" t="str">
        <f>HYPERLINK("https://app.crepc.sk/?fn=detailBiblioForm&amp;sid=C957D02FE2D4481C66B482EBB8")</f>
        <v>https://app.crepc.sk/?fn=detailBiblioForm&amp;sid=C957D02FE2D4481C66B482EBB8</v>
      </c>
    </row>
    <row r="6800" spans="3:5" ht="90" x14ac:dyDescent="0.25">
      <c r="C6800" s="15">
        <v>127606</v>
      </c>
      <c r="D6800" s="4" t="s">
        <v>6804</v>
      </c>
      <c r="E6800" s="4" t="str">
        <f>HYPERLINK("https://app.crepc.sk/?fn=detailBiblioForm&amp;sid=A61021784F381E68C709E78699")</f>
        <v>https://app.crepc.sk/?fn=detailBiblioForm&amp;sid=A61021784F381E68C709E78699</v>
      </c>
    </row>
    <row r="6801" spans="3:5" ht="105" x14ac:dyDescent="0.25">
      <c r="C6801" s="15">
        <v>153258</v>
      </c>
      <c r="D6801" s="4" t="s">
        <v>6805</v>
      </c>
      <c r="E6801" s="4" t="str">
        <f>HYPERLINK("https://app.crepc.sk/?fn=detailBiblioForm&amp;sid=CBCDB6E5622FB9C0D7512C3EA4")</f>
        <v>https://app.crepc.sk/?fn=detailBiblioForm&amp;sid=CBCDB6E5622FB9C0D7512C3EA4</v>
      </c>
    </row>
    <row r="6802" spans="3:5" ht="75" x14ac:dyDescent="0.25">
      <c r="C6802" s="15">
        <v>183841</v>
      </c>
      <c r="D6802" s="4" t="s">
        <v>6806</v>
      </c>
      <c r="E6802" s="4" t="str">
        <f>HYPERLINK("https://app.crepc.sk/?fn=detailBiblioForm&amp;sid=E9A819C3F6DCFD1BCEC5B8F136")</f>
        <v>https://app.crepc.sk/?fn=detailBiblioForm&amp;sid=E9A819C3F6DCFD1BCEC5B8F136</v>
      </c>
    </row>
    <row r="6803" spans="3:5" ht="75" x14ac:dyDescent="0.25">
      <c r="C6803" s="15">
        <v>122491</v>
      </c>
      <c r="D6803" s="4" t="s">
        <v>6807</v>
      </c>
      <c r="E6803" s="4" t="str">
        <f>HYPERLINK("https://app.crepc.sk/?fn=detailBiblioForm&amp;sid=BA98F1178B40464E5CE7C111D8")</f>
        <v>https://app.crepc.sk/?fn=detailBiblioForm&amp;sid=BA98F1178B40464E5CE7C111D8</v>
      </c>
    </row>
    <row r="6804" spans="3:5" ht="90" x14ac:dyDescent="0.25">
      <c r="C6804" s="15">
        <v>54209</v>
      </c>
      <c r="D6804" s="4" t="s">
        <v>6808</v>
      </c>
      <c r="E6804" s="4" t="str">
        <f>HYPERLINK("https://app.crepc.sk/?fn=detailBiblioForm&amp;sid=C0FBDF6C5867973C3CE3477E")</f>
        <v>https://app.crepc.sk/?fn=detailBiblioForm&amp;sid=C0FBDF6C5867973C3CE3477E</v>
      </c>
    </row>
    <row r="6805" spans="3:5" ht="75" x14ac:dyDescent="0.25">
      <c r="C6805" s="15">
        <v>200374</v>
      </c>
      <c r="D6805" s="4" t="s">
        <v>6809</v>
      </c>
      <c r="E6805" s="4" t="str">
        <f>HYPERLINK("https://app.crepc.sk/?fn=detailBiblioForm&amp;sid=F68030BE5EA3121E9B2A9F2B08")</f>
        <v>https://app.crepc.sk/?fn=detailBiblioForm&amp;sid=F68030BE5EA3121E9B2A9F2B08</v>
      </c>
    </row>
    <row r="6806" spans="3:5" ht="90" x14ac:dyDescent="0.25">
      <c r="C6806" s="15">
        <v>155856</v>
      </c>
      <c r="D6806" s="4" t="s">
        <v>6810</v>
      </c>
      <c r="E6806" s="4" t="str">
        <f>HYPERLINK("https://app.crepc.sk/?fn=detailBiblioForm&amp;sid=E6565C9ED97EA02FC204D38A9D")</f>
        <v>https://app.crepc.sk/?fn=detailBiblioForm&amp;sid=E6565C9ED97EA02FC204D38A9D</v>
      </c>
    </row>
    <row r="6807" spans="3:5" ht="90" x14ac:dyDescent="0.25">
      <c r="C6807" s="15">
        <v>105688</v>
      </c>
      <c r="D6807" s="4" t="s">
        <v>6811</v>
      </c>
      <c r="E6807" s="4" t="str">
        <f>HYPERLINK("https://app.crepc.sk/?fn=detailBiblioForm&amp;sid=FD881BC05B1F2F7E4C5F6C9F59")</f>
        <v>https://app.crepc.sk/?fn=detailBiblioForm&amp;sid=FD881BC05B1F2F7E4C5F6C9F59</v>
      </c>
    </row>
    <row r="6808" spans="3:5" ht="75" x14ac:dyDescent="0.25">
      <c r="C6808" s="15">
        <v>188501</v>
      </c>
      <c r="D6808" s="4" t="s">
        <v>6812</v>
      </c>
      <c r="E6808" s="4" t="str">
        <f>HYPERLINK("https://app.crepc.sk/?fn=detailBiblioForm&amp;sid=CEC4BB8C8D9EFEE358D2659C47")</f>
        <v>https://app.crepc.sk/?fn=detailBiblioForm&amp;sid=CEC4BB8C8D9EFEE358D2659C47</v>
      </c>
    </row>
    <row r="6809" spans="3:5" ht="105" x14ac:dyDescent="0.25">
      <c r="C6809" s="15">
        <v>83172</v>
      </c>
      <c r="D6809" s="4" t="s">
        <v>6813</v>
      </c>
      <c r="E6809" s="4" t="str">
        <f>HYPERLINK("https://app.crepc.sk/?fn=detailBiblioForm&amp;sid=5B97E83A032EEAFDD6B535D8")</f>
        <v>https://app.crepc.sk/?fn=detailBiblioForm&amp;sid=5B97E83A032EEAFDD6B535D8</v>
      </c>
    </row>
    <row r="6810" spans="3:5" ht="75" x14ac:dyDescent="0.25">
      <c r="C6810" s="15">
        <v>180475</v>
      </c>
      <c r="D6810" s="4" t="s">
        <v>6814</v>
      </c>
      <c r="E6810" s="4" t="str">
        <f>HYPERLINK("https://app.crepc.sk/?fn=detailBiblioForm&amp;sid=46E5F073F744ACC4F97C236061")</f>
        <v>https://app.crepc.sk/?fn=detailBiblioForm&amp;sid=46E5F073F744ACC4F97C236061</v>
      </c>
    </row>
    <row r="6811" spans="3:5" ht="105" x14ac:dyDescent="0.25">
      <c r="C6811" s="15">
        <v>204375</v>
      </c>
      <c r="D6811" s="4" t="s">
        <v>6815</v>
      </c>
      <c r="E6811" s="4" t="str">
        <f>HYPERLINK("https://app.crepc.sk/?fn=detailBiblioForm&amp;sid=8E201614D5D231968565729F83")</f>
        <v>https://app.crepc.sk/?fn=detailBiblioForm&amp;sid=8E201614D5D231968565729F83</v>
      </c>
    </row>
    <row r="6812" spans="3:5" ht="90" x14ac:dyDescent="0.25">
      <c r="C6812" s="15">
        <v>84435</v>
      </c>
      <c r="D6812" s="4" t="s">
        <v>6816</v>
      </c>
      <c r="E6812" s="4" t="str">
        <f>HYPERLINK("https://app.crepc.sk/?fn=detailBiblioForm&amp;sid=0F86C99218AB49DD7B5873A9")</f>
        <v>https://app.crepc.sk/?fn=detailBiblioForm&amp;sid=0F86C99218AB49DD7B5873A9</v>
      </c>
    </row>
    <row r="6813" spans="3:5" ht="90" x14ac:dyDescent="0.25">
      <c r="C6813" s="15">
        <v>219491</v>
      </c>
      <c r="D6813" s="4" t="s">
        <v>6817</v>
      </c>
      <c r="E6813" s="4" t="str">
        <f>HYPERLINK("https://app.crepc.sk/?fn=detailBiblioForm&amp;sid=8474A37DD4CFE7851F548DE929")</f>
        <v>https://app.crepc.sk/?fn=detailBiblioForm&amp;sid=8474A37DD4CFE7851F548DE929</v>
      </c>
    </row>
    <row r="6814" spans="3:5" ht="75" x14ac:dyDescent="0.25">
      <c r="C6814" s="15">
        <v>105638</v>
      </c>
      <c r="D6814" s="4" t="s">
        <v>6818</v>
      </c>
      <c r="E6814" s="4" t="str">
        <f>HYPERLINK("https://app.crepc.sk/?fn=detailBiblioForm&amp;sid=FD881BC05B1F2F7E475F6C9F59")</f>
        <v>https://app.crepc.sk/?fn=detailBiblioForm&amp;sid=FD881BC05B1F2F7E475F6C9F59</v>
      </c>
    </row>
    <row r="6815" spans="3:5" ht="90" x14ac:dyDescent="0.25">
      <c r="C6815" s="15">
        <v>104366</v>
      </c>
      <c r="D6815" s="4" t="s">
        <v>6819</v>
      </c>
      <c r="E6815" s="4" t="str">
        <f>HYPERLINK("https://app.crepc.sk/?fn=detailBiblioForm&amp;sid=DD6DC1ACF31F8CDC5E9538F016")</f>
        <v>https://app.crepc.sk/?fn=detailBiblioForm&amp;sid=DD6DC1ACF31F8CDC5E9538F016</v>
      </c>
    </row>
    <row r="6816" spans="3:5" ht="105" x14ac:dyDescent="0.25">
      <c r="C6816" s="15">
        <v>438353</v>
      </c>
      <c r="D6816" s="4" t="s">
        <v>6820</v>
      </c>
      <c r="E6816" s="4" t="str">
        <f>HYPERLINK("https://app.crepc.sk/?fn=detailBiblioForm&amp;sid=3BE95C725A62C7D49E41F9E8A0")</f>
        <v>https://app.crepc.sk/?fn=detailBiblioForm&amp;sid=3BE95C725A62C7D49E41F9E8A0</v>
      </c>
    </row>
    <row r="6817" spans="3:5" ht="90" x14ac:dyDescent="0.25">
      <c r="C6817" s="15">
        <v>141443</v>
      </c>
      <c r="D6817" s="4" t="s">
        <v>6821</v>
      </c>
      <c r="E6817" s="4" t="str">
        <f>HYPERLINK("https://app.crepc.sk/?fn=detailBiblioForm&amp;sid=FF44C990A7CA883E4B8D308485")</f>
        <v>https://app.crepc.sk/?fn=detailBiblioForm&amp;sid=FF44C990A7CA883E4B8D308485</v>
      </c>
    </row>
    <row r="6818" spans="3:5" ht="75" x14ac:dyDescent="0.25">
      <c r="C6818" s="15">
        <v>81194</v>
      </c>
      <c r="D6818" s="4" t="s">
        <v>6822</v>
      </c>
      <c r="E6818" s="4" t="str">
        <f>HYPERLINK("https://app.crepc.sk/?fn=detailBiblioForm&amp;sid=C4A993F71EA4F2E026A0184B")</f>
        <v>https://app.crepc.sk/?fn=detailBiblioForm&amp;sid=C4A993F71EA4F2E026A0184B</v>
      </c>
    </row>
    <row r="6819" spans="3:5" ht="90" x14ac:dyDescent="0.25">
      <c r="C6819" s="15">
        <v>127574</v>
      </c>
      <c r="D6819" s="4" t="s">
        <v>6823</v>
      </c>
      <c r="E6819" s="4" t="str">
        <f>HYPERLINK("https://app.crepc.sk/?fn=detailBiblioForm&amp;sid=DBEBBE2C2F1C2B14A4848ECF74")</f>
        <v>https://app.crepc.sk/?fn=detailBiblioForm&amp;sid=DBEBBE2C2F1C2B14A4848ECF74</v>
      </c>
    </row>
    <row r="6820" spans="3:5" ht="105" x14ac:dyDescent="0.25">
      <c r="C6820" s="15">
        <v>310150</v>
      </c>
      <c r="D6820" s="4" t="s">
        <v>6824</v>
      </c>
      <c r="E6820" s="4" t="str">
        <f>HYPERLINK("https://app.crepc.sk/?fn=detailBiblioForm&amp;sid=E9F63DECD21F072F8C45FE53D1")</f>
        <v>https://app.crepc.sk/?fn=detailBiblioForm&amp;sid=E9F63DECD21F072F8C45FE53D1</v>
      </c>
    </row>
    <row r="6821" spans="3:5" ht="90" x14ac:dyDescent="0.25">
      <c r="C6821" s="15">
        <v>123525</v>
      </c>
      <c r="D6821" s="4" t="s">
        <v>6825</v>
      </c>
      <c r="E6821" s="4" t="str">
        <f>HYPERLINK("https://app.crepc.sk/?fn=detailBiblioForm&amp;sid=D29F3E4684739C0AF4DFC1639B")</f>
        <v>https://app.crepc.sk/?fn=detailBiblioForm&amp;sid=D29F3E4684739C0AF4DFC1639B</v>
      </c>
    </row>
    <row r="6822" spans="3:5" ht="105" x14ac:dyDescent="0.25">
      <c r="C6822" s="15">
        <v>127584</v>
      </c>
      <c r="D6822" s="4" t="s">
        <v>6826</v>
      </c>
      <c r="E6822" s="4" t="str">
        <f>HYPERLINK("https://app.crepc.sk/?fn=detailBiblioForm&amp;sid=DBEBBE2C2F1C2B14AB848ECF74")</f>
        <v>https://app.crepc.sk/?fn=detailBiblioForm&amp;sid=DBEBBE2C2F1C2B14AB848ECF74</v>
      </c>
    </row>
    <row r="6823" spans="3:5" ht="75" x14ac:dyDescent="0.25">
      <c r="C6823" s="15">
        <v>178319</v>
      </c>
      <c r="D6823" s="4" t="s">
        <v>6827</v>
      </c>
      <c r="E6823" s="4" t="str">
        <f>HYPERLINK("https://app.crepc.sk/?fn=detailBiblioForm&amp;sid=A5BC586C45F5195269ED45B98C")</f>
        <v>https://app.crepc.sk/?fn=detailBiblioForm&amp;sid=A5BC586C45F5195269ED45B98C</v>
      </c>
    </row>
    <row r="6824" spans="3:5" ht="90" x14ac:dyDescent="0.25">
      <c r="C6824" s="15">
        <v>122700</v>
      </c>
      <c r="D6824" s="4" t="s">
        <v>6828</v>
      </c>
      <c r="E6824" s="4" t="str">
        <f>HYPERLINK("https://app.crepc.sk/?fn=detailBiblioForm&amp;sid=A5B40B0321D8B5790ED809F729")</f>
        <v>https://app.crepc.sk/?fn=detailBiblioForm&amp;sid=A5B40B0321D8B5790ED809F729</v>
      </c>
    </row>
    <row r="6825" spans="3:5" ht="105" x14ac:dyDescent="0.25">
      <c r="C6825" s="15">
        <v>57405</v>
      </c>
      <c r="D6825" s="4" t="s">
        <v>6829</v>
      </c>
      <c r="E6825" s="4" t="str">
        <f>HYPERLINK("https://app.crepc.sk/?fn=detailBiblioForm&amp;sid=DB1EAFF15B62E9A672A962D6")</f>
        <v>https://app.crepc.sk/?fn=detailBiblioForm&amp;sid=DB1EAFF15B62E9A672A962D6</v>
      </c>
    </row>
    <row r="6826" spans="3:5" ht="90" x14ac:dyDescent="0.25">
      <c r="C6826" s="15">
        <v>58444</v>
      </c>
      <c r="D6826" s="4" t="s">
        <v>6830</v>
      </c>
      <c r="E6826" s="4" t="str">
        <f>HYPERLINK("https://app.crepc.sk/?fn=detailBiblioForm&amp;sid=4E84065A295BDF8D0B460BBD")</f>
        <v>https://app.crepc.sk/?fn=detailBiblioForm&amp;sid=4E84065A295BDF8D0B460BBD</v>
      </c>
    </row>
    <row r="6827" spans="3:5" ht="105" x14ac:dyDescent="0.25">
      <c r="C6827" s="15">
        <v>249643</v>
      </c>
      <c r="D6827" s="4" t="s">
        <v>6831</v>
      </c>
      <c r="E6827" s="4" t="str">
        <f>HYPERLINK("https://app.crepc.sk/?fn=detailBiblioForm&amp;sid=A43C6767581FABD00EA16DF55F")</f>
        <v>https://app.crepc.sk/?fn=detailBiblioForm&amp;sid=A43C6767581FABD00EA16DF55F</v>
      </c>
    </row>
    <row r="6828" spans="3:5" ht="90" x14ac:dyDescent="0.25">
      <c r="C6828" s="15">
        <v>149386</v>
      </c>
      <c r="D6828" s="4" t="s">
        <v>6832</v>
      </c>
      <c r="E6828" s="4" t="str">
        <f>HYPERLINK("https://app.crepc.sk/?fn=detailBiblioForm&amp;sid=D01AE3E6A036F3F6508B797264")</f>
        <v>https://app.crepc.sk/?fn=detailBiblioForm&amp;sid=D01AE3E6A036F3F6508B797264</v>
      </c>
    </row>
    <row r="6829" spans="3:5" ht="90" x14ac:dyDescent="0.25">
      <c r="C6829" s="15">
        <v>125452</v>
      </c>
      <c r="D6829" s="4" t="s">
        <v>6833</v>
      </c>
      <c r="E6829" s="4" t="str">
        <f>HYPERLINK("https://app.crepc.sk/?fn=detailBiblioForm&amp;sid=F2C5C64D9C64B04EA07D2133DE")</f>
        <v>https://app.crepc.sk/?fn=detailBiblioForm&amp;sid=F2C5C64D9C64B04EA07D2133DE</v>
      </c>
    </row>
    <row r="6830" spans="3:5" ht="90" x14ac:dyDescent="0.25">
      <c r="C6830" s="15">
        <v>125448</v>
      </c>
      <c r="D6830" s="4" t="s">
        <v>6834</v>
      </c>
      <c r="E6830" s="4" t="str">
        <f>HYPERLINK("https://app.crepc.sk/?fn=detailBiblioForm&amp;sid=F2C5C64D9C64B04EA1772133DE")</f>
        <v>https://app.crepc.sk/?fn=detailBiblioForm&amp;sid=F2C5C64D9C64B04EA1772133DE</v>
      </c>
    </row>
    <row r="6831" spans="3:5" ht="90" x14ac:dyDescent="0.25">
      <c r="C6831" s="15">
        <v>71298</v>
      </c>
      <c r="D6831" s="4" t="s">
        <v>6835</v>
      </c>
      <c r="E6831" s="4" t="str">
        <f>HYPERLINK("https://app.crepc.sk/?fn=detailBiblioForm&amp;sid=97CF32FC42BDBBF7AE1BCAF9")</f>
        <v>https://app.crepc.sk/?fn=detailBiblioForm&amp;sid=97CF32FC42BDBBF7AE1BCAF9</v>
      </c>
    </row>
    <row r="6832" spans="3:5" ht="90" x14ac:dyDescent="0.25">
      <c r="C6832" s="15">
        <v>166816</v>
      </c>
      <c r="D6832" s="4" t="s">
        <v>6836</v>
      </c>
      <c r="E6832" s="4" t="str">
        <f>HYPERLINK("https://app.crepc.sk/?fn=detailBiblioForm&amp;sid=8E0A01F6D74C9FCBCF4E860839")</f>
        <v>https://app.crepc.sk/?fn=detailBiblioForm&amp;sid=8E0A01F6D74C9FCBCF4E860839</v>
      </c>
    </row>
    <row r="6833" spans="3:5" ht="105" x14ac:dyDescent="0.25">
      <c r="C6833" s="15">
        <v>59273</v>
      </c>
      <c r="D6833" s="4" t="s">
        <v>6837</v>
      </c>
      <c r="E6833" s="4" t="str">
        <f>HYPERLINK("https://app.crepc.sk/?fn=detailBiblioForm&amp;sid=73C8EE269DF3551B4CF06185")</f>
        <v>https://app.crepc.sk/?fn=detailBiblioForm&amp;sid=73C8EE269DF3551B4CF06185</v>
      </c>
    </row>
    <row r="6834" spans="3:5" ht="90" x14ac:dyDescent="0.25">
      <c r="C6834" s="15">
        <v>127362</v>
      </c>
      <c r="D6834" s="4" t="s">
        <v>6838</v>
      </c>
      <c r="E6834" s="4" t="str">
        <f>HYPERLINK("https://app.crepc.sk/?fn=detailBiblioForm&amp;sid=5D4D29B46C695A5DF79A722909")</f>
        <v>https://app.crepc.sk/?fn=detailBiblioForm&amp;sid=5D4D29B46C695A5DF79A722909</v>
      </c>
    </row>
    <row r="6835" spans="3:5" ht="90" x14ac:dyDescent="0.25">
      <c r="C6835" s="15">
        <v>127563</v>
      </c>
      <c r="D6835" s="4" t="s">
        <v>6839</v>
      </c>
      <c r="E6835" s="4" t="str">
        <f>HYPERLINK("https://app.crepc.sk/?fn=detailBiblioForm&amp;sid=DBEBBE2C2F1C2B14A5838ECF74")</f>
        <v>https://app.crepc.sk/?fn=detailBiblioForm&amp;sid=DBEBBE2C2F1C2B14A5838ECF74</v>
      </c>
    </row>
    <row r="6836" spans="3:5" ht="105" x14ac:dyDescent="0.25">
      <c r="C6836" s="15">
        <v>133759</v>
      </c>
      <c r="D6836" s="4" t="s">
        <v>6840</v>
      </c>
      <c r="E6836" s="4" t="str">
        <f>HYPERLINK("https://app.crepc.sk/?fn=detailBiblioForm&amp;sid=CB55A48AE268F42C03EDA2B091")</f>
        <v>https://app.crepc.sk/?fn=detailBiblioForm&amp;sid=CB55A48AE268F42C03EDA2B091</v>
      </c>
    </row>
    <row r="6837" spans="3:5" ht="105" x14ac:dyDescent="0.25">
      <c r="C6837" s="15">
        <v>146005</v>
      </c>
      <c r="D6837" s="4" t="s">
        <v>6841</v>
      </c>
      <c r="E6837" s="4" t="str">
        <f>HYPERLINK("https://app.crepc.sk/?fn=detailBiblioForm&amp;sid=6F91D8ED6CD6362D902A31705F")</f>
        <v>https://app.crepc.sk/?fn=detailBiblioForm&amp;sid=6F91D8ED6CD6362D902A31705F</v>
      </c>
    </row>
    <row r="6838" spans="3:5" ht="105" x14ac:dyDescent="0.25">
      <c r="C6838" s="15">
        <v>127594</v>
      </c>
      <c r="D6838" s="4" t="s">
        <v>6842</v>
      </c>
      <c r="E6838" s="4" t="str">
        <f>HYPERLINK("https://app.crepc.sk/?fn=detailBiblioForm&amp;sid=DBEBBE2C2F1C2B14AA848ECF74")</f>
        <v>https://app.crepc.sk/?fn=detailBiblioForm&amp;sid=DBEBBE2C2F1C2B14AA848ECF74</v>
      </c>
    </row>
    <row r="6839" spans="3:5" ht="75" x14ac:dyDescent="0.25">
      <c r="C6839" s="15">
        <v>126915</v>
      </c>
      <c r="D6839" s="4" t="s">
        <v>6843</v>
      </c>
      <c r="E6839" s="4" t="str">
        <f>HYPERLINK("https://app.crepc.sk/?fn=detailBiblioForm&amp;sid=0D77803B6B9621F08665B73F55")</f>
        <v>https://app.crepc.sk/?fn=detailBiblioForm&amp;sid=0D77803B6B9621F08665B73F55</v>
      </c>
    </row>
    <row r="6840" spans="3:5" ht="60" x14ac:dyDescent="0.25">
      <c r="C6840" s="15">
        <v>114934</v>
      </c>
      <c r="D6840" s="4" t="s">
        <v>6844</v>
      </c>
      <c r="E6840" s="4" t="str">
        <f>HYPERLINK("https://app.crepc.sk/?fn=detailBiblioForm&amp;sid=E52557BEC79C1752D4B7186CCD")</f>
        <v>https://app.crepc.sk/?fn=detailBiblioForm&amp;sid=E52557BEC79C1752D4B7186CCD</v>
      </c>
    </row>
    <row r="6841" spans="3:5" ht="75" x14ac:dyDescent="0.25">
      <c r="C6841" s="15">
        <v>231038</v>
      </c>
      <c r="D6841" s="4" t="s">
        <v>6845</v>
      </c>
      <c r="E6841" s="4" t="str">
        <f>HYPERLINK("https://app.crepc.sk/?fn=detailBiblioForm&amp;sid=9930497010029B5A2221FCA920")</f>
        <v>https://app.crepc.sk/?fn=detailBiblioForm&amp;sid=9930497010029B5A2221FCA920</v>
      </c>
    </row>
    <row r="6842" spans="3:5" ht="90" x14ac:dyDescent="0.25">
      <c r="C6842" s="15">
        <v>152218</v>
      </c>
      <c r="D6842" s="4" t="s">
        <v>6846</v>
      </c>
      <c r="E6842" s="4" t="str">
        <f>HYPERLINK("https://app.crepc.sk/?fn=detailBiblioForm&amp;sid=C3244647CD7CB0B778786FBDAB")</f>
        <v>https://app.crepc.sk/?fn=detailBiblioForm&amp;sid=C3244647CD7CB0B778786FBDAB</v>
      </c>
    </row>
    <row r="6843" spans="3:5" ht="90" x14ac:dyDescent="0.25">
      <c r="C6843" s="15">
        <v>140247</v>
      </c>
      <c r="D6843" s="4" t="s">
        <v>6847</v>
      </c>
      <c r="E6843" s="4" t="str">
        <f>HYPERLINK("https://app.crepc.sk/?fn=detailBiblioForm&amp;sid=4A220BA9C567A8491F0157C72F")</f>
        <v>https://app.crepc.sk/?fn=detailBiblioForm&amp;sid=4A220BA9C567A8491F0157C72F</v>
      </c>
    </row>
    <row r="6844" spans="3:5" ht="105" x14ac:dyDescent="0.25">
      <c r="C6844" s="15">
        <v>57955</v>
      </c>
      <c r="D6844" s="4" t="s">
        <v>6848</v>
      </c>
      <c r="E6844" s="4" t="str">
        <f>HYPERLINK("https://app.crepc.sk/?fn=detailBiblioForm&amp;sid=201E08846A48D10422BB2949")</f>
        <v>https://app.crepc.sk/?fn=detailBiblioForm&amp;sid=201E08846A48D10422BB2949</v>
      </c>
    </row>
    <row r="6845" spans="3:5" ht="105" x14ac:dyDescent="0.25">
      <c r="C6845" s="15">
        <v>56959</v>
      </c>
      <c r="D6845" s="4" t="s">
        <v>6849</v>
      </c>
      <c r="E6845" s="4" t="str">
        <f>HYPERLINK("https://app.crepc.sk/?fn=detailBiblioForm&amp;sid=6DCFCB875A5920860BC37E06")</f>
        <v>https://app.crepc.sk/?fn=detailBiblioForm&amp;sid=6DCFCB875A5920860BC37E06</v>
      </c>
    </row>
    <row r="6846" spans="3:5" ht="75" x14ac:dyDescent="0.25">
      <c r="C6846" s="15">
        <v>122492</v>
      </c>
      <c r="D6846" s="4" t="s">
        <v>6850</v>
      </c>
      <c r="E6846" s="4" t="str">
        <f>HYPERLINK("https://app.crepc.sk/?fn=detailBiblioForm&amp;sid=BA98F1178B40464E5CE4C111D8")</f>
        <v>https://app.crepc.sk/?fn=detailBiblioForm&amp;sid=BA98F1178B40464E5CE4C111D8</v>
      </c>
    </row>
    <row r="6847" spans="3:5" ht="90" x14ac:dyDescent="0.25">
      <c r="C6847" s="15">
        <v>219488</v>
      </c>
      <c r="D6847" s="4" t="s">
        <v>6851</v>
      </c>
      <c r="E6847" s="4" t="str">
        <f>HYPERLINK("https://app.crepc.sk/?fn=detailBiblioForm&amp;sid=8474A37DD4CFE7851E5D8DE929")</f>
        <v>https://app.crepc.sk/?fn=detailBiblioForm&amp;sid=8474A37DD4CFE7851E5D8DE929</v>
      </c>
    </row>
    <row r="6848" spans="3:5" ht="90" x14ac:dyDescent="0.25">
      <c r="C6848" s="15">
        <v>140238</v>
      </c>
      <c r="D6848" s="4" t="s">
        <v>6852</v>
      </c>
      <c r="E6848" s="4" t="str">
        <f>HYPERLINK("https://app.crepc.sk/?fn=detailBiblioForm&amp;sid=4A220BA9C567A849180E57C72F")</f>
        <v>https://app.crepc.sk/?fn=detailBiblioForm&amp;sid=4A220BA9C567A849180E57C72F</v>
      </c>
    </row>
    <row r="6849" spans="3:5" ht="75" x14ac:dyDescent="0.25">
      <c r="C6849" s="15">
        <v>140240</v>
      </c>
      <c r="D6849" s="4" t="s">
        <v>6853</v>
      </c>
      <c r="E6849" s="4" t="str">
        <f>HYPERLINK("https://app.crepc.sk/?fn=detailBiblioForm&amp;sid=4A220BA9C567A8491F0657C72F")</f>
        <v>https://app.crepc.sk/?fn=detailBiblioForm&amp;sid=4A220BA9C567A8491F0657C72F</v>
      </c>
    </row>
    <row r="6850" spans="3:5" ht="90" x14ac:dyDescent="0.25">
      <c r="C6850" s="15">
        <v>310918</v>
      </c>
      <c r="D6850" s="4" t="s">
        <v>6854</v>
      </c>
      <c r="E6850" s="4" t="str">
        <f>HYPERLINK("https://app.crepc.sk/?fn=detailBiblioForm&amp;sid=BA7DB3FBE0F90E42C7B0035470")</f>
        <v>https://app.crepc.sk/?fn=detailBiblioForm&amp;sid=BA7DB3FBE0F90E42C7B0035470</v>
      </c>
    </row>
    <row r="6851" spans="3:5" ht="75" x14ac:dyDescent="0.25">
      <c r="C6851" s="15">
        <v>304633</v>
      </c>
      <c r="D6851" s="4" t="s">
        <v>6855</v>
      </c>
      <c r="E6851" s="4" t="str">
        <f>HYPERLINK("https://app.crepc.sk/?fn=detailBiblioForm&amp;sid=C9884AA49470EF612BBA11B2CB")</f>
        <v>https://app.crepc.sk/?fn=detailBiblioForm&amp;sid=C9884AA49470EF612BBA11B2CB</v>
      </c>
    </row>
    <row r="6852" spans="3:5" ht="90" x14ac:dyDescent="0.25">
      <c r="C6852" s="15">
        <v>251108</v>
      </c>
      <c r="D6852" s="4" t="s">
        <v>6856</v>
      </c>
      <c r="E6852" s="4" t="str">
        <f>HYPERLINK("https://app.crepc.sk/?fn=detailBiblioForm&amp;sid=39F653ADC89B9C3283B1F67185")</f>
        <v>https://app.crepc.sk/?fn=detailBiblioForm&amp;sid=39F653ADC89B9C3283B1F67185</v>
      </c>
    </row>
    <row r="6853" spans="3:5" ht="90" x14ac:dyDescent="0.25">
      <c r="C6853" s="15">
        <v>127609</v>
      </c>
      <c r="D6853" s="4" t="s">
        <v>6857</v>
      </c>
      <c r="E6853" s="4" t="str">
        <f>HYPERLINK("https://app.crepc.sk/?fn=detailBiblioForm&amp;sid=A61021784F381E68C706E78699")</f>
        <v>https://app.crepc.sk/?fn=detailBiblioForm&amp;sid=A61021784F381E68C706E78699</v>
      </c>
    </row>
    <row r="6854" spans="3:5" ht="120" x14ac:dyDescent="0.25">
      <c r="C6854" s="15">
        <v>204355</v>
      </c>
      <c r="D6854" s="4" t="s">
        <v>6858</v>
      </c>
      <c r="E6854" s="4" t="str">
        <f>HYPERLINK("https://app.crepc.sk/?fn=detailBiblioForm&amp;sid=8E201614D5D231968765729F83")</f>
        <v>https://app.crepc.sk/?fn=detailBiblioForm&amp;sid=8E201614D5D231968765729F83</v>
      </c>
    </row>
    <row r="6855" spans="3:5" ht="105" x14ac:dyDescent="0.25">
      <c r="C6855" s="15">
        <v>172929</v>
      </c>
      <c r="D6855" s="4" t="s">
        <v>6859</v>
      </c>
      <c r="E6855" s="4" t="str">
        <f>HYPERLINK("https://app.crepc.sk/?fn=detailBiblioForm&amp;sid=D6903242A3B61C7D25C080C097")</f>
        <v>https://app.crepc.sk/?fn=detailBiblioForm&amp;sid=D6903242A3B61C7D25C080C097</v>
      </c>
    </row>
    <row r="6856" spans="3:5" ht="90" x14ac:dyDescent="0.25">
      <c r="C6856" s="15">
        <v>97466</v>
      </c>
      <c r="D6856" s="4" t="s">
        <v>6860</v>
      </c>
      <c r="E6856" s="4" t="str">
        <f>HYPERLINK("https://app.crepc.sk/?fn=detailBiblioForm&amp;sid=E8A1A29C900FAEAF23E4452F")</f>
        <v>https://app.crepc.sk/?fn=detailBiblioForm&amp;sid=E8A1A29C900FAEAF23E4452F</v>
      </c>
    </row>
    <row r="6857" spans="3:5" ht="90" x14ac:dyDescent="0.25">
      <c r="C6857" s="15">
        <v>188725</v>
      </c>
      <c r="D6857" s="4" t="s">
        <v>6861</v>
      </c>
      <c r="E6857" s="4" t="str">
        <f>HYPERLINK("https://app.crepc.sk/?fn=detailBiblioForm&amp;sid=97F87A75B254238B017FDD60C8")</f>
        <v>https://app.crepc.sk/?fn=detailBiblioForm&amp;sid=97F87A75B254238B017FDD60C8</v>
      </c>
    </row>
    <row r="6858" spans="3:5" ht="90" x14ac:dyDescent="0.25">
      <c r="C6858" s="15">
        <v>142381</v>
      </c>
      <c r="D6858" s="4" t="s">
        <v>6862</v>
      </c>
      <c r="E6858" s="4" t="str">
        <f>HYPERLINK("https://app.crepc.sk/?fn=detailBiblioForm&amp;sid=83712EB9BC21748F229A3706BD")</f>
        <v>https://app.crepc.sk/?fn=detailBiblioForm&amp;sid=83712EB9BC21748F229A3706BD</v>
      </c>
    </row>
    <row r="6859" spans="3:5" ht="90" x14ac:dyDescent="0.25">
      <c r="C6859" s="15">
        <v>58504</v>
      </c>
      <c r="D6859" s="4" t="s">
        <v>6863</v>
      </c>
      <c r="E6859" s="4" t="str">
        <f>HYPERLINK("https://app.crepc.sk/?fn=detailBiblioForm&amp;sid=2AAC6D0AD793C659BF0ACE46")</f>
        <v>https://app.crepc.sk/?fn=detailBiblioForm&amp;sid=2AAC6D0AD793C659BF0ACE46</v>
      </c>
    </row>
    <row r="6860" spans="3:5" ht="105" x14ac:dyDescent="0.25">
      <c r="C6860" s="15">
        <v>138385</v>
      </c>
      <c r="D6860" s="4" t="s">
        <v>6864</v>
      </c>
      <c r="E6860" s="4" t="str">
        <f>HYPERLINK("https://app.crepc.sk/?fn=detailBiblioForm&amp;sid=7D24A8B9D266E9951FC36468AD")</f>
        <v>https://app.crepc.sk/?fn=detailBiblioForm&amp;sid=7D24A8B9D266E9951FC36468AD</v>
      </c>
    </row>
    <row r="6861" spans="3:5" ht="105" x14ac:dyDescent="0.25">
      <c r="C6861" s="15">
        <v>310096</v>
      </c>
      <c r="D6861" s="4" t="s">
        <v>6865</v>
      </c>
      <c r="E6861" s="4" t="str">
        <f>HYPERLINK("https://app.crepc.sk/?fn=detailBiblioForm&amp;sid=F566C6E0CB47072BF5E822F69C")</f>
        <v>https://app.crepc.sk/?fn=detailBiblioForm&amp;sid=F566C6E0CB47072BF5E822F69C</v>
      </c>
    </row>
    <row r="6862" spans="3:5" ht="105" x14ac:dyDescent="0.25">
      <c r="C6862" s="15">
        <v>73816</v>
      </c>
      <c r="D6862" s="4" t="s">
        <v>6866</v>
      </c>
      <c r="E6862" s="4" t="str">
        <f>HYPERLINK("https://app.crepc.sk/?fn=detailBiblioForm&amp;sid=C8D150E7D6A9DAA97891B7E3")</f>
        <v>https://app.crepc.sk/?fn=detailBiblioForm&amp;sid=C8D150E7D6A9DAA97891B7E3</v>
      </c>
    </row>
    <row r="6863" spans="3:5" ht="90" x14ac:dyDescent="0.25">
      <c r="C6863" s="15">
        <v>126358</v>
      </c>
      <c r="D6863" s="4" t="s">
        <v>6867</v>
      </c>
      <c r="E6863" s="4" t="str">
        <f>HYPERLINK("https://app.crepc.sk/?fn=detailBiblioForm&amp;sid=728DDAFCA0C23A4504F10D4373")</f>
        <v>https://app.crepc.sk/?fn=detailBiblioForm&amp;sid=728DDAFCA0C23A4504F10D4373</v>
      </c>
    </row>
    <row r="6864" spans="3:5" ht="120" x14ac:dyDescent="0.25">
      <c r="C6864" s="15">
        <v>434587</v>
      </c>
      <c r="D6864" s="4" t="s">
        <v>6868</v>
      </c>
      <c r="E6864" s="4" t="str">
        <f>HYPERLINK("https://app.crepc.sk/?fn=detailBiblioForm&amp;sid=FEF68A204C436D5742CE9A2E5C")</f>
        <v>https://app.crepc.sk/?fn=detailBiblioForm&amp;sid=FEF68A204C436D5742CE9A2E5C</v>
      </c>
    </row>
    <row r="6865" spans="3:5" ht="90" x14ac:dyDescent="0.25">
      <c r="C6865" s="15">
        <v>145085</v>
      </c>
      <c r="D6865" s="4" t="s">
        <v>6869</v>
      </c>
      <c r="E6865" s="4" t="str">
        <f>HYPERLINK("https://app.crepc.sk/?fn=detailBiblioForm&amp;sid=A067BA41CFE566E7BD877B2D76")</f>
        <v>https://app.crepc.sk/?fn=detailBiblioForm&amp;sid=A067BA41CFE566E7BD877B2D76</v>
      </c>
    </row>
    <row r="6866" spans="3:5" ht="135" x14ac:dyDescent="0.25">
      <c r="C6866" s="15">
        <v>421215</v>
      </c>
      <c r="D6866" s="4" t="s">
        <v>6870</v>
      </c>
      <c r="E6866" s="4" t="str">
        <f>HYPERLINK("https://app.crepc.sk/?fn=detailBiblioForm&amp;sid=A5F7E993007418193E267F3086")</f>
        <v>https://app.crepc.sk/?fn=detailBiblioForm&amp;sid=A5F7E993007418193E267F3086</v>
      </c>
    </row>
    <row r="6867" spans="3:5" ht="90" x14ac:dyDescent="0.25">
      <c r="C6867" s="15">
        <v>429613</v>
      </c>
      <c r="D6867" s="4" t="s">
        <v>6871</v>
      </c>
      <c r="E6867" s="4" t="str">
        <f>HYPERLINK("https://app.crepc.sk/?fn=detailBiblioForm&amp;sid=D24F18FC100570A67F2EC782E8")</f>
        <v>https://app.crepc.sk/?fn=detailBiblioForm&amp;sid=D24F18FC100570A67F2EC782E8</v>
      </c>
    </row>
    <row r="6868" spans="3:5" ht="90" x14ac:dyDescent="0.25">
      <c r="C6868" s="15">
        <v>113947</v>
      </c>
      <c r="D6868" s="4" t="s">
        <v>6872</v>
      </c>
      <c r="E6868" s="4" t="str">
        <f>HYPERLINK("https://app.crepc.sk/?fn=detailBiblioForm&amp;sid=7B7A9511E55C101CDB19C367D7")</f>
        <v>https://app.crepc.sk/?fn=detailBiblioForm&amp;sid=7B7A9511E55C101CDB19C367D7</v>
      </c>
    </row>
    <row r="6869" spans="3:5" ht="90" x14ac:dyDescent="0.25">
      <c r="C6869" s="15">
        <v>58017</v>
      </c>
      <c r="D6869" s="4" t="s">
        <v>6873</v>
      </c>
      <c r="E6869" s="4" t="str">
        <f>HYPERLINK("https://app.crepc.sk/?fn=detailBiblioForm&amp;sid=3E29BB5F54A96E946D2FF76D")</f>
        <v>https://app.crepc.sk/?fn=detailBiblioForm&amp;sid=3E29BB5F54A96E946D2FF76D</v>
      </c>
    </row>
    <row r="6870" spans="3:5" ht="105" x14ac:dyDescent="0.25">
      <c r="C6870" s="15">
        <v>60649</v>
      </c>
      <c r="D6870" s="4" t="s">
        <v>6874</v>
      </c>
      <c r="E6870" s="4" t="str">
        <f>HYPERLINK("https://app.crepc.sk/?fn=detailBiblioForm&amp;sid=91CC5BF8099685B4A83D6095")</f>
        <v>https://app.crepc.sk/?fn=detailBiblioForm&amp;sid=91CC5BF8099685B4A83D6095</v>
      </c>
    </row>
    <row r="6871" spans="3:5" ht="90" x14ac:dyDescent="0.25">
      <c r="C6871" s="15">
        <v>140203</v>
      </c>
      <c r="D6871" s="4" t="s">
        <v>6875</v>
      </c>
      <c r="E6871" s="4" t="str">
        <f>HYPERLINK("https://app.crepc.sk/?fn=detailBiblioForm&amp;sid=4A220BA9C567A8491B0557C72F")</f>
        <v>https://app.crepc.sk/?fn=detailBiblioForm&amp;sid=4A220BA9C567A8491B0557C72F</v>
      </c>
    </row>
    <row r="6872" spans="3:5" ht="90" x14ac:dyDescent="0.25">
      <c r="C6872" s="15">
        <v>241204</v>
      </c>
      <c r="D6872" s="4" t="s">
        <v>6876</v>
      </c>
      <c r="E6872" s="4" t="str">
        <f>HYPERLINK("https://app.crepc.sk/?fn=detailBiblioForm&amp;sid=219D60F26EF95CE108502B998E")</f>
        <v>https://app.crepc.sk/?fn=detailBiblioForm&amp;sid=219D60F26EF95CE108502B998E</v>
      </c>
    </row>
    <row r="6873" spans="3:5" ht="90" x14ac:dyDescent="0.25">
      <c r="C6873" s="15">
        <v>100678</v>
      </c>
      <c r="D6873" s="4" t="s">
        <v>6877</v>
      </c>
      <c r="E6873" s="4" t="str">
        <f>HYPERLINK("https://app.crepc.sk/?fn=detailBiblioForm&amp;sid=2204B64E72E25FC8EE65F15BC1")</f>
        <v>https://app.crepc.sk/?fn=detailBiblioForm&amp;sid=2204B64E72E25FC8EE65F15BC1</v>
      </c>
    </row>
    <row r="6874" spans="3:5" ht="90" x14ac:dyDescent="0.25">
      <c r="C6874" s="15">
        <v>71386</v>
      </c>
      <c r="D6874" s="4" t="s">
        <v>6878</v>
      </c>
      <c r="E6874" s="4" t="str">
        <f>HYPERLINK("https://app.crepc.sk/?fn=detailBiblioForm&amp;sid=1F2797FC97107DE623BE24DB")</f>
        <v>https://app.crepc.sk/?fn=detailBiblioForm&amp;sid=1F2797FC97107DE623BE24DB</v>
      </c>
    </row>
    <row r="6875" spans="3:5" ht="105" x14ac:dyDescent="0.25">
      <c r="C6875" s="15">
        <v>197107</v>
      </c>
      <c r="D6875" s="4" t="s">
        <v>6879</v>
      </c>
      <c r="E6875" s="4" t="str">
        <f>HYPERLINK("https://app.crepc.sk/?fn=detailBiblioForm&amp;sid=50940FCC7D65E2419BD49A99B7")</f>
        <v>https://app.crepc.sk/?fn=detailBiblioForm&amp;sid=50940FCC7D65E2419BD49A99B7</v>
      </c>
    </row>
    <row r="6876" spans="3:5" ht="105" x14ac:dyDescent="0.25">
      <c r="C6876" s="15">
        <v>197134</v>
      </c>
      <c r="D6876" s="4" t="s">
        <v>6880</v>
      </c>
      <c r="E6876" s="4" t="str">
        <f>HYPERLINK("https://app.crepc.sk/?fn=detailBiblioForm&amp;sid=50940FCC7D65E24198D79A99B7")</f>
        <v>https://app.crepc.sk/?fn=detailBiblioForm&amp;sid=50940FCC7D65E24198D79A99B7</v>
      </c>
    </row>
    <row r="6877" spans="3:5" ht="90" x14ac:dyDescent="0.25">
      <c r="C6877" s="15">
        <v>73636</v>
      </c>
      <c r="D6877" s="4" t="s">
        <v>6881</v>
      </c>
      <c r="E6877" s="4" t="str">
        <f>HYPERLINK("https://app.crepc.sk/?fn=detailBiblioForm&amp;sid=46C98DF2F13828516F344A19")</f>
        <v>https://app.crepc.sk/?fn=detailBiblioForm&amp;sid=46C98DF2F13828516F344A19</v>
      </c>
    </row>
    <row r="6878" spans="3:5" ht="105" x14ac:dyDescent="0.25">
      <c r="C6878" s="15">
        <v>137499</v>
      </c>
      <c r="D6878" s="4" t="s">
        <v>6882</v>
      </c>
      <c r="E6878" s="4" t="str">
        <f>HYPERLINK("https://app.crepc.sk/?fn=detailBiblioForm&amp;sid=981A08F934759E43ED2937079B")</f>
        <v>https://app.crepc.sk/?fn=detailBiblioForm&amp;sid=981A08F934759E43ED2937079B</v>
      </c>
    </row>
    <row r="6879" spans="3:5" ht="75" x14ac:dyDescent="0.25">
      <c r="C6879" s="15">
        <v>435507</v>
      </c>
      <c r="D6879" s="4" t="s">
        <v>6883</v>
      </c>
      <c r="E6879" s="4" t="str">
        <f>HYPERLINK("https://app.crepc.sk/?fn=detailBiblioForm&amp;sid=CBCC4E2F87C3739922C0CFBB27")</f>
        <v>https://app.crepc.sk/?fn=detailBiblioForm&amp;sid=CBCC4E2F87C3739922C0CFBB27</v>
      </c>
    </row>
    <row r="6880" spans="3:5" ht="75" x14ac:dyDescent="0.25">
      <c r="C6880" s="15">
        <v>186686</v>
      </c>
      <c r="D6880" s="4" t="s">
        <v>6884</v>
      </c>
      <c r="E6880" s="4" t="str">
        <f>HYPERLINK("https://app.crepc.sk/?fn=detailBiblioForm&amp;sid=226A7A544DA3649F675652FFEC")</f>
        <v>https://app.crepc.sk/?fn=detailBiblioForm&amp;sid=226A7A544DA3649F675652FFEC</v>
      </c>
    </row>
    <row r="6881" spans="3:5" ht="90" x14ac:dyDescent="0.25">
      <c r="C6881" s="15">
        <v>133492</v>
      </c>
      <c r="D6881" s="4" t="s">
        <v>6885</v>
      </c>
      <c r="E6881" s="4" t="str">
        <f>HYPERLINK("https://app.crepc.sk/?fn=detailBiblioForm&amp;sid=062C1ED5E40068C51ED77EA354")</f>
        <v>https://app.crepc.sk/?fn=detailBiblioForm&amp;sid=062C1ED5E40068C51ED77EA354</v>
      </c>
    </row>
    <row r="6882" spans="3:5" ht="90" x14ac:dyDescent="0.25">
      <c r="C6882" s="15">
        <v>133489</v>
      </c>
      <c r="D6882" s="4" t="s">
        <v>6886</v>
      </c>
      <c r="E6882" s="4" t="str">
        <f>HYPERLINK("https://app.crepc.sk/?fn=detailBiblioForm&amp;sid=062C1ED5E40068C51FDC7EA354")</f>
        <v>https://app.crepc.sk/?fn=detailBiblioForm&amp;sid=062C1ED5E40068C51FDC7EA354</v>
      </c>
    </row>
    <row r="6883" spans="3:5" ht="105" x14ac:dyDescent="0.25">
      <c r="C6883" s="15">
        <v>140212</v>
      </c>
      <c r="D6883" s="4" t="s">
        <v>6887</v>
      </c>
      <c r="E6883" s="4" t="str">
        <f>HYPERLINK("https://app.crepc.sk/?fn=detailBiblioForm&amp;sid=4A220BA9C567A8491A0457C72F")</f>
        <v>https://app.crepc.sk/?fn=detailBiblioForm&amp;sid=4A220BA9C567A8491A0457C72F</v>
      </c>
    </row>
    <row r="6884" spans="3:5" ht="105" x14ac:dyDescent="0.25">
      <c r="C6884" s="15">
        <v>244560</v>
      </c>
      <c r="D6884" s="4" t="s">
        <v>6888</v>
      </c>
      <c r="E6884" s="4" t="str">
        <f>HYPERLINK("https://app.crepc.sk/?fn=detailBiblioForm&amp;sid=7CD45A5C10A06C781CF7ABC625")</f>
        <v>https://app.crepc.sk/?fn=detailBiblioForm&amp;sid=7CD45A5C10A06C781CF7ABC625</v>
      </c>
    </row>
    <row r="6885" spans="3:5" ht="75" x14ac:dyDescent="0.25">
      <c r="C6885" s="15">
        <v>155840</v>
      </c>
      <c r="D6885" s="4" t="s">
        <v>6889</v>
      </c>
      <c r="E6885" s="4" t="str">
        <f>HYPERLINK("https://app.crepc.sk/?fn=detailBiblioForm&amp;sid=E6565C9ED97EA02FC302D38A9D")</f>
        <v>https://app.crepc.sk/?fn=detailBiblioForm&amp;sid=E6565C9ED97EA02FC302D38A9D</v>
      </c>
    </row>
    <row r="6886" spans="3:5" ht="90" x14ac:dyDescent="0.25">
      <c r="C6886" s="15">
        <v>95524</v>
      </c>
      <c r="D6886" s="4" t="s">
        <v>6890</v>
      </c>
      <c r="E6886" s="4" t="str">
        <f>HYPERLINK("https://app.crepc.sk/?fn=detailBiblioForm&amp;sid=6805775735622CF561146B81")</f>
        <v>https://app.crepc.sk/?fn=detailBiblioForm&amp;sid=6805775735622CF561146B81</v>
      </c>
    </row>
    <row r="6887" spans="3:5" ht="75" x14ac:dyDescent="0.25">
      <c r="C6887" s="15">
        <v>416841</v>
      </c>
      <c r="D6887" s="4" t="s">
        <v>6891</v>
      </c>
      <c r="E6887" s="4" t="str">
        <f>HYPERLINK("https://app.crepc.sk/?fn=detailBiblioForm&amp;sid=81C370C9A5C9A6522EC82E8C71")</f>
        <v>https://app.crepc.sk/?fn=detailBiblioForm&amp;sid=81C370C9A5C9A6522EC82E8C71</v>
      </c>
    </row>
    <row r="6888" spans="3:5" ht="90" x14ac:dyDescent="0.25">
      <c r="C6888" s="15">
        <v>127607</v>
      </c>
      <c r="D6888" s="4" t="s">
        <v>6892</v>
      </c>
      <c r="E6888" s="4" t="str">
        <f>HYPERLINK("https://app.crepc.sk/?fn=detailBiblioForm&amp;sid=A61021784F381E68C708E78699")</f>
        <v>https://app.crepc.sk/?fn=detailBiblioForm&amp;sid=A61021784F381E68C708E78699</v>
      </c>
    </row>
    <row r="6889" spans="3:5" ht="75" x14ac:dyDescent="0.25">
      <c r="C6889" s="15">
        <v>435148</v>
      </c>
      <c r="D6889" s="4" t="s">
        <v>6893</v>
      </c>
      <c r="E6889" s="4" t="str">
        <f>HYPERLINK("https://app.crepc.sk/?fn=detailBiblioForm&amp;sid=AD8868FB556EBD592B32BB48EF")</f>
        <v>https://app.crepc.sk/?fn=detailBiblioForm&amp;sid=AD8868FB556EBD592B32BB48EF</v>
      </c>
    </row>
    <row r="6890" spans="3:5" ht="135" x14ac:dyDescent="0.25">
      <c r="C6890" s="15">
        <v>418018</v>
      </c>
      <c r="D6890" s="4" t="s">
        <v>6894</v>
      </c>
      <c r="E6890" s="4" t="str">
        <f>HYPERLINK("https://app.crepc.sk/?fn=detailBiblioForm&amp;sid=206DD7262FA36D78EF8DBAAE0D")</f>
        <v>https://app.crepc.sk/?fn=detailBiblioForm&amp;sid=206DD7262FA36D78EF8DBAAE0D</v>
      </c>
    </row>
    <row r="6891" spans="3:5" ht="75" x14ac:dyDescent="0.25">
      <c r="C6891" s="15">
        <v>241602</v>
      </c>
      <c r="D6891" s="4" t="s">
        <v>6895</v>
      </c>
      <c r="E6891" s="4" t="str">
        <f>HYPERLINK("https://app.crepc.sk/?fn=detailBiblioForm&amp;sid=D332EE1B79EC93D17F11C79E1F")</f>
        <v>https://app.crepc.sk/?fn=detailBiblioForm&amp;sid=D332EE1B79EC93D17F11C79E1F</v>
      </c>
    </row>
    <row r="6892" spans="3:5" ht="90" x14ac:dyDescent="0.25">
      <c r="C6892" s="15">
        <v>243281</v>
      </c>
      <c r="D6892" s="4" t="s">
        <v>6896</v>
      </c>
      <c r="E6892" s="4" t="str">
        <f>HYPERLINK("https://app.crepc.sk/?fn=detailBiblioForm&amp;sid=4F38C3384D93E0C3E6114743EB")</f>
        <v>https://app.crepc.sk/?fn=detailBiblioForm&amp;sid=4F38C3384D93E0C3E6114743EB</v>
      </c>
    </row>
    <row r="6893" spans="3:5" ht="90" x14ac:dyDescent="0.25">
      <c r="C6893" s="15">
        <v>56659</v>
      </c>
      <c r="D6893" s="4" t="s">
        <v>6897</v>
      </c>
      <c r="E6893" s="4" t="str">
        <f>HYPERLINK("https://app.crepc.sk/?fn=detailBiblioForm&amp;sid=BC9BB0C185BD75DF215D0903")</f>
        <v>https://app.crepc.sk/?fn=detailBiblioForm&amp;sid=BC9BB0C185BD75DF215D0903</v>
      </c>
    </row>
    <row r="6894" spans="3:5" ht="150" x14ac:dyDescent="0.25">
      <c r="C6894" s="15">
        <v>120785</v>
      </c>
      <c r="D6894" s="4" t="s">
        <v>6898</v>
      </c>
      <c r="E6894" s="4" t="str">
        <f>HYPERLINK("https://app.crepc.sk/?fn=detailBiblioForm&amp;sid=C919D44823240A53247CB03DB7")</f>
        <v>https://app.crepc.sk/?fn=detailBiblioForm&amp;sid=C919D44823240A53247CB03DB7</v>
      </c>
    </row>
    <row r="6895" spans="3:5" ht="90" x14ac:dyDescent="0.25">
      <c r="C6895" s="15">
        <v>58480</v>
      </c>
      <c r="D6895" s="4" t="s">
        <v>6899</v>
      </c>
      <c r="E6895" s="4" t="str">
        <f>HYPERLINK("https://app.crepc.sk/?fn=detailBiblioForm&amp;sid=49D47289FE31BF1065EB3456")</f>
        <v>https://app.crepc.sk/?fn=detailBiblioForm&amp;sid=49D47289FE31BF1065EB3456</v>
      </c>
    </row>
    <row r="6896" spans="3:5" ht="90" x14ac:dyDescent="0.25">
      <c r="C6896" s="15">
        <v>223169</v>
      </c>
      <c r="D6896" s="4" t="s">
        <v>6900</v>
      </c>
      <c r="E6896" s="4" t="str">
        <f>HYPERLINK("https://app.crepc.sk/?fn=detailBiblioForm&amp;sid=3CCA95DFCBDFD5503267FB1A00")</f>
        <v>https://app.crepc.sk/?fn=detailBiblioForm&amp;sid=3CCA95DFCBDFD5503267FB1A00</v>
      </c>
    </row>
    <row r="6897" spans="3:5" ht="90" x14ac:dyDescent="0.25">
      <c r="C6897" s="15">
        <v>58022</v>
      </c>
      <c r="D6897" s="4" t="s">
        <v>6901</v>
      </c>
      <c r="E6897" s="4" t="str">
        <f>HYPERLINK("https://app.crepc.sk/?fn=detailBiblioForm&amp;sid=4D1191EF449E3D86DF2AAB8F")</f>
        <v>https://app.crepc.sk/?fn=detailBiblioForm&amp;sid=4D1191EF449E3D86DF2AAB8F</v>
      </c>
    </row>
    <row r="6898" spans="3:5" ht="75" x14ac:dyDescent="0.25">
      <c r="C6898" s="15">
        <v>224996</v>
      </c>
      <c r="D6898" s="4" t="s">
        <v>6902</v>
      </c>
      <c r="E6898" s="4" t="str">
        <f>HYPERLINK("https://app.crepc.sk/?fn=detailBiblioForm&amp;sid=A17FDCE096B34C51665C5AEA85")</f>
        <v>https://app.crepc.sk/?fn=detailBiblioForm&amp;sid=A17FDCE096B34C51665C5AEA85</v>
      </c>
    </row>
    <row r="6899" spans="3:5" ht="120" x14ac:dyDescent="0.25">
      <c r="C6899" s="15">
        <v>312937</v>
      </c>
      <c r="D6899" s="4" t="s">
        <v>6903</v>
      </c>
      <c r="E6899" s="4" t="str">
        <f>HYPERLINK("https://app.crepc.sk/?fn=detailBiblioForm&amp;sid=31CB60CA56D70B77E611987C86")</f>
        <v>https://app.crepc.sk/?fn=detailBiblioForm&amp;sid=31CB60CA56D70B77E611987C86</v>
      </c>
    </row>
    <row r="6900" spans="3:5" ht="105" x14ac:dyDescent="0.25">
      <c r="C6900" s="15">
        <v>197232</v>
      </c>
      <c r="D6900" s="4" t="s">
        <v>6904</v>
      </c>
      <c r="E6900" s="4" t="str">
        <f>HYPERLINK("https://app.crepc.sk/?fn=detailBiblioForm&amp;sid=DD548C8F9E86EAB08605BC14DD")</f>
        <v>https://app.crepc.sk/?fn=detailBiblioForm&amp;sid=DD548C8F9E86EAB08605BC14DD</v>
      </c>
    </row>
    <row r="6901" spans="3:5" ht="90" x14ac:dyDescent="0.25">
      <c r="C6901" s="15">
        <v>197109</v>
      </c>
      <c r="D6901" s="4" t="s">
        <v>6905</v>
      </c>
      <c r="E6901" s="4" t="str">
        <f>HYPERLINK("https://app.crepc.sk/?fn=detailBiblioForm&amp;sid=50940FCC7D65E2419BDA9A99B7")</f>
        <v>https://app.crepc.sk/?fn=detailBiblioForm&amp;sid=50940FCC7D65E2419BDA9A99B7</v>
      </c>
    </row>
    <row r="6902" spans="3:5" ht="90" x14ac:dyDescent="0.25">
      <c r="C6902" s="15">
        <v>127660</v>
      </c>
      <c r="D6902" s="4" t="s">
        <v>6906</v>
      </c>
      <c r="E6902" s="4" t="str">
        <f>HYPERLINK("https://app.crepc.sk/?fn=detailBiblioForm&amp;sid=A61021784F381E68C10FE78699")</f>
        <v>https://app.crepc.sk/?fn=detailBiblioForm&amp;sid=A61021784F381E68C10FE78699</v>
      </c>
    </row>
    <row r="6903" spans="3:5" ht="90" x14ac:dyDescent="0.25">
      <c r="C6903" s="15">
        <v>172951</v>
      </c>
      <c r="D6903" s="4" t="s">
        <v>6907</v>
      </c>
      <c r="E6903" s="4" t="str">
        <f>HYPERLINK("https://app.crepc.sk/?fn=detailBiblioForm&amp;sid=D6903242A3B61C7D22C880C097")</f>
        <v>https://app.crepc.sk/?fn=detailBiblioForm&amp;sid=D6903242A3B61C7D22C880C097</v>
      </c>
    </row>
    <row r="6904" spans="3:5" ht="105" x14ac:dyDescent="0.25">
      <c r="C6904" s="15">
        <v>137784</v>
      </c>
      <c r="D6904" s="4" t="s">
        <v>6908</v>
      </c>
      <c r="E6904" s="4" t="str">
        <f>HYPERLINK("https://app.crepc.sk/?fn=detailBiblioForm&amp;sid=652C531D78969B52985380470C")</f>
        <v>https://app.crepc.sk/?fn=detailBiblioForm&amp;sid=652C531D78969B52985380470C</v>
      </c>
    </row>
    <row r="6905" spans="3:5" ht="105" x14ac:dyDescent="0.25">
      <c r="C6905" s="15">
        <v>310167</v>
      </c>
      <c r="D6905" s="4" t="s">
        <v>6909</v>
      </c>
      <c r="E6905" s="4" t="str">
        <f>HYPERLINK("https://app.crepc.sk/?fn=detailBiblioForm&amp;sid=E9F63DECD21F072F8F42FE53D1")</f>
        <v>https://app.crepc.sk/?fn=detailBiblioForm&amp;sid=E9F63DECD21F072F8F42FE53D1</v>
      </c>
    </row>
    <row r="6906" spans="3:5" ht="75" x14ac:dyDescent="0.25">
      <c r="C6906" s="15">
        <v>148077</v>
      </c>
      <c r="D6906" s="4" t="s">
        <v>6910</v>
      </c>
      <c r="E6906" s="4" t="str">
        <f>HYPERLINK("https://app.crepc.sk/?fn=detailBiblioForm&amp;sid=41728D440EB1EF6290137B9F38")</f>
        <v>https://app.crepc.sk/?fn=detailBiblioForm&amp;sid=41728D440EB1EF6290137B9F38</v>
      </c>
    </row>
    <row r="6907" spans="3:5" ht="105" x14ac:dyDescent="0.25">
      <c r="C6907" s="15">
        <v>310098</v>
      </c>
      <c r="D6907" s="4" t="s">
        <v>6911</v>
      </c>
      <c r="E6907" s="4" t="str">
        <f>HYPERLINK("https://app.crepc.sk/?fn=detailBiblioForm&amp;sid=F566C6E0CB47072BF5E622F69C")</f>
        <v>https://app.crepc.sk/?fn=detailBiblioForm&amp;sid=F566C6E0CB47072BF5E622F69C</v>
      </c>
    </row>
    <row r="6908" spans="3:5" ht="90" x14ac:dyDescent="0.25">
      <c r="C6908" s="15">
        <v>137936</v>
      </c>
      <c r="D6908" s="4" t="s">
        <v>6912</v>
      </c>
      <c r="E6908" s="4" t="str">
        <f>HYPERLINK("https://app.crepc.sk/?fn=detailBiblioForm&amp;sid=8922FF609D62574E884F3E73A4")</f>
        <v>https://app.crepc.sk/?fn=detailBiblioForm&amp;sid=8922FF609D62574E884F3E73A4</v>
      </c>
    </row>
    <row r="6909" spans="3:5" ht="90" x14ac:dyDescent="0.25">
      <c r="C6909" s="15">
        <v>127572</v>
      </c>
      <c r="D6909" s="4" t="s">
        <v>6913</v>
      </c>
      <c r="E6909" s="4" t="str">
        <f>HYPERLINK("https://app.crepc.sk/?fn=detailBiblioForm&amp;sid=DBEBBE2C2F1C2B14A4828ECF74")</f>
        <v>https://app.crepc.sk/?fn=detailBiblioForm&amp;sid=DBEBBE2C2F1C2B14A4828ECF74</v>
      </c>
    </row>
    <row r="6910" spans="3:5" ht="105" x14ac:dyDescent="0.25">
      <c r="C6910" s="15">
        <v>56882</v>
      </c>
      <c r="D6910" s="4" t="s">
        <v>6914</v>
      </c>
      <c r="E6910" s="4" t="str">
        <f>HYPERLINK("https://app.crepc.sk/?fn=detailBiblioForm&amp;sid=758D2EDFCA8E28307A973052")</f>
        <v>https://app.crepc.sk/?fn=detailBiblioForm&amp;sid=758D2EDFCA8E28307A973052</v>
      </c>
    </row>
    <row r="6911" spans="3:5" ht="90" x14ac:dyDescent="0.25">
      <c r="C6911" s="15">
        <v>172916</v>
      </c>
      <c r="D6911" s="4" t="s">
        <v>6915</v>
      </c>
      <c r="E6911" s="4" t="str">
        <f>HYPERLINK("https://app.crepc.sk/?fn=detailBiblioForm&amp;sid=D6903242A3B61C7D26CF80C097")</f>
        <v>https://app.crepc.sk/?fn=detailBiblioForm&amp;sid=D6903242A3B61C7D26CF80C097</v>
      </c>
    </row>
    <row r="6912" spans="3:5" ht="90" x14ac:dyDescent="0.25">
      <c r="C6912" s="15">
        <v>167512</v>
      </c>
      <c r="D6912" s="4" t="s">
        <v>6916</v>
      </c>
      <c r="E6912" s="4" t="str">
        <f>HYPERLINK("https://app.crepc.sk/?fn=detailBiblioForm&amp;sid=13B4E46DA990E2A2335F4F501F")</f>
        <v>https://app.crepc.sk/?fn=detailBiblioForm&amp;sid=13B4E46DA990E2A2335F4F501F</v>
      </c>
    </row>
    <row r="6913" spans="3:5" ht="90" x14ac:dyDescent="0.25">
      <c r="C6913" s="15">
        <v>170229</v>
      </c>
      <c r="D6913" s="4" t="s">
        <v>6917</v>
      </c>
      <c r="E6913" s="4" t="str">
        <f>HYPERLINK("https://app.crepc.sk/?fn=detailBiblioForm&amp;sid=1CB25EF4639541CD29C4D9150E")</f>
        <v>https://app.crepc.sk/?fn=detailBiblioForm&amp;sid=1CB25EF4639541CD29C4D9150E</v>
      </c>
    </row>
    <row r="6914" spans="3:5" ht="90" x14ac:dyDescent="0.25">
      <c r="C6914" s="15">
        <v>178358</v>
      </c>
      <c r="D6914" s="4" t="s">
        <v>6918</v>
      </c>
      <c r="E6914" s="4" t="str">
        <f>HYPERLINK("https://app.crepc.sk/?fn=detailBiblioForm&amp;sid=A5BC586C45F519526DEC45B98C")</f>
        <v>https://app.crepc.sk/?fn=detailBiblioForm&amp;sid=A5BC586C45F519526DEC45B98C</v>
      </c>
    </row>
    <row r="6915" spans="3:5" ht="90" x14ac:dyDescent="0.25">
      <c r="C6915" s="15">
        <v>95884</v>
      </c>
      <c r="D6915" s="4" t="s">
        <v>6919</v>
      </c>
      <c r="E6915" s="4" t="str">
        <f>HYPERLINK("https://app.crepc.sk/?fn=detailBiblioForm&amp;sid=45ABF117E669B83753DDA2B8")</f>
        <v>https://app.crepc.sk/?fn=detailBiblioForm&amp;sid=45ABF117E669B83753DDA2B8</v>
      </c>
    </row>
    <row r="6916" spans="3:5" ht="75" x14ac:dyDescent="0.25">
      <c r="C6916" s="15">
        <v>105445</v>
      </c>
      <c r="D6916" s="4" t="s">
        <v>6920</v>
      </c>
      <c r="E6916" s="4" t="str">
        <f>HYPERLINK("https://app.crepc.sk/?fn=detailBiblioForm&amp;sid=C9F2ED9DAFACD725E16030F024")</f>
        <v>https://app.crepc.sk/?fn=detailBiblioForm&amp;sid=C9F2ED9DAFACD725E16030F024</v>
      </c>
    </row>
    <row r="6917" spans="3:5" ht="90" x14ac:dyDescent="0.25">
      <c r="C6917" s="15">
        <v>161705</v>
      </c>
      <c r="D6917" s="4" t="s">
        <v>6921</v>
      </c>
      <c r="E6917" s="4" t="str">
        <f>HYPERLINK("https://app.crepc.sk/?fn=detailBiblioForm&amp;sid=BCA102CB6C4CA54D4CEAC863D9")</f>
        <v>https://app.crepc.sk/?fn=detailBiblioForm&amp;sid=BCA102CB6C4CA54D4CEAC863D9</v>
      </c>
    </row>
    <row r="6918" spans="3:5" ht="90" x14ac:dyDescent="0.25">
      <c r="C6918" s="15">
        <v>427018</v>
      </c>
      <c r="D6918" s="4" t="s">
        <v>6922</v>
      </c>
      <c r="E6918" s="4" t="str">
        <f>HYPERLINK("https://app.crepc.sk/?fn=detailBiblioForm&amp;sid=49528E0D374F0ED1509B5FE295")</f>
        <v>https://app.crepc.sk/?fn=detailBiblioForm&amp;sid=49528E0D374F0ED1509B5FE295</v>
      </c>
    </row>
    <row r="6919" spans="3:5" ht="90" x14ac:dyDescent="0.25">
      <c r="C6919" s="15">
        <v>172924</v>
      </c>
      <c r="D6919" s="4" t="s">
        <v>6923</v>
      </c>
      <c r="E6919" s="4" t="str">
        <f>HYPERLINK("https://app.crepc.sk/?fn=detailBiblioForm&amp;sid=D6903242A3B61C7D25CD80C097")</f>
        <v>https://app.crepc.sk/?fn=detailBiblioForm&amp;sid=D6903242A3B61C7D25CD80C097</v>
      </c>
    </row>
    <row r="6920" spans="3:5" ht="75" x14ac:dyDescent="0.25">
      <c r="C6920" s="15">
        <v>206917</v>
      </c>
      <c r="D6920" s="4" t="s">
        <v>6924</v>
      </c>
      <c r="E6920" s="4" t="str">
        <f>HYPERLINK("https://app.crepc.sk/?fn=detailBiblioForm&amp;sid=C3A916DF7A5355BD5C193ED7A5")</f>
        <v>https://app.crepc.sk/?fn=detailBiblioForm&amp;sid=C3A916DF7A5355BD5C193ED7A5</v>
      </c>
    </row>
    <row r="6921" spans="3:5" ht="75" x14ac:dyDescent="0.25">
      <c r="C6921" s="15">
        <v>123784</v>
      </c>
      <c r="D6921" s="4" t="s">
        <v>6925</v>
      </c>
      <c r="E6921" s="4" t="str">
        <f>HYPERLINK("https://app.crepc.sk/?fn=detailBiblioForm&amp;sid=6AF24C20D77B2492B56780C111")</f>
        <v>https://app.crepc.sk/?fn=detailBiblioForm&amp;sid=6AF24C20D77B2492B56780C111</v>
      </c>
    </row>
    <row r="6922" spans="3:5" ht="75" x14ac:dyDescent="0.25">
      <c r="C6922" s="15">
        <v>209694</v>
      </c>
      <c r="D6922" s="4" t="s">
        <v>6926</v>
      </c>
      <c r="E6922" s="4" t="str">
        <f>HYPERLINK("https://app.crepc.sk/?fn=detailBiblioForm&amp;sid=2555DC9CD39DCDC08B38F08264")</f>
        <v>https://app.crepc.sk/?fn=detailBiblioForm&amp;sid=2555DC9CD39DCDC08B38F08264</v>
      </c>
    </row>
    <row r="6923" spans="3:5" ht="90" x14ac:dyDescent="0.25">
      <c r="C6923" s="15">
        <v>56639</v>
      </c>
      <c r="D6923" s="4" t="s">
        <v>6927</v>
      </c>
      <c r="E6923" s="4" t="str">
        <f>HYPERLINK("https://app.crepc.sk/?fn=detailBiblioForm&amp;sid=D02B609B9A857AA870EDF919")</f>
        <v>https://app.crepc.sk/?fn=detailBiblioForm&amp;sid=D02B609B9A857AA870EDF919</v>
      </c>
    </row>
    <row r="6924" spans="3:5" ht="75" x14ac:dyDescent="0.25">
      <c r="C6924" s="15">
        <v>84861</v>
      </c>
      <c r="D6924" s="4" t="s">
        <v>6928</v>
      </c>
      <c r="E6924" s="4" t="str">
        <f>HYPERLINK("https://app.crepc.sk/?fn=detailBiblioForm&amp;sid=91B9A75EE4F29577D376F9B7")</f>
        <v>https://app.crepc.sk/?fn=detailBiblioForm&amp;sid=91B9A75EE4F29577D376F9B7</v>
      </c>
    </row>
    <row r="6925" spans="3:5" ht="105" x14ac:dyDescent="0.25">
      <c r="C6925" s="15">
        <v>70737</v>
      </c>
      <c r="D6925" s="4" t="s">
        <v>6929</v>
      </c>
      <c r="E6925" s="4" t="str">
        <f>HYPERLINK("https://app.crepc.sk/?fn=detailBiblioForm&amp;sid=17A162BFB97AD800DE3835E4")</f>
        <v>https://app.crepc.sk/?fn=detailBiblioForm&amp;sid=17A162BFB97AD800DE3835E4</v>
      </c>
    </row>
    <row r="6926" spans="3:5" ht="105" x14ac:dyDescent="0.25">
      <c r="C6926" s="15">
        <v>237147</v>
      </c>
      <c r="D6926" s="4" t="s">
        <v>6930</v>
      </c>
      <c r="E6926" s="4" t="str">
        <f>HYPERLINK("https://app.crepc.sk/?fn=detailBiblioForm&amp;sid=6F97A29B01FDE04BAECFBB5493")</f>
        <v>https://app.crepc.sk/?fn=detailBiblioForm&amp;sid=6F97A29B01FDE04BAECFBB5493</v>
      </c>
    </row>
    <row r="6927" spans="3:5" ht="75" x14ac:dyDescent="0.25">
      <c r="C6927" s="15">
        <v>222993</v>
      </c>
      <c r="D6927" s="4" t="s">
        <v>6931</v>
      </c>
      <c r="E6927" s="4" t="str">
        <f>HYPERLINK("https://app.crepc.sk/?fn=detailBiblioForm&amp;sid=3EB214094647B864FF55E070FE")</f>
        <v>https://app.crepc.sk/?fn=detailBiblioForm&amp;sid=3EB214094647B864FF55E070FE</v>
      </c>
    </row>
    <row r="6928" spans="3:5" ht="90" x14ac:dyDescent="0.25">
      <c r="C6928" s="15">
        <v>59083</v>
      </c>
      <c r="D6928" s="4" t="s">
        <v>6932</v>
      </c>
      <c r="E6928" s="4" t="str">
        <f>HYPERLINK("https://app.crepc.sk/?fn=detailBiblioForm&amp;sid=E8C426D7FE435BB56C4CCA3C")</f>
        <v>https://app.crepc.sk/?fn=detailBiblioForm&amp;sid=E8C426D7FE435BB56C4CCA3C</v>
      </c>
    </row>
    <row r="6929" spans="3:5" ht="90" x14ac:dyDescent="0.25">
      <c r="C6929" s="15">
        <v>59035</v>
      </c>
      <c r="D6929" s="4" t="s">
        <v>6933</v>
      </c>
      <c r="E6929" s="4" t="str">
        <f>HYPERLINK("https://app.crepc.sk/?fn=detailBiblioForm&amp;sid=92870E21EE950DD132F00F23")</f>
        <v>https://app.crepc.sk/?fn=detailBiblioForm&amp;sid=92870E21EE950DD132F00F23</v>
      </c>
    </row>
    <row r="6930" spans="3:5" ht="105" x14ac:dyDescent="0.25">
      <c r="C6930" s="15">
        <v>142482</v>
      </c>
      <c r="D6930" s="4" t="s">
        <v>6934</v>
      </c>
      <c r="E6930" s="4" t="str">
        <f>HYPERLINK("https://app.crepc.sk/?fn=detailBiblioForm&amp;sid=C7DA6C94B65F4BF8426432ECF7")</f>
        <v>https://app.crepc.sk/?fn=detailBiblioForm&amp;sid=C7DA6C94B65F4BF8426432ECF7</v>
      </c>
    </row>
    <row r="6931" spans="3:5" ht="90" x14ac:dyDescent="0.25">
      <c r="C6931" s="15">
        <v>95863</v>
      </c>
      <c r="D6931" s="4" t="s">
        <v>6935</v>
      </c>
      <c r="E6931" s="4" t="str">
        <f>HYPERLINK("https://app.crepc.sk/?fn=detailBiblioForm&amp;sid=0295F256C15705009A9DEC13")</f>
        <v>https://app.crepc.sk/?fn=detailBiblioForm&amp;sid=0295F256C15705009A9DEC13</v>
      </c>
    </row>
    <row r="6932" spans="3:5" ht="75" x14ac:dyDescent="0.25">
      <c r="C6932" s="15">
        <v>106685</v>
      </c>
      <c r="D6932" s="4" t="s">
        <v>6936</v>
      </c>
      <c r="E6932" s="4" t="str">
        <f>HYPERLINK("https://app.crepc.sk/?fn=detailBiblioForm&amp;sid=A06A45AC7F1E51E6114D9D03D8")</f>
        <v>https://app.crepc.sk/?fn=detailBiblioForm&amp;sid=A06A45AC7F1E51E6114D9D03D8</v>
      </c>
    </row>
    <row r="6933" spans="3:5" ht="75" x14ac:dyDescent="0.25">
      <c r="C6933" s="15">
        <v>116229</v>
      </c>
      <c r="D6933" s="4" t="s">
        <v>6937</v>
      </c>
      <c r="E6933" s="4" t="str">
        <f>HYPERLINK("https://app.crepc.sk/?fn=detailBiblioForm&amp;sid=E13542FA17D512302B9D563330")</f>
        <v>https://app.crepc.sk/?fn=detailBiblioForm&amp;sid=E13542FA17D512302B9D563330</v>
      </c>
    </row>
    <row r="6934" spans="3:5" ht="90" x14ac:dyDescent="0.25">
      <c r="C6934" s="15">
        <v>137952</v>
      </c>
      <c r="D6934" s="4" t="s">
        <v>6938</v>
      </c>
      <c r="E6934" s="4" t="str">
        <f>HYPERLINK("https://app.crepc.sk/?fn=detailBiblioForm&amp;sid=8922FF609D62574E8E4B3E73A4")</f>
        <v>https://app.crepc.sk/?fn=detailBiblioForm&amp;sid=8922FF609D62574E8E4B3E73A4</v>
      </c>
    </row>
    <row r="6935" spans="3:5" ht="120" x14ac:dyDescent="0.25">
      <c r="C6935" s="15">
        <v>240648</v>
      </c>
      <c r="D6935" s="4" t="s">
        <v>6939</v>
      </c>
      <c r="E6935" s="4" t="str">
        <f>HYPERLINK("https://app.crepc.sk/?fn=detailBiblioForm&amp;sid=376FCAEA43ECD92AE065E3DC06")</f>
        <v>https://app.crepc.sk/?fn=detailBiblioForm&amp;sid=376FCAEA43ECD92AE065E3DC06</v>
      </c>
    </row>
    <row r="6936" spans="3:5" ht="105" x14ac:dyDescent="0.25">
      <c r="C6936" s="15">
        <v>137957</v>
      </c>
      <c r="D6936" s="4" t="s">
        <v>6940</v>
      </c>
      <c r="E6936" s="4" t="str">
        <f>HYPERLINK("https://app.crepc.sk/?fn=detailBiblioForm&amp;sid=8922FF609D62574E8E4E3E73A4")</f>
        <v>https://app.crepc.sk/?fn=detailBiblioForm&amp;sid=8922FF609D62574E8E4E3E73A4</v>
      </c>
    </row>
    <row r="6937" spans="3:5" ht="120" x14ac:dyDescent="0.25">
      <c r="C6937" s="15">
        <v>432574</v>
      </c>
      <c r="D6937" s="4" t="s">
        <v>6941</v>
      </c>
      <c r="E6937" s="4" t="str">
        <f>HYPERLINK("https://app.crepc.sk/?fn=detailBiblioForm&amp;sid=04748B9B3F6E966D353DB36E5B")</f>
        <v>https://app.crepc.sk/?fn=detailBiblioForm&amp;sid=04748B9B3F6E966D353DB36E5B</v>
      </c>
    </row>
    <row r="6938" spans="3:5" ht="90" x14ac:dyDescent="0.25">
      <c r="C6938" s="15">
        <v>310105</v>
      </c>
      <c r="D6938" s="4" t="s">
        <v>6942</v>
      </c>
      <c r="E6938" s="4" t="str">
        <f>HYPERLINK("https://app.crepc.sk/?fn=detailBiblioForm&amp;sid=E9F63DECD21F072F8940FE53D1")</f>
        <v>https://app.crepc.sk/?fn=detailBiblioForm&amp;sid=E9F63DECD21F072F8940FE53D1</v>
      </c>
    </row>
    <row r="6939" spans="3:5" ht="75" x14ac:dyDescent="0.25">
      <c r="C6939" s="15">
        <v>223121</v>
      </c>
      <c r="D6939" s="4" t="s">
        <v>6943</v>
      </c>
      <c r="E6939" s="4" t="str">
        <f>HYPERLINK("https://app.crepc.sk/?fn=detailBiblioForm&amp;sid=3CCA95DFCBDFD550366FFB1A00")</f>
        <v>https://app.crepc.sk/?fn=detailBiblioForm&amp;sid=3CCA95DFCBDFD550366FFB1A00</v>
      </c>
    </row>
    <row r="6940" spans="3:5" ht="105" x14ac:dyDescent="0.25">
      <c r="C6940" s="15">
        <v>122054</v>
      </c>
      <c r="D6940" s="4" t="s">
        <v>6944</v>
      </c>
      <c r="E6940" s="4" t="str">
        <f>HYPERLINK("https://app.crepc.sk/?fn=detailBiblioForm&amp;sid=889E7E0E7AB5801297FBADA3B8")</f>
        <v>https://app.crepc.sk/?fn=detailBiblioForm&amp;sid=889E7E0E7AB5801297FBADA3B8</v>
      </c>
    </row>
    <row r="6941" spans="3:5" ht="90" x14ac:dyDescent="0.25">
      <c r="C6941" s="15">
        <v>122760</v>
      </c>
      <c r="D6941" s="4" t="s">
        <v>6945</v>
      </c>
      <c r="E6941" s="4" t="str">
        <f>HYPERLINK("https://app.crepc.sk/?fn=detailBiblioForm&amp;sid=A5B40B0321D8B57908D809F729")</f>
        <v>https://app.crepc.sk/?fn=detailBiblioForm&amp;sid=A5B40B0321D8B57908D809F729</v>
      </c>
    </row>
    <row r="6942" spans="3:5" ht="90" x14ac:dyDescent="0.25">
      <c r="C6942" s="15">
        <v>161882</v>
      </c>
      <c r="D6942" s="4" t="s">
        <v>6946</v>
      </c>
      <c r="E6942" s="4" t="str">
        <f>HYPERLINK("https://app.crepc.sk/?fn=detailBiblioForm&amp;sid=9F8942B94996237AA3FF74E07C")</f>
        <v>https://app.crepc.sk/?fn=detailBiblioForm&amp;sid=9F8942B94996237AA3FF74E07C</v>
      </c>
    </row>
    <row r="6943" spans="3:5" ht="75" x14ac:dyDescent="0.25">
      <c r="C6943" s="15">
        <v>121697</v>
      </c>
      <c r="D6943" s="4" t="s">
        <v>6947</v>
      </c>
      <c r="E6943" s="4" t="str">
        <f>HYPERLINK("https://app.crepc.sk/?fn=detailBiblioForm&amp;sid=9E0AC4D4538162957C047E0B88")</f>
        <v>https://app.crepc.sk/?fn=detailBiblioForm&amp;sid=9E0AC4D4538162957C047E0B88</v>
      </c>
    </row>
    <row r="6944" spans="3:5" ht="105" x14ac:dyDescent="0.25">
      <c r="C6944" s="15">
        <v>138431</v>
      </c>
      <c r="D6944" s="4" t="s">
        <v>6948</v>
      </c>
      <c r="E6944" s="4" t="str">
        <f>HYPERLINK("https://app.crepc.sk/?fn=detailBiblioForm&amp;sid=3AF1A6EA9B0020D205DD0DA13A")</f>
        <v>https://app.crepc.sk/?fn=detailBiblioForm&amp;sid=3AF1A6EA9B0020D205DD0DA13A</v>
      </c>
    </row>
    <row r="6945" spans="1:5" ht="105" x14ac:dyDescent="0.25">
      <c r="C6945" s="15">
        <v>138436</v>
      </c>
      <c r="D6945" s="4" t="s">
        <v>6949</v>
      </c>
      <c r="E6945" s="4" t="str">
        <f>HYPERLINK("https://app.crepc.sk/?fn=detailBiblioForm&amp;sid=3AF1A6EA9B0020D205DA0DA13A")</f>
        <v>https://app.crepc.sk/?fn=detailBiblioForm&amp;sid=3AF1A6EA9B0020D205DA0DA13A</v>
      </c>
    </row>
    <row r="6946" spans="1:5" ht="105" x14ac:dyDescent="0.25">
      <c r="C6946" s="15">
        <v>197110</v>
      </c>
      <c r="D6946" s="4" t="s">
        <v>6950</v>
      </c>
      <c r="E6946" s="4" t="str">
        <f>HYPERLINK("https://app.crepc.sk/?fn=detailBiblioForm&amp;sid=50940FCC7D65E2419AD39A99B7")</f>
        <v>https://app.crepc.sk/?fn=detailBiblioForm&amp;sid=50940FCC7D65E2419AD39A99B7</v>
      </c>
    </row>
    <row r="6947" spans="1:5" ht="90" x14ac:dyDescent="0.25">
      <c r="C6947" s="15">
        <v>82923</v>
      </c>
      <c r="D6947" s="4" t="s">
        <v>6951</v>
      </c>
      <c r="E6947" s="4" t="str">
        <f>HYPERLINK("https://app.crepc.sk/?fn=detailBiblioForm&amp;sid=FC31FD1FA74B9BB61F56477A")</f>
        <v>https://app.crepc.sk/?fn=detailBiblioForm&amp;sid=FC31FD1FA74B9BB61F56477A</v>
      </c>
    </row>
    <row r="6948" spans="1:5" ht="75" x14ac:dyDescent="0.25">
      <c r="C6948" s="15">
        <v>316647</v>
      </c>
      <c r="D6948" s="4" t="s">
        <v>6952</v>
      </c>
      <c r="E6948" s="4" t="str">
        <f>HYPERLINK("https://app.crepc.sk/?fn=detailBiblioForm&amp;sid=D102289ED89A4A14AE1B573231")</f>
        <v>https://app.crepc.sk/?fn=detailBiblioForm&amp;sid=D102289ED89A4A14AE1B573231</v>
      </c>
    </row>
    <row r="6949" spans="1:5" ht="75" x14ac:dyDescent="0.25">
      <c r="C6949" s="15">
        <v>133141</v>
      </c>
      <c r="D6949" s="4" t="s">
        <v>6953</v>
      </c>
      <c r="E6949" s="4" t="str">
        <f>HYPERLINK("https://app.crepc.sk/?fn=detailBiblioForm&amp;sid=A87535322FFBFE64CED3F88649")</f>
        <v>https://app.crepc.sk/?fn=detailBiblioForm&amp;sid=A87535322FFBFE64CED3F88649</v>
      </c>
    </row>
    <row r="6950" spans="1:5" ht="135" x14ac:dyDescent="0.25">
      <c r="C6950" s="15">
        <v>421711</v>
      </c>
      <c r="D6950" s="4" t="s">
        <v>6954</v>
      </c>
      <c r="E6950" s="4" t="str">
        <f>HYPERLINK("https://app.crepc.sk/?fn=detailBiblioForm&amp;sid=6818999F04FDBFDCF75E94F8E3")</f>
        <v>https://app.crepc.sk/?fn=detailBiblioForm&amp;sid=6818999F04FDBFDCF75E94F8E3</v>
      </c>
    </row>
    <row r="6951" spans="1:5" ht="105" x14ac:dyDescent="0.25">
      <c r="C6951" s="15">
        <v>182431</v>
      </c>
      <c r="D6951" s="4" t="s">
        <v>6955</v>
      </c>
      <c r="E6951" s="4" t="str">
        <f>HYPERLINK("https://app.crepc.sk/?fn=detailBiblioForm&amp;sid=4F9CB80EDA44B4B66E08506F6D")</f>
        <v>https://app.crepc.sk/?fn=detailBiblioForm&amp;sid=4F9CB80EDA44B4B66E08506F6D</v>
      </c>
    </row>
    <row r="6952" spans="1:5" ht="90" x14ac:dyDescent="0.25">
      <c r="C6952" s="15">
        <v>120392</v>
      </c>
      <c r="D6952" s="4" t="s">
        <v>6956</v>
      </c>
      <c r="E6952" s="4" t="str">
        <f>HYPERLINK("https://app.crepc.sk/?fn=detailBiblioForm&amp;sid=7C8EC80C674BD33D4DAF6DBADF")</f>
        <v>https://app.crepc.sk/?fn=detailBiblioForm&amp;sid=7C8EC80C674BD33D4DAF6DBADF</v>
      </c>
    </row>
    <row r="6953" spans="1:5" ht="105" x14ac:dyDescent="0.25">
      <c r="C6953" s="15">
        <v>138406</v>
      </c>
      <c r="D6953" s="4" t="s">
        <v>6957</v>
      </c>
      <c r="E6953" s="4" t="str">
        <f>HYPERLINK("https://app.crepc.sk/?fn=detailBiblioForm&amp;sid=3AF1A6EA9B0020D206DA0DA13A")</f>
        <v>https://app.crepc.sk/?fn=detailBiblioForm&amp;sid=3AF1A6EA9B0020D206DA0DA13A</v>
      </c>
    </row>
    <row r="6954" spans="1:5" ht="30" x14ac:dyDescent="0.25">
      <c r="A6954" s="4" t="s">
        <v>6958</v>
      </c>
      <c r="B6954" s="15">
        <v>9</v>
      </c>
    </row>
    <row r="6955" spans="1:5" ht="75" x14ac:dyDescent="0.25">
      <c r="C6955" s="15">
        <v>217978</v>
      </c>
      <c r="D6955" s="4" t="s">
        <v>6959</v>
      </c>
      <c r="E6955" s="4" t="str">
        <f>HYPERLINK("https://app.crepc.sk/?fn=detailBiblioForm&amp;sid=9E759344E92A27851DE8C915AD")</f>
        <v>https://app.crepc.sk/?fn=detailBiblioForm&amp;sid=9E759344E92A27851DE8C915AD</v>
      </c>
    </row>
    <row r="6956" spans="1:5" ht="105" x14ac:dyDescent="0.25">
      <c r="C6956" s="15">
        <v>75829</v>
      </c>
      <c r="D6956" s="4" t="s">
        <v>6960</v>
      </c>
      <c r="E6956" s="4" t="str">
        <f>HYPERLINK("https://app.crepc.sk/?fn=detailBiblioForm&amp;sid=2C1A684AC1594DFEBA9D5ABF")</f>
        <v>https://app.crepc.sk/?fn=detailBiblioForm&amp;sid=2C1A684AC1594DFEBA9D5ABF</v>
      </c>
    </row>
    <row r="6957" spans="1:5" ht="75" x14ac:dyDescent="0.25">
      <c r="C6957" s="15">
        <v>219157</v>
      </c>
      <c r="D6957" s="4" t="s">
        <v>6961</v>
      </c>
      <c r="E6957" s="4" t="str">
        <f>HYPERLINK("https://app.crepc.sk/?fn=detailBiblioForm&amp;sid=CA821E2D0F99DD049C1862CF5A")</f>
        <v>https://app.crepc.sk/?fn=detailBiblioForm&amp;sid=CA821E2D0F99DD049C1862CF5A</v>
      </c>
    </row>
    <row r="6958" spans="1:5" ht="105" x14ac:dyDescent="0.25">
      <c r="C6958" s="15">
        <v>77216</v>
      </c>
      <c r="D6958" s="4" t="s">
        <v>6962</v>
      </c>
      <c r="E6958" s="4" t="str">
        <f>HYPERLINK("https://app.crepc.sk/?fn=detailBiblioForm&amp;sid=84B7964630521E189A627D85")</f>
        <v>https://app.crepc.sk/?fn=detailBiblioForm&amp;sid=84B7964630521E189A627D85</v>
      </c>
    </row>
    <row r="6959" spans="1:5" ht="90" x14ac:dyDescent="0.25">
      <c r="C6959" s="15">
        <v>143383</v>
      </c>
      <c r="D6959" s="4" t="s">
        <v>6963</v>
      </c>
      <c r="E6959" s="4" t="str">
        <f>HYPERLINK("https://app.crepc.sk/?fn=detailBiblioForm&amp;sid=20F6D125F7A47F553B9BD455D1")</f>
        <v>https://app.crepc.sk/?fn=detailBiblioForm&amp;sid=20F6D125F7A47F553B9BD455D1</v>
      </c>
    </row>
    <row r="6960" spans="1:5" ht="90" x14ac:dyDescent="0.25">
      <c r="C6960" s="15">
        <v>154533</v>
      </c>
      <c r="D6960" s="4" t="s">
        <v>6964</v>
      </c>
      <c r="E6960" s="4" t="str">
        <f>HYPERLINK("https://app.crepc.sk/?fn=detailBiblioForm&amp;sid=7CD47704C688C3C83053859C4A")</f>
        <v>https://app.crepc.sk/?fn=detailBiblioForm&amp;sid=7CD47704C688C3C83053859C4A</v>
      </c>
    </row>
    <row r="6961" spans="1:5" ht="60" x14ac:dyDescent="0.25">
      <c r="C6961" s="15">
        <v>176717</v>
      </c>
      <c r="D6961" s="4" t="s">
        <v>6965</v>
      </c>
      <c r="E6961" s="4" t="str">
        <f>HYPERLINK("https://app.crepc.sk/?fn=detailBiblioForm&amp;sid=74611393D427AF19D5B4BE02B6")</f>
        <v>https://app.crepc.sk/?fn=detailBiblioForm&amp;sid=74611393D427AF19D5B4BE02B6</v>
      </c>
    </row>
    <row r="6962" spans="1:5" ht="75" x14ac:dyDescent="0.25">
      <c r="C6962" s="15">
        <v>122648</v>
      </c>
      <c r="D6962" s="4" t="s">
        <v>6966</v>
      </c>
      <c r="E6962" s="4" t="str">
        <f>HYPERLINK("https://app.crepc.sk/?fn=detailBiblioForm&amp;sid=7E4A807172B6E37506710C446E")</f>
        <v>https://app.crepc.sk/?fn=detailBiblioForm&amp;sid=7E4A807172B6E37506710C446E</v>
      </c>
    </row>
    <row r="6963" spans="1:5" ht="75" x14ac:dyDescent="0.25">
      <c r="C6963" s="15">
        <v>142276</v>
      </c>
      <c r="D6963" s="4" t="s">
        <v>6967</v>
      </c>
      <c r="E6963" s="4" t="str">
        <f>HYPERLINK("https://app.crepc.sk/?fn=detailBiblioForm&amp;sid=1C7524EE209F6A36FCFDFC51B3")</f>
        <v>https://app.crepc.sk/?fn=detailBiblioForm&amp;sid=1C7524EE209F6A36FCFDFC51B3</v>
      </c>
    </row>
    <row r="6964" spans="1:5" ht="30" x14ac:dyDescent="0.25">
      <c r="A6964" s="4" t="s">
        <v>6968</v>
      </c>
      <c r="B6964" s="15">
        <v>3</v>
      </c>
    </row>
    <row r="6965" spans="1:5" ht="75" x14ac:dyDescent="0.25">
      <c r="C6965" s="15">
        <v>432485</v>
      </c>
      <c r="D6965" s="4" t="s">
        <v>6969</v>
      </c>
      <c r="E6965" s="4" t="str">
        <f>HYPERLINK("https://app.crepc.sk/?fn=detailBiblioForm&amp;sid=9C6DDAD5CC83289CBC4ACA964C")</f>
        <v>https://app.crepc.sk/?fn=detailBiblioForm&amp;sid=9C6DDAD5CC83289CBC4ACA964C</v>
      </c>
    </row>
    <row r="6966" spans="1:5" ht="75" x14ac:dyDescent="0.25">
      <c r="C6966" s="15">
        <v>98181</v>
      </c>
      <c r="D6966" s="4" t="s">
        <v>6970</v>
      </c>
      <c r="E6966" s="4" t="str">
        <f>HYPERLINK("https://app.crepc.sk/?fn=detailBiblioForm&amp;sid=50422F55D4754CE9386B3E2B")</f>
        <v>https://app.crepc.sk/?fn=detailBiblioForm&amp;sid=50422F55D4754CE9386B3E2B</v>
      </c>
    </row>
    <row r="6967" spans="1:5" ht="90" x14ac:dyDescent="0.25">
      <c r="C6967" s="15">
        <v>215691</v>
      </c>
      <c r="D6967" s="4" t="s">
        <v>6971</v>
      </c>
      <c r="E6967" s="4" t="str">
        <f>HYPERLINK("https://app.crepc.sk/?fn=detailBiblioForm&amp;sid=71C258F70EEA1E8C31FF0ED63E")</f>
        <v>https://app.crepc.sk/?fn=detailBiblioForm&amp;sid=71C258F70EEA1E8C31FF0ED63E</v>
      </c>
    </row>
    <row r="6968" spans="1:5" ht="30" x14ac:dyDescent="0.25">
      <c r="A6968" s="4" t="s">
        <v>6972</v>
      </c>
      <c r="B6968" s="15">
        <v>146</v>
      </c>
    </row>
    <row r="6969" spans="1:5" ht="75" x14ac:dyDescent="0.25">
      <c r="C6969" s="15">
        <v>152913</v>
      </c>
      <c r="D6969" s="4" t="s">
        <v>6973</v>
      </c>
      <c r="E6969" s="4" t="str">
        <f>HYPERLINK("https://app.crepc.sk/?fn=detailBiblioForm&amp;sid=877A1C170D2F97A1DB3FCF3DE1")</f>
        <v>https://app.crepc.sk/?fn=detailBiblioForm&amp;sid=877A1C170D2F97A1DB3FCF3DE1</v>
      </c>
    </row>
    <row r="6970" spans="1:5" ht="105" x14ac:dyDescent="0.25">
      <c r="C6970" s="15">
        <v>78858</v>
      </c>
      <c r="D6970" s="4" t="s">
        <v>6974</v>
      </c>
      <c r="E6970" s="4" t="str">
        <f>HYPERLINK("https://app.crepc.sk/?fn=detailBiblioForm&amp;sid=DF57F0BE344C45B7C66AB335")</f>
        <v>https://app.crepc.sk/?fn=detailBiblioForm&amp;sid=DF57F0BE344C45B7C66AB335</v>
      </c>
    </row>
    <row r="6971" spans="1:5" ht="75" x14ac:dyDescent="0.25">
      <c r="C6971" s="15">
        <v>418048</v>
      </c>
      <c r="D6971" s="4" t="s">
        <v>6975</v>
      </c>
      <c r="E6971" s="4" t="str">
        <f>HYPERLINK("https://app.crepc.sk/?fn=detailBiblioForm&amp;sid=206DD7262FA36D78EA8DBAAE0D")</f>
        <v>https://app.crepc.sk/?fn=detailBiblioForm&amp;sid=206DD7262FA36D78EA8DBAAE0D</v>
      </c>
    </row>
    <row r="6972" spans="1:5" ht="135" x14ac:dyDescent="0.25">
      <c r="C6972" s="15">
        <v>121130</v>
      </c>
      <c r="D6972" s="4" t="s">
        <v>6976</v>
      </c>
      <c r="E6972" s="4" t="str">
        <f>HYPERLINK("https://app.crepc.sk/?fn=detailBiblioForm&amp;sid=89B7BE4D03EE00FA72576CCD7F")</f>
        <v>https://app.crepc.sk/?fn=detailBiblioForm&amp;sid=89B7BE4D03EE00FA72576CCD7F</v>
      </c>
    </row>
    <row r="6973" spans="1:5" ht="75" x14ac:dyDescent="0.25">
      <c r="C6973" s="15">
        <v>56631</v>
      </c>
      <c r="D6973" s="4" t="s">
        <v>6977</v>
      </c>
      <c r="E6973" s="4" t="str">
        <f>HYPERLINK("https://app.crepc.sk/?fn=detailBiblioForm&amp;sid=D02B609B9A857AA878EDF919")</f>
        <v>https://app.crepc.sk/?fn=detailBiblioForm&amp;sid=D02B609B9A857AA878EDF919</v>
      </c>
    </row>
    <row r="6974" spans="1:5" ht="90" x14ac:dyDescent="0.25">
      <c r="C6974" s="15">
        <v>216142</v>
      </c>
      <c r="D6974" s="4" t="s">
        <v>6978</v>
      </c>
      <c r="E6974" s="4" t="str">
        <f>HYPERLINK("https://app.crepc.sk/?fn=detailBiblioForm&amp;sid=E4662E652762CF0C17632E6DEF")</f>
        <v>https://app.crepc.sk/?fn=detailBiblioForm&amp;sid=E4662E652762CF0C17632E6DEF</v>
      </c>
    </row>
    <row r="6975" spans="1:5" ht="75" x14ac:dyDescent="0.25">
      <c r="C6975" s="15">
        <v>167423</v>
      </c>
      <c r="D6975" s="4" t="s">
        <v>6979</v>
      </c>
      <c r="E6975" s="4" t="str">
        <f>HYPERLINK("https://app.crepc.sk/?fn=detailBiblioForm&amp;sid=5C1288C836E60822D6E4CB6202")</f>
        <v>https://app.crepc.sk/?fn=detailBiblioForm&amp;sid=5C1288C836E60822D6E4CB6202</v>
      </c>
    </row>
    <row r="6976" spans="1:5" ht="75" x14ac:dyDescent="0.25">
      <c r="C6976" s="15">
        <v>251670</v>
      </c>
      <c r="D6976" s="4" t="s">
        <v>6980</v>
      </c>
      <c r="E6976" s="4" t="str">
        <f>HYPERLINK("https://app.crepc.sk/?fn=detailBiblioForm&amp;sid=D84498DEF8DE478E758EF4F6B7")</f>
        <v>https://app.crepc.sk/?fn=detailBiblioForm&amp;sid=D84498DEF8DE478E758EF4F6B7</v>
      </c>
    </row>
    <row r="6977" spans="3:5" ht="105" x14ac:dyDescent="0.25">
      <c r="C6977" s="15">
        <v>417495</v>
      </c>
      <c r="D6977" s="4" t="s">
        <v>6981</v>
      </c>
      <c r="E6977" s="4" t="str">
        <f>HYPERLINK("https://app.crepc.sk/?fn=detailBiblioForm&amp;sid=769B6BB77E764C86F87948591B")</f>
        <v>https://app.crepc.sk/?fn=detailBiblioForm&amp;sid=769B6BB77E764C86F87948591B</v>
      </c>
    </row>
    <row r="6978" spans="3:5" ht="120" x14ac:dyDescent="0.25">
      <c r="C6978" s="15">
        <v>75824</v>
      </c>
      <c r="D6978" s="4" t="s">
        <v>6982</v>
      </c>
      <c r="E6978" s="4" t="str">
        <f>HYPERLINK("https://app.crepc.sk/?fn=detailBiblioForm&amp;sid=2C1A684AC1594DFEB79D5ABF")</f>
        <v>https://app.crepc.sk/?fn=detailBiblioForm&amp;sid=2C1A684AC1594DFEB79D5ABF</v>
      </c>
    </row>
    <row r="6979" spans="3:5" ht="90" x14ac:dyDescent="0.25">
      <c r="C6979" s="15">
        <v>51857</v>
      </c>
      <c r="D6979" s="4" t="s">
        <v>6983</v>
      </c>
      <c r="E6979" s="4" t="str">
        <f>HYPERLINK("https://app.crepc.sk/?fn=detailBiblioForm&amp;sid=B55C861995A532504367D4E4")</f>
        <v>https://app.crepc.sk/?fn=detailBiblioForm&amp;sid=B55C861995A532504367D4E4</v>
      </c>
    </row>
    <row r="6980" spans="3:5" ht="90" x14ac:dyDescent="0.25">
      <c r="C6980" s="15">
        <v>51241</v>
      </c>
      <c r="D6980" s="4" t="s">
        <v>6984</v>
      </c>
      <c r="E6980" s="4" t="str">
        <f>HYPERLINK("https://app.crepc.sk/?fn=detailBiblioForm&amp;sid=E3A9CAEA6873959EB4674507")</f>
        <v>https://app.crepc.sk/?fn=detailBiblioForm&amp;sid=E3A9CAEA6873959EB4674507</v>
      </c>
    </row>
    <row r="6981" spans="3:5" ht="90" x14ac:dyDescent="0.25">
      <c r="C6981" s="15">
        <v>142659</v>
      </c>
      <c r="D6981" s="4" t="s">
        <v>6985</v>
      </c>
      <c r="E6981" s="4" t="str">
        <f>HYPERLINK("https://app.crepc.sk/?fn=detailBiblioForm&amp;sid=1080C1D973035A08712DEAFF90")</f>
        <v>https://app.crepc.sk/?fn=detailBiblioForm&amp;sid=1080C1D973035A08712DEAFF90</v>
      </c>
    </row>
    <row r="6982" spans="3:5" ht="90" x14ac:dyDescent="0.25">
      <c r="C6982" s="15">
        <v>138588</v>
      </c>
      <c r="D6982" s="4" t="s">
        <v>6986</v>
      </c>
      <c r="E6982" s="4" t="str">
        <f>HYPERLINK("https://app.crepc.sk/?fn=detailBiblioForm&amp;sid=BCBBF6F1CE9D98DE300B7122CC")</f>
        <v>https://app.crepc.sk/?fn=detailBiblioForm&amp;sid=BCBBF6F1CE9D98DE300B7122CC</v>
      </c>
    </row>
    <row r="6983" spans="3:5" ht="60" x14ac:dyDescent="0.25">
      <c r="C6983" s="15">
        <v>161924</v>
      </c>
      <c r="D6983" s="4" t="s">
        <v>6987</v>
      </c>
      <c r="E6983" s="4" t="str">
        <f>HYPERLINK("https://app.crepc.sk/?fn=detailBiblioForm&amp;sid=3BEC39B52C756B70CF0679B3D6")</f>
        <v>https://app.crepc.sk/?fn=detailBiblioForm&amp;sid=3BEC39B52C756B70CF0679B3D6</v>
      </c>
    </row>
    <row r="6984" spans="3:5" ht="75" x14ac:dyDescent="0.25">
      <c r="C6984" s="15">
        <v>161569</v>
      </c>
      <c r="D6984" s="4" t="s">
        <v>6988</v>
      </c>
      <c r="E6984" s="4" t="str">
        <f>HYPERLINK("https://app.crepc.sk/?fn=detailBiblioForm&amp;sid=BB60B769A491B65143FA53E40D")</f>
        <v>https://app.crepc.sk/?fn=detailBiblioForm&amp;sid=BB60B769A491B65143FA53E40D</v>
      </c>
    </row>
    <row r="6985" spans="3:5" ht="105" x14ac:dyDescent="0.25">
      <c r="C6985" s="15">
        <v>430427</v>
      </c>
      <c r="D6985" s="4" t="s">
        <v>6989</v>
      </c>
      <c r="E6985" s="4" t="str">
        <f>HYPERLINK("https://app.crepc.sk/?fn=detailBiblioForm&amp;sid=56123830A8C00970BA05622E7E")</f>
        <v>https://app.crepc.sk/?fn=detailBiblioForm&amp;sid=56123830A8C00970BA05622E7E</v>
      </c>
    </row>
    <row r="6986" spans="3:5" ht="105" x14ac:dyDescent="0.25">
      <c r="C6986" s="15">
        <v>175905</v>
      </c>
      <c r="D6986" s="4" t="s">
        <v>6990</v>
      </c>
      <c r="E6986" s="4" t="str">
        <f>HYPERLINK("https://app.crepc.sk/?fn=detailBiblioForm&amp;sid=4AD13E03A40DD9FCB83A1074EC")</f>
        <v>https://app.crepc.sk/?fn=detailBiblioForm&amp;sid=4AD13E03A40DD9FCB83A1074EC</v>
      </c>
    </row>
    <row r="6987" spans="3:5" ht="75" x14ac:dyDescent="0.25">
      <c r="C6987" s="15">
        <v>137504</v>
      </c>
      <c r="D6987" s="4" t="s">
        <v>6991</v>
      </c>
      <c r="E6987" s="4" t="str">
        <f>HYPERLINK("https://app.crepc.sk/?fn=detailBiblioForm&amp;sid=3E9AEE53085E0AC85B9C91864D")</f>
        <v>https://app.crepc.sk/?fn=detailBiblioForm&amp;sid=3E9AEE53085E0AC85B9C91864D</v>
      </c>
    </row>
    <row r="6988" spans="3:5" ht="90" x14ac:dyDescent="0.25">
      <c r="C6988" s="15">
        <v>310763</v>
      </c>
      <c r="D6988" s="4" t="s">
        <v>6992</v>
      </c>
      <c r="E6988" s="4" t="str">
        <f>HYPERLINK("https://app.crepc.sk/?fn=detailBiblioForm&amp;sid=BA568C50EF7A76E2D5F714E589")</f>
        <v>https://app.crepc.sk/?fn=detailBiblioForm&amp;sid=BA568C50EF7A76E2D5F714E589</v>
      </c>
    </row>
    <row r="6989" spans="3:5" ht="135" x14ac:dyDescent="0.25">
      <c r="C6989" s="15">
        <v>121124</v>
      </c>
      <c r="D6989" s="4" t="s">
        <v>6993</v>
      </c>
      <c r="E6989" s="4" t="str">
        <f>HYPERLINK("https://app.crepc.sk/?fn=detailBiblioForm&amp;sid=89B7BE4D03EE00FA73536CCD7F")</f>
        <v>https://app.crepc.sk/?fn=detailBiblioForm&amp;sid=89B7BE4D03EE00FA73536CCD7F</v>
      </c>
    </row>
    <row r="6990" spans="3:5" ht="75" x14ac:dyDescent="0.25">
      <c r="C6990" s="15">
        <v>124833</v>
      </c>
      <c r="D6990" s="4" t="s">
        <v>6994</v>
      </c>
      <c r="E6990" s="4" t="str">
        <f>HYPERLINK("https://app.crepc.sk/?fn=detailBiblioForm&amp;sid=DBBA30DD5E77A1386936840F51")</f>
        <v>https://app.crepc.sk/?fn=detailBiblioForm&amp;sid=DBBA30DD5E77A1386936840F51</v>
      </c>
    </row>
    <row r="6991" spans="3:5" ht="120" x14ac:dyDescent="0.25">
      <c r="C6991" s="15">
        <v>217251</v>
      </c>
      <c r="D6991" s="4" t="s">
        <v>6995</v>
      </c>
      <c r="E6991" s="4" t="str">
        <f>HYPERLINK("https://app.crepc.sk/?fn=detailBiblioForm&amp;sid=95653863DE8D795C3DB987F2A7")</f>
        <v>https://app.crepc.sk/?fn=detailBiblioForm&amp;sid=95653863DE8D795C3DB987F2A7</v>
      </c>
    </row>
    <row r="6992" spans="3:5" ht="75" x14ac:dyDescent="0.25">
      <c r="C6992" s="15">
        <v>129394</v>
      </c>
      <c r="D6992" s="4" t="s">
        <v>6996</v>
      </c>
      <c r="E6992" s="4" t="str">
        <f>HYPERLINK("https://app.crepc.sk/?fn=detailBiblioForm&amp;sid=9B6D79FADC5C6A59832AE9DE88")</f>
        <v>https://app.crepc.sk/?fn=detailBiblioForm&amp;sid=9B6D79FADC5C6A59832AE9DE88</v>
      </c>
    </row>
    <row r="6993" spans="3:5" ht="105" x14ac:dyDescent="0.25">
      <c r="C6993" s="15">
        <v>147525</v>
      </c>
      <c r="D6993" s="4" t="s">
        <v>6997</v>
      </c>
      <c r="E6993" s="4" t="str">
        <f>HYPERLINK("https://app.crepc.sk/?fn=detailBiblioForm&amp;sid=427371B0090519B80647BF379E")</f>
        <v>https://app.crepc.sk/?fn=detailBiblioForm&amp;sid=427371B0090519B80647BF379E</v>
      </c>
    </row>
    <row r="6994" spans="3:5" ht="75" x14ac:dyDescent="0.25">
      <c r="C6994" s="15">
        <v>422410</v>
      </c>
      <c r="D6994" s="4" t="s">
        <v>6998</v>
      </c>
      <c r="E6994" s="4" t="str">
        <f>HYPERLINK("https://app.crepc.sk/?fn=detailBiblioForm&amp;sid=50C23C962AC4873686F398C4F3")</f>
        <v>https://app.crepc.sk/?fn=detailBiblioForm&amp;sid=50C23C962AC4873686F398C4F3</v>
      </c>
    </row>
    <row r="6995" spans="3:5" ht="90" x14ac:dyDescent="0.25">
      <c r="C6995" s="15">
        <v>418486</v>
      </c>
      <c r="D6995" s="4" t="s">
        <v>6999</v>
      </c>
      <c r="E6995" s="4" t="str">
        <f>HYPERLINK("https://app.crepc.sk/?fn=detailBiblioForm&amp;sid=1DCF9A7ED2AD566562164687C6")</f>
        <v>https://app.crepc.sk/?fn=detailBiblioForm&amp;sid=1DCF9A7ED2AD566562164687C6</v>
      </c>
    </row>
    <row r="6996" spans="3:5" ht="120" x14ac:dyDescent="0.25">
      <c r="C6996" s="15">
        <v>86881</v>
      </c>
      <c r="D6996" s="4" t="s">
        <v>7000</v>
      </c>
      <c r="E6996" s="4" t="str">
        <f>HYPERLINK("https://app.crepc.sk/?fn=detailBiblioForm&amp;sid=611AE863A77D366CD5F0D649")</f>
        <v>https://app.crepc.sk/?fn=detailBiblioForm&amp;sid=611AE863A77D366CD5F0D649</v>
      </c>
    </row>
    <row r="6997" spans="3:5" ht="105" x14ac:dyDescent="0.25">
      <c r="C6997" s="15">
        <v>75819</v>
      </c>
      <c r="D6997" s="4" t="s">
        <v>7001</v>
      </c>
      <c r="E6997" s="4" t="str">
        <f>HYPERLINK("https://app.crepc.sk/?fn=detailBiblioForm&amp;sid=53530719005DD7FD90AF91D2")</f>
        <v>https://app.crepc.sk/?fn=detailBiblioForm&amp;sid=53530719005DD7FD90AF91D2</v>
      </c>
    </row>
    <row r="6998" spans="3:5" ht="90" x14ac:dyDescent="0.25">
      <c r="C6998" s="15">
        <v>194094</v>
      </c>
      <c r="D6998" s="4" t="s">
        <v>7002</v>
      </c>
      <c r="E6998" s="4" t="str">
        <f>HYPERLINK("https://app.crepc.sk/?fn=detailBiblioForm&amp;sid=CBAFEBAACD681B5C13670A2E4E")</f>
        <v>https://app.crepc.sk/?fn=detailBiblioForm&amp;sid=CBAFEBAACD681B5C13670A2E4E</v>
      </c>
    </row>
    <row r="6999" spans="3:5" ht="75" x14ac:dyDescent="0.25">
      <c r="C6999" s="15">
        <v>190150</v>
      </c>
      <c r="D6999" s="4" t="s">
        <v>7003</v>
      </c>
      <c r="E6999" s="4" t="str">
        <f>HYPERLINK("https://app.crepc.sk/?fn=detailBiblioForm&amp;sid=91A8077BCD3DC838EE7B6AA292")</f>
        <v>https://app.crepc.sk/?fn=detailBiblioForm&amp;sid=91A8077BCD3DC838EE7B6AA292</v>
      </c>
    </row>
    <row r="7000" spans="3:5" ht="75" x14ac:dyDescent="0.25">
      <c r="C7000" s="15">
        <v>311657</v>
      </c>
      <c r="D7000" s="4" t="s">
        <v>7004</v>
      </c>
      <c r="E7000" s="4" t="str">
        <f>HYPERLINK("https://app.crepc.sk/?fn=detailBiblioForm&amp;sid=4F3E6110BFE0574A652F968407")</f>
        <v>https://app.crepc.sk/?fn=detailBiblioForm&amp;sid=4F3E6110BFE0574A652F968407</v>
      </c>
    </row>
    <row r="7001" spans="3:5" ht="105" x14ac:dyDescent="0.25">
      <c r="C7001" s="15">
        <v>423454</v>
      </c>
      <c r="D7001" s="4" t="s">
        <v>7005</v>
      </c>
      <c r="E7001" s="4" t="str">
        <f>HYPERLINK("https://app.crepc.sk/?fn=detailBiblioForm&amp;sid=FA3B7316EF32B7DB81E23C238D")</f>
        <v>https://app.crepc.sk/?fn=detailBiblioForm&amp;sid=FA3B7316EF32B7DB81E23C238D</v>
      </c>
    </row>
    <row r="7002" spans="3:5" ht="90" x14ac:dyDescent="0.25">
      <c r="C7002" s="15">
        <v>162346</v>
      </c>
      <c r="D7002" s="4" t="s">
        <v>7006</v>
      </c>
      <c r="E7002" s="4" t="str">
        <f>HYPERLINK("https://app.crepc.sk/?fn=detailBiblioForm&amp;sid=5379D0B7E3C25FE39037D05CA5")</f>
        <v>https://app.crepc.sk/?fn=detailBiblioForm&amp;sid=5379D0B7E3C25FE39037D05CA5</v>
      </c>
    </row>
    <row r="7003" spans="3:5" ht="90" x14ac:dyDescent="0.25">
      <c r="C7003" s="15">
        <v>121135</v>
      </c>
      <c r="D7003" s="4" t="s">
        <v>7007</v>
      </c>
      <c r="E7003" s="4" t="str">
        <f>HYPERLINK("https://app.crepc.sk/?fn=detailBiblioForm&amp;sid=89B7BE4D03EE00FA72526CCD7F")</f>
        <v>https://app.crepc.sk/?fn=detailBiblioForm&amp;sid=89B7BE4D03EE00FA72526CCD7F</v>
      </c>
    </row>
    <row r="7004" spans="3:5" ht="60" x14ac:dyDescent="0.25">
      <c r="C7004" s="15">
        <v>448385</v>
      </c>
      <c r="D7004" s="4" t="s">
        <v>7008</v>
      </c>
      <c r="E7004" s="4" t="str">
        <f>HYPERLINK("https://app.crepc.sk/?fn=detailBiblioForm&amp;sid=F4F83FF99D02212E8F4965EA70")</f>
        <v>https://app.crepc.sk/?fn=detailBiblioForm&amp;sid=F4F83FF99D02212E8F4965EA70</v>
      </c>
    </row>
    <row r="7005" spans="3:5" ht="60" x14ac:dyDescent="0.25">
      <c r="C7005" s="15">
        <v>74175</v>
      </c>
      <c r="D7005" s="4" t="s">
        <v>7009</v>
      </c>
      <c r="E7005" s="4" t="str">
        <f>HYPERLINK("https://app.crepc.sk/?fn=detailBiblioForm&amp;sid=A221B5D52C8CCF41759F078B")</f>
        <v>https://app.crepc.sk/?fn=detailBiblioForm&amp;sid=A221B5D52C8CCF41759F078B</v>
      </c>
    </row>
    <row r="7006" spans="3:5" ht="75" x14ac:dyDescent="0.25">
      <c r="C7006" s="15">
        <v>127008</v>
      </c>
      <c r="D7006" s="4" t="s">
        <v>7010</v>
      </c>
      <c r="E7006" s="4" t="str">
        <f>HYPERLINK("https://app.crepc.sk/?fn=detailBiblioForm&amp;sid=D5C4F71E475B595ED9E64F1118")</f>
        <v>https://app.crepc.sk/?fn=detailBiblioForm&amp;sid=D5C4F71E475B595ED9E64F1118</v>
      </c>
    </row>
    <row r="7007" spans="3:5" ht="105" x14ac:dyDescent="0.25">
      <c r="C7007" s="15">
        <v>429196</v>
      </c>
      <c r="D7007" s="4" t="s">
        <v>7011</v>
      </c>
      <c r="E7007" s="4" t="str">
        <f>HYPERLINK("https://app.crepc.sk/?fn=detailBiblioForm&amp;sid=1F960971EB794925EBF43E5078")</f>
        <v>https://app.crepc.sk/?fn=detailBiblioForm&amp;sid=1F960971EB794925EBF43E5078</v>
      </c>
    </row>
    <row r="7008" spans="3:5" ht="135" x14ac:dyDescent="0.25">
      <c r="C7008" s="15">
        <v>72581</v>
      </c>
      <c r="D7008" s="4" t="s">
        <v>7012</v>
      </c>
      <c r="E7008" s="4" t="str">
        <f>HYPERLINK("https://app.crepc.sk/?fn=detailBiblioForm&amp;sid=053E5240518931DFC0C94669")</f>
        <v>https://app.crepc.sk/?fn=detailBiblioForm&amp;sid=053E5240518931DFC0C94669</v>
      </c>
    </row>
    <row r="7009" spans="3:5" ht="75" x14ac:dyDescent="0.25">
      <c r="C7009" s="15">
        <v>96998</v>
      </c>
      <c r="D7009" s="4" t="s">
        <v>7013</v>
      </c>
      <c r="E7009" s="4" t="str">
        <f>HYPERLINK("https://app.crepc.sk/?fn=detailBiblioForm&amp;sid=4DB01A480A84113DE44119FD")</f>
        <v>https://app.crepc.sk/?fn=detailBiblioForm&amp;sid=4DB01A480A84113DE44119FD</v>
      </c>
    </row>
    <row r="7010" spans="3:5" ht="75" x14ac:dyDescent="0.25">
      <c r="C7010" s="15">
        <v>137613</v>
      </c>
      <c r="D7010" s="4" t="s">
        <v>7014</v>
      </c>
      <c r="E7010" s="4" t="str">
        <f>HYPERLINK("https://app.crepc.sk/?fn=detailBiblioForm&amp;sid=2EA0EB8F50B4443AD8E8BFBE4C")</f>
        <v>https://app.crepc.sk/?fn=detailBiblioForm&amp;sid=2EA0EB8F50B4443AD8E8BFBE4C</v>
      </c>
    </row>
    <row r="7011" spans="3:5" ht="90" x14ac:dyDescent="0.25">
      <c r="C7011" s="15">
        <v>418528</v>
      </c>
      <c r="D7011" s="4" t="s">
        <v>7015</v>
      </c>
      <c r="E7011" s="4" t="str">
        <f>HYPERLINK("https://app.crepc.sk/?fn=detailBiblioForm&amp;sid=C3BF054227B45EA579B77B6664")</f>
        <v>https://app.crepc.sk/?fn=detailBiblioForm&amp;sid=C3BF054227B45EA579B77B6664</v>
      </c>
    </row>
    <row r="7012" spans="3:5" ht="60" x14ac:dyDescent="0.25">
      <c r="C7012" s="15">
        <v>148660</v>
      </c>
      <c r="D7012" s="4" t="s">
        <v>7016</v>
      </c>
      <c r="E7012" s="4" t="str">
        <f>HYPERLINK("https://app.crepc.sk/?fn=detailBiblioForm&amp;sid=12C8EC1657C182290D866A8174")</f>
        <v>https://app.crepc.sk/?fn=detailBiblioForm&amp;sid=12C8EC1657C182290D866A8174</v>
      </c>
    </row>
    <row r="7013" spans="3:5" ht="90" x14ac:dyDescent="0.25">
      <c r="C7013" s="15">
        <v>79201</v>
      </c>
      <c r="D7013" s="4" t="s">
        <v>7017</v>
      </c>
      <c r="E7013" s="4" t="str">
        <f>HYPERLINK("https://app.crepc.sk/?fn=detailBiblioForm&amp;sid=7DE0424E8930A52F5358A9EC")</f>
        <v>https://app.crepc.sk/?fn=detailBiblioForm&amp;sid=7DE0424E8930A52F5358A9EC</v>
      </c>
    </row>
    <row r="7014" spans="3:5" ht="120" x14ac:dyDescent="0.25">
      <c r="C7014" s="15">
        <v>79173</v>
      </c>
      <c r="D7014" s="4" t="s">
        <v>7018</v>
      </c>
      <c r="E7014" s="4" t="str">
        <f>HYPERLINK("https://app.crepc.sk/?fn=detailBiblioForm&amp;sid=7604B662C6D6850B49B641E3")</f>
        <v>https://app.crepc.sk/?fn=detailBiblioForm&amp;sid=7604B662C6D6850B49B641E3</v>
      </c>
    </row>
    <row r="7015" spans="3:5" ht="120" x14ac:dyDescent="0.25">
      <c r="C7015" s="15">
        <v>87571</v>
      </c>
      <c r="D7015" s="4" t="s">
        <v>7019</v>
      </c>
      <c r="E7015" s="4" t="str">
        <f>HYPERLINK("https://app.crepc.sk/?fn=detailBiblioForm&amp;sid=215A136E97BE37D8CCB64560")</f>
        <v>https://app.crepc.sk/?fn=detailBiblioForm&amp;sid=215A136E97BE37D8CCB64560</v>
      </c>
    </row>
    <row r="7016" spans="3:5" ht="105" x14ac:dyDescent="0.25">
      <c r="C7016" s="15">
        <v>430603</v>
      </c>
      <c r="D7016" s="4" t="s">
        <v>7020</v>
      </c>
      <c r="E7016" s="4" t="str">
        <f>HYPERLINK("https://app.crepc.sk/?fn=detailBiblioForm&amp;sid=3627EFA272B2C6AEE31843A359")</f>
        <v>https://app.crepc.sk/?fn=detailBiblioForm&amp;sid=3627EFA272B2C6AEE31843A359</v>
      </c>
    </row>
    <row r="7017" spans="3:5" ht="75" x14ac:dyDescent="0.25">
      <c r="C7017" s="15">
        <v>175462</v>
      </c>
      <c r="D7017" s="4" t="s">
        <v>7021</v>
      </c>
      <c r="E7017" s="4" t="str">
        <f>HYPERLINK("https://app.crepc.sk/?fn=detailBiblioForm&amp;sid=5E8AE344A08831ABCB8903A46F")</f>
        <v>https://app.crepc.sk/?fn=detailBiblioForm&amp;sid=5E8AE344A08831ABCB8903A46F</v>
      </c>
    </row>
    <row r="7018" spans="3:5" ht="105" x14ac:dyDescent="0.25">
      <c r="C7018" s="15">
        <v>51935</v>
      </c>
      <c r="D7018" s="4" t="s">
        <v>7022</v>
      </c>
      <c r="E7018" s="4" t="str">
        <f>HYPERLINK("https://app.crepc.sk/?fn=detailBiblioForm&amp;sid=DEF8C469C283A3B60ED3416E")</f>
        <v>https://app.crepc.sk/?fn=detailBiblioForm&amp;sid=DEF8C469C283A3B60ED3416E</v>
      </c>
    </row>
    <row r="7019" spans="3:5" ht="120" x14ac:dyDescent="0.25">
      <c r="C7019" s="15">
        <v>54219</v>
      </c>
      <c r="D7019" s="4" t="s">
        <v>7023</v>
      </c>
      <c r="E7019" s="4" t="str">
        <f>HYPERLINK("https://app.crepc.sk/?fn=detailBiblioForm&amp;sid=0C62AE9688AF62BBD4EFE8B3")</f>
        <v>https://app.crepc.sk/?fn=detailBiblioForm&amp;sid=0C62AE9688AF62BBD4EFE8B3</v>
      </c>
    </row>
    <row r="7020" spans="3:5" ht="75" x14ac:dyDescent="0.25">
      <c r="C7020" s="15">
        <v>192424</v>
      </c>
      <c r="D7020" s="4" t="s">
        <v>7024</v>
      </c>
      <c r="E7020" s="4" t="str">
        <f>HYPERLINK("https://app.crepc.sk/?fn=detailBiblioForm&amp;sid=76A044AA0B04CBA20CC310FD9A")</f>
        <v>https://app.crepc.sk/?fn=detailBiblioForm&amp;sid=76A044AA0B04CBA20CC310FD9A</v>
      </c>
    </row>
    <row r="7021" spans="3:5" ht="105" x14ac:dyDescent="0.25">
      <c r="C7021" s="15">
        <v>429198</v>
      </c>
      <c r="D7021" s="4" t="s">
        <v>7025</v>
      </c>
      <c r="E7021" s="4" t="str">
        <f>HYPERLINK("https://app.crepc.sk/?fn=detailBiblioForm&amp;sid=1F960971EB794925EBFA3E5078")</f>
        <v>https://app.crepc.sk/?fn=detailBiblioForm&amp;sid=1F960971EB794925EBFA3E5078</v>
      </c>
    </row>
    <row r="7022" spans="3:5" ht="105" x14ac:dyDescent="0.25">
      <c r="C7022" s="15">
        <v>51934</v>
      </c>
      <c r="D7022" s="4" t="s">
        <v>7026</v>
      </c>
      <c r="E7022" s="4" t="str">
        <f>HYPERLINK("https://app.crepc.sk/?fn=detailBiblioForm&amp;sid=DEF8C469C283A3B60FD3416E")</f>
        <v>https://app.crepc.sk/?fn=detailBiblioForm&amp;sid=DEF8C469C283A3B60FD3416E</v>
      </c>
    </row>
    <row r="7023" spans="3:5" ht="75" x14ac:dyDescent="0.25">
      <c r="C7023" s="15">
        <v>152917</v>
      </c>
      <c r="D7023" s="4" t="s">
        <v>7027</v>
      </c>
      <c r="E7023" s="4" t="str">
        <f>HYPERLINK("https://app.crepc.sk/?fn=detailBiblioForm&amp;sid=877A1C170D2F97A1DB3BCF3DE1")</f>
        <v>https://app.crepc.sk/?fn=detailBiblioForm&amp;sid=877A1C170D2F97A1DB3BCF3DE1</v>
      </c>
    </row>
    <row r="7024" spans="3:5" ht="75" x14ac:dyDescent="0.25">
      <c r="C7024" s="15">
        <v>217970</v>
      </c>
      <c r="D7024" s="4" t="s">
        <v>7028</v>
      </c>
      <c r="E7024" s="4" t="str">
        <f>HYPERLINK("https://app.crepc.sk/?fn=detailBiblioForm&amp;sid=9E759344E92A27851DE0C915AD")</f>
        <v>https://app.crepc.sk/?fn=detailBiblioForm&amp;sid=9E759344E92A27851DE0C915AD</v>
      </c>
    </row>
    <row r="7025" spans="3:5" ht="75" x14ac:dyDescent="0.25">
      <c r="C7025" s="15">
        <v>75903</v>
      </c>
      <c r="D7025" s="4" t="s">
        <v>7029</v>
      </c>
      <c r="E7025" s="4" t="str">
        <f>HYPERLINK("https://app.crepc.sk/?fn=detailBiblioForm&amp;sid=40F353FBF2B204AE639A460E")</f>
        <v>https://app.crepc.sk/?fn=detailBiblioForm&amp;sid=40F353FBF2B204AE639A460E</v>
      </c>
    </row>
    <row r="7026" spans="3:5" ht="90" x14ac:dyDescent="0.25">
      <c r="C7026" s="15">
        <v>307252</v>
      </c>
      <c r="D7026" s="4" t="s">
        <v>7030</v>
      </c>
      <c r="E7026" s="4" t="str">
        <f>HYPERLINK("https://app.crepc.sk/?fn=detailBiblioForm&amp;sid=D6D1207F88D43CD7255F0D809F")</f>
        <v>https://app.crepc.sk/?fn=detailBiblioForm&amp;sid=D6D1207F88D43CD7255F0D809F</v>
      </c>
    </row>
    <row r="7027" spans="3:5" ht="105" x14ac:dyDescent="0.25">
      <c r="C7027" s="15">
        <v>102516</v>
      </c>
      <c r="D7027" s="4" t="s">
        <v>7031</v>
      </c>
      <c r="E7027" s="4" t="str">
        <f>HYPERLINK("https://app.crepc.sk/?fn=detailBiblioForm&amp;sid=EC5904F256BAFDF831D84057D2")</f>
        <v>https://app.crepc.sk/?fn=detailBiblioForm&amp;sid=EC5904F256BAFDF831D84057D2</v>
      </c>
    </row>
    <row r="7028" spans="3:5" ht="75" x14ac:dyDescent="0.25">
      <c r="C7028" s="15">
        <v>96658</v>
      </c>
      <c r="D7028" s="4" t="s">
        <v>7032</v>
      </c>
      <c r="E7028" s="4" t="str">
        <f>HYPERLINK("https://app.crepc.sk/?fn=detailBiblioForm&amp;sid=FC29C4E759368BCACA295F9F")</f>
        <v>https://app.crepc.sk/?fn=detailBiblioForm&amp;sid=FC29C4E759368BCACA295F9F</v>
      </c>
    </row>
    <row r="7029" spans="3:5" ht="75" x14ac:dyDescent="0.25">
      <c r="C7029" s="15">
        <v>451461</v>
      </c>
      <c r="D7029" s="4" t="s">
        <v>7033</v>
      </c>
      <c r="E7029" s="4" t="str">
        <f>HYPERLINK("https://app.crepc.sk/?fn=detailBiblioForm&amp;sid=9341B6D63F4DDBDAAB625D6EF1")</f>
        <v>https://app.crepc.sk/?fn=detailBiblioForm&amp;sid=9341B6D63F4DDBDAAB625D6EF1</v>
      </c>
    </row>
    <row r="7030" spans="3:5" ht="75" x14ac:dyDescent="0.25">
      <c r="C7030" s="15">
        <v>450043</v>
      </c>
      <c r="D7030" s="4" t="s">
        <v>7034</v>
      </c>
      <c r="E7030" s="4" t="str">
        <f>HYPERLINK("https://app.crepc.sk/?fn=detailBiblioForm&amp;sid=17D51798FBDCAF604DAE7CB596")</f>
        <v>https://app.crepc.sk/?fn=detailBiblioForm&amp;sid=17D51798FBDCAF604DAE7CB596</v>
      </c>
    </row>
    <row r="7031" spans="3:5" ht="105" x14ac:dyDescent="0.25">
      <c r="C7031" s="15">
        <v>51942</v>
      </c>
      <c r="D7031" s="4" t="s">
        <v>7035</v>
      </c>
      <c r="E7031" s="4" t="str">
        <f>HYPERLINK("https://app.crepc.sk/?fn=detailBiblioForm&amp;sid=204761D2FBC86FD898C55399")</f>
        <v>https://app.crepc.sk/?fn=detailBiblioForm&amp;sid=204761D2FBC86FD898C55399</v>
      </c>
    </row>
    <row r="7032" spans="3:5" ht="120" x14ac:dyDescent="0.25">
      <c r="C7032" s="15">
        <v>75528</v>
      </c>
      <c r="D7032" s="4" t="s">
        <v>7036</v>
      </c>
      <c r="E7032" s="4" t="str">
        <f>HYPERLINK("https://app.crepc.sk/?fn=detailBiblioForm&amp;sid=216C607C835A310D7159E23A")</f>
        <v>https://app.crepc.sk/?fn=detailBiblioForm&amp;sid=216C607C835A310D7159E23A</v>
      </c>
    </row>
    <row r="7033" spans="3:5" ht="120" x14ac:dyDescent="0.25">
      <c r="C7033" s="15">
        <v>243971</v>
      </c>
      <c r="D7033" s="4" t="s">
        <v>7037</v>
      </c>
      <c r="E7033" s="4" t="str">
        <f>HYPERLINK("https://app.crepc.sk/?fn=detailBiblioForm&amp;sid=4E0FD8AB6AD1703548503E4C45")</f>
        <v>https://app.crepc.sk/?fn=detailBiblioForm&amp;sid=4E0FD8AB6AD1703548503E4C45</v>
      </c>
    </row>
    <row r="7034" spans="3:5" ht="75" x14ac:dyDescent="0.25">
      <c r="C7034" s="15">
        <v>175458</v>
      </c>
      <c r="D7034" s="4" t="s">
        <v>7038</v>
      </c>
      <c r="E7034" s="4" t="str">
        <f>HYPERLINK("https://app.crepc.sk/?fn=detailBiblioForm&amp;sid=5E8AE344A08831ABC88303A46F")</f>
        <v>https://app.crepc.sk/?fn=detailBiblioForm&amp;sid=5E8AE344A08831ABC88303A46F</v>
      </c>
    </row>
    <row r="7035" spans="3:5" ht="105" x14ac:dyDescent="0.25">
      <c r="C7035" s="15">
        <v>429199</v>
      </c>
      <c r="D7035" s="4" t="s">
        <v>7039</v>
      </c>
      <c r="E7035" s="4" t="str">
        <f>HYPERLINK("https://app.crepc.sk/?fn=detailBiblioForm&amp;sid=1F960971EB794925EBFB3E5078")</f>
        <v>https://app.crepc.sk/?fn=detailBiblioForm&amp;sid=1F960971EB794925EBFB3E5078</v>
      </c>
    </row>
    <row r="7036" spans="3:5" ht="90" x14ac:dyDescent="0.25">
      <c r="C7036" s="15">
        <v>118846</v>
      </c>
      <c r="D7036" s="4" t="s">
        <v>7040</v>
      </c>
      <c r="E7036" s="4" t="str">
        <f>HYPERLINK("https://app.crepc.sk/?fn=detailBiblioForm&amp;sid=180EDEFD59FD42974C2C52B590")</f>
        <v>https://app.crepc.sk/?fn=detailBiblioForm&amp;sid=180EDEFD59FD42974C2C52B590</v>
      </c>
    </row>
    <row r="7037" spans="3:5" ht="90" x14ac:dyDescent="0.25">
      <c r="C7037" s="15">
        <v>175466</v>
      </c>
      <c r="D7037" s="4" t="s">
        <v>7041</v>
      </c>
      <c r="E7037" s="4" t="str">
        <f>HYPERLINK("https://app.crepc.sk/?fn=detailBiblioForm&amp;sid=5E8AE344A08831ABCB8D03A46F")</f>
        <v>https://app.crepc.sk/?fn=detailBiblioForm&amp;sid=5E8AE344A08831ABCB8D03A46F</v>
      </c>
    </row>
    <row r="7038" spans="3:5" ht="60" x14ac:dyDescent="0.25">
      <c r="C7038" s="15">
        <v>70954</v>
      </c>
      <c r="D7038" s="4" t="s">
        <v>7042</v>
      </c>
      <c r="E7038" s="4" t="str">
        <f>HYPERLINK("https://app.crepc.sk/?fn=detailBiblioForm&amp;sid=20F3CA928D4E97DC08B3EB0C")</f>
        <v>https://app.crepc.sk/?fn=detailBiblioForm&amp;sid=20F3CA928D4E97DC08B3EB0C</v>
      </c>
    </row>
    <row r="7039" spans="3:5" ht="75" x14ac:dyDescent="0.25">
      <c r="C7039" s="15">
        <v>217973</v>
      </c>
      <c r="D7039" s="4" t="s">
        <v>7043</v>
      </c>
      <c r="E7039" s="4" t="str">
        <f>HYPERLINK("https://app.crepc.sk/?fn=detailBiblioForm&amp;sid=9E759344E92A27851DE3C915AD")</f>
        <v>https://app.crepc.sk/?fn=detailBiblioForm&amp;sid=9E759344E92A27851DE3C915AD</v>
      </c>
    </row>
    <row r="7040" spans="3:5" ht="75" x14ac:dyDescent="0.25">
      <c r="C7040" s="15">
        <v>450053</v>
      </c>
      <c r="D7040" s="4" t="s">
        <v>7044</v>
      </c>
      <c r="E7040" s="4" t="str">
        <f>HYPERLINK("https://app.crepc.sk/?fn=detailBiblioForm&amp;sid=17D51798FBDCAF604CAE7CB596")</f>
        <v>https://app.crepc.sk/?fn=detailBiblioForm&amp;sid=17D51798FBDCAF604CAE7CB596</v>
      </c>
    </row>
    <row r="7041" spans="3:5" ht="90" x14ac:dyDescent="0.25">
      <c r="C7041" s="15">
        <v>75574</v>
      </c>
      <c r="D7041" s="4" t="s">
        <v>7045</v>
      </c>
      <c r="E7041" s="4" t="str">
        <f>HYPERLINK("https://app.crepc.sk/?fn=detailBiblioForm&amp;sid=81E22F811C25E1F702839A96")</f>
        <v>https://app.crepc.sk/?fn=detailBiblioForm&amp;sid=81E22F811C25E1F702839A96</v>
      </c>
    </row>
    <row r="7042" spans="3:5" ht="105" x14ac:dyDescent="0.25">
      <c r="C7042" s="15">
        <v>244550</v>
      </c>
      <c r="D7042" s="4" t="s">
        <v>7046</v>
      </c>
      <c r="E7042" s="4" t="str">
        <f>HYPERLINK("https://app.crepc.sk/?fn=detailBiblioForm&amp;sid=7CD45A5C10A06C781FF7ABC625")</f>
        <v>https://app.crepc.sk/?fn=detailBiblioForm&amp;sid=7CD45A5C10A06C781FF7ABC625</v>
      </c>
    </row>
    <row r="7043" spans="3:5" ht="75" x14ac:dyDescent="0.25">
      <c r="C7043" s="15">
        <v>194112</v>
      </c>
      <c r="D7043" s="4" t="s">
        <v>7047</v>
      </c>
      <c r="E7043" s="4" t="str">
        <f>HYPERLINK("https://app.crepc.sk/?fn=detailBiblioForm&amp;sid=6B687C943B1B55D86597670474")</f>
        <v>https://app.crepc.sk/?fn=detailBiblioForm&amp;sid=6B687C943B1B55D86597670474</v>
      </c>
    </row>
    <row r="7044" spans="3:5" ht="105" x14ac:dyDescent="0.25">
      <c r="C7044" s="15">
        <v>51944</v>
      </c>
      <c r="D7044" s="4" t="s">
        <v>7048</v>
      </c>
      <c r="E7044" s="4" t="str">
        <f>HYPERLINK("https://app.crepc.sk/?fn=detailBiblioForm&amp;sid=204761D2FBC86FD89EC55399")</f>
        <v>https://app.crepc.sk/?fn=detailBiblioForm&amp;sid=204761D2FBC86FD89EC55399</v>
      </c>
    </row>
    <row r="7045" spans="3:5" ht="120" x14ac:dyDescent="0.25">
      <c r="C7045" s="15">
        <v>51949</v>
      </c>
      <c r="D7045" s="4" t="s">
        <v>7049</v>
      </c>
      <c r="E7045" s="4" t="str">
        <f>HYPERLINK("https://app.crepc.sk/?fn=detailBiblioForm&amp;sid=204761D2FBC86FD893C55399")</f>
        <v>https://app.crepc.sk/?fn=detailBiblioForm&amp;sid=204761D2FBC86FD893C55399</v>
      </c>
    </row>
    <row r="7046" spans="3:5" ht="150" x14ac:dyDescent="0.25">
      <c r="C7046" s="15">
        <v>64767</v>
      </c>
      <c r="D7046" s="4" t="s">
        <v>7050</v>
      </c>
      <c r="E7046" s="4" t="str">
        <f>HYPERLINK("https://app.crepc.sk/?fn=detailBiblioForm&amp;sid=554C75DF2C65ADB20A4F3D1F")</f>
        <v>https://app.crepc.sk/?fn=detailBiblioForm&amp;sid=554C75DF2C65ADB20A4F3D1F</v>
      </c>
    </row>
    <row r="7047" spans="3:5" ht="75" x14ac:dyDescent="0.25">
      <c r="C7047" s="15">
        <v>155547</v>
      </c>
      <c r="D7047" s="4" t="s">
        <v>7051</v>
      </c>
      <c r="E7047" s="4" t="str">
        <f>HYPERLINK("https://app.crepc.sk/?fn=detailBiblioForm&amp;sid=C5CEB0A71A9E9E69811513A9DA")</f>
        <v>https://app.crepc.sk/?fn=detailBiblioForm&amp;sid=C5CEB0A71A9E9E69811513A9DA</v>
      </c>
    </row>
    <row r="7048" spans="3:5" ht="105" x14ac:dyDescent="0.25">
      <c r="C7048" s="15">
        <v>79169</v>
      </c>
      <c r="D7048" s="4" t="s">
        <v>7052</v>
      </c>
      <c r="E7048" s="4" t="str">
        <f>HYPERLINK("https://app.crepc.sk/?fn=detailBiblioForm&amp;sid=26F4B165C7DB62DB2E2F6741")</f>
        <v>https://app.crepc.sk/?fn=detailBiblioForm&amp;sid=26F4B165C7DB62DB2E2F6741</v>
      </c>
    </row>
    <row r="7049" spans="3:5" ht="75" x14ac:dyDescent="0.25">
      <c r="C7049" s="15">
        <v>54892</v>
      </c>
      <c r="D7049" s="4" t="s">
        <v>7053</v>
      </c>
      <c r="E7049" s="4" t="str">
        <f>HYPERLINK("https://app.crepc.sk/?fn=detailBiblioForm&amp;sid=AF07CA871AAC608CC588548A")</f>
        <v>https://app.crepc.sk/?fn=detailBiblioForm&amp;sid=AF07CA871AAC608CC588548A</v>
      </c>
    </row>
    <row r="7050" spans="3:5" ht="75" x14ac:dyDescent="0.25">
      <c r="C7050" s="15">
        <v>129395</v>
      </c>
      <c r="D7050" s="4" t="s">
        <v>7054</v>
      </c>
      <c r="E7050" s="4" t="str">
        <f>HYPERLINK("https://app.crepc.sk/?fn=detailBiblioForm&amp;sid=9B6D79FADC5C6A59832BE9DE88")</f>
        <v>https://app.crepc.sk/?fn=detailBiblioForm&amp;sid=9B6D79FADC5C6A59832BE9DE88</v>
      </c>
    </row>
    <row r="7051" spans="3:5" ht="75" x14ac:dyDescent="0.25">
      <c r="C7051" s="15">
        <v>450036</v>
      </c>
      <c r="D7051" s="4" t="s">
        <v>7055</v>
      </c>
      <c r="E7051" s="4" t="str">
        <f>HYPERLINK("https://app.crepc.sk/?fn=detailBiblioForm&amp;sid=17D51798FBDCAF604AAB7CB596")</f>
        <v>https://app.crepc.sk/?fn=detailBiblioForm&amp;sid=17D51798FBDCAF604AAB7CB596</v>
      </c>
    </row>
    <row r="7052" spans="3:5" ht="105" x14ac:dyDescent="0.25">
      <c r="C7052" s="15">
        <v>161910</v>
      </c>
      <c r="D7052" s="4" t="s">
        <v>7056</v>
      </c>
      <c r="E7052" s="4" t="str">
        <f>HYPERLINK("https://app.crepc.sk/?fn=detailBiblioForm&amp;sid=3BEC39B52C756B70CC0279B3D6")</f>
        <v>https://app.crepc.sk/?fn=detailBiblioForm&amp;sid=3BEC39B52C756B70CC0279B3D6</v>
      </c>
    </row>
    <row r="7053" spans="3:5" ht="90" x14ac:dyDescent="0.25">
      <c r="C7053" s="15">
        <v>426987</v>
      </c>
      <c r="D7053" s="4" t="s">
        <v>7057</v>
      </c>
      <c r="E7053" s="4" t="str">
        <f>HYPERLINK("https://app.crepc.sk/?fn=detailBiblioForm&amp;sid=7F7D618A5383796EE8D234E727")</f>
        <v>https://app.crepc.sk/?fn=detailBiblioForm&amp;sid=7F7D618A5383796EE8D234E727</v>
      </c>
    </row>
    <row r="7054" spans="3:5" ht="105" x14ac:dyDescent="0.25">
      <c r="C7054" s="15">
        <v>88119</v>
      </c>
      <c r="D7054" s="4" t="s">
        <v>7058</v>
      </c>
      <c r="E7054" s="4" t="str">
        <f>HYPERLINK("https://app.crepc.sk/?fn=detailBiblioForm&amp;sid=8558EB376AB5D3938C6D6F05")</f>
        <v>https://app.crepc.sk/?fn=detailBiblioForm&amp;sid=8558EB376AB5D3938C6D6F05</v>
      </c>
    </row>
    <row r="7055" spans="3:5" ht="75" x14ac:dyDescent="0.25">
      <c r="C7055" s="15">
        <v>51318</v>
      </c>
      <c r="D7055" s="4" t="s">
        <v>7059</v>
      </c>
      <c r="E7055" s="4" t="str">
        <f>HYPERLINK("https://app.crepc.sk/?fn=detailBiblioForm&amp;sid=1803626788CCBC4B1E3DC063")</f>
        <v>https://app.crepc.sk/?fn=detailBiblioForm&amp;sid=1803626788CCBC4B1E3DC063</v>
      </c>
    </row>
    <row r="7056" spans="3:5" ht="75" x14ac:dyDescent="0.25">
      <c r="C7056" s="15">
        <v>417947</v>
      </c>
      <c r="D7056" s="4" t="s">
        <v>7060</v>
      </c>
      <c r="E7056" s="4" t="str">
        <f>HYPERLINK("https://app.crepc.sk/?fn=detailBiblioForm&amp;sid=C5B079E63B83F387140B41508D")</f>
        <v>https://app.crepc.sk/?fn=detailBiblioForm&amp;sid=C5B079E63B83F387140B41508D</v>
      </c>
    </row>
    <row r="7057" spans="3:5" ht="120" x14ac:dyDescent="0.25">
      <c r="C7057" s="15">
        <v>51947</v>
      </c>
      <c r="D7057" s="4" t="s">
        <v>7061</v>
      </c>
      <c r="E7057" s="4" t="str">
        <f>HYPERLINK("https://app.crepc.sk/?fn=detailBiblioForm&amp;sid=204761D2FBC86FD89DC55399")</f>
        <v>https://app.crepc.sk/?fn=detailBiblioForm&amp;sid=204761D2FBC86FD89DC55399</v>
      </c>
    </row>
    <row r="7058" spans="3:5" ht="120" x14ac:dyDescent="0.25">
      <c r="C7058" s="15">
        <v>52656</v>
      </c>
      <c r="D7058" s="4" t="s">
        <v>7062</v>
      </c>
      <c r="E7058" s="4" t="str">
        <f>HYPERLINK("https://app.crepc.sk/?fn=detailBiblioForm&amp;sid=CDAF6A33D4190CF5D91D42B3")</f>
        <v>https://app.crepc.sk/?fn=detailBiblioForm&amp;sid=CDAF6A33D4190CF5D91D42B3</v>
      </c>
    </row>
    <row r="7059" spans="3:5" ht="120" x14ac:dyDescent="0.25">
      <c r="C7059" s="15">
        <v>310258</v>
      </c>
      <c r="D7059" s="4" t="s">
        <v>7063</v>
      </c>
      <c r="E7059" s="4" t="str">
        <f>HYPERLINK("https://app.crepc.sk/?fn=detailBiblioForm&amp;sid=BA80C833B457BFD30305023DB9")</f>
        <v>https://app.crepc.sk/?fn=detailBiblioForm&amp;sid=BA80C833B457BFD30305023DB9</v>
      </c>
    </row>
    <row r="7060" spans="3:5" ht="105" x14ac:dyDescent="0.25">
      <c r="C7060" s="15">
        <v>423449</v>
      </c>
      <c r="D7060" s="4" t="s">
        <v>7064</v>
      </c>
      <c r="E7060" s="4" t="str">
        <f>HYPERLINK("https://app.crepc.sk/?fn=detailBiblioForm&amp;sid=FA3B7316EF32B7DB80EF3C238D")</f>
        <v>https://app.crepc.sk/?fn=detailBiblioForm&amp;sid=FA3B7316EF32B7DB80EF3C238D</v>
      </c>
    </row>
    <row r="7061" spans="3:5" ht="120" x14ac:dyDescent="0.25">
      <c r="C7061" s="15">
        <v>418535</v>
      </c>
      <c r="D7061" s="4" t="s">
        <v>7065</v>
      </c>
      <c r="E7061" s="4" t="str">
        <f>HYPERLINK("https://app.crepc.sk/?fn=detailBiblioForm&amp;sid=C3BF054227B45EA578BA7B6664")</f>
        <v>https://app.crepc.sk/?fn=detailBiblioForm&amp;sid=C3BF054227B45EA578BA7B6664</v>
      </c>
    </row>
    <row r="7062" spans="3:5" ht="75" x14ac:dyDescent="0.25">
      <c r="C7062" s="15">
        <v>152918</v>
      </c>
      <c r="D7062" s="4" t="s">
        <v>7066</v>
      </c>
      <c r="E7062" s="4" t="str">
        <f>HYPERLINK("https://app.crepc.sk/?fn=detailBiblioForm&amp;sid=877A1C170D2F97A1DB34CF3DE1")</f>
        <v>https://app.crepc.sk/?fn=detailBiblioForm&amp;sid=877A1C170D2F97A1DB34CF3DE1</v>
      </c>
    </row>
    <row r="7063" spans="3:5" ht="60" x14ac:dyDescent="0.25">
      <c r="C7063" s="15">
        <v>155543</v>
      </c>
      <c r="D7063" s="4" t="s">
        <v>7067</v>
      </c>
      <c r="E7063" s="4" t="str">
        <f>HYPERLINK("https://app.crepc.sk/?fn=detailBiblioForm&amp;sid=C5CEB0A71A9E9E69811113A9DA")</f>
        <v>https://app.crepc.sk/?fn=detailBiblioForm&amp;sid=C5CEB0A71A9E9E69811113A9DA</v>
      </c>
    </row>
    <row r="7064" spans="3:5" ht="60" x14ac:dyDescent="0.25">
      <c r="C7064" s="15">
        <v>148668</v>
      </c>
      <c r="D7064" s="4" t="s">
        <v>7068</v>
      </c>
      <c r="E7064" s="4" t="str">
        <f>HYPERLINK("https://app.crepc.sk/?fn=detailBiblioForm&amp;sid=12C8EC1657C182290D8E6A8174")</f>
        <v>https://app.crepc.sk/?fn=detailBiblioForm&amp;sid=12C8EC1657C182290D8E6A8174</v>
      </c>
    </row>
    <row r="7065" spans="3:5" ht="75" x14ac:dyDescent="0.25">
      <c r="C7065" s="15">
        <v>309136</v>
      </c>
      <c r="D7065" s="4" t="s">
        <v>7069</v>
      </c>
      <c r="E7065" s="4" t="str">
        <f>HYPERLINK("https://app.crepc.sk/?fn=detailBiblioForm&amp;sid=2CC6638F3D0653034CADD997BE")</f>
        <v>https://app.crepc.sk/?fn=detailBiblioForm&amp;sid=2CC6638F3D0653034CADD997BE</v>
      </c>
    </row>
    <row r="7066" spans="3:5" ht="90" x14ac:dyDescent="0.25">
      <c r="C7066" s="15">
        <v>417946</v>
      </c>
      <c r="D7066" s="4" t="s">
        <v>7070</v>
      </c>
      <c r="E7066" s="4" t="str">
        <f>HYPERLINK("https://app.crepc.sk/?fn=detailBiblioForm&amp;sid=C5B079E63B83F387140A41508D")</f>
        <v>https://app.crepc.sk/?fn=detailBiblioForm&amp;sid=C5B079E63B83F387140A41508D</v>
      </c>
    </row>
    <row r="7067" spans="3:5" ht="90" x14ac:dyDescent="0.25">
      <c r="C7067" s="15">
        <v>51936</v>
      </c>
      <c r="D7067" s="4" t="s">
        <v>7071</v>
      </c>
      <c r="E7067" s="4" t="str">
        <f>HYPERLINK("https://app.crepc.sk/?fn=detailBiblioForm&amp;sid=DEF8C469C283A3B60DD3416E")</f>
        <v>https://app.crepc.sk/?fn=detailBiblioForm&amp;sid=DEF8C469C283A3B60DD3416E</v>
      </c>
    </row>
    <row r="7068" spans="3:5" ht="75" x14ac:dyDescent="0.25">
      <c r="C7068" s="15">
        <v>244465</v>
      </c>
      <c r="D7068" s="4" t="s">
        <v>7072</v>
      </c>
      <c r="E7068" s="4" t="str">
        <f>HYPERLINK("https://app.crepc.sk/?fn=detailBiblioForm&amp;sid=EBD36AD372BA50A6ABB31DEA24")</f>
        <v>https://app.crepc.sk/?fn=detailBiblioForm&amp;sid=EBD36AD372BA50A6ABB31DEA24</v>
      </c>
    </row>
    <row r="7069" spans="3:5" ht="105" x14ac:dyDescent="0.25">
      <c r="C7069" s="15">
        <v>425479</v>
      </c>
      <c r="D7069" s="4" t="s">
        <v>7073</v>
      </c>
      <c r="E7069" s="4" t="str">
        <f>HYPERLINK("https://app.crepc.sk/?fn=detailBiblioForm&amp;sid=397948A370E721DAF7CAE83A15")</f>
        <v>https://app.crepc.sk/?fn=detailBiblioForm&amp;sid=397948A370E721DAF7CAE83A15</v>
      </c>
    </row>
    <row r="7070" spans="3:5" ht="90" x14ac:dyDescent="0.25">
      <c r="C7070" s="15">
        <v>139594</v>
      </c>
      <c r="D7070" s="4" t="s">
        <v>7074</v>
      </c>
      <c r="E7070" s="4" t="str">
        <f>HYPERLINK("https://app.crepc.sk/?fn=detailBiblioForm&amp;sid=2753E74A420B011D7BD312E075")</f>
        <v>https://app.crepc.sk/?fn=detailBiblioForm&amp;sid=2753E74A420B011D7BD312E075</v>
      </c>
    </row>
    <row r="7071" spans="3:5" ht="105" x14ac:dyDescent="0.25">
      <c r="C7071" s="15">
        <v>55814</v>
      </c>
      <c r="D7071" s="4" t="s">
        <v>7075</v>
      </c>
      <c r="E7071" s="4" t="str">
        <f>HYPERLINK("https://app.crepc.sk/?fn=detailBiblioForm&amp;sid=39DDA4F13BC40ABDAB2857E7")</f>
        <v>https://app.crepc.sk/?fn=detailBiblioForm&amp;sid=39DDA4F13BC40ABDAB2857E7</v>
      </c>
    </row>
    <row r="7072" spans="3:5" ht="120" x14ac:dyDescent="0.25">
      <c r="C7072" s="15">
        <v>51948</v>
      </c>
      <c r="D7072" s="4" t="s">
        <v>7076</v>
      </c>
      <c r="E7072" s="4" t="str">
        <f>HYPERLINK("https://app.crepc.sk/?fn=detailBiblioForm&amp;sid=204761D2FBC86FD892C55399")</f>
        <v>https://app.crepc.sk/?fn=detailBiblioForm&amp;sid=204761D2FBC86FD892C55399</v>
      </c>
    </row>
    <row r="7073" spans="3:5" ht="60" x14ac:dyDescent="0.25">
      <c r="C7073" s="15">
        <v>242106</v>
      </c>
      <c r="D7073" s="4" t="s">
        <v>7077</v>
      </c>
      <c r="E7073" s="4" t="str">
        <f>HYPERLINK("https://app.crepc.sk/?fn=detailBiblioForm&amp;sid=C2D791D8D6D66A4B7251D9E3BC")</f>
        <v>https://app.crepc.sk/?fn=detailBiblioForm&amp;sid=C2D791D8D6D66A4B7251D9E3BC</v>
      </c>
    </row>
    <row r="7074" spans="3:5" ht="90" x14ac:dyDescent="0.25">
      <c r="C7074" s="15">
        <v>147406</v>
      </c>
      <c r="D7074" s="4" t="s">
        <v>7078</v>
      </c>
      <c r="E7074" s="4" t="str">
        <f>HYPERLINK("https://app.crepc.sk/?fn=detailBiblioForm&amp;sid=CAF43C23BCEFEBA4BDCB70AAAC")</f>
        <v>https://app.crepc.sk/?fn=detailBiblioForm&amp;sid=CAF43C23BCEFEBA4BDCB70AAAC</v>
      </c>
    </row>
    <row r="7075" spans="3:5" ht="120" x14ac:dyDescent="0.25">
      <c r="C7075" s="15">
        <v>168908</v>
      </c>
      <c r="D7075" s="4" t="s">
        <v>7079</v>
      </c>
      <c r="E7075" s="4" t="str">
        <f>HYPERLINK("https://app.crepc.sk/?fn=detailBiblioForm&amp;sid=14E8631BC0ED910BF4FBCE25B0")</f>
        <v>https://app.crepc.sk/?fn=detailBiblioForm&amp;sid=14E8631BC0ED910BF4FBCE25B0</v>
      </c>
    </row>
    <row r="7076" spans="3:5" ht="90" x14ac:dyDescent="0.25">
      <c r="C7076" s="15">
        <v>216383</v>
      </c>
      <c r="D7076" s="4" t="s">
        <v>7080</v>
      </c>
      <c r="E7076" s="4" t="str">
        <f>HYPERLINK("https://app.crepc.sk/?fn=detailBiblioForm&amp;sid=B3C0B14686B6D9E3822A044AD4")</f>
        <v>https://app.crepc.sk/?fn=detailBiblioForm&amp;sid=B3C0B14686B6D9E3822A044AD4</v>
      </c>
    </row>
    <row r="7077" spans="3:5" ht="75" x14ac:dyDescent="0.25">
      <c r="C7077" s="15">
        <v>226500</v>
      </c>
      <c r="D7077" s="4" t="s">
        <v>7081</v>
      </c>
      <c r="E7077" s="4" t="str">
        <f>HYPERLINK("https://app.crepc.sk/?fn=detailBiblioForm&amp;sid=1A96CD219DD6F1D8FD5B31CBF0")</f>
        <v>https://app.crepc.sk/?fn=detailBiblioForm&amp;sid=1A96CD219DD6F1D8FD5B31CBF0</v>
      </c>
    </row>
    <row r="7078" spans="3:5" ht="75" x14ac:dyDescent="0.25">
      <c r="C7078" s="15">
        <v>79578</v>
      </c>
      <c r="D7078" s="4" t="s">
        <v>7082</v>
      </c>
      <c r="E7078" s="4" t="str">
        <f>HYPERLINK("https://app.crepc.sk/?fn=detailBiblioForm&amp;sid=0B3B15EEB549AB0A9C7B9A03")</f>
        <v>https://app.crepc.sk/?fn=detailBiblioForm&amp;sid=0B3B15EEB549AB0A9C7B9A03</v>
      </c>
    </row>
    <row r="7079" spans="3:5" ht="75" x14ac:dyDescent="0.25">
      <c r="C7079" s="15">
        <v>96668</v>
      </c>
      <c r="D7079" s="4" t="s">
        <v>7083</v>
      </c>
      <c r="E7079" s="4" t="str">
        <f>HYPERLINK("https://app.crepc.sk/?fn=detailBiblioForm&amp;sid=3E2CC26AC98F7290213EB057")</f>
        <v>https://app.crepc.sk/?fn=detailBiblioForm&amp;sid=3E2CC26AC98F7290213EB057</v>
      </c>
    </row>
    <row r="7080" spans="3:5" ht="105" x14ac:dyDescent="0.25">
      <c r="C7080" s="15">
        <v>314306</v>
      </c>
      <c r="D7080" s="4" t="s">
        <v>7084</v>
      </c>
      <c r="E7080" s="4" t="str">
        <f>HYPERLINK("https://app.crepc.sk/?fn=detailBiblioForm&amp;sid=DB4A6606D9AD7617B8A1831A31")</f>
        <v>https://app.crepc.sk/?fn=detailBiblioForm&amp;sid=DB4A6606D9AD7617B8A1831A31</v>
      </c>
    </row>
    <row r="7081" spans="3:5" ht="135" x14ac:dyDescent="0.25">
      <c r="C7081" s="15">
        <v>72570</v>
      </c>
      <c r="D7081" s="4" t="s">
        <v>7085</v>
      </c>
      <c r="E7081" s="4" t="str">
        <f>HYPERLINK("https://app.crepc.sk/?fn=detailBiblioForm&amp;sid=75EB66F28BBDB9EA7F76915F")</f>
        <v>https://app.crepc.sk/?fn=detailBiblioForm&amp;sid=75EB66F28BBDB9EA7F76915F</v>
      </c>
    </row>
    <row r="7082" spans="3:5" ht="120" x14ac:dyDescent="0.25">
      <c r="C7082" s="15">
        <v>425472</v>
      </c>
      <c r="D7082" s="4" t="s">
        <v>7086</v>
      </c>
      <c r="E7082" s="4" t="str">
        <f>HYPERLINK("https://app.crepc.sk/?fn=detailBiblioForm&amp;sid=397948A370E721DAF7C1E83A15")</f>
        <v>https://app.crepc.sk/?fn=detailBiblioForm&amp;sid=397948A370E721DAF7C1E83A15</v>
      </c>
    </row>
    <row r="7083" spans="3:5" ht="135" x14ac:dyDescent="0.25">
      <c r="C7083" s="15">
        <v>54233</v>
      </c>
      <c r="D7083" s="4" t="s">
        <v>7087</v>
      </c>
      <c r="E7083" s="4" t="str">
        <f>HYPERLINK("https://app.crepc.sk/?fn=detailBiblioForm&amp;sid=49C59BAC8368C0D1486D202D")</f>
        <v>https://app.crepc.sk/?fn=detailBiblioForm&amp;sid=49C59BAC8368C0D1486D202D</v>
      </c>
    </row>
    <row r="7084" spans="3:5" ht="120" x14ac:dyDescent="0.25">
      <c r="C7084" s="15">
        <v>66361</v>
      </c>
      <c r="D7084" s="4" t="s">
        <v>7088</v>
      </c>
      <c r="E7084" s="4" t="str">
        <f>HYPERLINK("https://app.crepc.sk/?fn=detailBiblioForm&amp;sid=FD7101F8A3C24A3980BFD394")</f>
        <v>https://app.crepc.sk/?fn=detailBiblioForm&amp;sid=FD7101F8A3C24A3980BFD394</v>
      </c>
    </row>
    <row r="7085" spans="3:5" ht="90" x14ac:dyDescent="0.25">
      <c r="C7085" s="15">
        <v>86241</v>
      </c>
      <c r="D7085" s="4" t="s">
        <v>7089</v>
      </c>
      <c r="E7085" s="4" t="str">
        <f>HYPERLINK("https://app.crepc.sk/?fn=detailBiblioForm&amp;sid=13E990D75146ECA314E78AD9")</f>
        <v>https://app.crepc.sk/?fn=detailBiblioForm&amp;sid=13E990D75146ECA314E78AD9</v>
      </c>
    </row>
    <row r="7086" spans="3:5" ht="75" x14ac:dyDescent="0.25">
      <c r="C7086" s="15">
        <v>127830</v>
      </c>
      <c r="D7086" s="4" t="s">
        <v>7090</v>
      </c>
      <c r="E7086" s="4" t="str">
        <f>HYPERLINK("https://app.crepc.sk/?fn=detailBiblioForm&amp;sid=9359D1AC2B33EC8F6C8591CA15")</f>
        <v>https://app.crepc.sk/?fn=detailBiblioForm&amp;sid=9359D1AC2B33EC8F6C8591CA15</v>
      </c>
    </row>
    <row r="7087" spans="3:5" ht="105" x14ac:dyDescent="0.25">
      <c r="C7087" s="15">
        <v>79176</v>
      </c>
      <c r="D7087" s="4" t="s">
        <v>7091</v>
      </c>
      <c r="E7087" s="4" t="str">
        <f>HYPERLINK("https://app.crepc.sk/?fn=detailBiblioForm&amp;sid=7604B662C6D6850B4CB641E3")</f>
        <v>https://app.crepc.sk/?fn=detailBiblioForm&amp;sid=7604B662C6D6850B4CB641E3</v>
      </c>
    </row>
    <row r="7088" spans="3:5" ht="105" x14ac:dyDescent="0.25">
      <c r="C7088" s="15">
        <v>86643</v>
      </c>
      <c r="D7088" s="4" t="s">
        <v>7092</v>
      </c>
      <c r="E7088" s="4" t="str">
        <f>HYPERLINK("https://app.crepc.sk/?fn=detailBiblioForm&amp;sid=16D50FD31B986943CE26F960")</f>
        <v>https://app.crepc.sk/?fn=detailBiblioForm&amp;sid=16D50FD31B986943CE26F960</v>
      </c>
    </row>
    <row r="7089" spans="3:5" ht="105" x14ac:dyDescent="0.25">
      <c r="C7089" s="15">
        <v>306257</v>
      </c>
      <c r="D7089" s="4" t="s">
        <v>7093</v>
      </c>
      <c r="E7089" s="4" t="str">
        <f>HYPERLINK("https://app.crepc.sk/?fn=detailBiblioForm&amp;sid=2BC820A3AFEB8539D1B4A78DDC")</f>
        <v>https://app.crepc.sk/?fn=detailBiblioForm&amp;sid=2BC820A3AFEB8539D1B4A78DDC</v>
      </c>
    </row>
    <row r="7090" spans="3:5" ht="105" x14ac:dyDescent="0.25">
      <c r="C7090" s="15">
        <v>79203</v>
      </c>
      <c r="D7090" s="4" t="s">
        <v>7094</v>
      </c>
      <c r="E7090" s="4" t="str">
        <f>HYPERLINK("https://app.crepc.sk/?fn=detailBiblioForm&amp;sid=7DE0424E8930A52F5158A9EC")</f>
        <v>https://app.crepc.sk/?fn=detailBiblioForm&amp;sid=7DE0424E8930A52F5158A9EC</v>
      </c>
    </row>
    <row r="7091" spans="3:5" ht="135" x14ac:dyDescent="0.25">
      <c r="C7091" s="15">
        <v>77799</v>
      </c>
      <c r="D7091" s="4" t="s">
        <v>7095</v>
      </c>
      <c r="E7091" s="4" t="str">
        <f>HYPERLINK("https://app.crepc.sk/?fn=detailBiblioForm&amp;sid=C28130B3409821B2016714AE")</f>
        <v>https://app.crepc.sk/?fn=detailBiblioForm&amp;sid=C28130B3409821B2016714AE</v>
      </c>
    </row>
    <row r="7092" spans="3:5" ht="105" x14ac:dyDescent="0.25">
      <c r="C7092" s="15">
        <v>79047</v>
      </c>
      <c r="D7092" s="4" t="s">
        <v>7096</v>
      </c>
      <c r="E7092" s="4" t="str">
        <f>HYPERLINK("https://app.crepc.sk/?fn=detailBiblioForm&amp;sid=405C6158DAD275CABEEF9C7F")</f>
        <v>https://app.crepc.sk/?fn=detailBiblioForm&amp;sid=405C6158DAD275CABEEF9C7F</v>
      </c>
    </row>
    <row r="7093" spans="3:5" ht="75" x14ac:dyDescent="0.25">
      <c r="C7093" s="15">
        <v>229302</v>
      </c>
      <c r="D7093" s="4" t="s">
        <v>7097</v>
      </c>
      <c r="E7093" s="4" t="str">
        <f>HYPERLINK("https://app.crepc.sk/?fn=detailBiblioForm&amp;sid=50EC99C9FF9B848B35F76D41C5")</f>
        <v>https://app.crepc.sk/?fn=detailBiblioForm&amp;sid=50EC99C9FF9B848B35F76D41C5</v>
      </c>
    </row>
    <row r="7094" spans="3:5" ht="75" x14ac:dyDescent="0.25">
      <c r="C7094" s="15">
        <v>310202</v>
      </c>
      <c r="D7094" s="4" t="s">
        <v>7098</v>
      </c>
      <c r="E7094" s="4" t="str">
        <f>HYPERLINK("https://app.crepc.sk/?fn=detailBiblioForm&amp;sid=BA80C833B457BFD3060F023DB9")</f>
        <v>https://app.crepc.sk/?fn=detailBiblioForm&amp;sid=BA80C833B457BFD3060F023DB9</v>
      </c>
    </row>
    <row r="7095" spans="3:5" ht="75" x14ac:dyDescent="0.25">
      <c r="C7095" s="15">
        <v>422414</v>
      </c>
      <c r="D7095" s="4" t="s">
        <v>7099</v>
      </c>
      <c r="E7095" s="4" t="str">
        <f>HYPERLINK("https://app.crepc.sk/?fn=detailBiblioForm&amp;sid=50C23C962AC4873686F798C4F3")</f>
        <v>https://app.crepc.sk/?fn=detailBiblioForm&amp;sid=50C23C962AC4873686F798C4F3</v>
      </c>
    </row>
    <row r="7096" spans="3:5" ht="105" x14ac:dyDescent="0.25">
      <c r="C7096" s="15">
        <v>56029</v>
      </c>
      <c r="D7096" s="4" t="s">
        <v>7100</v>
      </c>
      <c r="E7096" s="4" t="str">
        <f>HYPERLINK("https://app.crepc.sk/?fn=detailBiblioForm&amp;sid=33B7B9B26DB78DDB6509CE0F")</f>
        <v>https://app.crepc.sk/?fn=detailBiblioForm&amp;sid=33B7B9B26DB78DDB6509CE0F</v>
      </c>
    </row>
    <row r="7097" spans="3:5" ht="60" x14ac:dyDescent="0.25">
      <c r="C7097" s="15">
        <v>51322</v>
      </c>
      <c r="D7097" s="4" t="s">
        <v>7101</v>
      </c>
      <c r="E7097" s="4" t="str">
        <f>HYPERLINK("https://app.crepc.sk/?fn=detailBiblioForm&amp;sid=16189F8215C2FB46F5DAFFA0")</f>
        <v>https://app.crepc.sk/?fn=detailBiblioForm&amp;sid=16189F8215C2FB46F5DAFFA0</v>
      </c>
    </row>
    <row r="7098" spans="3:5" ht="105" x14ac:dyDescent="0.25">
      <c r="C7098" s="15">
        <v>51945</v>
      </c>
      <c r="D7098" s="4" t="s">
        <v>7102</v>
      </c>
      <c r="E7098" s="4" t="str">
        <f>HYPERLINK("https://app.crepc.sk/?fn=detailBiblioForm&amp;sid=204761D2FBC86FD89FC55399")</f>
        <v>https://app.crepc.sk/?fn=detailBiblioForm&amp;sid=204761D2FBC86FD89FC55399</v>
      </c>
    </row>
    <row r="7099" spans="3:5" ht="90" x14ac:dyDescent="0.25">
      <c r="C7099" s="15">
        <v>82465</v>
      </c>
      <c r="D7099" s="4" t="s">
        <v>7103</v>
      </c>
      <c r="E7099" s="4" t="str">
        <f>HYPERLINK("https://app.crepc.sk/?fn=detailBiblioForm&amp;sid=E48AA23DC3B6C2916D2B534D")</f>
        <v>https://app.crepc.sk/?fn=detailBiblioForm&amp;sid=E48AA23DC3B6C2916D2B534D</v>
      </c>
    </row>
    <row r="7100" spans="3:5" ht="90" x14ac:dyDescent="0.25">
      <c r="C7100" s="15">
        <v>75577</v>
      </c>
      <c r="D7100" s="4" t="s">
        <v>7104</v>
      </c>
      <c r="E7100" s="4" t="str">
        <f>HYPERLINK("https://app.crepc.sk/?fn=detailBiblioForm&amp;sid=81E22F811C25E1F701839A96")</f>
        <v>https://app.crepc.sk/?fn=detailBiblioForm&amp;sid=81E22F811C25E1F701839A96</v>
      </c>
    </row>
    <row r="7101" spans="3:5" ht="90" x14ac:dyDescent="0.25">
      <c r="C7101" s="15">
        <v>75580</v>
      </c>
      <c r="D7101" s="4" t="s">
        <v>7105</v>
      </c>
      <c r="E7101" s="4" t="str">
        <f>HYPERLINK("https://app.crepc.sk/?fn=detailBiblioForm&amp;sid=7E3114D01432D19181706423")</f>
        <v>https://app.crepc.sk/?fn=detailBiblioForm&amp;sid=7E3114D01432D19181706423</v>
      </c>
    </row>
    <row r="7102" spans="3:5" ht="90" x14ac:dyDescent="0.25">
      <c r="C7102" s="15">
        <v>75581</v>
      </c>
      <c r="D7102" s="4" t="s">
        <v>7106</v>
      </c>
      <c r="E7102" s="4" t="str">
        <f>HYPERLINK("https://app.crepc.sk/?fn=detailBiblioForm&amp;sid=7E3114D01432D19180706423")</f>
        <v>https://app.crepc.sk/?fn=detailBiblioForm&amp;sid=7E3114D01432D19180706423</v>
      </c>
    </row>
    <row r="7103" spans="3:5" ht="60" x14ac:dyDescent="0.25">
      <c r="C7103" s="15">
        <v>111647</v>
      </c>
      <c r="D7103" s="4" t="s">
        <v>7107</v>
      </c>
      <c r="E7103" s="4" t="str">
        <f>HYPERLINK("https://app.crepc.sk/?fn=detailBiblioForm&amp;sid=82E8E2F14D9232B3C3ACCE7B57")</f>
        <v>https://app.crepc.sk/?fn=detailBiblioForm&amp;sid=82E8E2F14D9232B3C3ACCE7B57</v>
      </c>
    </row>
    <row r="7104" spans="3:5" ht="90" x14ac:dyDescent="0.25">
      <c r="C7104" s="15">
        <v>59176</v>
      </c>
      <c r="D7104" s="4" t="s">
        <v>7108</v>
      </c>
      <c r="E7104" s="4" t="str">
        <f>HYPERLINK("https://app.crepc.sk/?fn=detailBiblioForm&amp;sid=71F8B8E055999770D609B23B")</f>
        <v>https://app.crepc.sk/?fn=detailBiblioForm&amp;sid=71F8B8E055999770D609B23B</v>
      </c>
    </row>
    <row r="7105" spans="1:5" ht="75" x14ac:dyDescent="0.25">
      <c r="C7105" s="15">
        <v>118640</v>
      </c>
      <c r="D7105" s="4" t="s">
        <v>7109</v>
      </c>
      <c r="E7105" s="4" t="str">
        <f>HYPERLINK("https://app.crepc.sk/?fn=detailBiblioForm&amp;sid=6B4985DCE924C343C5F1A4E6C1")</f>
        <v>https://app.crepc.sk/?fn=detailBiblioForm&amp;sid=6B4985DCE924C343C5F1A4E6C1</v>
      </c>
    </row>
    <row r="7106" spans="1:5" ht="105" x14ac:dyDescent="0.25">
      <c r="C7106" s="15">
        <v>116460</v>
      </c>
      <c r="D7106" s="4" t="s">
        <v>7110</v>
      </c>
      <c r="E7106" s="4" t="str">
        <f>HYPERLINK("https://app.crepc.sk/?fn=detailBiblioForm&amp;sid=E2F93AEC495D93B32540774800")</f>
        <v>https://app.crepc.sk/?fn=detailBiblioForm&amp;sid=E2F93AEC495D93B32540774800</v>
      </c>
    </row>
    <row r="7107" spans="1:5" ht="75" x14ac:dyDescent="0.25">
      <c r="C7107" s="15">
        <v>217975</v>
      </c>
      <c r="D7107" s="4" t="s">
        <v>7111</v>
      </c>
      <c r="E7107" s="4" t="str">
        <f>HYPERLINK("https://app.crepc.sk/?fn=detailBiblioForm&amp;sid=9E759344E92A27851DE5C915AD")</f>
        <v>https://app.crepc.sk/?fn=detailBiblioForm&amp;sid=9E759344E92A27851DE5C915AD</v>
      </c>
    </row>
    <row r="7108" spans="1:5" ht="105" x14ac:dyDescent="0.25">
      <c r="C7108" s="15">
        <v>121143</v>
      </c>
      <c r="D7108" s="4" t="s">
        <v>7112</v>
      </c>
      <c r="E7108" s="4" t="str">
        <f>HYPERLINK("https://app.crepc.sk/?fn=detailBiblioForm&amp;sid=89B7BE4D03EE00FA75546CCD7F")</f>
        <v>https://app.crepc.sk/?fn=detailBiblioForm&amp;sid=89B7BE4D03EE00FA75546CCD7F</v>
      </c>
    </row>
    <row r="7109" spans="1:5" ht="90" x14ac:dyDescent="0.25">
      <c r="C7109" s="15">
        <v>144976</v>
      </c>
      <c r="D7109" s="4" t="s">
        <v>7113</v>
      </c>
      <c r="E7109" s="4" t="str">
        <f>HYPERLINK("https://app.crepc.sk/?fn=detailBiblioForm&amp;sid=DC8744544C5E08693B9FDE903C")</f>
        <v>https://app.crepc.sk/?fn=detailBiblioForm&amp;sid=DC8744544C5E08693B9FDE903C</v>
      </c>
    </row>
    <row r="7110" spans="1:5" ht="90" x14ac:dyDescent="0.25">
      <c r="C7110" s="15">
        <v>138733</v>
      </c>
      <c r="D7110" s="4" t="s">
        <v>7114</v>
      </c>
      <c r="E7110" s="4" t="str">
        <f>HYPERLINK("https://app.crepc.sk/?fn=detailBiblioForm&amp;sid=B05445C3B1156175C3C4E1ECCB")</f>
        <v>https://app.crepc.sk/?fn=detailBiblioForm&amp;sid=B05445C3B1156175C3C4E1ECCB</v>
      </c>
    </row>
    <row r="7111" spans="1:5" ht="90" x14ac:dyDescent="0.25">
      <c r="C7111" s="15">
        <v>51243</v>
      </c>
      <c r="D7111" s="4" t="s">
        <v>7115</v>
      </c>
      <c r="E7111" s="4" t="str">
        <f>HYPERLINK("https://app.crepc.sk/?fn=detailBiblioForm&amp;sid=E3A9CAEA6873959EB6674507")</f>
        <v>https://app.crepc.sk/?fn=detailBiblioForm&amp;sid=E3A9CAEA6873959EB6674507</v>
      </c>
    </row>
    <row r="7112" spans="1:5" ht="75" x14ac:dyDescent="0.25">
      <c r="C7112" s="15">
        <v>76178</v>
      </c>
      <c r="D7112" s="4" t="s">
        <v>7116</v>
      </c>
      <c r="E7112" s="4" t="str">
        <f>HYPERLINK("https://app.crepc.sk/?fn=detailBiblioForm&amp;sid=7E7DDC8F4791536789D8A57E")</f>
        <v>https://app.crepc.sk/?fn=detailBiblioForm&amp;sid=7E7DDC8F4791536789D8A57E</v>
      </c>
    </row>
    <row r="7113" spans="1:5" ht="105" x14ac:dyDescent="0.25">
      <c r="C7113" s="15">
        <v>96672</v>
      </c>
      <c r="D7113" s="4" t="s">
        <v>7117</v>
      </c>
      <c r="E7113" s="4" t="str">
        <f>HYPERLINK("https://app.crepc.sk/?fn=detailBiblioForm&amp;sid=D65885F80EE90ED4411BBE54")</f>
        <v>https://app.crepc.sk/?fn=detailBiblioForm&amp;sid=D65885F80EE90ED4411BBE54</v>
      </c>
    </row>
    <row r="7114" spans="1:5" ht="90" x14ac:dyDescent="0.25">
      <c r="C7114" s="15">
        <v>111656</v>
      </c>
      <c r="D7114" s="4" t="s">
        <v>7118</v>
      </c>
      <c r="E7114" s="4" t="str">
        <f>HYPERLINK("https://app.crepc.sk/?fn=detailBiblioForm&amp;sid=82E8E2F14D9232B3C2ADCE7B57")</f>
        <v>https://app.crepc.sk/?fn=detailBiblioForm&amp;sid=82E8E2F14D9232B3C2ADCE7B57</v>
      </c>
    </row>
    <row r="7115" spans="1:5" x14ac:dyDescent="0.25">
      <c r="A7115" s="4" t="s">
        <v>7119</v>
      </c>
      <c r="B7115" s="15">
        <v>135</v>
      </c>
    </row>
    <row r="7116" spans="1:5" ht="90" x14ac:dyDescent="0.25">
      <c r="C7116" s="15">
        <v>63108</v>
      </c>
      <c r="D7116" s="4" t="s">
        <v>7120</v>
      </c>
      <c r="E7116" s="4" t="str">
        <f>HYPERLINK("https://app.crepc.sk/?fn=detailBiblioForm&amp;sid=BBDBE8695E3B5FF610E7F5BB")</f>
        <v>https://app.crepc.sk/?fn=detailBiblioForm&amp;sid=BBDBE8695E3B5FF610E7F5BB</v>
      </c>
    </row>
    <row r="7117" spans="1:5" ht="75" x14ac:dyDescent="0.25">
      <c r="C7117" s="15">
        <v>184949</v>
      </c>
      <c r="D7117" s="4" t="s">
        <v>7121</v>
      </c>
      <c r="E7117" s="4" t="str">
        <f>HYPERLINK("https://app.crepc.sk/?fn=detailBiblioForm&amp;sid=2A0855BB69981FFC2B5D8683AA")</f>
        <v>https://app.crepc.sk/?fn=detailBiblioForm&amp;sid=2A0855BB69981FFC2B5D8683AA</v>
      </c>
    </row>
    <row r="7118" spans="1:5" ht="60" x14ac:dyDescent="0.25">
      <c r="C7118" s="15">
        <v>74955</v>
      </c>
      <c r="D7118" s="4" t="s">
        <v>7122</v>
      </c>
      <c r="E7118" s="4" t="str">
        <f>HYPERLINK("https://app.crepc.sk/?fn=detailBiblioForm&amp;sid=B3AE7B63BA9B95B7D2DBFAB9")</f>
        <v>https://app.crepc.sk/?fn=detailBiblioForm&amp;sid=B3AE7B63BA9B95B7D2DBFAB9</v>
      </c>
    </row>
    <row r="7119" spans="1:5" ht="75" x14ac:dyDescent="0.25">
      <c r="C7119" s="15">
        <v>122764</v>
      </c>
      <c r="D7119" s="4" t="s">
        <v>7123</v>
      </c>
      <c r="E7119" s="4" t="str">
        <f>HYPERLINK("https://app.crepc.sk/?fn=detailBiblioForm&amp;sid=A5B40B0321D8B57908DC09F729")</f>
        <v>https://app.crepc.sk/?fn=detailBiblioForm&amp;sid=A5B40B0321D8B57908DC09F729</v>
      </c>
    </row>
    <row r="7120" spans="1:5" ht="75" x14ac:dyDescent="0.25">
      <c r="C7120" s="15">
        <v>51263</v>
      </c>
      <c r="D7120" s="4" t="s">
        <v>7124</v>
      </c>
      <c r="E7120" s="4" t="str">
        <f>HYPERLINK("https://app.crepc.sk/?fn=detailBiblioForm&amp;sid=777CE75A3AADA6C19B63A9A2")</f>
        <v>https://app.crepc.sk/?fn=detailBiblioForm&amp;sid=777CE75A3AADA6C19B63A9A2</v>
      </c>
    </row>
    <row r="7121" spans="3:5" ht="60" x14ac:dyDescent="0.25">
      <c r="C7121" s="15">
        <v>62280</v>
      </c>
      <c r="D7121" s="4" t="s">
        <v>7125</v>
      </c>
      <c r="E7121" s="4" t="str">
        <f>HYPERLINK("https://app.crepc.sk/?fn=detailBiblioForm&amp;sid=E4A2AC38BED16E83AA192233")</f>
        <v>https://app.crepc.sk/?fn=detailBiblioForm&amp;sid=E4A2AC38BED16E83AA192233</v>
      </c>
    </row>
    <row r="7122" spans="3:5" ht="75" x14ac:dyDescent="0.25">
      <c r="C7122" s="15">
        <v>63122</v>
      </c>
      <c r="D7122" s="4" t="s">
        <v>7126</v>
      </c>
      <c r="E7122" s="4" t="str">
        <f>HYPERLINK("https://app.crepc.sk/?fn=detailBiblioForm&amp;sid=FEF7AD68BFD296D0FAC83654")</f>
        <v>https://app.crepc.sk/?fn=detailBiblioForm&amp;sid=FEF7AD68BFD296D0FAC83654</v>
      </c>
    </row>
    <row r="7123" spans="3:5" ht="90" x14ac:dyDescent="0.25">
      <c r="C7123" s="15">
        <v>138743</v>
      </c>
      <c r="D7123" s="4" t="s">
        <v>7127</v>
      </c>
      <c r="E7123" s="4" t="str">
        <f>HYPERLINK("https://app.crepc.sk/?fn=detailBiblioForm&amp;sid=B05445C3B1156175C4C4E1ECCB")</f>
        <v>https://app.crepc.sk/?fn=detailBiblioForm&amp;sid=B05445C3B1156175C4C4E1ECCB</v>
      </c>
    </row>
    <row r="7124" spans="3:5" ht="120" x14ac:dyDescent="0.25">
      <c r="C7124" s="15">
        <v>174526</v>
      </c>
      <c r="D7124" s="4" t="s">
        <v>7128</v>
      </c>
      <c r="E7124" s="4" t="str">
        <f>HYPERLINK("https://app.crepc.sk/?fn=detailBiblioForm&amp;sid=72A4E145D65F5DA0B449551D33")</f>
        <v>https://app.crepc.sk/?fn=detailBiblioForm&amp;sid=72A4E145D65F5DA0B449551D33</v>
      </c>
    </row>
    <row r="7125" spans="3:5" ht="75" x14ac:dyDescent="0.25">
      <c r="C7125" s="15">
        <v>214909</v>
      </c>
      <c r="D7125" s="4" t="s">
        <v>7129</v>
      </c>
      <c r="E7125" s="4" t="str">
        <f>HYPERLINK("https://app.crepc.sk/?fn=detailBiblioForm&amp;sid=4B134B232C8D218148F66DD966")</f>
        <v>https://app.crepc.sk/?fn=detailBiblioForm&amp;sid=4B134B232C8D218148F66DD966</v>
      </c>
    </row>
    <row r="7126" spans="3:5" ht="120" x14ac:dyDescent="0.25">
      <c r="C7126" s="15">
        <v>123527</v>
      </c>
      <c r="D7126" s="4" t="s">
        <v>7130</v>
      </c>
      <c r="E7126" s="4" t="str">
        <f>HYPERLINK("https://app.crepc.sk/?fn=detailBiblioForm&amp;sid=D29F3E4684739C0AF4DDC1639B")</f>
        <v>https://app.crepc.sk/?fn=detailBiblioForm&amp;sid=D29F3E4684739C0AF4DDC1639B</v>
      </c>
    </row>
    <row r="7127" spans="3:5" ht="75" x14ac:dyDescent="0.25">
      <c r="C7127" s="15">
        <v>63069</v>
      </c>
      <c r="D7127" s="4" t="s">
        <v>7131</v>
      </c>
      <c r="E7127" s="4" t="str">
        <f>HYPERLINK("https://app.crepc.sk/?fn=detailBiblioForm&amp;sid=2CF16FFCFC792F035F69D62E")</f>
        <v>https://app.crepc.sk/?fn=detailBiblioForm&amp;sid=2CF16FFCFC792F035F69D62E</v>
      </c>
    </row>
    <row r="7128" spans="3:5" ht="75" x14ac:dyDescent="0.25">
      <c r="C7128" s="15">
        <v>88124</v>
      </c>
      <c r="D7128" s="4" t="s">
        <v>7132</v>
      </c>
      <c r="E7128" s="4" t="str">
        <f>HYPERLINK("https://app.crepc.sk/?fn=detailBiblioForm&amp;sid=DD5B4FAFE9EF6A8009D30004")</f>
        <v>https://app.crepc.sk/?fn=detailBiblioForm&amp;sid=DD5B4FAFE9EF6A8009D30004</v>
      </c>
    </row>
    <row r="7129" spans="3:5" ht="105" x14ac:dyDescent="0.25">
      <c r="C7129" s="15">
        <v>118882</v>
      </c>
      <c r="D7129" s="4" t="s">
        <v>7133</v>
      </c>
      <c r="E7129" s="4" t="str">
        <f>HYPERLINK("https://app.crepc.sk/?fn=detailBiblioForm&amp;sid=180EDEFD59FD4297402852B590")</f>
        <v>https://app.crepc.sk/?fn=detailBiblioForm&amp;sid=180EDEFD59FD4297402852B590</v>
      </c>
    </row>
    <row r="7130" spans="3:5" ht="105" x14ac:dyDescent="0.25">
      <c r="C7130" s="15">
        <v>114027</v>
      </c>
      <c r="D7130" s="4" t="s">
        <v>7134</v>
      </c>
      <c r="E7130" s="4" t="str">
        <f>HYPERLINK("https://app.crepc.sk/?fn=detailBiblioForm&amp;sid=75A6A01F16DA93B39BF8C102D7")</f>
        <v>https://app.crepc.sk/?fn=detailBiblioForm&amp;sid=75A6A01F16DA93B39BF8C102D7</v>
      </c>
    </row>
    <row r="7131" spans="3:5" ht="75" x14ac:dyDescent="0.25">
      <c r="C7131" s="15">
        <v>234137</v>
      </c>
      <c r="D7131" s="4" t="s">
        <v>7135</v>
      </c>
      <c r="E7131" s="4" t="str">
        <f>HYPERLINK("https://app.crepc.sk/?fn=detailBiblioForm&amp;sid=296641D250251057AE552EC834")</f>
        <v>https://app.crepc.sk/?fn=detailBiblioForm&amp;sid=296641D250251057AE552EC834</v>
      </c>
    </row>
    <row r="7132" spans="3:5" ht="90" x14ac:dyDescent="0.25">
      <c r="C7132" s="15">
        <v>85790</v>
      </c>
      <c r="D7132" s="4" t="s">
        <v>7136</v>
      </c>
      <c r="E7132" s="4" t="str">
        <f>HYPERLINK("https://app.crepc.sk/?fn=detailBiblioForm&amp;sid=06FB2651588CF5E46785E4A2")</f>
        <v>https://app.crepc.sk/?fn=detailBiblioForm&amp;sid=06FB2651588CF5E46785E4A2</v>
      </c>
    </row>
    <row r="7133" spans="3:5" ht="75" x14ac:dyDescent="0.25">
      <c r="C7133" s="15">
        <v>118778</v>
      </c>
      <c r="D7133" s="4" t="s">
        <v>7137</v>
      </c>
      <c r="E7133" s="4" t="str">
        <f>HYPERLINK("https://app.crepc.sk/?fn=detailBiblioForm&amp;sid=46EC41480997D7F107B6C7D544")</f>
        <v>https://app.crepc.sk/?fn=detailBiblioForm&amp;sid=46EC41480997D7F107B6C7D544</v>
      </c>
    </row>
    <row r="7134" spans="3:5" ht="75" x14ac:dyDescent="0.25">
      <c r="C7134" s="15">
        <v>234147</v>
      </c>
      <c r="D7134" s="4" t="s">
        <v>7138</v>
      </c>
      <c r="E7134" s="4" t="str">
        <f>HYPERLINK("https://app.crepc.sk/?fn=detailBiblioForm&amp;sid=296641D250251057A9552EC834")</f>
        <v>https://app.crepc.sk/?fn=detailBiblioForm&amp;sid=296641D250251057A9552EC834</v>
      </c>
    </row>
    <row r="7135" spans="3:5" ht="105" x14ac:dyDescent="0.25">
      <c r="C7135" s="15">
        <v>132485</v>
      </c>
      <c r="D7135" s="4" t="s">
        <v>7139</v>
      </c>
      <c r="E7135" s="4" t="str">
        <f>HYPERLINK("https://app.crepc.sk/?fn=detailBiblioForm&amp;sid=5CA03D74BE9D7FDDADCA721DC3")</f>
        <v>https://app.crepc.sk/?fn=detailBiblioForm&amp;sid=5CA03D74BE9D7FDDADCA721DC3</v>
      </c>
    </row>
    <row r="7136" spans="3:5" ht="75" x14ac:dyDescent="0.25">
      <c r="C7136" s="15">
        <v>234143</v>
      </c>
      <c r="D7136" s="4" t="s">
        <v>7140</v>
      </c>
      <c r="E7136" s="4" t="str">
        <f>HYPERLINK("https://app.crepc.sk/?fn=detailBiblioForm&amp;sid=296641D250251057A9512EC834")</f>
        <v>https://app.crepc.sk/?fn=detailBiblioForm&amp;sid=296641D250251057A9512EC834</v>
      </c>
    </row>
    <row r="7137" spans="3:5" ht="75" x14ac:dyDescent="0.25">
      <c r="C7137" s="15">
        <v>162280</v>
      </c>
      <c r="D7137" s="4" t="s">
        <v>7141</v>
      </c>
      <c r="E7137" s="4" t="str">
        <f>HYPERLINK("https://app.crepc.sk/?fn=detailBiblioForm&amp;sid=064839694A055E9D190DD03241")</f>
        <v>https://app.crepc.sk/?fn=detailBiblioForm&amp;sid=064839694A055E9D190DD03241</v>
      </c>
    </row>
    <row r="7138" spans="3:5" ht="120" x14ac:dyDescent="0.25">
      <c r="C7138" s="15">
        <v>72080</v>
      </c>
      <c r="D7138" s="4" t="s">
        <v>7142</v>
      </c>
      <c r="E7138" s="4" t="str">
        <f>HYPERLINK("https://app.crepc.sk/?fn=detailBiblioForm&amp;sid=6A30D35B9E82C2A18418A18D")</f>
        <v>https://app.crepc.sk/?fn=detailBiblioForm&amp;sid=6A30D35B9E82C2A18418A18D</v>
      </c>
    </row>
    <row r="7139" spans="3:5" ht="75" x14ac:dyDescent="0.25">
      <c r="C7139" s="15">
        <v>63067</v>
      </c>
      <c r="D7139" s="4" t="s">
        <v>7143</v>
      </c>
      <c r="E7139" s="4" t="str">
        <f>HYPERLINK("https://app.crepc.sk/?fn=detailBiblioForm&amp;sid=2CF16FFCFC792F035169D62E")</f>
        <v>https://app.crepc.sk/?fn=detailBiblioForm&amp;sid=2CF16FFCFC792F035169D62E</v>
      </c>
    </row>
    <row r="7140" spans="3:5" ht="90" x14ac:dyDescent="0.25">
      <c r="C7140" s="15">
        <v>152956</v>
      </c>
      <c r="D7140" s="4" t="s">
        <v>7144</v>
      </c>
      <c r="E7140" s="4" t="str">
        <f>HYPERLINK("https://app.crepc.sk/?fn=detailBiblioForm&amp;sid=877A1C170D2F97A1DF3ACF3DE1")</f>
        <v>https://app.crepc.sk/?fn=detailBiblioForm&amp;sid=877A1C170D2F97A1DF3ACF3DE1</v>
      </c>
    </row>
    <row r="7141" spans="3:5" ht="75" x14ac:dyDescent="0.25">
      <c r="C7141" s="15">
        <v>86338</v>
      </c>
      <c r="D7141" s="4" t="s">
        <v>7145</v>
      </c>
      <c r="E7141" s="4" t="str">
        <f>HYPERLINK("https://app.crepc.sk/?fn=detailBiblioForm&amp;sid=CA04BFFD7A6C7A7893677ACF")</f>
        <v>https://app.crepc.sk/?fn=detailBiblioForm&amp;sid=CA04BFFD7A6C7A7893677ACF</v>
      </c>
    </row>
    <row r="7142" spans="3:5" ht="75" x14ac:dyDescent="0.25">
      <c r="C7142" s="15">
        <v>97006</v>
      </c>
      <c r="D7142" s="4" t="s">
        <v>7146</v>
      </c>
      <c r="E7142" s="4" t="str">
        <f>HYPERLINK("https://app.crepc.sk/?fn=detailBiblioForm&amp;sid=F0C12BD3F82CCCF68BC22CB0")</f>
        <v>https://app.crepc.sk/?fn=detailBiblioForm&amp;sid=F0C12BD3F82CCCF68BC22CB0</v>
      </c>
    </row>
    <row r="7143" spans="3:5" ht="75" x14ac:dyDescent="0.25">
      <c r="C7143" s="15">
        <v>155562</v>
      </c>
      <c r="D7143" s="4" t="s">
        <v>7147</v>
      </c>
      <c r="E7143" s="4" t="str">
        <f>HYPERLINK("https://app.crepc.sk/?fn=detailBiblioForm&amp;sid=C5CEB0A71A9E9E69831013A9DA")</f>
        <v>https://app.crepc.sk/?fn=detailBiblioForm&amp;sid=C5CEB0A71A9E9E69831013A9DA</v>
      </c>
    </row>
    <row r="7144" spans="3:5" ht="60" x14ac:dyDescent="0.25">
      <c r="C7144" s="15">
        <v>155570</v>
      </c>
      <c r="D7144" s="4" t="s">
        <v>7148</v>
      </c>
      <c r="E7144" s="4" t="str">
        <f>HYPERLINK("https://app.crepc.sk/?fn=detailBiblioForm&amp;sid=C5CEB0A71A9E9E69821213A9DA")</f>
        <v>https://app.crepc.sk/?fn=detailBiblioForm&amp;sid=C5CEB0A71A9E9E69821213A9DA</v>
      </c>
    </row>
    <row r="7145" spans="3:5" ht="105" x14ac:dyDescent="0.25">
      <c r="C7145" s="15">
        <v>146027</v>
      </c>
      <c r="D7145" s="4" t="s">
        <v>7149</v>
      </c>
      <c r="E7145" s="4" t="str">
        <f>HYPERLINK("https://app.crepc.sk/?fn=detailBiblioForm&amp;sid=6F91D8ED6CD6362D922831705F")</f>
        <v>https://app.crepc.sk/?fn=detailBiblioForm&amp;sid=6F91D8ED6CD6362D922831705F</v>
      </c>
    </row>
    <row r="7146" spans="3:5" ht="90" x14ac:dyDescent="0.25">
      <c r="C7146" s="15">
        <v>148669</v>
      </c>
      <c r="D7146" s="4" t="s">
        <v>7150</v>
      </c>
      <c r="E7146" s="4" t="str">
        <f>HYPERLINK("https://app.crepc.sk/?fn=detailBiblioForm&amp;sid=12C8EC1657C182290D8F6A8174")</f>
        <v>https://app.crepc.sk/?fn=detailBiblioForm&amp;sid=12C8EC1657C182290D8F6A8174</v>
      </c>
    </row>
    <row r="7147" spans="3:5" ht="90" x14ac:dyDescent="0.25">
      <c r="C7147" s="15">
        <v>142272</v>
      </c>
      <c r="D7147" s="4" t="s">
        <v>7151</v>
      </c>
      <c r="E7147" s="4" t="str">
        <f>HYPERLINK("https://app.crepc.sk/?fn=detailBiblioForm&amp;sid=1C7524EE209F6A36FCF9FC51B3")</f>
        <v>https://app.crepc.sk/?fn=detailBiblioForm&amp;sid=1C7524EE209F6A36FCF9FC51B3</v>
      </c>
    </row>
    <row r="7148" spans="3:5" ht="75" x14ac:dyDescent="0.25">
      <c r="C7148" s="15">
        <v>211098</v>
      </c>
      <c r="D7148" s="4" t="s">
        <v>7152</v>
      </c>
      <c r="E7148" s="4" t="str">
        <f>HYPERLINK("https://app.crepc.sk/?fn=detailBiblioForm&amp;sid=81D2D8BF2DF148AE49AC969A56")</f>
        <v>https://app.crepc.sk/?fn=detailBiblioForm&amp;sid=81D2D8BF2DF148AE49AC969A56</v>
      </c>
    </row>
    <row r="7149" spans="3:5" ht="105" x14ac:dyDescent="0.25">
      <c r="C7149" s="15">
        <v>135695</v>
      </c>
      <c r="D7149" s="4" t="s">
        <v>7153</v>
      </c>
      <c r="E7149" s="4" t="str">
        <f>HYPERLINK("https://app.crepc.sk/?fn=detailBiblioForm&amp;sid=501BC45481E06D382919111596")</f>
        <v>https://app.crepc.sk/?fn=detailBiblioForm&amp;sid=501BC45481E06D382919111596</v>
      </c>
    </row>
    <row r="7150" spans="3:5" ht="105" x14ac:dyDescent="0.25">
      <c r="C7150" s="15">
        <v>218073</v>
      </c>
      <c r="D7150" s="4" t="s">
        <v>7154</v>
      </c>
      <c r="E7150" s="4" t="str">
        <f>HYPERLINK("https://app.crepc.sk/?fn=detailBiblioForm&amp;sid=B4AE1C6FCFC18FC5C0AFC31CB6")</f>
        <v>https://app.crepc.sk/?fn=detailBiblioForm&amp;sid=B4AE1C6FCFC18FC5C0AFC31CB6</v>
      </c>
    </row>
    <row r="7151" spans="3:5" ht="75" x14ac:dyDescent="0.25">
      <c r="C7151" s="15">
        <v>123776</v>
      </c>
      <c r="D7151" s="4" t="s">
        <v>7155</v>
      </c>
      <c r="E7151" s="4" t="str">
        <f>HYPERLINK("https://app.crepc.sk/?fn=detailBiblioForm&amp;sid=6AF24C20D77B2492BA6580C111")</f>
        <v>https://app.crepc.sk/?fn=detailBiblioForm&amp;sid=6AF24C20D77B2492BA6580C111</v>
      </c>
    </row>
    <row r="7152" spans="3:5" ht="75" x14ac:dyDescent="0.25">
      <c r="C7152" s="15">
        <v>161955</v>
      </c>
      <c r="D7152" s="4" t="s">
        <v>7156</v>
      </c>
      <c r="E7152" s="4" t="str">
        <f>HYPERLINK("https://app.crepc.sk/?fn=detailBiblioForm&amp;sid=3BEC39B52C756B70C80779B3D6")</f>
        <v>https://app.crepc.sk/?fn=detailBiblioForm&amp;sid=3BEC39B52C756B70C80779B3D6</v>
      </c>
    </row>
    <row r="7153" spans="3:5" ht="60" x14ac:dyDescent="0.25">
      <c r="C7153" s="15">
        <v>174572</v>
      </c>
      <c r="D7153" s="4" t="s">
        <v>7157</v>
      </c>
      <c r="E7153" s="4" t="str">
        <f>HYPERLINK("https://app.crepc.sk/?fn=detailBiblioForm&amp;sid=72A4E145D65F5DA0B14D551D33")</f>
        <v>https://app.crepc.sk/?fn=detailBiblioForm&amp;sid=72A4E145D65F5DA0B14D551D33</v>
      </c>
    </row>
    <row r="7154" spans="3:5" ht="90" x14ac:dyDescent="0.25">
      <c r="C7154" s="15">
        <v>127545</v>
      </c>
      <c r="D7154" s="4" t="s">
        <v>7158</v>
      </c>
      <c r="E7154" s="4" t="str">
        <f>HYPERLINK("https://app.crepc.sk/?fn=detailBiblioForm&amp;sid=DBEBBE2C2F1C2B14A7858ECF74")</f>
        <v>https://app.crepc.sk/?fn=detailBiblioForm&amp;sid=DBEBBE2C2F1C2B14A7858ECF74</v>
      </c>
    </row>
    <row r="7155" spans="3:5" ht="75" x14ac:dyDescent="0.25">
      <c r="C7155" s="15">
        <v>53781</v>
      </c>
      <c r="D7155" s="4" t="s">
        <v>7159</v>
      </c>
      <c r="E7155" s="4" t="str">
        <f>HYPERLINK("https://app.crepc.sk/?fn=detailBiblioForm&amp;sid=6EB646EE28F719DFD47DD27C")</f>
        <v>https://app.crepc.sk/?fn=detailBiblioForm&amp;sid=6EB646EE28F719DFD47DD27C</v>
      </c>
    </row>
    <row r="7156" spans="3:5" ht="75" x14ac:dyDescent="0.25">
      <c r="C7156" s="15">
        <v>161778</v>
      </c>
      <c r="D7156" s="4" t="s">
        <v>7160</v>
      </c>
      <c r="E7156" s="4" t="str">
        <f>HYPERLINK("https://app.crepc.sk/?fn=detailBiblioForm&amp;sid=BCA102CB6C4CA54D4BE7C863D9")</f>
        <v>https://app.crepc.sk/?fn=detailBiblioForm&amp;sid=BCA102CB6C4CA54D4BE7C863D9</v>
      </c>
    </row>
    <row r="7157" spans="3:5" ht="75" x14ac:dyDescent="0.25">
      <c r="C7157" s="15">
        <v>215646</v>
      </c>
      <c r="D7157" s="4" t="s">
        <v>7161</v>
      </c>
      <c r="E7157" s="4" t="str">
        <f>HYPERLINK("https://app.crepc.sk/?fn=detailBiblioForm&amp;sid=71C258F70EEA1E8C3CF80ED63E")</f>
        <v>https://app.crepc.sk/?fn=detailBiblioForm&amp;sid=71C258F70EEA1E8C3CF80ED63E</v>
      </c>
    </row>
    <row r="7158" spans="3:5" ht="90" x14ac:dyDescent="0.25">
      <c r="C7158" s="15">
        <v>139554</v>
      </c>
      <c r="D7158" s="4" t="s">
        <v>7162</v>
      </c>
      <c r="E7158" s="4" t="str">
        <f>HYPERLINK("https://app.crepc.sk/?fn=detailBiblioForm&amp;sid=2753E74A420B011D77D312E075")</f>
        <v>https://app.crepc.sk/?fn=detailBiblioForm&amp;sid=2753E74A420B011D77D312E075</v>
      </c>
    </row>
    <row r="7159" spans="3:5" ht="75" x14ac:dyDescent="0.25">
      <c r="C7159" s="15">
        <v>417851</v>
      </c>
      <c r="D7159" s="4" t="s">
        <v>7163</v>
      </c>
      <c r="E7159" s="4" t="str">
        <f>HYPERLINK("https://app.crepc.sk/?fn=detailBiblioForm&amp;sid=2F54B387D39AE8BF208E29BD09")</f>
        <v>https://app.crepc.sk/?fn=detailBiblioForm&amp;sid=2F54B387D39AE8BF208E29BD09</v>
      </c>
    </row>
    <row r="7160" spans="3:5" ht="75" x14ac:dyDescent="0.25">
      <c r="C7160" s="15">
        <v>63118</v>
      </c>
      <c r="D7160" s="4" t="s">
        <v>7164</v>
      </c>
      <c r="E7160" s="4" t="str">
        <f>HYPERLINK("https://app.crepc.sk/?fn=detailBiblioForm&amp;sid=709D0B15DE1F7013BA942CE2")</f>
        <v>https://app.crepc.sk/?fn=detailBiblioForm&amp;sid=709D0B15DE1F7013BA942CE2</v>
      </c>
    </row>
    <row r="7161" spans="3:5" ht="90" x14ac:dyDescent="0.25">
      <c r="C7161" s="15">
        <v>53786</v>
      </c>
      <c r="D7161" s="4" t="s">
        <v>7165</v>
      </c>
      <c r="E7161" s="4" t="str">
        <f>HYPERLINK("https://app.crepc.sk/?fn=detailBiblioForm&amp;sid=6EB646EE28F719DFD37DD27C")</f>
        <v>https://app.crepc.sk/?fn=detailBiblioForm&amp;sid=6EB646EE28F719DFD37DD27C</v>
      </c>
    </row>
    <row r="7162" spans="3:5" ht="75" x14ac:dyDescent="0.25">
      <c r="C7162" s="15">
        <v>91564</v>
      </c>
      <c r="D7162" s="4" t="s">
        <v>7166</v>
      </c>
      <c r="E7162" s="4" t="str">
        <f>HYPERLINK("https://app.crepc.sk/?fn=detailBiblioForm&amp;sid=A72630F79992FF874BB11FB2")</f>
        <v>https://app.crepc.sk/?fn=detailBiblioForm&amp;sid=A72630F79992FF874BB11FB2</v>
      </c>
    </row>
    <row r="7163" spans="3:5" ht="120" x14ac:dyDescent="0.25">
      <c r="C7163" s="15">
        <v>198350</v>
      </c>
      <c r="D7163" s="4" t="s">
        <v>7167</v>
      </c>
      <c r="E7163" s="4" t="str">
        <f>HYPERLINK("https://app.crepc.sk/?fn=detailBiblioForm&amp;sid=3846160BBFC2BE06B1D2C2F294")</f>
        <v>https://app.crepc.sk/?fn=detailBiblioForm&amp;sid=3846160BBFC2BE06B1D2C2F294</v>
      </c>
    </row>
    <row r="7164" spans="3:5" ht="75" x14ac:dyDescent="0.25">
      <c r="C7164" s="15">
        <v>424515</v>
      </c>
      <c r="D7164" s="4" t="s">
        <v>7168</v>
      </c>
      <c r="E7164" s="4" t="str">
        <f>HYPERLINK("https://app.crepc.sk/?fn=detailBiblioForm&amp;sid=012CCE62C622B6693DF759F13E")</f>
        <v>https://app.crepc.sk/?fn=detailBiblioForm&amp;sid=012CCE62C622B6693DF759F13E</v>
      </c>
    </row>
    <row r="7165" spans="3:5" ht="60" x14ac:dyDescent="0.25">
      <c r="C7165" s="15">
        <v>74942</v>
      </c>
      <c r="D7165" s="4" t="s">
        <v>7169</v>
      </c>
      <c r="E7165" s="4" t="str">
        <f>HYPERLINK("https://app.crepc.sk/?fn=detailBiblioForm&amp;sid=127BC1C05E254D1F2BB66501")</f>
        <v>https://app.crepc.sk/?fn=detailBiblioForm&amp;sid=127BC1C05E254D1F2BB66501</v>
      </c>
    </row>
    <row r="7166" spans="3:5" ht="90" x14ac:dyDescent="0.25">
      <c r="C7166" s="15">
        <v>179079</v>
      </c>
      <c r="D7166" s="4" t="s">
        <v>7170</v>
      </c>
      <c r="E7166" s="4" t="str">
        <f>HYPERLINK("https://app.crepc.sk/?fn=detailBiblioForm&amp;sid=52D5268610832158D9ABFA1575")</f>
        <v>https://app.crepc.sk/?fn=detailBiblioForm&amp;sid=52D5268610832158D9ABFA1575</v>
      </c>
    </row>
    <row r="7167" spans="3:5" ht="90" x14ac:dyDescent="0.25">
      <c r="C7167" s="15">
        <v>75153</v>
      </c>
      <c r="D7167" s="4" t="s">
        <v>7171</v>
      </c>
      <c r="E7167" s="4" t="str">
        <f>HYPERLINK("https://app.crepc.sk/?fn=detailBiblioForm&amp;sid=EF95BD48B47935A5010ED1B1")</f>
        <v>https://app.crepc.sk/?fn=detailBiblioForm&amp;sid=EF95BD48B47935A5010ED1B1</v>
      </c>
    </row>
    <row r="7168" spans="3:5" ht="60" x14ac:dyDescent="0.25">
      <c r="C7168" s="15">
        <v>74953</v>
      </c>
      <c r="D7168" s="4" t="s">
        <v>7172</v>
      </c>
      <c r="E7168" s="4" t="str">
        <f>HYPERLINK("https://app.crepc.sk/?fn=detailBiblioForm&amp;sid=B3AE7B63BA9B95B7D4DBFAB9")</f>
        <v>https://app.crepc.sk/?fn=detailBiblioForm&amp;sid=B3AE7B63BA9B95B7D4DBFAB9</v>
      </c>
    </row>
    <row r="7169" spans="3:5" ht="90" x14ac:dyDescent="0.25">
      <c r="C7169" s="15">
        <v>312407</v>
      </c>
      <c r="D7169" s="4" t="s">
        <v>7173</v>
      </c>
      <c r="E7169" s="4" t="str">
        <f>HYPERLINK("https://app.crepc.sk/?fn=detailBiblioForm&amp;sid=29E831AA7AE2D1910FE72E0FED")</f>
        <v>https://app.crepc.sk/?fn=detailBiblioForm&amp;sid=29E831AA7AE2D1910FE72E0FED</v>
      </c>
    </row>
    <row r="7170" spans="3:5" ht="75" x14ac:dyDescent="0.25">
      <c r="C7170" s="15">
        <v>231287</v>
      </c>
      <c r="D7170" s="4" t="s">
        <v>7174</v>
      </c>
      <c r="E7170" s="4" t="str">
        <f>HYPERLINK("https://app.crepc.sk/?fn=detailBiblioForm&amp;sid=47627492C7324893458FCF7CD6")</f>
        <v>https://app.crepc.sk/?fn=detailBiblioForm&amp;sid=47627492C7324893458FCF7CD6</v>
      </c>
    </row>
    <row r="7171" spans="3:5" ht="105" x14ac:dyDescent="0.25">
      <c r="C7171" s="15">
        <v>198316</v>
      </c>
      <c r="D7171" s="4" t="s">
        <v>7175</v>
      </c>
      <c r="E7171" s="4" t="str">
        <f>HYPERLINK("https://app.crepc.sk/?fn=detailBiblioForm&amp;sid=3846160BBFC2BE06B5D4C2F294")</f>
        <v>https://app.crepc.sk/?fn=detailBiblioForm&amp;sid=3846160BBFC2BE06B5D4C2F294</v>
      </c>
    </row>
    <row r="7172" spans="3:5" ht="45" x14ac:dyDescent="0.25">
      <c r="C7172" s="15">
        <v>450492</v>
      </c>
      <c r="D7172" s="4" t="s">
        <v>7176</v>
      </c>
      <c r="E7172" s="4" t="str">
        <f>HYPERLINK("https://app.crepc.sk/?fn=detailBiblioForm&amp;sid=5CE5487D4325501C05EF60C9E2")</f>
        <v>https://app.crepc.sk/?fn=detailBiblioForm&amp;sid=5CE5487D4325501C05EF60C9E2</v>
      </c>
    </row>
    <row r="7173" spans="3:5" ht="105" x14ac:dyDescent="0.25">
      <c r="C7173" s="15">
        <v>214680</v>
      </c>
      <c r="D7173" s="4" t="s">
        <v>7177</v>
      </c>
      <c r="E7173" s="4" t="str">
        <f>HYPERLINK("https://app.crepc.sk/?fn=detailBiblioForm&amp;sid=49B0E8CD88C499975109F1C13A")</f>
        <v>https://app.crepc.sk/?fn=detailBiblioForm&amp;sid=49B0E8CD88C499975109F1C13A</v>
      </c>
    </row>
    <row r="7174" spans="3:5" ht="75" x14ac:dyDescent="0.25">
      <c r="C7174" s="15">
        <v>91417</v>
      </c>
      <c r="D7174" s="4" t="s">
        <v>7178</v>
      </c>
      <c r="E7174" s="4" t="str">
        <f>HYPERLINK("https://app.crepc.sk/?fn=detailBiblioForm&amp;sid=E78DCBF855FF822D9346F9DD")</f>
        <v>https://app.crepc.sk/?fn=detailBiblioForm&amp;sid=E78DCBF855FF822D9346F9DD</v>
      </c>
    </row>
    <row r="7175" spans="3:5" ht="75" x14ac:dyDescent="0.25">
      <c r="C7175" s="15">
        <v>63074</v>
      </c>
      <c r="D7175" s="4" t="s">
        <v>7179</v>
      </c>
      <c r="E7175" s="4" t="str">
        <f>HYPERLINK("https://app.crepc.sk/?fn=detailBiblioForm&amp;sid=C365B1314C4EC7B0A5B51019")</f>
        <v>https://app.crepc.sk/?fn=detailBiblioForm&amp;sid=C365B1314C4EC7B0A5B51019</v>
      </c>
    </row>
    <row r="7176" spans="3:5" ht="105" x14ac:dyDescent="0.25">
      <c r="C7176" s="15">
        <v>448308</v>
      </c>
      <c r="D7176" s="4" t="s">
        <v>7180</v>
      </c>
      <c r="E7176" s="4" t="str">
        <f>HYPERLINK("https://app.crepc.sk/?fn=detailBiblioForm&amp;sid=F4F83FF99D02212E874465EA70")</f>
        <v>https://app.crepc.sk/?fn=detailBiblioForm&amp;sid=F4F83FF99D02212E874465EA70</v>
      </c>
    </row>
    <row r="7177" spans="3:5" ht="75" x14ac:dyDescent="0.25">
      <c r="C7177" s="15">
        <v>432769</v>
      </c>
      <c r="D7177" s="4" t="s">
        <v>7181</v>
      </c>
      <c r="E7177" s="4" t="str">
        <f>HYPERLINK("https://app.crepc.sk/?fn=detailBiblioForm&amp;sid=91973449B9DED6545219A96A9B")</f>
        <v>https://app.crepc.sk/?fn=detailBiblioForm&amp;sid=91973449B9DED6545219A96A9B</v>
      </c>
    </row>
    <row r="7178" spans="3:5" ht="90" x14ac:dyDescent="0.25">
      <c r="C7178" s="15">
        <v>75190</v>
      </c>
      <c r="D7178" s="4" t="s">
        <v>7182</v>
      </c>
      <c r="E7178" s="4" t="str">
        <f>HYPERLINK("https://app.crepc.sk/?fn=detailBiblioForm&amp;sid=FA3206BD6B4E0E3A8CEC4EFF")</f>
        <v>https://app.crepc.sk/?fn=detailBiblioForm&amp;sid=FA3206BD6B4E0E3A8CEC4EFF</v>
      </c>
    </row>
    <row r="7179" spans="3:5" ht="75" x14ac:dyDescent="0.25">
      <c r="C7179" s="15">
        <v>98192</v>
      </c>
      <c r="D7179" s="4" t="s">
        <v>7183</v>
      </c>
      <c r="E7179" s="4" t="str">
        <f>HYPERLINK("https://app.crepc.sk/?fn=detailBiblioForm&amp;sid=DDA03DBAE9218DC1B63A89EC")</f>
        <v>https://app.crepc.sk/?fn=detailBiblioForm&amp;sid=DDA03DBAE9218DC1B63A89EC</v>
      </c>
    </row>
    <row r="7180" spans="3:5" ht="75" x14ac:dyDescent="0.25">
      <c r="C7180" s="15">
        <v>155559</v>
      </c>
      <c r="D7180" s="4" t="s">
        <v>7184</v>
      </c>
      <c r="E7180" s="4" t="str">
        <f>HYPERLINK("https://app.crepc.sk/?fn=detailBiblioForm&amp;sid=C5CEB0A71A9E9E69801B13A9DA")</f>
        <v>https://app.crepc.sk/?fn=detailBiblioForm&amp;sid=C5CEB0A71A9E9E69801B13A9DA</v>
      </c>
    </row>
    <row r="7181" spans="3:5" ht="90" x14ac:dyDescent="0.25">
      <c r="C7181" s="15">
        <v>83081</v>
      </c>
      <c r="D7181" s="4" t="s">
        <v>7185</v>
      </c>
      <c r="E7181" s="4" t="str">
        <f>HYPERLINK("https://app.crepc.sk/?fn=detailBiblioForm&amp;sid=49E467361332E1C2DAFEC311")</f>
        <v>https://app.crepc.sk/?fn=detailBiblioForm&amp;sid=49E467361332E1C2DAFEC311</v>
      </c>
    </row>
    <row r="7182" spans="3:5" ht="75" x14ac:dyDescent="0.25">
      <c r="C7182" s="15">
        <v>142271</v>
      </c>
      <c r="D7182" s="4" t="s">
        <v>7186</v>
      </c>
      <c r="E7182" s="4" t="str">
        <f>HYPERLINK("https://app.crepc.sk/?fn=detailBiblioForm&amp;sid=1C7524EE209F6A36FCFAFC51B3")</f>
        <v>https://app.crepc.sk/?fn=detailBiblioForm&amp;sid=1C7524EE209F6A36FCFAFC51B3</v>
      </c>
    </row>
    <row r="7183" spans="3:5" ht="75" x14ac:dyDescent="0.25">
      <c r="C7183" s="15">
        <v>234120</v>
      </c>
      <c r="D7183" s="4" t="s">
        <v>7187</v>
      </c>
      <c r="E7183" s="4" t="str">
        <f>HYPERLINK("https://app.crepc.sk/?fn=detailBiblioForm&amp;sid=296641D250251057AF522EC834")</f>
        <v>https://app.crepc.sk/?fn=detailBiblioForm&amp;sid=296641D250251057AF522EC834</v>
      </c>
    </row>
    <row r="7184" spans="3:5" ht="75" x14ac:dyDescent="0.25">
      <c r="C7184" s="15">
        <v>84845</v>
      </c>
      <c r="D7184" s="4" t="s">
        <v>7188</v>
      </c>
      <c r="E7184" s="4" t="str">
        <f>HYPERLINK("https://app.crepc.sk/?fn=detailBiblioForm&amp;sid=E5581B7F073E1E86B232AA2D")</f>
        <v>https://app.crepc.sk/?fn=detailBiblioForm&amp;sid=E5581B7F073E1E86B232AA2D</v>
      </c>
    </row>
    <row r="7185" spans="3:5" ht="90" x14ac:dyDescent="0.25">
      <c r="C7185" s="15">
        <v>53787</v>
      </c>
      <c r="D7185" s="4" t="s">
        <v>7189</v>
      </c>
      <c r="E7185" s="4" t="str">
        <f>HYPERLINK("https://app.crepc.sk/?fn=detailBiblioForm&amp;sid=6EB646EE28F719DFD27DD27C")</f>
        <v>https://app.crepc.sk/?fn=detailBiblioForm&amp;sid=6EB646EE28F719DFD27DD27C</v>
      </c>
    </row>
    <row r="7186" spans="3:5" ht="90" x14ac:dyDescent="0.25">
      <c r="C7186" s="15">
        <v>421205</v>
      </c>
      <c r="D7186" s="4" t="s">
        <v>7190</v>
      </c>
      <c r="E7186" s="4" t="str">
        <f>HYPERLINK("https://app.crepc.sk/?fn=detailBiblioForm&amp;sid=A5F7E993007418193F267F3086")</f>
        <v>https://app.crepc.sk/?fn=detailBiblioForm&amp;sid=A5F7E993007418193F267F3086</v>
      </c>
    </row>
    <row r="7187" spans="3:5" ht="90" x14ac:dyDescent="0.25">
      <c r="C7187" s="15">
        <v>420188</v>
      </c>
      <c r="D7187" s="4" t="s">
        <v>7191</v>
      </c>
      <c r="E7187" s="4" t="str">
        <f>HYPERLINK("https://app.crepc.sk/?fn=detailBiblioForm&amp;sid=5D2DBF2AC28D3B0752E7421D14")</f>
        <v>https://app.crepc.sk/?fn=detailBiblioForm&amp;sid=5D2DBF2AC28D3B0752E7421D14</v>
      </c>
    </row>
    <row r="7188" spans="3:5" ht="75" x14ac:dyDescent="0.25">
      <c r="C7188" s="15">
        <v>155557</v>
      </c>
      <c r="D7188" s="4" t="s">
        <v>7192</v>
      </c>
      <c r="E7188" s="4" t="str">
        <f>HYPERLINK("https://app.crepc.sk/?fn=detailBiblioForm&amp;sid=C5CEB0A71A9E9E69801513A9DA")</f>
        <v>https://app.crepc.sk/?fn=detailBiblioForm&amp;sid=C5CEB0A71A9E9E69801513A9DA</v>
      </c>
    </row>
    <row r="7189" spans="3:5" ht="75" x14ac:dyDescent="0.25">
      <c r="C7189" s="15">
        <v>161932</v>
      </c>
      <c r="D7189" s="4" t="s">
        <v>7193</v>
      </c>
      <c r="E7189" s="4" t="str">
        <f>HYPERLINK("https://app.crepc.sk/?fn=detailBiblioForm&amp;sid=3BEC39B52C756B70CE0079B3D6")</f>
        <v>https://app.crepc.sk/?fn=detailBiblioForm&amp;sid=3BEC39B52C756B70CE0079B3D6</v>
      </c>
    </row>
    <row r="7190" spans="3:5" ht="90" x14ac:dyDescent="0.25">
      <c r="C7190" s="15">
        <v>216345</v>
      </c>
      <c r="D7190" s="4" t="s">
        <v>7194</v>
      </c>
      <c r="E7190" s="4" t="str">
        <f>HYPERLINK("https://app.crepc.sk/?fn=detailBiblioForm&amp;sid=B3C0B14686B6D9E38E2C044AD4")</f>
        <v>https://app.crepc.sk/?fn=detailBiblioForm&amp;sid=B3C0B14686B6D9E38E2C044AD4</v>
      </c>
    </row>
    <row r="7191" spans="3:5" ht="75" x14ac:dyDescent="0.25">
      <c r="C7191" s="15">
        <v>428527</v>
      </c>
      <c r="D7191" s="4" t="s">
        <v>7195</v>
      </c>
      <c r="E7191" s="4" t="str">
        <f>HYPERLINK("https://app.crepc.sk/?fn=detailBiblioForm&amp;sid=B0AF01FA4F392DAE348EFA2F33")</f>
        <v>https://app.crepc.sk/?fn=detailBiblioForm&amp;sid=B0AF01FA4F392DAE348EFA2F33</v>
      </c>
    </row>
    <row r="7192" spans="3:5" ht="60" x14ac:dyDescent="0.25">
      <c r="C7192" s="15">
        <v>88152</v>
      </c>
      <c r="D7192" s="4" t="s">
        <v>7196</v>
      </c>
      <c r="E7192" s="4" t="str">
        <f>HYPERLINK("https://app.crepc.sk/?fn=detailBiblioForm&amp;sid=0D08B79B7130B65C1D8F92E6")</f>
        <v>https://app.crepc.sk/?fn=detailBiblioForm&amp;sid=0D08B79B7130B65C1D8F92E6</v>
      </c>
    </row>
    <row r="7193" spans="3:5" ht="120" x14ac:dyDescent="0.25">
      <c r="C7193" s="15">
        <v>62290</v>
      </c>
      <c r="D7193" s="4" t="s">
        <v>7197</v>
      </c>
      <c r="E7193" s="4" t="str">
        <f>HYPERLINK("https://app.crepc.sk/?fn=detailBiblioForm&amp;sid=B9E1CF94CFB823FF63F84063")</f>
        <v>https://app.crepc.sk/?fn=detailBiblioForm&amp;sid=B9E1CF94CFB823FF63F84063</v>
      </c>
    </row>
    <row r="7194" spans="3:5" ht="75" x14ac:dyDescent="0.25">
      <c r="C7194" s="15">
        <v>421208</v>
      </c>
      <c r="D7194" s="4" t="s">
        <v>7198</v>
      </c>
      <c r="E7194" s="4" t="str">
        <f>HYPERLINK("https://app.crepc.sk/?fn=detailBiblioForm&amp;sid=A5F7E993007418193F2B7F3086")</f>
        <v>https://app.crepc.sk/?fn=detailBiblioForm&amp;sid=A5F7E993007418193F2B7F3086</v>
      </c>
    </row>
    <row r="7195" spans="3:5" ht="75" x14ac:dyDescent="0.25">
      <c r="C7195" s="15">
        <v>210231</v>
      </c>
      <c r="D7195" s="4" t="s">
        <v>7199</v>
      </c>
      <c r="E7195" s="4" t="str">
        <f>HYPERLINK("https://app.crepc.sk/?fn=detailBiblioForm&amp;sid=D7A3109A15EDA59327C87CB056")</f>
        <v>https://app.crepc.sk/?fn=detailBiblioForm&amp;sid=D7A3109A15EDA59327C87CB056</v>
      </c>
    </row>
    <row r="7196" spans="3:5" ht="120" x14ac:dyDescent="0.25">
      <c r="C7196" s="15">
        <v>146036</v>
      </c>
      <c r="D7196" s="4" t="s">
        <v>7200</v>
      </c>
      <c r="E7196" s="4" t="str">
        <f>HYPERLINK("https://app.crepc.sk/?fn=detailBiblioForm&amp;sid=6F91D8ED6CD6362D932931705F")</f>
        <v>https://app.crepc.sk/?fn=detailBiblioForm&amp;sid=6F91D8ED6CD6362D932931705F</v>
      </c>
    </row>
    <row r="7197" spans="3:5" ht="90" x14ac:dyDescent="0.25">
      <c r="C7197" s="15">
        <v>88149</v>
      </c>
      <c r="D7197" s="4" t="s">
        <v>7201</v>
      </c>
      <c r="E7197" s="4" t="str">
        <f>HYPERLINK("https://app.crepc.sk/?fn=detailBiblioForm&amp;sid=44F7E76B8AF9964BC3419F63")</f>
        <v>https://app.crepc.sk/?fn=detailBiblioForm&amp;sid=44F7E76B8AF9964BC3419F63</v>
      </c>
    </row>
    <row r="7198" spans="3:5" ht="75" x14ac:dyDescent="0.25">
      <c r="C7198" s="15">
        <v>124831</v>
      </c>
      <c r="D7198" s="4" t="s">
        <v>7202</v>
      </c>
      <c r="E7198" s="4" t="str">
        <f>HYPERLINK("https://app.crepc.sk/?fn=detailBiblioForm&amp;sid=DBBA30DD5E77A1386934840F51")</f>
        <v>https://app.crepc.sk/?fn=detailBiblioForm&amp;sid=DBBA30DD5E77A1386934840F51</v>
      </c>
    </row>
    <row r="7199" spans="3:5" ht="75" x14ac:dyDescent="0.25">
      <c r="C7199" s="15">
        <v>214896</v>
      </c>
      <c r="D7199" s="4" t="s">
        <v>7203</v>
      </c>
      <c r="E7199" s="4" t="str">
        <f>HYPERLINK("https://app.crepc.sk/?fn=detailBiblioForm&amp;sid=A06FA5B38568DD1498D9EE68D3")</f>
        <v>https://app.crepc.sk/?fn=detailBiblioForm&amp;sid=A06FA5B38568DD1498D9EE68D3</v>
      </c>
    </row>
    <row r="7200" spans="3:5" ht="75" x14ac:dyDescent="0.25">
      <c r="C7200" s="15">
        <v>63105</v>
      </c>
      <c r="D7200" s="4" t="s">
        <v>7204</v>
      </c>
      <c r="E7200" s="4" t="str">
        <f>HYPERLINK("https://app.crepc.sk/?fn=detailBiblioForm&amp;sid=BBDBE8695E3B5FF61DE7F5BB")</f>
        <v>https://app.crepc.sk/?fn=detailBiblioForm&amp;sid=BBDBE8695E3B5FF61DE7F5BB</v>
      </c>
    </row>
    <row r="7201" spans="3:5" ht="75" x14ac:dyDescent="0.25">
      <c r="C7201" s="15">
        <v>63086</v>
      </c>
      <c r="D7201" s="4" t="s">
        <v>7205</v>
      </c>
      <c r="E7201" s="4" t="str">
        <f>HYPERLINK("https://app.crepc.sk/?fn=detailBiblioForm&amp;sid=B0729F5692CA78DCC2781A24")</f>
        <v>https://app.crepc.sk/?fn=detailBiblioForm&amp;sid=B0729F5692CA78DCC2781A24</v>
      </c>
    </row>
    <row r="7202" spans="3:5" ht="75" x14ac:dyDescent="0.25">
      <c r="C7202" s="15">
        <v>63101</v>
      </c>
      <c r="D7202" s="4" t="s">
        <v>7206</v>
      </c>
      <c r="E7202" s="4" t="str">
        <f>HYPERLINK("https://app.crepc.sk/?fn=detailBiblioForm&amp;sid=BBDBE8695E3B5FF619E7F5BB")</f>
        <v>https://app.crepc.sk/?fn=detailBiblioForm&amp;sid=BBDBE8695E3B5FF619E7F5BB</v>
      </c>
    </row>
    <row r="7203" spans="3:5" ht="75" x14ac:dyDescent="0.25">
      <c r="C7203" s="15">
        <v>155551</v>
      </c>
      <c r="D7203" s="4" t="s">
        <v>7207</v>
      </c>
      <c r="E7203" s="4" t="str">
        <f>HYPERLINK("https://app.crepc.sk/?fn=detailBiblioForm&amp;sid=C5CEB0A71A9E9E69801313A9DA")</f>
        <v>https://app.crepc.sk/?fn=detailBiblioForm&amp;sid=C5CEB0A71A9E9E69801313A9DA</v>
      </c>
    </row>
    <row r="7204" spans="3:5" ht="75" x14ac:dyDescent="0.25">
      <c r="C7204" s="15">
        <v>161949</v>
      </c>
      <c r="D7204" s="4" t="s">
        <v>7208</v>
      </c>
      <c r="E7204" s="4" t="str">
        <f>HYPERLINK("https://app.crepc.sk/?fn=detailBiblioForm&amp;sid=3BEC39B52C756B70C90B79B3D6")</f>
        <v>https://app.crepc.sk/?fn=detailBiblioForm&amp;sid=3BEC39B52C756B70C90B79B3D6</v>
      </c>
    </row>
    <row r="7205" spans="3:5" ht="90" x14ac:dyDescent="0.25">
      <c r="C7205" s="15">
        <v>97488</v>
      </c>
      <c r="D7205" s="4" t="s">
        <v>7209</v>
      </c>
      <c r="E7205" s="4" t="str">
        <f>HYPERLINK("https://app.crepc.sk/?fn=detailBiblioForm&amp;sid=9C37C2D37C1ADBC2454B1764")</f>
        <v>https://app.crepc.sk/?fn=detailBiblioForm&amp;sid=9C37C2D37C1ADBC2454B1764</v>
      </c>
    </row>
    <row r="7206" spans="3:5" ht="75" x14ac:dyDescent="0.25">
      <c r="C7206" s="15">
        <v>97501</v>
      </c>
      <c r="D7206" s="4" t="s">
        <v>7210</v>
      </c>
      <c r="E7206" s="4" t="str">
        <f>HYPERLINK("https://app.crepc.sk/?fn=detailBiblioForm&amp;sid=91467FF0406D086917990EAC")</f>
        <v>https://app.crepc.sk/?fn=detailBiblioForm&amp;sid=91467FF0406D086917990EAC</v>
      </c>
    </row>
    <row r="7207" spans="3:5" ht="105" x14ac:dyDescent="0.25">
      <c r="C7207" s="15">
        <v>448294</v>
      </c>
      <c r="D7207" s="4" t="s">
        <v>7211</v>
      </c>
      <c r="E7207" s="4" t="str">
        <f>HYPERLINK("https://app.crepc.sk/?fn=detailBiblioForm&amp;sid=5BE501D611F83A9AA39867DA3F")</f>
        <v>https://app.crepc.sk/?fn=detailBiblioForm&amp;sid=5BE501D611F83A9AA39867DA3F</v>
      </c>
    </row>
    <row r="7208" spans="3:5" ht="105" x14ac:dyDescent="0.25">
      <c r="C7208" s="15">
        <v>318091</v>
      </c>
      <c r="D7208" s="4" t="s">
        <v>7212</v>
      </c>
      <c r="E7208" s="4" t="str">
        <f>HYPERLINK("https://app.crepc.sk/?fn=detailBiblioForm&amp;sid=4FD2F56B6FC316F1A3561EA618")</f>
        <v>https://app.crepc.sk/?fn=detailBiblioForm&amp;sid=4FD2F56B6FC316F1A3561EA618</v>
      </c>
    </row>
    <row r="7209" spans="3:5" ht="120" x14ac:dyDescent="0.25">
      <c r="C7209" s="15">
        <v>174573</v>
      </c>
      <c r="D7209" s="4" t="s">
        <v>7213</v>
      </c>
      <c r="E7209" s="4" t="str">
        <f>HYPERLINK("https://app.crepc.sk/?fn=detailBiblioForm&amp;sid=72A4E145D65F5DA0B14C551D33")</f>
        <v>https://app.crepc.sk/?fn=detailBiblioForm&amp;sid=72A4E145D65F5DA0B14C551D33</v>
      </c>
    </row>
    <row r="7210" spans="3:5" ht="75" x14ac:dyDescent="0.25">
      <c r="C7210" s="15">
        <v>193567</v>
      </c>
      <c r="D7210" s="4" t="s">
        <v>7214</v>
      </c>
      <c r="E7210" s="4" t="str">
        <f>HYPERLINK("https://app.crepc.sk/?fn=detailBiblioForm&amp;sid=80433203F04DA090B0A5FE3FCE")</f>
        <v>https://app.crepc.sk/?fn=detailBiblioForm&amp;sid=80433203F04DA090B0A5FE3FCE</v>
      </c>
    </row>
    <row r="7211" spans="3:5" ht="90" x14ac:dyDescent="0.25">
      <c r="C7211" s="15">
        <v>172480</v>
      </c>
      <c r="D7211" s="4" t="s">
        <v>7215</v>
      </c>
      <c r="E7211" s="4" t="str">
        <f>HYPERLINK("https://app.crepc.sk/?fn=detailBiblioForm&amp;sid=6D8D8508F2EEA2E4D49065C4FD")</f>
        <v>https://app.crepc.sk/?fn=detailBiblioForm&amp;sid=6D8D8508F2EEA2E4D49065C4FD</v>
      </c>
    </row>
    <row r="7212" spans="3:5" ht="75" x14ac:dyDescent="0.25">
      <c r="C7212" s="15">
        <v>55486</v>
      </c>
      <c r="D7212" s="4" t="s">
        <v>7216</v>
      </c>
      <c r="E7212" s="4" t="str">
        <f>HYPERLINK("https://app.crepc.sk/?fn=detailBiblioForm&amp;sid=0114518C6C3D1849935A8639")</f>
        <v>https://app.crepc.sk/?fn=detailBiblioForm&amp;sid=0114518C6C3D1849935A8639</v>
      </c>
    </row>
    <row r="7213" spans="3:5" ht="90" x14ac:dyDescent="0.25">
      <c r="C7213" s="15">
        <v>122777</v>
      </c>
      <c r="D7213" s="4" t="s">
        <v>7217</v>
      </c>
      <c r="E7213" s="4" t="str">
        <f>HYPERLINK("https://app.crepc.sk/?fn=detailBiblioForm&amp;sid=A5B40B0321D8B57909DF09F729")</f>
        <v>https://app.crepc.sk/?fn=detailBiblioForm&amp;sid=A5B40B0321D8B57909DF09F729</v>
      </c>
    </row>
    <row r="7214" spans="3:5" ht="105" x14ac:dyDescent="0.25">
      <c r="C7214" s="15">
        <v>203984</v>
      </c>
      <c r="D7214" s="4" t="s">
        <v>7218</v>
      </c>
      <c r="E7214" s="4" t="str">
        <f>HYPERLINK("https://app.crepc.sk/?fn=detailBiblioForm&amp;sid=F912B4A50847FB6289B8103CA1")</f>
        <v>https://app.crepc.sk/?fn=detailBiblioForm&amp;sid=F912B4A50847FB6289B8103CA1</v>
      </c>
    </row>
    <row r="7215" spans="3:5" ht="105" x14ac:dyDescent="0.25">
      <c r="C7215" s="15">
        <v>448312</v>
      </c>
      <c r="D7215" s="4" t="s">
        <v>7219</v>
      </c>
      <c r="E7215" s="4" t="str">
        <f>HYPERLINK("https://app.crepc.sk/?fn=detailBiblioForm&amp;sid=F4F83FF99D02212E864E65EA70")</f>
        <v>https://app.crepc.sk/?fn=detailBiblioForm&amp;sid=F4F83FF99D02212E864E65EA70</v>
      </c>
    </row>
    <row r="7216" spans="3:5" ht="165" x14ac:dyDescent="0.25">
      <c r="C7216" s="15">
        <v>104568</v>
      </c>
      <c r="D7216" s="4" t="s">
        <v>7220</v>
      </c>
      <c r="E7216" s="4" t="str">
        <f>HYPERLINK("https://app.crepc.sk/?fn=detailBiblioForm&amp;sid=1034D9D9B92D6FAB5847B9544F")</f>
        <v>https://app.crepc.sk/?fn=detailBiblioForm&amp;sid=1034D9D9B92D6FAB5847B9544F</v>
      </c>
    </row>
    <row r="7217" spans="3:5" ht="90" x14ac:dyDescent="0.25">
      <c r="C7217" s="15">
        <v>75198</v>
      </c>
      <c r="D7217" s="4" t="s">
        <v>7221</v>
      </c>
      <c r="E7217" s="4" t="str">
        <f>HYPERLINK("https://app.crepc.sk/?fn=detailBiblioForm&amp;sid=FA3206BD6B4E0E3A84EC4EFF")</f>
        <v>https://app.crepc.sk/?fn=detailBiblioForm&amp;sid=FA3206BD6B4E0E3A84EC4EFF</v>
      </c>
    </row>
    <row r="7218" spans="3:5" ht="75" x14ac:dyDescent="0.25">
      <c r="C7218" s="15">
        <v>124830</v>
      </c>
      <c r="D7218" s="4" t="s">
        <v>7222</v>
      </c>
      <c r="E7218" s="4" t="str">
        <f>HYPERLINK("https://app.crepc.sk/?fn=detailBiblioForm&amp;sid=DBBA30DD5E77A1386935840F51")</f>
        <v>https://app.crepc.sk/?fn=detailBiblioForm&amp;sid=DBBA30DD5E77A1386935840F51</v>
      </c>
    </row>
    <row r="7219" spans="3:5" ht="90" x14ac:dyDescent="0.25">
      <c r="C7219" s="15">
        <v>123022</v>
      </c>
      <c r="D7219" s="4" t="s">
        <v>7223</v>
      </c>
      <c r="E7219" s="4" t="str">
        <f>HYPERLINK("https://app.crepc.sk/?fn=detailBiblioForm&amp;sid=2C489247B5D608FF5240A8A290")</f>
        <v>https://app.crepc.sk/?fn=detailBiblioForm&amp;sid=2C489247B5D608FF5240A8A290</v>
      </c>
    </row>
    <row r="7220" spans="3:5" ht="45" x14ac:dyDescent="0.25">
      <c r="C7220" s="15">
        <v>450503</v>
      </c>
      <c r="D7220" s="4" t="s">
        <v>7224</v>
      </c>
      <c r="E7220" s="4" t="str">
        <f>HYPERLINK("https://app.crepc.sk/?fn=detailBiblioForm&amp;sid=73240E3CEB3865833F6A413193")</f>
        <v>https://app.crepc.sk/?fn=detailBiblioForm&amp;sid=73240E3CEB3865833F6A413193</v>
      </c>
    </row>
    <row r="7221" spans="3:5" ht="90" x14ac:dyDescent="0.25">
      <c r="C7221" s="15">
        <v>214898</v>
      </c>
      <c r="D7221" s="4" t="s">
        <v>7225</v>
      </c>
      <c r="E7221" s="4" t="str">
        <f>HYPERLINK("https://app.crepc.sk/?fn=detailBiblioForm&amp;sid=A06FA5B38568DD1498D7EE68D3")</f>
        <v>https://app.crepc.sk/?fn=detailBiblioForm&amp;sid=A06FA5B38568DD1498D7EE68D3</v>
      </c>
    </row>
    <row r="7222" spans="3:5" ht="105" x14ac:dyDescent="0.25">
      <c r="C7222" s="15">
        <v>213602</v>
      </c>
      <c r="D7222" s="4" t="s">
        <v>7226</v>
      </c>
      <c r="E7222" s="4" t="str">
        <f>HYPERLINK("https://app.crepc.sk/?fn=detailBiblioForm&amp;sid=8E6409459947D9731D7EBC023D")</f>
        <v>https://app.crepc.sk/?fn=detailBiblioForm&amp;sid=8E6409459947D9731D7EBC023D</v>
      </c>
    </row>
    <row r="7223" spans="3:5" ht="105" x14ac:dyDescent="0.25">
      <c r="C7223" s="15">
        <v>138735</v>
      </c>
      <c r="D7223" s="4" t="s">
        <v>7227</v>
      </c>
      <c r="E7223" s="4" t="str">
        <f>HYPERLINK("https://app.crepc.sk/?fn=detailBiblioForm&amp;sid=B05445C3B1156175C3C2E1ECCB")</f>
        <v>https://app.crepc.sk/?fn=detailBiblioForm&amp;sid=B05445C3B1156175C3C2E1ECCB</v>
      </c>
    </row>
    <row r="7224" spans="3:5" ht="90" x14ac:dyDescent="0.25">
      <c r="C7224" s="15">
        <v>122761</v>
      </c>
      <c r="D7224" s="4" t="s">
        <v>7228</v>
      </c>
      <c r="E7224" s="4" t="str">
        <f>HYPERLINK("https://app.crepc.sk/?fn=detailBiblioForm&amp;sid=A5B40B0321D8B57908D909F729")</f>
        <v>https://app.crepc.sk/?fn=detailBiblioForm&amp;sid=A5B40B0321D8B57908D909F729</v>
      </c>
    </row>
    <row r="7225" spans="3:5" ht="90" x14ac:dyDescent="0.25">
      <c r="C7225" s="15">
        <v>138276</v>
      </c>
      <c r="D7225" s="4" t="s">
        <v>7229</v>
      </c>
      <c r="E7225" s="4" t="str">
        <f>HYPERLINK("https://app.crepc.sk/?fn=detailBiblioForm&amp;sid=145E94B5E4A069A603F93DD195")</f>
        <v>https://app.crepc.sk/?fn=detailBiblioForm&amp;sid=145E94B5E4A069A603F93DD195</v>
      </c>
    </row>
    <row r="7226" spans="3:5" ht="105" x14ac:dyDescent="0.25">
      <c r="C7226" s="15">
        <v>135727</v>
      </c>
      <c r="D7226" s="4" t="s">
        <v>7230</v>
      </c>
      <c r="E7226" s="4" t="str">
        <f>HYPERLINK("https://app.crepc.sk/?fn=detailBiblioForm&amp;sid=D526CB574B7F6ABB31519B57E6")</f>
        <v>https://app.crepc.sk/?fn=detailBiblioForm&amp;sid=D526CB574B7F6ABB31519B57E6</v>
      </c>
    </row>
    <row r="7227" spans="3:5" ht="90" x14ac:dyDescent="0.25">
      <c r="C7227" s="15">
        <v>123021</v>
      </c>
      <c r="D7227" s="4" t="s">
        <v>7231</v>
      </c>
      <c r="E7227" s="4" t="str">
        <f>HYPERLINK("https://app.crepc.sk/?fn=detailBiblioForm&amp;sid=2C489247B5D608FF5243A8A290")</f>
        <v>https://app.crepc.sk/?fn=detailBiblioForm&amp;sid=2C489247B5D608FF5243A8A290</v>
      </c>
    </row>
    <row r="7228" spans="3:5" ht="90" x14ac:dyDescent="0.25">
      <c r="C7228" s="15">
        <v>178233</v>
      </c>
      <c r="D7228" s="4" t="s">
        <v>7232</v>
      </c>
      <c r="E7228" s="4" t="str">
        <f>HYPERLINK("https://app.crepc.sk/?fn=detailBiblioForm&amp;sid=B9F89BDF2FCAC70853263A5D3E")</f>
        <v>https://app.crepc.sk/?fn=detailBiblioForm&amp;sid=B9F89BDF2FCAC70853263A5D3E</v>
      </c>
    </row>
    <row r="7229" spans="3:5" ht="90" x14ac:dyDescent="0.25">
      <c r="C7229" s="15">
        <v>75191</v>
      </c>
      <c r="D7229" s="4" t="s">
        <v>7233</v>
      </c>
      <c r="E7229" s="4" t="str">
        <f>HYPERLINK("https://app.crepc.sk/?fn=detailBiblioForm&amp;sid=FA3206BD6B4E0E3A8DEC4EFF")</f>
        <v>https://app.crepc.sk/?fn=detailBiblioForm&amp;sid=FA3206BD6B4E0E3A8DEC4EFF</v>
      </c>
    </row>
    <row r="7230" spans="3:5" ht="75" x14ac:dyDescent="0.25">
      <c r="C7230" s="15">
        <v>63116</v>
      </c>
      <c r="D7230" s="4" t="s">
        <v>7234</v>
      </c>
      <c r="E7230" s="4" t="str">
        <f>HYPERLINK("https://app.crepc.sk/?fn=detailBiblioForm&amp;sid=709D0B15DE1F7013B4942CE2")</f>
        <v>https://app.crepc.sk/?fn=detailBiblioForm&amp;sid=709D0B15DE1F7013B4942CE2</v>
      </c>
    </row>
    <row r="7231" spans="3:5" ht="75" x14ac:dyDescent="0.25">
      <c r="C7231" s="15">
        <v>63114</v>
      </c>
      <c r="D7231" s="4" t="s">
        <v>7235</v>
      </c>
      <c r="E7231" s="4" t="str">
        <f>HYPERLINK("https://app.crepc.sk/?fn=detailBiblioForm&amp;sid=709D0B15DE1F7013B6942CE2")</f>
        <v>https://app.crepc.sk/?fn=detailBiblioForm&amp;sid=709D0B15DE1F7013B6942CE2</v>
      </c>
    </row>
    <row r="7232" spans="3:5" ht="60" x14ac:dyDescent="0.25">
      <c r="C7232" s="15">
        <v>152923</v>
      </c>
      <c r="D7232" s="4" t="s">
        <v>7236</v>
      </c>
      <c r="E7232" s="4" t="str">
        <f>HYPERLINK("https://app.crepc.sk/?fn=detailBiblioForm&amp;sid=877A1C170D2F97A1D83FCF3DE1")</f>
        <v>https://app.crepc.sk/?fn=detailBiblioForm&amp;sid=877A1C170D2F97A1D83FCF3DE1</v>
      </c>
    </row>
    <row r="7233" spans="3:5" ht="90" x14ac:dyDescent="0.25">
      <c r="C7233" s="15">
        <v>75199</v>
      </c>
      <c r="D7233" s="4" t="s">
        <v>7237</v>
      </c>
      <c r="E7233" s="4" t="str">
        <f>HYPERLINK("https://app.crepc.sk/?fn=detailBiblioForm&amp;sid=FA3206BD6B4E0E3A85EC4EFF")</f>
        <v>https://app.crepc.sk/?fn=detailBiblioForm&amp;sid=FA3206BD6B4E0E3A85EC4EFF</v>
      </c>
    </row>
    <row r="7234" spans="3:5" ht="90" x14ac:dyDescent="0.25">
      <c r="C7234" s="15">
        <v>53772</v>
      </c>
      <c r="D7234" s="4" t="s">
        <v>7238</v>
      </c>
      <c r="E7234" s="4" t="str">
        <f>HYPERLINK("https://app.crepc.sk/?fn=detailBiblioForm&amp;sid=2AB6EE17B69ADB32E22DA0D1")</f>
        <v>https://app.crepc.sk/?fn=detailBiblioForm&amp;sid=2AB6EE17B69ADB32E22DA0D1</v>
      </c>
    </row>
    <row r="7235" spans="3:5" ht="90" x14ac:dyDescent="0.25">
      <c r="C7235" s="15">
        <v>75192</v>
      </c>
      <c r="D7235" s="4" t="s">
        <v>7239</v>
      </c>
      <c r="E7235" s="4" t="str">
        <f>HYPERLINK("https://app.crepc.sk/?fn=detailBiblioForm&amp;sid=FA3206BD6B4E0E3A8EEC4EFF")</f>
        <v>https://app.crepc.sk/?fn=detailBiblioForm&amp;sid=FA3206BD6B4E0E3A8EEC4EFF</v>
      </c>
    </row>
    <row r="7236" spans="3:5" ht="135" x14ac:dyDescent="0.25">
      <c r="C7236" s="15">
        <v>126494</v>
      </c>
      <c r="D7236" s="4" t="s">
        <v>7240</v>
      </c>
      <c r="E7236" s="4" t="str">
        <f>HYPERLINK("https://app.crepc.sk/?fn=detailBiblioForm&amp;sid=D06FCBD82F9002B64F42B097C2")</f>
        <v>https://app.crepc.sk/?fn=detailBiblioForm&amp;sid=D06FCBD82F9002B64F42B097C2</v>
      </c>
    </row>
    <row r="7237" spans="3:5" ht="90" x14ac:dyDescent="0.25">
      <c r="C7237" s="15">
        <v>75194</v>
      </c>
      <c r="D7237" s="4" t="s">
        <v>7241</v>
      </c>
      <c r="E7237" s="4" t="str">
        <f>HYPERLINK("https://app.crepc.sk/?fn=detailBiblioForm&amp;sid=FA3206BD6B4E0E3A88EC4EFF")</f>
        <v>https://app.crepc.sk/?fn=detailBiblioForm&amp;sid=FA3206BD6B4E0E3A88EC4EFF</v>
      </c>
    </row>
    <row r="7238" spans="3:5" ht="105" x14ac:dyDescent="0.25">
      <c r="C7238" s="15">
        <v>448301</v>
      </c>
      <c r="D7238" s="4" t="s">
        <v>7242</v>
      </c>
      <c r="E7238" s="4" t="str">
        <f>HYPERLINK("https://app.crepc.sk/?fn=detailBiblioForm&amp;sid=F4F83FF99D02212E874D65EA70")</f>
        <v>https://app.crepc.sk/?fn=detailBiblioForm&amp;sid=F4F83FF99D02212E874D65EA70</v>
      </c>
    </row>
    <row r="7239" spans="3:5" ht="90" x14ac:dyDescent="0.25">
      <c r="C7239" s="15">
        <v>87051</v>
      </c>
      <c r="D7239" s="4" t="s">
        <v>7243</v>
      </c>
      <c r="E7239" s="4" t="str">
        <f>HYPERLINK("https://app.crepc.sk/?fn=detailBiblioForm&amp;sid=935B950CFCE3901900DAC913")</f>
        <v>https://app.crepc.sk/?fn=detailBiblioForm&amp;sid=935B950CFCE3901900DAC913</v>
      </c>
    </row>
    <row r="7240" spans="3:5" ht="90" x14ac:dyDescent="0.25">
      <c r="C7240" s="15">
        <v>53784</v>
      </c>
      <c r="D7240" s="4" t="s">
        <v>7244</v>
      </c>
      <c r="E7240" s="4" t="str">
        <f>HYPERLINK("https://app.crepc.sk/?fn=detailBiblioForm&amp;sid=6EB646EE28F719DFD17DD27C")</f>
        <v>https://app.crepc.sk/?fn=detailBiblioForm&amp;sid=6EB646EE28F719DFD17DD27C</v>
      </c>
    </row>
    <row r="7241" spans="3:5" ht="120" x14ac:dyDescent="0.25">
      <c r="C7241" s="15">
        <v>61751</v>
      </c>
      <c r="D7241" s="4" t="s">
        <v>7245</v>
      </c>
      <c r="E7241" s="4" t="str">
        <f>HYPERLINK("https://app.crepc.sk/?fn=detailBiblioForm&amp;sid=104059F3295446481F8CBA40")</f>
        <v>https://app.crepc.sk/?fn=detailBiblioForm&amp;sid=104059F3295446481F8CBA40</v>
      </c>
    </row>
    <row r="7242" spans="3:5" ht="105" x14ac:dyDescent="0.25">
      <c r="C7242" s="15">
        <v>121884</v>
      </c>
      <c r="D7242" s="4" t="s">
        <v>7246</v>
      </c>
      <c r="E7242" s="4" t="str">
        <f>HYPERLINK("https://app.crepc.sk/?fn=detailBiblioForm&amp;sid=FB227A2458B7F9F418632D5E19")</f>
        <v>https://app.crepc.sk/?fn=detailBiblioForm&amp;sid=FB227A2458B7F9F418632D5E19</v>
      </c>
    </row>
    <row r="7243" spans="3:5" ht="120" x14ac:dyDescent="0.25">
      <c r="C7243" s="15">
        <v>121880</v>
      </c>
      <c r="D7243" s="4" t="s">
        <v>7247</v>
      </c>
      <c r="E7243" s="4" t="str">
        <f>HYPERLINK("https://app.crepc.sk/?fn=detailBiblioForm&amp;sid=FB227A2458B7F9F418672D5E19")</f>
        <v>https://app.crepc.sk/?fn=detailBiblioForm&amp;sid=FB227A2458B7F9F418672D5E19</v>
      </c>
    </row>
    <row r="7244" spans="3:5" ht="90" x14ac:dyDescent="0.25">
      <c r="C7244" s="15">
        <v>97484</v>
      </c>
      <c r="D7244" s="4" t="s">
        <v>7248</v>
      </c>
      <c r="E7244" s="4" t="str">
        <f>HYPERLINK("https://app.crepc.sk/?fn=detailBiblioForm&amp;sid=9C37C2D37C1ADBC2494B1764")</f>
        <v>https://app.crepc.sk/?fn=detailBiblioForm&amp;sid=9C37C2D37C1ADBC2494B1764</v>
      </c>
    </row>
    <row r="7245" spans="3:5" ht="75" x14ac:dyDescent="0.25">
      <c r="C7245" s="15">
        <v>306725</v>
      </c>
      <c r="D7245" s="4" t="s">
        <v>7249</v>
      </c>
      <c r="E7245" s="4" t="str">
        <f>HYPERLINK("https://app.crepc.sk/?fn=detailBiblioForm&amp;sid=99301D76C2BA1F551F35633B5C")</f>
        <v>https://app.crepc.sk/?fn=detailBiblioForm&amp;sid=99301D76C2BA1F551F35633B5C</v>
      </c>
    </row>
    <row r="7246" spans="3:5" ht="75" x14ac:dyDescent="0.25">
      <c r="C7246" s="15">
        <v>152920</v>
      </c>
      <c r="D7246" s="4" t="s">
        <v>7250</v>
      </c>
      <c r="E7246" s="4" t="str">
        <f>HYPERLINK("https://app.crepc.sk/?fn=detailBiblioForm&amp;sid=877A1C170D2F97A1D83CCF3DE1")</f>
        <v>https://app.crepc.sk/?fn=detailBiblioForm&amp;sid=877A1C170D2F97A1D83CCF3DE1</v>
      </c>
    </row>
    <row r="7247" spans="3:5" ht="120" x14ac:dyDescent="0.25">
      <c r="C7247" s="15">
        <v>118549</v>
      </c>
      <c r="D7247" s="4" t="s">
        <v>7251</v>
      </c>
      <c r="E7247" s="4" t="str">
        <f>HYPERLINK("https://app.crepc.sk/?fn=detailBiblioForm&amp;sid=5E5121F04DA708F8C7CA78AA89")</f>
        <v>https://app.crepc.sk/?fn=detailBiblioForm&amp;sid=5E5121F04DA708F8C7CA78AA89</v>
      </c>
    </row>
    <row r="7248" spans="3:5" ht="90" x14ac:dyDescent="0.25">
      <c r="C7248" s="15">
        <v>122281</v>
      </c>
      <c r="D7248" s="4" t="s">
        <v>7252</v>
      </c>
      <c r="E7248" s="4" t="str">
        <f>HYPERLINK("https://app.crepc.sk/?fn=detailBiblioForm&amp;sid=7ECB8D2670C8FCA5B9DABB440D")</f>
        <v>https://app.crepc.sk/?fn=detailBiblioForm&amp;sid=7ECB8D2670C8FCA5B9DABB440D</v>
      </c>
    </row>
    <row r="7249" spans="1:5" ht="75" x14ac:dyDescent="0.25">
      <c r="C7249" s="15">
        <v>97504</v>
      </c>
      <c r="D7249" s="4" t="s">
        <v>7253</v>
      </c>
      <c r="E7249" s="4" t="str">
        <f>HYPERLINK("https://app.crepc.sk/?fn=detailBiblioForm&amp;sid=91467FF0406D086912990EAC")</f>
        <v>https://app.crepc.sk/?fn=detailBiblioForm&amp;sid=91467FF0406D086912990EAC</v>
      </c>
    </row>
    <row r="7250" spans="1:5" ht="105" x14ac:dyDescent="0.25">
      <c r="C7250" s="15">
        <v>97027</v>
      </c>
      <c r="D7250" s="4" t="s">
        <v>7254</v>
      </c>
      <c r="E7250" s="4" t="str">
        <f>HYPERLINK("https://app.crepc.sk/?fn=detailBiblioForm&amp;sid=E5BC37E70CEC72E0BE647F0A")</f>
        <v>https://app.crepc.sk/?fn=detailBiblioForm&amp;sid=E5BC37E70CEC72E0BE647F0A</v>
      </c>
    </row>
    <row r="7251" spans="1:5" x14ac:dyDescent="0.25">
      <c r="A7251" s="4" t="s">
        <v>7255</v>
      </c>
      <c r="B7251" s="15">
        <v>3</v>
      </c>
    </row>
    <row r="7252" spans="1:5" ht="75" x14ac:dyDescent="0.25">
      <c r="C7252" s="15">
        <v>149444</v>
      </c>
      <c r="D7252" s="4" t="s">
        <v>7256</v>
      </c>
      <c r="E7252" s="4" t="str">
        <f>HYPERLINK("https://app.crepc.sk/?fn=detailBiblioForm&amp;sid=9A235537CE409871D0704B56C9")</f>
        <v>https://app.crepc.sk/?fn=detailBiblioForm&amp;sid=9A235537CE409871D0704B56C9</v>
      </c>
    </row>
    <row r="7253" spans="1:5" ht="75" x14ac:dyDescent="0.25">
      <c r="C7253" s="15">
        <v>190311</v>
      </c>
      <c r="D7253" s="4" t="s">
        <v>7257</v>
      </c>
      <c r="E7253" s="4" t="str">
        <f>HYPERLINK("https://app.crepc.sk/?fn=detailBiblioForm&amp;sid=E58AF41CA0468A442BD486DC73")</f>
        <v>https://app.crepc.sk/?fn=detailBiblioForm&amp;sid=E58AF41CA0468A442BD486DC73</v>
      </c>
    </row>
    <row r="7254" spans="1:5" ht="75" x14ac:dyDescent="0.25">
      <c r="C7254" s="15">
        <v>51255</v>
      </c>
      <c r="D7254" s="4" t="s">
        <v>7258</v>
      </c>
      <c r="E7254" s="4" t="str">
        <f>HYPERLINK("https://app.crepc.sk/?fn=detailBiblioForm&amp;sid=A5213ECA03C20E55867ED996")</f>
        <v>https://app.crepc.sk/?fn=detailBiblioForm&amp;sid=A5213ECA03C20E55867ED996</v>
      </c>
    </row>
    <row r="7255" spans="1:5" x14ac:dyDescent="0.25">
      <c r="A7255" s="4" t="s">
        <v>7259</v>
      </c>
      <c r="B7255" s="15">
        <v>2</v>
      </c>
    </row>
    <row r="7256" spans="1:5" ht="105" x14ac:dyDescent="0.25">
      <c r="C7256" s="15">
        <v>249660</v>
      </c>
      <c r="D7256" s="4" t="s">
        <v>7260</v>
      </c>
      <c r="E7256" s="4" t="str">
        <f>HYPERLINK("https://app.crepc.sk/?fn=detailBiblioForm&amp;sid=A43C6767581FABD00CA26DF55F")</f>
        <v>https://app.crepc.sk/?fn=detailBiblioForm&amp;sid=A43C6767581FABD00CA26DF55F</v>
      </c>
    </row>
    <row r="7257" spans="1:5" ht="90" x14ac:dyDescent="0.25">
      <c r="C7257" s="15">
        <v>249645</v>
      </c>
      <c r="D7257" s="4" t="s">
        <v>7261</v>
      </c>
      <c r="E7257" s="4" t="str">
        <f>HYPERLINK("https://app.crepc.sk/?fn=detailBiblioForm&amp;sid=A43C6767581FABD00EA76DF55F")</f>
        <v>https://app.crepc.sk/?fn=detailBiblioForm&amp;sid=A43C6767581FABD00EA76DF55F</v>
      </c>
    </row>
    <row r="7258" spans="1:5" x14ac:dyDescent="0.25">
      <c r="A7258" s="4" t="s">
        <v>7262</v>
      </c>
      <c r="B7258" s="15">
        <v>56</v>
      </c>
    </row>
    <row r="7259" spans="1:5" ht="75" x14ac:dyDescent="0.25">
      <c r="C7259" s="15">
        <v>159340</v>
      </c>
      <c r="D7259" s="4" t="s">
        <v>7263</v>
      </c>
      <c r="E7259" s="4" t="str">
        <f>HYPERLINK("https://app.crepc.sk/?fn=detailBiblioForm&amp;sid=053A541DA4E8CCAC4D89B08FF1")</f>
        <v>https://app.crepc.sk/?fn=detailBiblioForm&amp;sid=053A541DA4E8CCAC4D89B08FF1</v>
      </c>
    </row>
    <row r="7260" spans="1:5" ht="90" x14ac:dyDescent="0.25">
      <c r="C7260" s="15">
        <v>307226</v>
      </c>
      <c r="D7260" s="4" t="s">
        <v>7264</v>
      </c>
      <c r="E7260" s="4" t="str">
        <f>HYPERLINK("https://app.crepc.sk/?fn=detailBiblioForm&amp;sid=D6D1207F88D43CD7225B0D809F")</f>
        <v>https://app.crepc.sk/?fn=detailBiblioForm&amp;sid=D6D1207F88D43CD7225B0D809F</v>
      </c>
    </row>
    <row r="7261" spans="1:5" ht="90" x14ac:dyDescent="0.25">
      <c r="C7261" s="15">
        <v>248253</v>
      </c>
      <c r="D7261" s="4" t="s">
        <v>7265</v>
      </c>
      <c r="E7261" s="4" t="str">
        <f>HYPERLINK("https://app.crepc.sk/?fn=detailBiblioForm&amp;sid=632624C9FD7A43181540567D72")</f>
        <v>https://app.crepc.sk/?fn=detailBiblioForm&amp;sid=632624C9FD7A43181540567D72</v>
      </c>
    </row>
    <row r="7262" spans="1:5" ht="60" x14ac:dyDescent="0.25">
      <c r="C7262" s="15">
        <v>420556</v>
      </c>
      <c r="D7262" s="4" t="s">
        <v>7266</v>
      </c>
      <c r="E7262" s="4" t="str">
        <f>HYPERLINK("https://app.crepc.sk/?fn=detailBiblioForm&amp;sid=6CFFB3A0C3A7DAD1BF580C5A6D")</f>
        <v>https://app.crepc.sk/?fn=detailBiblioForm&amp;sid=6CFFB3A0C3A7DAD1BF580C5A6D</v>
      </c>
    </row>
    <row r="7263" spans="1:5" ht="60" x14ac:dyDescent="0.25">
      <c r="C7263" s="15">
        <v>149408</v>
      </c>
      <c r="D7263" s="4" t="s">
        <v>7267</v>
      </c>
      <c r="E7263" s="4" t="str">
        <f>HYPERLINK("https://app.crepc.sk/?fn=detailBiblioForm&amp;sid=9A235537CE409871D47C4B56C9")</f>
        <v>https://app.crepc.sk/?fn=detailBiblioForm&amp;sid=9A235537CE409871D47C4B56C9</v>
      </c>
    </row>
    <row r="7264" spans="1:5" ht="60" x14ac:dyDescent="0.25">
      <c r="C7264" s="15">
        <v>135531</v>
      </c>
      <c r="D7264" s="4" t="s">
        <v>7268</v>
      </c>
      <c r="E7264" s="4" t="str">
        <f>HYPERLINK("https://app.crepc.sk/?fn=detailBiblioForm&amp;sid=BC2DF5561E82DF976FE20494F8")</f>
        <v>https://app.crepc.sk/?fn=detailBiblioForm&amp;sid=BC2DF5561E82DF976FE20494F8</v>
      </c>
    </row>
    <row r="7265" spans="3:5" ht="60" x14ac:dyDescent="0.25">
      <c r="C7265" s="15">
        <v>58118</v>
      </c>
      <c r="D7265" s="4" t="s">
        <v>7269</v>
      </c>
      <c r="E7265" s="4" t="str">
        <f>HYPERLINK("https://app.crepc.sk/?fn=detailBiblioForm&amp;sid=93864A07E19B668148393578")</f>
        <v>https://app.crepc.sk/?fn=detailBiblioForm&amp;sid=93864A07E19B668148393578</v>
      </c>
    </row>
    <row r="7266" spans="3:5" ht="45" x14ac:dyDescent="0.25">
      <c r="C7266" s="15">
        <v>118624</v>
      </c>
      <c r="D7266" s="4" t="s">
        <v>7270</v>
      </c>
      <c r="E7266" s="4" t="str">
        <f>HYPERLINK("https://app.crepc.sk/?fn=detailBiblioForm&amp;sid=6B4985DCE924C343C3F5A4E6C1")</f>
        <v>https://app.crepc.sk/?fn=detailBiblioForm&amp;sid=6B4985DCE924C343C3F5A4E6C1</v>
      </c>
    </row>
    <row r="7267" spans="3:5" ht="60" x14ac:dyDescent="0.25">
      <c r="C7267" s="15">
        <v>420555</v>
      </c>
      <c r="D7267" s="4" t="s">
        <v>7271</v>
      </c>
      <c r="E7267" s="4" t="str">
        <f>HYPERLINK("https://app.crepc.sk/?fn=detailBiblioForm&amp;sid=6CFFB3A0C3A7DAD1BF5B0C5A6D")</f>
        <v>https://app.crepc.sk/?fn=detailBiblioForm&amp;sid=6CFFB3A0C3A7DAD1BF5B0C5A6D</v>
      </c>
    </row>
    <row r="7268" spans="3:5" ht="60" x14ac:dyDescent="0.25">
      <c r="C7268" s="15">
        <v>176077</v>
      </c>
      <c r="D7268" s="4" t="s">
        <v>7272</v>
      </c>
      <c r="E7268" s="4" t="str">
        <f>HYPERLINK("https://app.crepc.sk/?fn=detailBiblioForm&amp;sid=36F4BD7000BAB49A15C72BC6B7")</f>
        <v>https://app.crepc.sk/?fn=detailBiblioForm&amp;sid=36F4BD7000BAB49A15C72BC6B7</v>
      </c>
    </row>
    <row r="7269" spans="3:5" ht="60" x14ac:dyDescent="0.25">
      <c r="C7269" s="15">
        <v>105037</v>
      </c>
      <c r="D7269" s="4" t="s">
        <v>7273</v>
      </c>
      <c r="E7269" s="4" t="str">
        <f>HYPERLINK("https://app.crepc.sk/?fn=detailBiblioForm&amp;sid=C2EB937682BD74C1B681796E32")</f>
        <v>https://app.crepc.sk/?fn=detailBiblioForm&amp;sid=C2EB937682BD74C1B681796E32</v>
      </c>
    </row>
    <row r="7270" spans="3:5" ht="60" x14ac:dyDescent="0.25">
      <c r="C7270" s="15">
        <v>154556</v>
      </c>
      <c r="D7270" s="4" t="s">
        <v>7274</v>
      </c>
      <c r="E7270" s="4" t="str">
        <f>HYPERLINK("https://app.crepc.sk/?fn=detailBiblioForm&amp;sid=7CD47704C688C3C83656859C4A")</f>
        <v>https://app.crepc.sk/?fn=detailBiblioForm&amp;sid=7CD47704C688C3C83656859C4A</v>
      </c>
    </row>
    <row r="7271" spans="3:5" ht="45" x14ac:dyDescent="0.25">
      <c r="C7271" s="15">
        <v>209131</v>
      </c>
      <c r="D7271" s="4" t="s">
        <v>7275</v>
      </c>
      <c r="E7271" s="4" t="str">
        <f>HYPERLINK("https://app.crepc.sk/?fn=detailBiblioForm&amp;sid=CEB008BA03D41FE3DE4246E343")</f>
        <v>https://app.crepc.sk/?fn=detailBiblioForm&amp;sid=CEB008BA03D41FE3DE4246E343</v>
      </c>
    </row>
    <row r="7272" spans="3:5" ht="45" x14ac:dyDescent="0.25">
      <c r="C7272" s="15">
        <v>209566</v>
      </c>
      <c r="D7272" s="4" t="s">
        <v>7276</v>
      </c>
      <c r="E7272" s="4" t="str">
        <f>HYPERLINK("https://app.crepc.sk/?fn=detailBiblioForm&amp;sid=5D15CCFBDD7C9C1324BA8220DC")</f>
        <v>https://app.crepc.sk/?fn=detailBiblioForm&amp;sid=5D15CCFBDD7C9C1324BA8220DC</v>
      </c>
    </row>
    <row r="7273" spans="3:5" ht="60" x14ac:dyDescent="0.25">
      <c r="C7273" s="15">
        <v>442579</v>
      </c>
      <c r="D7273" s="4" t="s">
        <v>7277</v>
      </c>
      <c r="E7273" s="4" t="str">
        <f>HYPERLINK("https://app.crepc.sk/?fn=detailBiblioForm&amp;sid=A9CFFDCBD31163D911A5FD67B2")</f>
        <v>https://app.crepc.sk/?fn=detailBiblioForm&amp;sid=A9CFFDCBD31163D911A5FD67B2</v>
      </c>
    </row>
    <row r="7274" spans="3:5" ht="45" x14ac:dyDescent="0.25">
      <c r="C7274" s="15">
        <v>316725</v>
      </c>
      <c r="D7274" s="4" t="s">
        <v>7278</v>
      </c>
      <c r="E7274" s="4" t="str">
        <f>HYPERLINK("https://app.crepc.sk/?fn=detailBiblioForm&amp;sid=31B74E2C3D2F4979E89FC5B881")</f>
        <v>https://app.crepc.sk/?fn=detailBiblioForm&amp;sid=31B74E2C3D2F4979E89FC5B881</v>
      </c>
    </row>
    <row r="7275" spans="3:5" ht="45" x14ac:dyDescent="0.25">
      <c r="C7275" s="15">
        <v>149406</v>
      </c>
      <c r="D7275" s="4" t="s">
        <v>7279</v>
      </c>
      <c r="E7275" s="4" t="str">
        <f>HYPERLINK("https://app.crepc.sk/?fn=detailBiblioForm&amp;sid=9A235537CE409871D4724B56C9")</f>
        <v>https://app.crepc.sk/?fn=detailBiblioForm&amp;sid=9A235537CE409871D4724B56C9</v>
      </c>
    </row>
    <row r="7276" spans="3:5" ht="75" x14ac:dyDescent="0.25">
      <c r="C7276" s="15">
        <v>51164</v>
      </c>
      <c r="D7276" s="4" t="s">
        <v>7280</v>
      </c>
      <c r="E7276" s="4" t="str">
        <f>HYPERLINK("https://app.crepc.sk/?fn=detailBiblioForm&amp;sid=884D2D1501E161447DCEEDDE")</f>
        <v>https://app.crepc.sk/?fn=detailBiblioForm&amp;sid=884D2D1501E161447DCEEDDE</v>
      </c>
    </row>
    <row r="7277" spans="3:5" ht="60" x14ac:dyDescent="0.25">
      <c r="C7277" s="15">
        <v>51232</v>
      </c>
      <c r="D7277" s="4" t="s">
        <v>7281</v>
      </c>
      <c r="E7277" s="4" t="str">
        <f>HYPERLINK("https://app.crepc.sk/?fn=detailBiblioForm&amp;sid=C2C5387F66C91EC29E72BCE3")</f>
        <v>https://app.crepc.sk/?fn=detailBiblioForm&amp;sid=C2C5387F66C91EC29E72BCE3</v>
      </c>
    </row>
    <row r="7278" spans="3:5" ht="60" x14ac:dyDescent="0.25">
      <c r="C7278" s="15">
        <v>51173</v>
      </c>
      <c r="D7278" s="4" t="s">
        <v>7282</v>
      </c>
      <c r="E7278" s="4" t="str">
        <f>HYPERLINK("https://app.crepc.sk/?fn=detailBiblioForm&amp;sid=C332B262FCFDB6420644917C")</f>
        <v>https://app.crepc.sk/?fn=detailBiblioForm&amp;sid=C332B262FCFDB6420644917C</v>
      </c>
    </row>
    <row r="7279" spans="3:5" ht="60" x14ac:dyDescent="0.25">
      <c r="C7279" s="15">
        <v>51265</v>
      </c>
      <c r="D7279" s="4" t="s">
        <v>7283</v>
      </c>
      <c r="E7279" s="4" t="str">
        <f>HYPERLINK("https://app.crepc.sk/?fn=detailBiblioForm&amp;sid=777CE75A3AADA6C19D63A9A2")</f>
        <v>https://app.crepc.sk/?fn=detailBiblioForm&amp;sid=777CE75A3AADA6C19D63A9A2</v>
      </c>
    </row>
    <row r="7280" spans="3:5" ht="45" x14ac:dyDescent="0.25">
      <c r="C7280" s="15">
        <v>51257</v>
      </c>
      <c r="D7280" s="4" t="s">
        <v>7284</v>
      </c>
      <c r="E7280" s="4" t="str">
        <f>HYPERLINK("https://app.crepc.sk/?fn=detailBiblioForm&amp;sid=A5213ECA03C20E55847ED996")</f>
        <v>https://app.crepc.sk/?fn=detailBiblioForm&amp;sid=A5213ECA03C20E55847ED996</v>
      </c>
    </row>
    <row r="7281" spans="3:5" ht="45" x14ac:dyDescent="0.25">
      <c r="C7281" s="15">
        <v>100824</v>
      </c>
      <c r="D7281" s="4" t="s">
        <v>7285</v>
      </c>
      <c r="E7281" s="4" t="str">
        <f>HYPERLINK("https://app.crepc.sk/?fn=detailBiblioForm&amp;sid=C2DCC5E65C22781D3865D860DE")</f>
        <v>https://app.crepc.sk/?fn=detailBiblioForm&amp;sid=C2DCC5E65C22781D3865D860DE</v>
      </c>
    </row>
    <row r="7282" spans="3:5" ht="60" x14ac:dyDescent="0.25">
      <c r="C7282" s="15">
        <v>442589</v>
      </c>
      <c r="D7282" s="4" t="s">
        <v>7286</v>
      </c>
      <c r="E7282" s="4" t="str">
        <f>HYPERLINK("https://app.crepc.sk/?fn=detailBiblioForm&amp;sid=A9CFFDCBD31163D91EA5FD67B2")</f>
        <v>https://app.crepc.sk/?fn=detailBiblioForm&amp;sid=A9CFFDCBD31163D91EA5FD67B2</v>
      </c>
    </row>
    <row r="7283" spans="3:5" ht="45" x14ac:dyDescent="0.25">
      <c r="C7283" s="15">
        <v>316724</v>
      </c>
      <c r="D7283" s="4" t="s">
        <v>7287</v>
      </c>
      <c r="E7283" s="4" t="str">
        <f>HYPERLINK("https://app.crepc.sk/?fn=detailBiblioForm&amp;sid=31B74E2C3D2F4979E89EC5B881")</f>
        <v>https://app.crepc.sk/?fn=detailBiblioForm&amp;sid=31B74E2C3D2F4979E89EC5B881</v>
      </c>
    </row>
    <row r="7284" spans="3:5" ht="60" x14ac:dyDescent="0.25">
      <c r="C7284" s="15">
        <v>149410</v>
      </c>
      <c r="D7284" s="4" t="s">
        <v>7288</v>
      </c>
      <c r="E7284" s="4" t="str">
        <f>HYPERLINK("https://app.crepc.sk/?fn=detailBiblioForm&amp;sid=9A235537CE409871D5744B56C9")</f>
        <v>https://app.crepc.sk/?fn=detailBiblioForm&amp;sid=9A235537CE409871D5744B56C9</v>
      </c>
    </row>
    <row r="7285" spans="3:5" ht="45" x14ac:dyDescent="0.25">
      <c r="C7285" s="15">
        <v>420602</v>
      </c>
      <c r="D7285" s="4" t="s">
        <v>7289</v>
      </c>
      <c r="E7285" s="4" t="str">
        <f>HYPERLINK("https://app.crepc.sk/?fn=detailBiblioForm&amp;sid=A77AA55DE17C971B2E52FEE8BA")</f>
        <v>https://app.crepc.sk/?fn=detailBiblioForm&amp;sid=A77AA55DE17C971B2E52FEE8BA</v>
      </c>
    </row>
    <row r="7286" spans="3:5" ht="105" x14ac:dyDescent="0.25">
      <c r="C7286" s="15">
        <v>228825</v>
      </c>
      <c r="D7286" s="4" t="s">
        <v>7290</v>
      </c>
      <c r="E7286" s="4" t="str">
        <f>HYPERLINK("https://app.crepc.sk/?fn=detailBiblioForm&amp;sid=5076D04024979CB5CD5AC115B4")</f>
        <v>https://app.crepc.sk/?fn=detailBiblioForm&amp;sid=5076D04024979CB5CD5AC115B4</v>
      </c>
    </row>
    <row r="7287" spans="3:5" ht="60" x14ac:dyDescent="0.25">
      <c r="C7287" s="15">
        <v>420599</v>
      </c>
      <c r="D7287" s="4" t="s">
        <v>7291</v>
      </c>
      <c r="E7287" s="4" t="str">
        <f>HYPERLINK("https://app.crepc.sk/?fn=detailBiblioForm&amp;sid=6CFFB3A0C3A7DAD1B3570C5A6D")</f>
        <v>https://app.crepc.sk/?fn=detailBiblioForm&amp;sid=6CFFB3A0C3A7DAD1B3570C5A6D</v>
      </c>
    </row>
    <row r="7288" spans="3:5" ht="45" x14ac:dyDescent="0.25">
      <c r="C7288" s="15">
        <v>200520</v>
      </c>
      <c r="D7288" s="4" t="s">
        <v>7292</v>
      </c>
      <c r="E7288" s="4" t="str">
        <f>HYPERLINK("https://app.crepc.sk/?fn=detailBiblioForm&amp;sid=91D350D805BE9AB6A88B715CC5")</f>
        <v>https://app.crepc.sk/?fn=detailBiblioForm&amp;sid=91D350D805BE9AB6A88B715CC5</v>
      </c>
    </row>
    <row r="7289" spans="3:5" ht="60" x14ac:dyDescent="0.25">
      <c r="C7289" s="15">
        <v>154540</v>
      </c>
      <c r="D7289" s="4" t="s">
        <v>7293</v>
      </c>
      <c r="E7289" s="4" t="str">
        <f>HYPERLINK("https://app.crepc.sk/?fn=detailBiblioForm&amp;sid=7CD47704C688C3C83750859C4A")</f>
        <v>https://app.crepc.sk/?fn=detailBiblioForm&amp;sid=7CD47704C688C3C83750859C4A</v>
      </c>
    </row>
    <row r="7290" spans="3:5" ht="60" x14ac:dyDescent="0.25">
      <c r="C7290" s="15">
        <v>105034</v>
      </c>
      <c r="D7290" s="4" t="s">
        <v>7294</v>
      </c>
      <c r="E7290" s="4" t="str">
        <f>HYPERLINK("https://app.crepc.sk/?fn=detailBiblioForm&amp;sid=C2EB937682BD74C1B682796E32")</f>
        <v>https://app.crepc.sk/?fn=detailBiblioForm&amp;sid=C2EB937682BD74C1B682796E32</v>
      </c>
    </row>
    <row r="7291" spans="3:5" ht="60" x14ac:dyDescent="0.25">
      <c r="C7291" s="15">
        <v>149407</v>
      </c>
      <c r="D7291" s="4" t="s">
        <v>7295</v>
      </c>
      <c r="E7291" s="4" t="str">
        <f>HYPERLINK("https://app.crepc.sk/?fn=detailBiblioForm&amp;sid=9A235537CE409871D4734B56C9")</f>
        <v>https://app.crepc.sk/?fn=detailBiblioForm&amp;sid=9A235537CE409871D4734B56C9</v>
      </c>
    </row>
    <row r="7292" spans="3:5" ht="75" x14ac:dyDescent="0.25">
      <c r="C7292" s="15">
        <v>105031</v>
      </c>
      <c r="D7292" s="4" t="s">
        <v>7296</v>
      </c>
      <c r="E7292" s="4" t="str">
        <f>HYPERLINK("https://app.crepc.sk/?fn=detailBiblioForm&amp;sid=C2EB937682BD74C1B687796E32")</f>
        <v>https://app.crepc.sk/?fn=detailBiblioForm&amp;sid=C2EB937682BD74C1B687796E32</v>
      </c>
    </row>
    <row r="7293" spans="3:5" ht="60" x14ac:dyDescent="0.25">
      <c r="C7293" s="15">
        <v>105030</v>
      </c>
      <c r="D7293" s="4" t="s">
        <v>7297</v>
      </c>
      <c r="E7293" s="4" t="str">
        <f>HYPERLINK("https://app.crepc.sk/?fn=detailBiblioForm&amp;sid=C2EB937682BD74C1B686796E32")</f>
        <v>https://app.crepc.sk/?fn=detailBiblioForm&amp;sid=C2EB937682BD74C1B686796E32</v>
      </c>
    </row>
    <row r="7294" spans="3:5" ht="60" x14ac:dyDescent="0.25">
      <c r="C7294" s="15">
        <v>105036</v>
      </c>
      <c r="D7294" s="4" t="s">
        <v>7298</v>
      </c>
      <c r="E7294" s="4" t="str">
        <f>HYPERLINK("https://app.crepc.sk/?fn=detailBiblioForm&amp;sid=C2EB937682BD74C1B680796E32")</f>
        <v>https://app.crepc.sk/?fn=detailBiblioForm&amp;sid=C2EB937682BD74C1B680796E32</v>
      </c>
    </row>
    <row r="7295" spans="3:5" ht="60" x14ac:dyDescent="0.25">
      <c r="C7295" s="15">
        <v>105032</v>
      </c>
      <c r="D7295" s="4" t="s">
        <v>7299</v>
      </c>
      <c r="E7295" s="4" t="str">
        <f>HYPERLINK("https://app.crepc.sk/?fn=detailBiblioForm&amp;sid=C2EB937682BD74C1B684796E32")</f>
        <v>https://app.crepc.sk/?fn=detailBiblioForm&amp;sid=C2EB937682BD74C1B684796E32</v>
      </c>
    </row>
    <row r="7296" spans="3:5" ht="45" x14ac:dyDescent="0.25">
      <c r="C7296" s="15">
        <v>420581</v>
      </c>
      <c r="D7296" s="4" t="s">
        <v>7300</v>
      </c>
      <c r="E7296" s="4" t="str">
        <f>HYPERLINK("https://app.crepc.sk/?fn=detailBiblioForm&amp;sid=6CFFB3A0C3A7DAD1B25F0C5A6D")</f>
        <v>https://app.crepc.sk/?fn=detailBiblioForm&amp;sid=6CFFB3A0C3A7DAD1B25F0C5A6D</v>
      </c>
    </row>
    <row r="7297" spans="3:5" ht="60" x14ac:dyDescent="0.25">
      <c r="C7297" s="15">
        <v>420588</v>
      </c>
      <c r="D7297" s="4" t="s">
        <v>7301</v>
      </c>
      <c r="E7297" s="4" t="str">
        <f>HYPERLINK("https://app.crepc.sk/?fn=detailBiblioForm&amp;sid=6CFFB3A0C3A7DAD1B2560C5A6D")</f>
        <v>https://app.crepc.sk/?fn=detailBiblioForm&amp;sid=6CFFB3A0C3A7DAD1B2560C5A6D</v>
      </c>
    </row>
    <row r="7298" spans="3:5" ht="60" x14ac:dyDescent="0.25">
      <c r="C7298" s="15">
        <v>420597</v>
      </c>
      <c r="D7298" s="4" t="s">
        <v>7302</v>
      </c>
      <c r="E7298" s="4" t="str">
        <f>HYPERLINK("https://app.crepc.sk/?fn=detailBiblioForm&amp;sid=6CFFB3A0C3A7DAD1B3590C5A6D")</f>
        <v>https://app.crepc.sk/?fn=detailBiblioForm&amp;sid=6CFFB3A0C3A7DAD1B3590C5A6D</v>
      </c>
    </row>
    <row r="7299" spans="3:5" ht="45" x14ac:dyDescent="0.25">
      <c r="C7299" s="15">
        <v>209563</v>
      </c>
      <c r="D7299" s="4" t="s">
        <v>7303</v>
      </c>
      <c r="E7299" s="4" t="str">
        <f>HYPERLINK("https://app.crepc.sk/?fn=detailBiblioForm&amp;sid=5D15CCFBDD7C9C1324BF8220DC")</f>
        <v>https://app.crepc.sk/?fn=detailBiblioForm&amp;sid=5D15CCFBDD7C9C1324BF8220DC</v>
      </c>
    </row>
    <row r="7300" spans="3:5" ht="60" x14ac:dyDescent="0.25">
      <c r="C7300" s="15">
        <v>420590</v>
      </c>
      <c r="D7300" s="4" t="s">
        <v>7304</v>
      </c>
      <c r="E7300" s="4" t="str">
        <f>HYPERLINK("https://app.crepc.sk/?fn=detailBiblioForm&amp;sid=6CFFB3A0C3A7DAD1B35E0C5A6D")</f>
        <v>https://app.crepc.sk/?fn=detailBiblioForm&amp;sid=6CFFB3A0C3A7DAD1B35E0C5A6D</v>
      </c>
    </row>
    <row r="7301" spans="3:5" ht="60" x14ac:dyDescent="0.25">
      <c r="C7301" s="15">
        <v>420486</v>
      </c>
      <c r="D7301" s="4" t="s">
        <v>7305</v>
      </c>
      <c r="E7301" s="4" t="str">
        <f>HYPERLINK("https://app.crepc.sk/?fn=detailBiblioForm&amp;sid=31A8E6F309604C6E220583CADC")</f>
        <v>https://app.crepc.sk/?fn=detailBiblioForm&amp;sid=31A8E6F309604C6E220583CADC</v>
      </c>
    </row>
    <row r="7302" spans="3:5" ht="60" x14ac:dyDescent="0.25">
      <c r="C7302" s="15">
        <v>420585</v>
      </c>
      <c r="D7302" s="4" t="s">
        <v>7306</v>
      </c>
      <c r="E7302" s="4" t="str">
        <f>HYPERLINK("https://app.crepc.sk/?fn=detailBiblioForm&amp;sid=6CFFB3A0C3A7DAD1B25B0C5A6D")</f>
        <v>https://app.crepc.sk/?fn=detailBiblioForm&amp;sid=6CFFB3A0C3A7DAD1B25B0C5A6D</v>
      </c>
    </row>
    <row r="7303" spans="3:5" ht="60" x14ac:dyDescent="0.25">
      <c r="C7303" s="15">
        <v>191927</v>
      </c>
      <c r="D7303" s="4" t="s">
        <v>7307</v>
      </c>
      <c r="E7303" s="4" t="str">
        <f>HYPERLINK("https://app.crepc.sk/?fn=detailBiblioForm&amp;sid=6E4E4629F1EF9E5E37337EBF27")</f>
        <v>https://app.crepc.sk/?fn=detailBiblioForm&amp;sid=6E4E4629F1EF9E5E37337EBF27</v>
      </c>
    </row>
    <row r="7304" spans="3:5" ht="45" x14ac:dyDescent="0.25">
      <c r="C7304" s="15">
        <v>200521</v>
      </c>
      <c r="D7304" s="4" t="s">
        <v>7308</v>
      </c>
      <c r="E7304" s="4" t="str">
        <f>HYPERLINK("https://app.crepc.sk/?fn=detailBiblioForm&amp;sid=91D350D805BE9AB6A88A715CC5")</f>
        <v>https://app.crepc.sk/?fn=detailBiblioForm&amp;sid=91D350D805BE9AB6A88A715CC5</v>
      </c>
    </row>
    <row r="7305" spans="3:5" ht="60" x14ac:dyDescent="0.25">
      <c r="C7305" s="15">
        <v>200522</v>
      </c>
      <c r="D7305" s="4" t="s">
        <v>7309</v>
      </c>
      <c r="E7305" s="4" t="str">
        <f>HYPERLINK("https://app.crepc.sk/?fn=detailBiblioForm&amp;sid=91D350D805BE9AB6A889715CC5")</f>
        <v>https://app.crepc.sk/?fn=detailBiblioForm&amp;sid=91D350D805BE9AB6A889715CC5</v>
      </c>
    </row>
    <row r="7306" spans="3:5" ht="45" x14ac:dyDescent="0.25">
      <c r="C7306" s="15">
        <v>420584</v>
      </c>
      <c r="D7306" s="4" t="s">
        <v>7310</v>
      </c>
      <c r="E7306" s="4" t="str">
        <f>HYPERLINK("https://app.crepc.sk/?fn=detailBiblioForm&amp;sid=6CFFB3A0C3A7DAD1B25A0C5A6D")</f>
        <v>https://app.crepc.sk/?fn=detailBiblioForm&amp;sid=6CFFB3A0C3A7DAD1B25A0C5A6D</v>
      </c>
    </row>
    <row r="7307" spans="3:5" ht="75" x14ac:dyDescent="0.25">
      <c r="C7307" s="15">
        <v>154550</v>
      </c>
      <c r="D7307" s="4" t="s">
        <v>7311</v>
      </c>
      <c r="E7307" s="4" t="str">
        <f>HYPERLINK("https://app.crepc.sk/?fn=detailBiblioForm&amp;sid=7CD47704C688C3C83650859C4A")</f>
        <v>https://app.crepc.sk/?fn=detailBiblioForm&amp;sid=7CD47704C688C3C83650859C4A</v>
      </c>
    </row>
    <row r="7308" spans="3:5" ht="45" x14ac:dyDescent="0.25">
      <c r="C7308" s="15">
        <v>420583</v>
      </c>
      <c r="D7308" s="4" t="s">
        <v>7312</v>
      </c>
      <c r="E7308" s="4" t="str">
        <f>HYPERLINK("https://app.crepc.sk/?fn=detailBiblioForm&amp;sid=6CFFB3A0C3A7DAD1B25D0C5A6D")</f>
        <v>https://app.crepc.sk/?fn=detailBiblioForm&amp;sid=6CFFB3A0C3A7DAD1B25D0C5A6D</v>
      </c>
    </row>
    <row r="7309" spans="3:5" ht="60" x14ac:dyDescent="0.25">
      <c r="C7309" s="15">
        <v>58120</v>
      </c>
      <c r="D7309" s="4" t="s">
        <v>7313</v>
      </c>
      <c r="E7309" s="4" t="str">
        <f>HYPERLINK("https://app.crepc.sk/?fn=detailBiblioForm&amp;sid=C9E8F2DD170F681FE289AC3B")</f>
        <v>https://app.crepc.sk/?fn=detailBiblioForm&amp;sid=C9E8F2DD170F681FE289AC3B</v>
      </c>
    </row>
    <row r="7310" spans="3:5" ht="75" x14ac:dyDescent="0.25">
      <c r="C7310" s="15">
        <v>315298</v>
      </c>
      <c r="D7310" s="4" t="s">
        <v>7314</v>
      </c>
      <c r="E7310" s="4" t="str">
        <f>HYPERLINK("https://app.crepc.sk/?fn=detailBiblioForm&amp;sid=D8E909CCB80199183ABC757C25")</f>
        <v>https://app.crepc.sk/?fn=detailBiblioForm&amp;sid=D8E909CCB80199183ABC757C25</v>
      </c>
    </row>
    <row r="7311" spans="3:5" ht="45" x14ac:dyDescent="0.25">
      <c r="C7311" s="15">
        <v>247402</v>
      </c>
      <c r="D7311" s="4" t="s">
        <v>7315</v>
      </c>
      <c r="E7311" s="4" t="str">
        <f>HYPERLINK("https://app.crepc.sk/?fn=detailBiblioForm&amp;sid=6137549337470B5631FBD571F1")</f>
        <v>https://app.crepc.sk/?fn=detailBiblioForm&amp;sid=6137549337470B5631FBD571F1</v>
      </c>
    </row>
    <row r="7312" spans="3:5" ht="75" x14ac:dyDescent="0.25">
      <c r="C7312" s="15">
        <v>442984</v>
      </c>
      <c r="D7312" s="4" t="s">
        <v>7316</v>
      </c>
      <c r="E7312" s="4" t="str">
        <f>HYPERLINK("https://app.crepc.sk/?fn=detailBiblioForm&amp;sid=8746CA9DF66E34730FABCE3220")</f>
        <v>https://app.crepc.sk/?fn=detailBiblioForm&amp;sid=8746CA9DF66E34730FABCE3220</v>
      </c>
    </row>
    <row r="7313" spans="1:5" ht="60" x14ac:dyDescent="0.25">
      <c r="C7313" s="15">
        <v>154544</v>
      </c>
      <c r="D7313" s="4" t="s">
        <v>7317</v>
      </c>
      <c r="E7313" s="4" t="str">
        <f>HYPERLINK("https://app.crepc.sk/?fn=detailBiblioForm&amp;sid=7CD47704C688C3C83754859C4A")</f>
        <v>https://app.crepc.sk/?fn=detailBiblioForm&amp;sid=7CD47704C688C3C83754859C4A</v>
      </c>
    </row>
    <row r="7314" spans="1:5" ht="45" x14ac:dyDescent="0.25">
      <c r="C7314" s="15">
        <v>209132</v>
      </c>
      <c r="D7314" s="4" t="s">
        <v>7318</v>
      </c>
      <c r="E7314" s="4" t="str">
        <f>HYPERLINK("https://app.crepc.sk/?fn=detailBiblioForm&amp;sid=CEB008BA03D41FE3DE4146E343")</f>
        <v>https://app.crepc.sk/?fn=detailBiblioForm&amp;sid=CEB008BA03D41FE3DE4146E343</v>
      </c>
    </row>
    <row r="7315" spans="1:5" ht="30" x14ac:dyDescent="0.25">
      <c r="A7315" s="4" t="s">
        <v>7319</v>
      </c>
      <c r="B7315" s="15">
        <v>12</v>
      </c>
    </row>
    <row r="7316" spans="1:5" ht="45" x14ac:dyDescent="0.25">
      <c r="C7316" s="15">
        <v>438127</v>
      </c>
      <c r="D7316" s="4" t="s">
        <v>7320</v>
      </c>
      <c r="E7316" s="4" t="str">
        <f>HYPERLINK("https://app.crepc.sk/?fn=detailBiblioForm&amp;sid=19C10991FDD13194C2954DFDE8")</f>
        <v>https://app.crepc.sk/?fn=detailBiblioForm&amp;sid=19C10991FDD13194C2954DFDE8</v>
      </c>
    </row>
    <row r="7317" spans="1:5" ht="45" x14ac:dyDescent="0.25">
      <c r="C7317" s="15">
        <v>51618</v>
      </c>
      <c r="D7317" s="4" t="s">
        <v>7321</v>
      </c>
      <c r="E7317" s="4" t="str">
        <f>HYPERLINK("https://app.crepc.sk/?fn=detailBiblioForm&amp;sid=0EBA0D24DC47CEA5C5DBDCFE")</f>
        <v>https://app.crepc.sk/?fn=detailBiblioForm&amp;sid=0EBA0D24DC47CEA5C5DBDCFE</v>
      </c>
    </row>
    <row r="7318" spans="1:5" ht="60" x14ac:dyDescent="0.25">
      <c r="C7318" s="15">
        <v>432845</v>
      </c>
      <c r="D7318" s="4" t="s">
        <v>7322</v>
      </c>
      <c r="E7318" s="4" t="str">
        <f>HYPERLINK("https://app.crepc.sk/?fn=detailBiblioForm&amp;sid=60947673AC094B86B46F5A089E")</f>
        <v>https://app.crepc.sk/?fn=detailBiblioForm&amp;sid=60947673AC094B86B46F5A089E</v>
      </c>
    </row>
    <row r="7319" spans="1:5" ht="75" x14ac:dyDescent="0.25">
      <c r="C7319" s="15">
        <v>187373</v>
      </c>
      <c r="D7319" s="4" t="s">
        <v>7323</v>
      </c>
      <c r="E7319" s="4" t="str">
        <f>HYPERLINK("https://app.crepc.sk/?fn=detailBiblioForm&amp;sid=BA75C2D62745AD5721EEFA88C3")</f>
        <v>https://app.crepc.sk/?fn=detailBiblioForm&amp;sid=BA75C2D62745AD5721EEFA88C3</v>
      </c>
    </row>
    <row r="7320" spans="1:5" ht="45" x14ac:dyDescent="0.25">
      <c r="C7320" s="15">
        <v>442370</v>
      </c>
      <c r="D7320" s="4" t="s">
        <v>7324</v>
      </c>
      <c r="E7320" s="4" t="str">
        <f>HYPERLINK("https://app.crepc.sk/?fn=detailBiblioForm&amp;sid=F661DE2421DD595D53CD62841D")</f>
        <v>https://app.crepc.sk/?fn=detailBiblioForm&amp;sid=F661DE2421DD595D53CD62841D</v>
      </c>
    </row>
    <row r="7321" spans="1:5" ht="135" x14ac:dyDescent="0.25">
      <c r="C7321" s="15">
        <v>130370</v>
      </c>
      <c r="D7321" s="4" t="s">
        <v>7325</v>
      </c>
      <c r="E7321" s="4" t="str">
        <f>HYPERLINK("https://app.crepc.sk/?fn=detailBiblioForm&amp;sid=A3E03CF54F8AB03E899F1E1C70")</f>
        <v>https://app.crepc.sk/?fn=detailBiblioForm&amp;sid=A3E03CF54F8AB03E899F1E1C70</v>
      </c>
    </row>
    <row r="7322" spans="1:5" ht="45" x14ac:dyDescent="0.25">
      <c r="C7322" s="15">
        <v>175448</v>
      </c>
      <c r="D7322" s="4" t="s">
        <v>7326</v>
      </c>
      <c r="E7322" s="4" t="str">
        <f>HYPERLINK("https://app.crepc.sk/?fn=detailBiblioForm&amp;sid=5E8AE344A08831ABC98303A46F")</f>
        <v>https://app.crepc.sk/?fn=detailBiblioForm&amp;sid=5E8AE344A08831ABC98303A46F</v>
      </c>
    </row>
    <row r="7323" spans="1:5" ht="150" x14ac:dyDescent="0.25">
      <c r="C7323" s="15">
        <v>157580</v>
      </c>
      <c r="D7323" s="4" t="s">
        <v>7327</v>
      </c>
      <c r="E7323" s="4" t="str">
        <f>HYPERLINK("https://app.crepc.sk/?fn=detailBiblioForm&amp;sid=7748F8ABF7A423EAEC77B72DCA")</f>
        <v>https://app.crepc.sk/?fn=detailBiblioForm&amp;sid=7748F8ABF7A423EAEC77B72DCA</v>
      </c>
    </row>
    <row r="7324" spans="1:5" ht="45" x14ac:dyDescent="0.25">
      <c r="C7324" s="15">
        <v>175447</v>
      </c>
      <c r="D7324" s="4" t="s">
        <v>7328</v>
      </c>
      <c r="E7324" s="4" t="str">
        <f>HYPERLINK("https://app.crepc.sk/?fn=detailBiblioForm&amp;sid=5E8AE344A08831ABC98C03A46F")</f>
        <v>https://app.crepc.sk/?fn=detailBiblioForm&amp;sid=5E8AE344A08831ABC98C03A46F</v>
      </c>
    </row>
    <row r="7325" spans="1:5" ht="45" x14ac:dyDescent="0.25">
      <c r="C7325" s="15">
        <v>250392</v>
      </c>
      <c r="D7325" s="4" t="s">
        <v>7329</v>
      </c>
      <c r="E7325" s="4" t="str">
        <f>HYPERLINK("https://app.crepc.sk/?fn=detailBiblioForm&amp;sid=86F3815C0D92DEDABF227E3C7A")</f>
        <v>https://app.crepc.sk/?fn=detailBiblioForm&amp;sid=86F3815C0D92DEDABF227E3C7A</v>
      </c>
    </row>
    <row r="7326" spans="1:5" ht="45" x14ac:dyDescent="0.25">
      <c r="C7326" s="15">
        <v>154560</v>
      </c>
      <c r="D7326" s="4" t="s">
        <v>7330</v>
      </c>
      <c r="E7326" s="4" t="str">
        <f>HYPERLINK("https://app.crepc.sk/?fn=detailBiblioForm&amp;sid=7CD47704C688C3C83550859C4A")</f>
        <v>https://app.crepc.sk/?fn=detailBiblioForm&amp;sid=7CD47704C688C3C83550859C4A</v>
      </c>
    </row>
    <row r="7327" spans="1:5" ht="90" x14ac:dyDescent="0.25">
      <c r="C7327" s="15">
        <v>160004</v>
      </c>
      <c r="D7327" s="4" t="s">
        <v>7331</v>
      </c>
      <c r="E7327" s="4" t="str">
        <f>HYPERLINK("https://app.crepc.sk/?fn=detailBiblioForm&amp;sid=D39197AF4F77EC855FAB40BAF1")</f>
        <v>https://app.crepc.sk/?fn=detailBiblioForm&amp;sid=D39197AF4F77EC855FAB40BAF1</v>
      </c>
    </row>
    <row r="7328" spans="1:5" ht="30" x14ac:dyDescent="0.25">
      <c r="A7328" s="4" t="s">
        <v>7332</v>
      </c>
      <c r="B7328" s="15">
        <v>43</v>
      </c>
    </row>
    <row r="7329" spans="3:5" ht="60" x14ac:dyDescent="0.25">
      <c r="C7329" s="15">
        <v>127698</v>
      </c>
      <c r="D7329" s="4" t="s">
        <v>7333</v>
      </c>
      <c r="E7329" s="4" t="str">
        <f>HYPERLINK("https://app.crepc.sk/?fn=detailBiblioForm&amp;sid=A61021784F381E68CE07E78699")</f>
        <v>https://app.crepc.sk/?fn=detailBiblioForm&amp;sid=A61021784F381E68CE07E78699</v>
      </c>
    </row>
    <row r="7330" spans="3:5" ht="45" x14ac:dyDescent="0.25">
      <c r="C7330" s="15">
        <v>239345</v>
      </c>
      <c r="D7330" s="4" t="s">
        <v>7334</v>
      </c>
      <c r="E7330" s="4" t="str">
        <f>HYPERLINK("https://app.crepc.sk/?fn=detailBiblioForm&amp;sid=4D4CF2068BEC72CC68CE973D43")</f>
        <v>https://app.crepc.sk/?fn=detailBiblioForm&amp;sid=4D4CF2068BEC72CC68CE973D43</v>
      </c>
    </row>
    <row r="7331" spans="3:5" ht="45" x14ac:dyDescent="0.25">
      <c r="C7331" s="15">
        <v>310075</v>
      </c>
      <c r="D7331" s="4" t="s">
        <v>7335</v>
      </c>
      <c r="E7331" s="4" t="str">
        <f>HYPERLINK("https://app.crepc.sk/?fn=detailBiblioForm&amp;sid=F566C6E0CB47072BFBEB22F69C")</f>
        <v>https://app.crepc.sk/?fn=detailBiblioForm&amp;sid=F566C6E0CB47072BFBEB22F69C</v>
      </c>
    </row>
    <row r="7332" spans="3:5" ht="60" x14ac:dyDescent="0.25">
      <c r="C7332" s="15">
        <v>442300</v>
      </c>
      <c r="D7332" s="4" t="s">
        <v>7336</v>
      </c>
      <c r="E7332" s="4" t="str">
        <f>HYPERLINK("https://app.crepc.sk/?fn=detailBiblioForm&amp;sid=F661DE2421DD595D54CD62841D")</f>
        <v>https://app.crepc.sk/?fn=detailBiblioForm&amp;sid=F661DE2421DD595D54CD62841D</v>
      </c>
    </row>
    <row r="7333" spans="3:5" ht="45" x14ac:dyDescent="0.25">
      <c r="C7333" s="15">
        <v>246097</v>
      </c>
      <c r="D7333" s="4" t="s">
        <v>7337</v>
      </c>
      <c r="E7333" s="4" t="str">
        <f>HYPERLINK("https://app.crepc.sk/?fn=detailBiblioForm&amp;sid=9D4BC4CB00DF15A3CC9FC458AC")</f>
        <v>https://app.crepc.sk/?fn=detailBiblioForm&amp;sid=9D4BC4CB00DF15A3CC9FC458AC</v>
      </c>
    </row>
    <row r="7334" spans="3:5" ht="45" x14ac:dyDescent="0.25">
      <c r="C7334" s="15">
        <v>97400</v>
      </c>
      <c r="D7334" s="4" t="s">
        <v>7338</v>
      </c>
      <c r="E7334" s="4" t="str">
        <f>HYPERLINK("https://app.crepc.sk/?fn=detailBiblioForm&amp;sid=C435B64AF858D9F83A5C564C")</f>
        <v>https://app.crepc.sk/?fn=detailBiblioForm&amp;sid=C435B64AF858D9F83A5C564C</v>
      </c>
    </row>
    <row r="7335" spans="3:5" ht="45" x14ac:dyDescent="0.25">
      <c r="C7335" s="15">
        <v>438116</v>
      </c>
      <c r="D7335" s="4" t="s">
        <v>7339</v>
      </c>
      <c r="E7335" s="4" t="str">
        <f>HYPERLINK("https://app.crepc.sk/?fn=detailBiblioForm&amp;sid=19C10991FDD13194C1944DFDE8")</f>
        <v>https://app.crepc.sk/?fn=detailBiblioForm&amp;sid=19C10991FDD13194C1944DFDE8</v>
      </c>
    </row>
    <row r="7336" spans="3:5" ht="90" x14ac:dyDescent="0.25">
      <c r="C7336" s="15">
        <v>109927</v>
      </c>
      <c r="D7336" s="4" t="s">
        <v>7340</v>
      </c>
      <c r="E7336" s="4" t="str">
        <f>HYPERLINK("https://app.crepc.sk/?fn=detailBiblioForm&amp;sid=21CAA6D6BE29B1FCC913534CAD")</f>
        <v>https://app.crepc.sk/?fn=detailBiblioForm&amp;sid=21CAA6D6BE29B1FCC913534CAD</v>
      </c>
    </row>
    <row r="7337" spans="3:5" ht="240" x14ac:dyDescent="0.25">
      <c r="C7337" s="15">
        <v>451593</v>
      </c>
      <c r="D7337" s="4" t="s">
        <v>7341</v>
      </c>
      <c r="E7337" s="4" t="str">
        <f>HYPERLINK("https://app.crepc.sk/?fn=detailBiblioForm&amp;sid=6F56DACD54253712E66C55FE7B")</f>
        <v>https://app.crepc.sk/?fn=detailBiblioForm&amp;sid=6F56DACD54253712E66C55FE7B</v>
      </c>
    </row>
    <row r="7338" spans="3:5" ht="60" x14ac:dyDescent="0.25">
      <c r="C7338" s="15">
        <v>166190</v>
      </c>
      <c r="D7338" s="4" t="s">
        <v>7342</v>
      </c>
      <c r="E7338" s="4" t="str">
        <f>HYPERLINK("https://app.crepc.sk/?fn=detailBiblioForm&amp;sid=42FF770CB0BE77797CF6474404")</f>
        <v>https://app.crepc.sk/?fn=detailBiblioForm&amp;sid=42FF770CB0BE77797CF6474404</v>
      </c>
    </row>
    <row r="7339" spans="3:5" ht="45" x14ac:dyDescent="0.25">
      <c r="C7339" s="15">
        <v>117514</v>
      </c>
      <c r="D7339" s="4" t="s">
        <v>7343</v>
      </c>
      <c r="E7339" s="4" t="str">
        <f>HYPERLINK("https://app.crepc.sk/?fn=detailBiblioForm&amp;sid=782C7F190F5282740FA02FB4FF")</f>
        <v>https://app.crepc.sk/?fn=detailBiblioForm&amp;sid=782C7F190F5282740FA02FB4FF</v>
      </c>
    </row>
    <row r="7340" spans="3:5" ht="30" x14ac:dyDescent="0.25">
      <c r="C7340" s="15">
        <v>51982</v>
      </c>
      <c r="D7340" s="4" t="s">
        <v>7344</v>
      </c>
      <c r="E7340" s="4" t="str">
        <f>HYPERLINK("https://app.crepc.sk/?fn=detailBiblioForm&amp;sid=8F5B623FE9669B639BB39DF5")</f>
        <v>https://app.crepc.sk/?fn=detailBiblioForm&amp;sid=8F5B623FE9669B639BB39DF5</v>
      </c>
    </row>
    <row r="7341" spans="3:5" ht="60" x14ac:dyDescent="0.25">
      <c r="C7341" s="15">
        <v>240621</v>
      </c>
      <c r="D7341" s="4" t="s">
        <v>7345</v>
      </c>
      <c r="E7341" s="4" t="str">
        <f>HYPERLINK("https://app.crepc.sk/?fn=detailBiblioForm&amp;sid=376FCAEA43ECD92AE66CE3DC06")</f>
        <v>https://app.crepc.sk/?fn=detailBiblioForm&amp;sid=376FCAEA43ECD92AE66CE3DC06</v>
      </c>
    </row>
    <row r="7342" spans="3:5" ht="60" x14ac:dyDescent="0.25">
      <c r="C7342" s="15">
        <v>244895</v>
      </c>
      <c r="D7342" s="4" t="s">
        <v>7346</v>
      </c>
      <c r="E7342" s="4" t="str">
        <f>HYPERLINK("https://app.crepc.sk/?fn=detailBiblioForm&amp;sid=192F4BC9428D57D0C1558A6B97")</f>
        <v>https://app.crepc.sk/?fn=detailBiblioForm&amp;sid=192F4BC9428D57D0C1558A6B97</v>
      </c>
    </row>
    <row r="7343" spans="3:5" ht="150" x14ac:dyDescent="0.25">
      <c r="C7343" s="15">
        <v>160222</v>
      </c>
      <c r="D7343" s="4" t="s">
        <v>7347</v>
      </c>
      <c r="E7343" s="4" t="str">
        <f>HYPERLINK("https://app.crepc.sk/?fn=detailBiblioForm&amp;sid=F6579DB6C26DC07ED7ABC7846C")</f>
        <v>https://app.crepc.sk/?fn=detailBiblioForm&amp;sid=F6579DB6C26DC07ED7ABC7846C</v>
      </c>
    </row>
    <row r="7344" spans="3:5" ht="120" x14ac:dyDescent="0.25">
      <c r="C7344" s="15">
        <v>153368</v>
      </c>
      <c r="D7344" s="4" t="s">
        <v>7348</v>
      </c>
      <c r="E7344" s="4" t="str">
        <f>HYPERLINK("https://app.crepc.sk/?fn=detailBiblioForm&amp;sid=D79A57A76A32382FFDBFCA4368")</f>
        <v>https://app.crepc.sk/?fn=detailBiblioForm&amp;sid=D79A57A76A32382FFDBFCA4368</v>
      </c>
    </row>
    <row r="7345" spans="3:5" ht="60" x14ac:dyDescent="0.25">
      <c r="C7345" s="15">
        <v>435135</v>
      </c>
      <c r="D7345" s="4" t="s">
        <v>7349</v>
      </c>
      <c r="E7345" s="4" t="str">
        <f>HYPERLINK("https://app.crepc.sk/?fn=detailBiblioForm&amp;sid=AD8868FB556EBD592C3FBB48EF")</f>
        <v>https://app.crepc.sk/?fn=detailBiblioForm&amp;sid=AD8868FB556EBD592C3FBB48EF</v>
      </c>
    </row>
    <row r="7346" spans="3:5" ht="60" x14ac:dyDescent="0.25">
      <c r="C7346" s="15">
        <v>435139</v>
      </c>
      <c r="D7346" s="4" t="s">
        <v>7350</v>
      </c>
      <c r="E7346" s="4" t="str">
        <f>HYPERLINK("https://app.crepc.sk/?fn=detailBiblioForm&amp;sid=AD8868FB556EBD592C33BB48EF")</f>
        <v>https://app.crepc.sk/?fn=detailBiblioForm&amp;sid=AD8868FB556EBD592C33BB48EF</v>
      </c>
    </row>
    <row r="7347" spans="3:5" ht="60" x14ac:dyDescent="0.25">
      <c r="C7347" s="15">
        <v>435137</v>
      </c>
      <c r="D7347" s="4" t="s">
        <v>7351</v>
      </c>
      <c r="E7347" s="4" t="str">
        <f>HYPERLINK("https://app.crepc.sk/?fn=detailBiblioForm&amp;sid=AD8868FB556EBD592C3DBB48EF")</f>
        <v>https://app.crepc.sk/?fn=detailBiblioForm&amp;sid=AD8868FB556EBD592C3DBB48EF</v>
      </c>
    </row>
    <row r="7348" spans="3:5" ht="45" x14ac:dyDescent="0.25">
      <c r="C7348" s="15">
        <v>133778</v>
      </c>
      <c r="D7348" s="4" t="s">
        <v>7352</v>
      </c>
      <c r="E7348" s="4" t="str">
        <f>HYPERLINK("https://app.crepc.sk/?fn=detailBiblioForm&amp;sid=CB55A48AE268F42C01ECA2B091")</f>
        <v>https://app.crepc.sk/?fn=detailBiblioForm&amp;sid=CB55A48AE268F42C01ECA2B091</v>
      </c>
    </row>
    <row r="7349" spans="3:5" ht="45" x14ac:dyDescent="0.25">
      <c r="C7349" s="15">
        <v>59201</v>
      </c>
      <c r="D7349" s="4" t="s">
        <v>7353</v>
      </c>
      <c r="E7349" s="4" t="str">
        <f>HYPERLINK("https://app.crepc.sk/?fn=detailBiblioForm&amp;sid=A0F0020771032498E3D8AE5F")</f>
        <v>https://app.crepc.sk/?fn=detailBiblioForm&amp;sid=A0F0020771032498E3D8AE5F</v>
      </c>
    </row>
    <row r="7350" spans="3:5" ht="45" x14ac:dyDescent="0.25">
      <c r="C7350" s="15">
        <v>230445</v>
      </c>
      <c r="D7350" s="4" t="s">
        <v>7354</v>
      </c>
      <c r="E7350" s="4" t="str">
        <f>HYPERLINK("https://app.crepc.sk/?fn=detailBiblioForm&amp;sid=9AC08A873A9141DED727D812FD")</f>
        <v>https://app.crepc.sk/?fn=detailBiblioForm&amp;sid=9AC08A873A9141DED727D812FD</v>
      </c>
    </row>
    <row r="7351" spans="3:5" ht="45" x14ac:dyDescent="0.25">
      <c r="C7351" s="15">
        <v>61702</v>
      </c>
      <c r="D7351" s="4" t="s">
        <v>7355</v>
      </c>
      <c r="E7351" s="4" t="str">
        <f>HYPERLINK("https://app.crepc.sk/?fn=detailBiblioForm&amp;sid=2E887D2353D4BBC2B798469D")</f>
        <v>https://app.crepc.sk/?fn=detailBiblioForm&amp;sid=2E887D2353D4BBC2B798469D</v>
      </c>
    </row>
    <row r="7352" spans="3:5" ht="60" x14ac:dyDescent="0.25">
      <c r="C7352" s="15">
        <v>312200</v>
      </c>
      <c r="D7352" s="4" t="s">
        <v>7356</v>
      </c>
      <c r="E7352" s="4" t="str">
        <f>HYPERLINK("https://app.crepc.sk/?fn=detailBiblioForm&amp;sid=710241CBC6D4101CB99585ADCA")</f>
        <v>https://app.crepc.sk/?fn=detailBiblioForm&amp;sid=710241CBC6D4101CB99585ADCA</v>
      </c>
    </row>
    <row r="7353" spans="3:5" ht="45" x14ac:dyDescent="0.25">
      <c r="C7353" s="15">
        <v>442368</v>
      </c>
      <c r="D7353" s="4" t="s">
        <v>7357</v>
      </c>
      <c r="E7353" s="4" t="str">
        <f>HYPERLINK("https://app.crepc.sk/?fn=detailBiblioForm&amp;sid=F661DE2421DD595D52C562841D")</f>
        <v>https://app.crepc.sk/?fn=detailBiblioForm&amp;sid=F661DE2421DD595D52C562841D</v>
      </c>
    </row>
    <row r="7354" spans="3:5" ht="90" x14ac:dyDescent="0.25">
      <c r="C7354" s="15">
        <v>441863</v>
      </c>
      <c r="D7354" s="4" t="s">
        <v>7358</v>
      </c>
      <c r="E7354" s="4" t="str">
        <f>HYPERLINK("https://app.crepc.sk/?fn=detailBiblioForm&amp;sid=AE470135EEA362314FD9B5CD43")</f>
        <v>https://app.crepc.sk/?fn=detailBiblioForm&amp;sid=AE470135EEA362314FD9B5CD43</v>
      </c>
    </row>
    <row r="7355" spans="3:5" ht="45" x14ac:dyDescent="0.25">
      <c r="C7355" s="15">
        <v>452644</v>
      </c>
      <c r="D7355" s="4" t="s">
        <v>7359</v>
      </c>
      <c r="E7355" s="4" t="str">
        <f>HYPERLINK("https://app.crepc.sk/?fn=detailBiblioForm&amp;sid=BFF17292256AB5EFFFCE4A0D1B")</f>
        <v>https://app.crepc.sk/?fn=detailBiblioForm&amp;sid=BFF17292256AB5EFFFCE4A0D1B</v>
      </c>
    </row>
    <row r="7356" spans="3:5" ht="60" x14ac:dyDescent="0.25">
      <c r="C7356" s="15">
        <v>84382</v>
      </c>
      <c r="D7356" s="4" t="s">
        <v>7360</v>
      </c>
      <c r="E7356" s="4" t="str">
        <f>HYPERLINK("https://app.crepc.sk/?fn=detailBiblioForm&amp;sid=FCF98D95A9C02813AB2896EB")</f>
        <v>https://app.crepc.sk/?fn=detailBiblioForm&amp;sid=FCF98D95A9C02813AB2896EB</v>
      </c>
    </row>
    <row r="7357" spans="3:5" ht="45" x14ac:dyDescent="0.25">
      <c r="C7357" s="15">
        <v>432847</v>
      </c>
      <c r="D7357" s="4" t="s">
        <v>7361</v>
      </c>
      <c r="E7357" s="4" t="str">
        <f>HYPERLINK("https://app.crepc.sk/?fn=detailBiblioForm&amp;sid=60947673AC094B86B46D5A089E")</f>
        <v>https://app.crepc.sk/?fn=detailBiblioForm&amp;sid=60947673AC094B86B46D5A089E</v>
      </c>
    </row>
    <row r="7358" spans="3:5" ht="45" x14ac:dyDescent="0.25">
      <c r="C7358" s="15">
        <v>97406</v>
      </c>
      <c r="D7358" s="4" t="s">
        <v>7362</v>
      </c>
      <c r="E7358" s="4" t="str">
        <f>HYPERLINK("https://app.crepc.sk/?fn=detailBiblioForm&amp;sid=C435B64AF858D9F83C5C564C")</f>
        <v>https://app.crepc.sk/?fn=detailBiblioForm&amp;sid=C435B64AF858D9F83C5C564C</v>
      </c>
    </row>
    <row r="7359" spans="3:5" ht="75" x14ac:dyDescent="0.25">
      <c r="C7359" s="15">
        <v>455155</v>
      </c>
      <c r="D7359" s="4" t="s">
        <v>7363</v>
      </c>
      <c r="E7359" s="4" t="str">
        <f>HYPERLINK("https://app.crepc.sk/?fn=detailBiblioForm&amp;sid=F8C9100EBB1FF6D2543615531B")</f>
        <v>https://app.crepc.sk/?fn=detailBiblioForm&amp;sid=F8C9100EBB1FF6D2543615531B</v>
      </c>
    </row>
    <row r="7360" spans="3:5" ht="45" x14ac:dyDescent="0.25">
      <c r="C7360" s="15">
        <v>63048</v>
      </c>
      <c r="D7360" s="4" t="s">
        <v>7364</v>
      </c>
      <c r="E7360" s="4" t="str">
        <f>HYPERLINK("https://app.crepc.sk/?fn=detailBiblioForm&amp;sid=69A1BBF550AEB8CA4DAE5BB2")</f>
        <v>https://app.crepc.sk/?fn=detailBiblioForm&amp;sid=69A1BBF550AEB8CA4DAE5BB2</v>
      </c>
    </row>
    <row r="7361" spans="1:5" ht="105" x14ac:dyDescent="0.25">
      <c r="C7361" s="15">
        <v>445428</v>
      </c>
      <c r="D7361" s="4" t="s">
        <v>7365</v>
      </c>
      <c r="E7361" s="4" t="str">
        <f>HYPERLINK("https://app.crepc.sk/?fn=detailBiblioForm&amp;sid=C526A7C23BB2EDD7E1BFDE77FA")</f>
        <v>https://app.crepc.sk/?fn=detailBiblioForm&amp;sid=C526A7C23BB2EDD7E1BFDE77FA</v>
      </c>
    </row>
    <row r="7362" spans="1:5" ht="45" x14ac:dyDescent="0.25">
      <c r="C7362" s="15">
        <v>68992</v>
      </c>
      <c r="D7362" s="4" t="s">
        <v>7366</v>
      </c>
      <c r="E7362" s="4" t="str">
        <f>HYPERLINK("https://app.crepc.sk/?fn=detailBiblioForm&amp;sid=B3C7572BB2D3356F3DC23706")</f>
        <v>https://app.crepc.sk/?fn=detailBiblioForm&amp;sid=B3C7572BB2D3356F3DC23706</v>
      </c>
    </row>
    <row r="7363" spans="1:5" ht="60" x14ac:dyDescent="0.25">
      <c r="C7363" s="15">
        <v>143025</v>
      </c>
      <c r="D7363" s="4" t="s">
        <v>7367</v>
      </c>
      <c r="E7363" s="4" t="str">
        <f>HYPERLINK("https://app.crepc.sk/?fn=detailBiblioForm&amp;sid=0EA7DBD32D42EAF6EFE9224B52")</f>
        <v>https://app.crepc.sk/?fn=detailBiblioForm&amp;sid=0EA7DBD32D42EAF6EFE9224B52</v>
      </c>
    </row>
    <row r="7364" spans="1:5" ht="45" x14ac:dyDescent="0.25">
      <c r="C7364" s="15">
        <v>51976</v>
      </c>
      <c r="D7364" s="4" t="s">
        <v>7368</v>
      </c>
      <c r="E7364" s="4" t="str">
        <f>HYPERLINK("https://app.crepc.sk/?fn=detailBiblioForm&amp;sid=3CF9681F115FD6E29E09C569")</f>
        <v>https://app.crepc.sk/?fn=detailBiblioForm&amp;sid=3CF9681F115FD6E29E09C569</v>
      </c>
    </row>
    <row r="7365" spans="1:5" ht="45" x14ac:dyDescent="0.25">
      <c r="C7365" s="15">
        <v>61708</v>
      </c>
      <c r="D7365" s="4" t="s">
        <v>7369</v>
      </c>
      <c r="E7365" s="4" t="str">
        <f>HYPERLINK("https://app.crepc.sk/?fn=detailBiblioForm&amp;sid=2E887D2353D4BBC2BD98469D")</f>
        <v>https://app.crepc.sk/?fn=detailBiblioForm&amp;sid=2E887D2353D4BBC2BD98469D</v>
      </c>
    </row>
    <row r="7366" spans="1:5" ht="45" x14ac:dyDescent="0.25">
      <c r="C7366" s="15">
        <v>142116</v>
      </c>
      <c r="D7366" s="4" t="s">
        <v>7370</v>
      </c>
      <c r="E7366" s="4" t="str">
        <f>HYPERLINK("https://app.crepc.sk/?fn=detailBiblioForm&amp;sid=C2BA1884BE5254848D969A5F46")</f>
        <v>https://app.crepc.sk/?fn=detailBiblioForm&amp;sid=C2BA1884BE5254848D969A5F46</v>
      </c>
    </row>
    <row r="7367" spans="1:5" ht="60" x14ac:dyDescent="0.25">
      <c r="C7367" s="15">
        <v>190149</v>
      </c>
      <c r="D7367" s="4" t="s">
        <v>7371</v>
      </c>
      <c r="E7367" s="4" t="str">
        <f>HYPERLINK("https://app.crepc.sk/?fn=detailBiblioForm&amp;sid=91A8077BCD3DC838EF726AA292")</f>
        <v>https://app.crepc.sk/?fn=detailBiblioForm&amp;sid=91A8077BCD3DC838EF726AA292</v>
      </c>
    </row>
    <row r="7368" spans="1:5" ht="75" x14ac:dyDescent="0.25">
      <c r="C7368" s="15">
        <v>431437</v>
      </c>
      <c r="D7368" s="4" t="s">
        <v>7372</v>
      </c>
      <c r="E7368" s="4" t="str">
        <f>HYPERLINK("https://app.crepc.sk/?fn=detailBiblioForm&amp;sid=7765475EE46A7A4F948886F3B4")</f>
        <v>https://app.crepc.sk/?fn=detailBiblioForm&amp;sid=7765475EE46A7A4F948886F3B4</v>
      </c>
    </row>
    <row r="7369" spans="1:5" ht="75" x14ac:dyDescent="0.25">
      <c r="C7369" s="15">
        <v>431441</v>
      </c>
      <c r="D7369" s="4" t="s">
        <v>7373</v>
      </c>
      <c r="E7369" s="4" t="str">
        <f>HYPERLINK("https://app.crepc.sk/?fn=detailBiblioForm&amp;sid=7765475EE46A7A4F938E86F3B4")</f>
        <v>https://app.crepc.sk/?fn=detailBiblioForm&amp;sid=7765475EE46A7A4F938E86F3B4</v>
      </c>
    </row>
    <row r="7370" spans="1:5" ht="45" x14ac:dyDescent="0.25">
      <c r="C7370" s="15">
        <v>60865</v>
      </c>
      <c r="D7370" s="4" t="s">
        <v>7374</v>
      </c>
      <c r="E7370" s="4" t="str">
        <f>HYPERLINK("https://app.crepc.sk/?fn=detailBiblioForm&amp;sid=044C88449976FB21AD6EBCFA")</f>
        <v>https://app.crepc.sk/?fn=detailBiblioForm&amp;sid=044C88449976FB21AD6EBCFA</v>
      </c>
    </row>
    <row r="7371" spans="1:5" ht="90" x14ac:dyDescent="0.25">
      <c r="C7371" s="15">
        <v>447414</v>
      </c>
      <c r="D7371" s="4" t="s">
        <v>7375</v>
      </c>
      <c r="E7371" s="4" t="str">
        <f>HYPERLINK("https://app.crepc.sk/?fn=detailBiblioForm&amp;sid=327AF501581769A16CB25DFF58")</f>
        <v>https://app.crepc.sk/?fn=detailBiblioForm&amp;sid=327AF501581769A16CB25DFF58</v>
      </c>
    </row>
    <row r="7372" spans="1:5" ht="30" x14ac:dyDescent="0.25">
      <c r="A7372" s="4" t="s">
        <v>7376</v>
      </c>
      <c r="B7372" s="15">
        <v>2</v>
      </c>
    </row>
    <row r="7373" spans="1:5" ht="45" x14ac:dyDescent="0.25">
      <c r="C7373" s="15">
        <v>237808</v>
      </c>
      <c r="D7373" s="4" t="s">
        <v>7377</v>
      </c>
      <c r="E7373" s="4" t="str">
        <f>HYPERLINK("https://app.crepc.sk/?fn=detailBiblioForm&amp;sid=2CB3483D53C790CF151957E3CA")</f>
        <v>https://app.crepc.sk/?fn=detailBiblioForm&amp;sid=2CB3483D53C790CF151957E3CA</v>
      </c>
    </row>
    <row r="7374" spans="1:5" ht="45" x14ac:dyDescent="0.25">
      <c r="C7374" s="15">
        <v>69017</v>
      </c>
      <c r="D7374" s="4" t="s">
        <v>7378</v>
      </c>
      <c r="E7374" s="4" t="str">
        <f>HYPERLINK("https://app.crepc.sk/?fn=detailBiblioForm&amp;sid=9FE489502560902DDD07811B")</f>
        <v>https://app.crepc.sk/?fn=detailBiblioForm&amp;sid=9FE489502560902DDD07811B</v>
      </c>
    </row>
    <row r="7375" spans="1:5" ht="30" x14ac:dyDescent="0.25">
      <c r="A7375" s="4" t="s">
        <v>7379</v>
      </c>
      <c r="B7375" s="15">
        <v>24</v>
      </c>
    </row>
    <row r="7376" spans="1:5" ht="45" x14ac:dyDescent="0.25">
      <c r="C7376" s="15">
        <v>226540</v>
      </c>
      <c r="D7376" s="4" t="s">
        <v>7380</v>
      </c>
      <c r="E7376" s="4" t="str">
        <f>HYPERLINK("https://app.crepc.sk/?fn=detailBiblioForm&amp;sid=1A96CD219DD6F1D8F95B31CBF0")</f>
        <v>https://app.crepc.sk/?fn=detailBiblioForm&amp;sid=1A96CD219DD6F1D8F95B31CBF0</v>
      </c>
    </row>
    <row r="7377" spans="3:5" ht="45" x14ac:dyDescent="0.25">
      <c r="C7377" s="15">
        <v>163092</v>
      </c>
      <c r="D7377" s="4" t="s">
        <v>7381</v>
      </c>
      <c r="E7377" s="4" t="str">
        <f>HYPERLINK("https://app.crepc.sk/?fn=detailBiblioForm&amp;sid=50FE609ECAA3CD9EE9CA01F139")</f>
        <v>https://app.crepc.sk/?fn=detailBiblioForm&amp;sid=50FE609ECAA3CD9EE9CA01F139</v>
      </c>
    </row>
    <row r="7378" spans="3:5" ht="60" x14ac:dyDescent="0.25">
      <c r="C7378" s="15">
        <v>97420</v>
      </c>
      <c r="D7378" s="4" t="s">
        <v>7382</v>
      </c>
      <c r="E7378" s="4" t="str">
        <f>HYPERLINK("https://app.crepc.sk/?fn=detailBiblioForm&amp;sid=01A17C7A2B816A39EEE95245")</f>
        <v>https://app.crepc.sk/?fn=detailBiblioForm&amp;sid=01A17C7A2B816A39EEE95245</v>
      </c>
    </row>
    <row r="7379" spans="3:5" ht="60" x14ac:dyDescent="0.25">
      <c r="C7379" s="15">
        <v>97438</v>
      </c>
      <c r="D7379" s="4" t="s">
        <v>7383</v>
      </c>
      <c r="E7379" s="4" t="str">
        <f>HYPERLINK("https://app.crepc.sk/?fn=detailBiblioForm&amp;sid=4EA75FC389B9F28A27364A0A")</f>
        <v>https://app.crepc.sk/?fn=detailBiblioForm&amp;sid=4EA75FC389B9F28A27364A0A</v>
      </c>
    </row>
    <row r="7380" spans="3:5" ht="45" x14ac:dyDescent="0.25">
      <c r="C7380" s="15">
        <v>97443</v>
      </c>
      <c r="D7380" s="4" t="s">
        <v>7384</v>
      </c>
      <c r="E7380" s="4" t="str">
        <f>HYPERLINK("https://app.crepc.sk/?fn=detailBiblioForm&amp;sid=7E21DD2402F4DA4F3195772F")</f>
        <v>https://app.crepc.sk/?fn=detailBiblioForm&amp;sid=7E21DD2402F4DA4F3195772F</v>
      </c>
    </row>
    <row r="7381" spans="3:5" ht="90" x14ac:dyDescent="0.25">
      <c r="C7381" s="15">
        <v>103894</v>
      </c>
      <c r="D7381" s="4" t="s">
        <v>7385</v>
      </c>
      <c r="E7381" s="4" t="str">
        <f>HYPERLINK("https://app.crepc.sk/?fn=detailBiblioForm&amp;sid=976EC5A525C85ECF55C43BFA52")</f>
        <v>https://app.crepc.sk/?fn=detailBiblioForm&amp;sid=976EC5A525C85ECF55C43BFA52</v>
      </c>
    </row>
    <row r="7382" spans="3:5" ht="60" x14ac:dyDescent="0.25">
      <c r="C7382" s="15">
        <v>75496</v>
      </c>
      <c r="D7382" s="4" t="s">
        <v>7386</v>
      </c>
      <c r="E7382" s="4" t="str">
        <f>HYPERLINK("https://app.crepc.sk/?fn=detailBiblioForm&amp;sid=AF11E0AB0ED657CB46B2D45A")</f>
        <v>https://app.crepc.sk/?fn=detailBiblioForm&amp;sid=AF11E0AB0ED657CB46B2D45A</v>
      </c>
    </row>
    <row r="7383" spans="3:5" ht="45" x14ac:dyDescent="0.25">
      <c r="C7383" s="15">
        <v>196762</v>
      </c>
      <c r="D7383" s="4" t="s">
        <v>7387</v>
      </c>
      <c r="E7383" s="4" t="str">
        <f>HYPERLINK("https://app.crepc.sk/?fn=detailBiblioForm&amp;sid=959B0CD35FC03E1AE3C9263F38")</f>
        <v>https://app.crepc.sk/?fn=detailBiblioForm&amp;sid=959B0CD35FC03E1AE3C9263F38</v>
      </c>
    </row>
    <row r="7384" spans="3:5" ht="90" x14ac:dyDescent="0.25">
      <c r="C7384" s="15">
        <v>305101</v>
      </c>
      <c r="D7384" s="4" t="s">
        <v>7388</v>
      </c>
      <c r="E7384" s="4" t="str">
        <f>HYPERLINK("https://app.crepc.sk/?fn=detailBiblioForm&amp;sid=2C9227790E0C24A0C2E326C315")</f>
        <v>https://app.crepc.sk/?fn=detailBiblioForm&amp;sid=2C9227790E0C24A0C2E326C315</v>
      </c>
    </row>
    <row r="7385" spans="3:5" ht="45" x14ac:dyDescent="0.25">
      <c r="C7385" s="15">
        <v>194006</v>
      </c>
      <c r="D7385" s="4" t="s">
        <v>7389</v>
      </c>
      <c r="E7385" s="4" t="str">
        <f>HYPERLINK("https://app.crepc.sk/?fn=detailBiblioForm&amp;sid=CBAFEBAACD681B5C1A650A2E4E")</f>
        <v>https://app.crepc.sk/?fn=detailBiblioForm&amp;sid=CBAFEBAACD681B5C1A650A2E4E</v>
      </c>
    </row>
    <row r="7386" spans="3:5" ht="60" x14ac:dyDescent="0.25">
      <c r="C7386" s="15">
        <v>135093</v>
      </c>
      <c r="D7386" s="4" t="s">
        <v>7390</v>
      </c>
      <c r="E7386" s="4" t="str">
        <f>HYPERLINK("https://app.crepc.sk/?fn=detailBiblioForm&amp;sid=92966E43A3D63D57062445B3C2")</f>
        <v>https://app.crepc.sk/?fn=detailBiblioForm&amp;sid=92966E43A3D63D57062445B3C2</v>
      </c>
    </row>
    <row r="7387" spans="3:5" ht="60" x14ac:dyDescent="0.25">
      <c r="C7387" s="15">
        <v>125117</v>
      </c>
      <c r="D7387" s="4" t="s">
        <v>7391</v>
      </c>
      <c r="E7387" s="4" t="str">
        <f>HYPERLINK("https://app.crepc.sk/?fn=detailBiblioForm&amp;sid=B17126DDBCFD24F9E200C89398")</f>
        <v>https://app.crepc.sk/?fn=detailBiblioForm&amp;sid=B17126DDBCFD24F9E200C89398</v>
      </c>
    </row>
    <row r="7388" spans="3:5" ht="60" x14ac:dyDescent="0.25">
      <c r="C7388" s="15">
        <v>226537</v>
      </c>
      <c r="D7388" s="4" t="s">
        <v>7392</v>
      </c>
      <c r="E7388" s="4" t="str">
        <f>HYPERLINK("https://app.crepc.sk/?fn=detailBiblioForm&amp;sid=1A96CD219DD6F1D8FE5C31CBF0")</f>
        <v>https://app.crepc.sk/?fn=detailBiblioForm&amp;sid=1A96CD219DD6F1D8FE5C31CBF0</v>
      </c>
    </row>
    <row r="7389" spans="3:5" ht="60" x14ac:dyDescent="0.25">
      <c r="C7389" s="15">
        <v>226532</v>
      </c>
      <c r="D7389" s="4" t="s">
        <v>7393</v>
      </c>
      <c r="E7389" s="4" t="str">
        <f>HYPERLINK("https://app.crepc.sk/?fn=detailBiblioForm&amp;sid=1A96CD219DD6F1D8FE5931CBF0")</f>
        <v>https://app.crepc.sk/?fn=detailBiblioForm&amp;sid=1A96CD219DD6F1D8FE5931CBF0</v>
      </c>
    </row>
    <row r="7390" spans="3:5" ht="60" x14ac:dyDescent="0.25">
      <c r="C7390" s="15">
        <v>55180</v>
      </c>
      <c r="D7390" s="4" t="s">
        <v>7394</v>
      </c>
      <c r="E7390" s="4" t="str">
        <f>HYPERLINK("https://app.crepc.sk/?fn=detailBiblioForm&amp;sid=8AB11713ECB515D12BA727B1")</f>
        <v>https://app.crepc.sk/?fn=detailBiblioForm&amp;sid=8AB11713ECB515D12BA727B1</v>
      </c>
    </row>
    <row r="7391" spans="3:5" ht="75" x14ac:dyDescent="0.25">
      <c r="C7391" s="15">
        <v>51218</v>
      </c>
      <c r="D7391" s="4" t="s">
        <v>7395</v>
      </c>
      <c r="E7391" s="4" t="str">
        <f>HYPERLINK("https://app.crepc.sk/?fn=detailBiblioForm&amp;sid=94F575F835BC0A0EBCD586CB")</f>
        <v>https://app.crepc.sk/?fn=detailBiblioForm&amp;sid=94F575F835BC0A0EBCD586CB</v>
      </c>
    </row>
    <row r="7392" spans="3:5" ht="75" x14ac:dyDescent="0.25">
      <c r="C7392" s="15">
        <v>55132</v>
      </c>
      <c r="D7392" s="4" t="s">
        <v>7396</v>
      </c>
      <c r="E7392" s="4" t="str">
        <f>HYPERLINK("https://app.crepc.sk/?fn=detailBiblioForm&amp;sid=88830E0BD57200E20C6E5583")</f>
        <v>https://app.crepc.sk/?fn=detailBiblioForm&amp;sid=88830E0BD57200E20C6E5583</v>
      </c>
    </row>
    <row r="7393" spans="1:5" ht="60" x14ac:dyDescent="0.25">
      <c r="C7393" s="15">
        <v>75504</v>
      </c>
      <c r="D7393" s="4" t="s">
        <v>7397</v>
      </c>
      <c r="E7393" s="4" t="str">
        <f>HYPERLINK("https://app.crepc.sk/?fn=detailBiblioForm&amp;sid=824724A101A3F0DD5E5145F3")</f>
        <v>https://app.crepc.sk/?fn=detailBiblioForm&amp;sid=824724A101A3F0DD5E5145F3</v>
      </c>
    </row>
    <row r="7394" spans="1:5" ht="75" x14ac:dyDescent="0.25">
      <c r="C7394" s="15">
        <v>97411</v>
      </c>
      <c r="D7394" s="4" t="s">
        <v>7398</v>
      </c>
      <c r="E7394" s="4" t="str">
        <f>HYPERLINK("https://app.crepc.sk/?fn=detailBiblioForm&amp;sid=3E064B5AE480F56253907E7E")</f>
        <v>https://app.crepc.sk/?fn=detailBiblioForm&amp;sid=3E064B5AE480F56253907E7E</v>
      </c>
    </row>
    <row r="7395" spans="1:5" ht="60" x14ac:dyDescent="0.25">
      <c r="C7395" s="15">
        <v>125115</v>
      </c>
      <c r="D7395" s="4" t="s">
        <v>7399</v>
      </c>
      <c r="E7395" s="4" t="str">
        <f>HYPERLINK("https://app.crepc.sk/?fn=detailBiblioForm&amp;sid=B17126DDBCFD24F9E202C89398")</f>
        <v>https://app.crepc.sk/?fn=detailBiblioForm&amp;sid=B17126DDBCFD24F9E202C89398</v>
      </c>
    </row>
    <row r="7396" spans="1:5" ht="60" x14ac:dyDescent="0.25">
      <c r="C7396" s="15">
        <v>125118</v>
      </c>
      <c r="D7396" s="4" t="s">
        <v>7400</v>
      </c>
      <c r="E7396" s="4" t="str">
        <f>HYPERLINK("https://app.crepc.sk/?fn=detailBiblioForm&amp;sid=B17126DDBCFD24F9E20FC89398")</f>
        <v>https://app.crepc.sk/?fn=detailBiblioForm&amp;sid=B17126DDBCFD24F9E20FC89398</v>
      </c>
    </row>
    <row r="7397" spans="1:5" ht="60" x14ac:dyDescent="0.25">
      <c r="C7397" s="15">
        <v>196910</v>
      </c>
      <c r="D7397" s="4" t="s">
        <v>7401</v>
      </c>
      <c r="E7397" s="4" t="str">
        <f>HYPERLINK("https://app.crepc.sk/?fn=detailBiblioForm&amp;sid=FD2A61625DB31BB35759FEE577")</f>
        <v>https://app.crepc.sk/?fn=detailBiblioForm&amp;sid=FD2A61625DB31BB35759FEE577</v>
      </c>
    </row>
    <row r="7398" spans="1:5" ht="60" x14ac:dyDescent="0.25">
      <c r="C7398" s="15">
        <v>309918</v>
      </c>
      <c r="D7398" s="4" t="s">
        <v>7402</v>
      </c>
      <c r="E7398" s="4" t="str">
        <f>HYPERLINK("https://app.crepc.sk/?fn=detailBiblioForm&amp;sid=01D3392D979C937CAFB0D90611")</f>
        <v>https://app.crepc.sk/?fn=detailBiblioForm&amp;sid=01D3392D979C937CAFB0D90611</v>
      </c>
    </row>
    <row r="7399" spans="1:5" ht="45" x14ac:dyDescent="0.25">
      <c r="C7399" s="15">
        <v>135105</v>
      </c>
      <c r="D7399" s="4" t="s">
        <v>7403</v>
      </c>
      <c r="E7399" s="4" t="str">
        <f>HYPERLINK("https://app.crepc.sk/?fn=detailBiblioForm&amp;sid=61B9BE2C1A50DA018AE0E3FA5F")</f>
        <v>https://app.crepc.sk/?fn=detailBiblioForm&amp;sid=61B9BE2C1A50DA018AE0E3FA5F</v>
      </c>
    </row>
    <row r="7400" spans="1:5" x14ac:dyDescent="0.25">
      <c r="A7400" s="4" t="s">
        <v>7404</v>
      </c>
      <c r="B7400" s="15">
        <v>17</v>
      </c>
    </row>
    <row r="7401" spans="1:5" ht="60" x14ac:dyDescent="0.25">
      <c r="C7401" s="15">
        <v>418233</v>
      </c>
      <c r="D7401" s="4" t="s">
        <v>7405</v>
      </c>
      <c r="E7401" s="4" t="str">
        <f>HYPERLINK("https://app.crepc.sk/?fn=detailBiblioForm&amp;sid=F984F674FC714E1351A4F2CC1B")</f>
        <v>https://app.crepc.sk/?fn=detailBiblioForm&amp;sid=F984F674FC714E1351A4F2CC1B</v>
      </c>
    </row>
    <row r="7402" spans="1:5" ht="60" x14ac:dyDescent="0.25">
      <c r="C7402" s="15">
        <v>245260</v>
      </c>
      <c r="D7402" s="4" t="s">
        <v>7406</v>
      </c>
      <c r="E7402" s="4" t="str">
        <f>HYPERLINK("https://app.crepc.sk/?fn=detailBiblioForm&amp;sid=BDD02C6927F0351777085D9292")</f>
        <v>https://app.crepc.sk/?fn=detailBiblioForm&amp;sid=BDD02C6927F0351777085D9292</v>
      </c>
    </row>
    <row r="7403" spans="1:5" ht="60" x14ac:dyDescent="0.25">
      <c r="C7403" s="15">
        <v>184936</v>
      </c>
      <c r="D7403" s="4" t="s">
        <v>7407</v>
      </c>
      <c r="E7403" s="4" t="str">
        <f>HYPERLINK("https://app.crepc.sk/?fn=detailBiblioForm&amp;sid=2A0855BB69981FFC2C528683AA")</f>
        <v>https://app.crepc.sk/?fn=detailBiblioForm&amp;sid=2A0855BB69981FFC2C528683AA</v>
      </c>
    </row>
    <row r="7404" spans="1:5" ht="45" x14ac:dyDescent="0.25">
      <c r="C7404" s="15">
        <v>211295</v>
      </c>
      <c r="D7404" s="4" t="s">
        <v>7408</v>
      </c>
      <c r="E7404" s="4" t="str">
        <f>HYPERLINK("https://app.crepc.sk/?fn=detailBiblioForm&amp;sid=12D43A2BF2357AAE3E001CCE89")</f>
        <v>https://app.crepc.sk/?fn=detailBiblioForm&amp;sid=12D43A2BF2357AAE3E001CCE89</v>
      </c>
    </row>
    <row r="7405" spans="1:5" ht="45" x14ac:dyDescent="0.25">
      <c r="C7405" s="15">
        <v>442328</v>
      </c>
      <c r="D7405" s="4" t="s">
        <v>7409</v>
      </c>
      <c r="E7405" s="4" t="str">
        <f>HYPERLINK("https://app.crepc.sk/?fn=detailBiblioForm&amp;sid=F661DE2421DD595D56C562841D")</f>
        <v>https://app.crepc.sk/?fn=detailBiblioForm&amp;sid=F661DE2421DD595D56C562841D</v>
      </c>
    </row>
    <row r="7406" spans="1:5" ht="60" x14ac:dyDescent="0.25">
      <c r="C7406" s="15">
        <v>120396</v>
      </c>
      <c r="D7406" s="4" t="s">
        <v>7410</v>
      </c>
      <c r="E7406" s="4" t="str">
        <f>HYPERLINK("https://app.crepc.sk/?fn=detailBiblioForm&amp;sid=7C8EC80C674BD33D4DAB6DBADF")</f>
        <v>https://app.crepc.sk/?fn=detailBiblioForm&amp;sid=7C8EC80C674BD33D4DAB6DBADF</v>
      </c>
    </row>
    <row r="7407" spans="1:5" ht="45" x14ac:dyDescent="0.25">
      <c r="C7407" s="15">
        <v>164828</v>
      </c>
      <c r="D7407" s="4" t="s">
        <v>7411</v>
      </c>
      <c r="E7407" s="4" t="str">
        <f>HYPERLINK("https://app.crepc.sk/?fn=detailBiblioForm&amp;sid=B5E6096D0905A43EEA06760FCE")</f>
        <v>https://app.crepc.sk/?fn=detailBiblioForm&amp;sid=B5E6096D0905A43EEA06760FCE</v>
      </c>
    </row>
    <row r="7408" spans="1:5" ht="45" x14ac:dyDescent="0.25">
      <c r="C7408" s="15">
        <v>206999</v>
      </c>
      <c r="D7408" s="4" t="s">
        <v>7412</v>
      </c>
      <c r="E7408" s="4" t="str">
        <f>HYPERLINK("https://app.crepc.sk/?fn=detailBiblioForm&amp;sid=C3A916DF7A5355BD54173ED7A5")</f>
        <v>https://app.crepc.sk/?fn=detailBiblioForm&amp;sid=C3A916DF7A5355BD54173ED7A5</v>
      </c>
    </row>
    <row r="7409" spans="1:5" ht="60" x14ac:dyDescent="0.25">
      <c r="C7409" s="15">
        <v>419570</v>
      </c>
      <c r="D7409" s="4" t="s">
        <v>7413</v>
      </c>
      <c r="E7409" s="4" t="str">
        <f>HYPERLINK("https://app.crepc.sk/?fn=detailBiblioForm&amp;sid=147DE4E58F33913E2A83DCEAD2")</f>
        <v>https://app.crepc.sk/?fn=detailBiblioForm&amp;sid=147DE4E58F33913E2A83DCEAD2</v>
      </c>
    </row>
    <row r="7410" spans="1:5" ht="60" x14ac:dyDescent="0.25">
      <c r="C7410" s="15">
        <v>435510</v>
      </c>
      <c r="D7410" s="4" t="s">
        <v>7414</v>
      </c>
      <c r="E7410" s="4" t="str">
        <f>HYPERLINK("https://app.crepc.sk/?fn=detailBiblioForm&amp;sid=CBCC4E2F87C3739923C7CFBB27")</f>
        <v>https://app.crepc.sk/?fn=detailBiblioForm&amp;sid=CBCC4E2F87C3739923C7CFBB27</v>
      </c>
    </row>
    <row r="7411" spans="1:5" ht="45" x14ac:dyDescent="0.25">
      <c r="C7411" s="15">
        <v>84842</v>
      </c>
      <c r="D7411" s="4" t="s">
        <v>7415</v>
      </c>
      <c r="E7411" s="4" t="str">
        <f>HYPERLINK("https://app.crepc.sk/?fn=detailBiblioForm&amp;sid=E5581B7F073E1E86B532AA2D")</f>
        <v>https://app.crepc.sk/?fn=detailBiblioForm&amp;sid=E5581B7F073E1E86B532AA2D</v>
      </c>
    </row>
    <row r="7412" spans="1:5" ht="60" x14ac:dyDescent="0.25">
      <c r="C7412" s="15">
        <v>129415</v>
      </c>
      <c r="D7412" s="4" t="s">
        <v>7416</v>
      </c>
      <c r="E7412" s="4" t="str">
        <f>HYPERLINK("https://app.crepc.sk/?fn=detailBiblioForm&amp;sid=EA5269F01D24DAD873BFB56AB8")</f>
        <v>https://app.crepc.sk/?fn=detailBiblioForm&amp;sid=EA5269F01D24DAD873BFB56AB8</v>
      </c>
    </row>
    <row r="7413" spans="1:5" ht="45" x14ac:dyDescent="0.25">
      <c r="C7413" s="15">
        <v>137512</v>
      </c>
      <c r="D7413" s="4" t="s">
        <v>7417</v>
      </c>
      <c r="E7413" s="4" t="str">
        <f>HYPERLINK("https://app.crepc.sk/?fn=detailBiblioForm&amp;sid=3E9AEE53085E0AC85A9A91864D")</f>
        <v>https://app.crepc.sk/?fn=detailBiblioForm&amp;sid=3E9AEE53085E0AC85A9A91864D</v>
      </c>
    </row>
    <row r="7414" spans="1:5" ht="45" x14ac:dyDescent="0.25">
      <c r="C7414" s="15">
        <v>162320</v>
      </c>
      <c r="D7414" s="4" t="s">
        <v>7418</v>
      </c>
      <c r="E7414" s="4" t="str">
        <f>HYPERLINK("https://app.crepc.sk/?fn=detailBiblioForm&amp;sid=5379D0B7E3C25FE39631D05CA5")</f>
        <v>https://app.crepc.sk/?fn=detailBiblioForm&amp;sid=5379D0B7E3C25FE39631D05CA5</v>
      </c>
    </row>
    <row r="7415" spans="1:5" ht="60" x14ac:dyDescent="0.25">
      <c r="C7415" s="15">
        <v>215313</v>
      </c>
      <c r="D7415" s="4" t="s">
        <v>7419</v>
      </c>
      <c r="E7415" s="4" t="str">
        <f>HYPERLINK("https://app.crepc.sk/?fn=detailBiblioForm&amp;sid=32A369D9F5E6A0D5705F5D46B4")</f>
        <v>https://app.crepc.sk/?fn=detailBiblioForm&amp;sid=32A369D9F5E6A0D5705F5D46B4</v>
      </c>
    </row>
    <row r="7416" spans="1:5" ht="45" x14ac:dyDescent="0.25">
      <c r="C7416" s="15">
        <v>219112</v>
      </c>
      <c r="D7416" s="4" t="s">
        <v>7420</v>
      </c>
      <c r="E7416" s="4" t="str">
        <f>HYPERLINK("https://app.crepc.sk/?fn=detailBiblioForm&amp;sid=CA821E2D0F99DD04981D62CF5A")</f>
        <v>https://app.crepc.sk/?fn=detailBiblioForm&amp;sid=CA821E2D0F99DD04981D62CF5A</v>
      </c>
    </row>
    <row r="7417" spans="1:5" ht="45" x14ac:dyDescent="0.25">
      <c r="C7417" s="15">
        <v>150937</v>
      </c>
      <c r="D7417" s="4" t="s">
        <v>7421</v>
      </c>
      <c r="E7417" s="4" t="str">
        <f>HYPERLINK("https://app.crepc.sk/?fn=detailBiblioForm&amp;sid=1DDC86077D8354F3A0FDF2B260")</f>
        <v>https://app.crepc.sk/?fn=detailBiblioForm&amp;sid=1DDC86077D8354F3A0FDF2B260</v>
      </c>
    </row>
    <row r="7418" spans="1:5" x14ac:dyDescent="0.25">
      <c r="A7418" s="4" t="s">
        <v>7422</v>
      </c>
      <c r="B7418" s="15">
        <v>76</v>
      </c>
    </row>
    <row r="7419" spans="1:5" ht="45" x14ac:dyDescent="0.25">
      <c r="C7419" s="15">
        <v>438122</v>
      </c>
      <c r="D7419" s="4" t="s">
        <v>7423</v>
      </c>
      <c r="E7419" s="4" t="str">
        <f>HYPERLINK("https://app.crepc.sk/?fn=detailBiblioForm&amp;sid=19C10991FDD13194C2904DFDE8")</f>
        <v>https://app.crepc.sk/?fn=detailBiblioForm&amp;sid=19C10991FDD13194C2904DFDE8</v>
      </c>
    </row>
    <row r="7420" spans="1:5" ht="45" x14ac:dyDescent="0.25">
      <c r="C7420" s="15">
        <v>192980</v>
      </c>
      <c r="D7420" s="4" t="s">
        <v>7424</v>
      </c>
      <c r="E7420" s="4" t="str">
        <f>HYPERLINK("https://app.crepc.sk/?fn=detailBiblioForm&amp;sid=4A9829FE81C62920204DBCF6B0")</f>
        <v>https://app.crepc.sk/?fn=detailBiblioForm&amp;sid=4A9829FE81C62920204DBCF6B0</v>
      </c>
    </row>
    <row r="7421" spans="1:5" ht="60" x14ac:dyDescent="0.25">
      <c r="C7421" s="15">
        <v>207007</v>
      </c>
      <c r="D7421" s="4" t="s">
        <v>7425</v>
      </c>
      <c r="E7421" s="4" t="str">
        <f>HYPERLINK("https://app.crepc.sk/?fn=detailBiblioForm&amp;sid=0C78960071567D8D0E10384767")</f>
        <v>https://app.crepc.sk/?fn=detailBiblioForm&amp;sid=0C78960071567D8D0E10384767</v>
      </c>
    </row>
    <row r="7422" spans="1:5" ht="60" x14ac:dyDescent="0.25">
      <c r="C7422" s="15">
        <v>304672</v>
      </c>
      <c r="D7422" s="4" t="s">
        <v>7426</v>
      </c>
      <c r="E7422" s="4" t="str">
        <f>HYPERLINK("https://app.crepc.sk/?fn=detailBiblioForm&amp;sid=C9884AA49470EF612FBB11B2CB")</f>
        <v>https://app.crepc.sk/?fn=detailBiblioForm&amp;sid=C9884AA49470EF612FBB11B2CB</v>
      </c>
    </row>
    <row r="7423" spans="1:5" ht="45" x14ac:dyDescent="0.25">
      <c r="C7423" s="15">
        <v>252710</v>
      </c>
      <c r="D7423" s="4" t="s">
        <v>7427</v>
      </c>
      <c r="E7423" s="4" t="str">
        <f>HYPERLINK("https://app.crepc.sk/?fn=detailBiblioForm&amp;sid=4874CCCA7B6B2FFB2C349FDFFB")</f>
        <v>https://app.crepc.sk/?fn=detailBiblioForm&amp;sid=4874CCCA7B6B2FFB2C349FDFFB</v>
      </c>
    </row>
    <row r="7424" spans="1:5" ht="45" x14ac:dyDescent="0.25">
      <c r="C7424" s="15">
        <v>255197</v>
      </c>
      <c r="D7424" s="4" t="s">
        <v>7428</v>
      </c>
      <c r="E7424" s="4" t="str">
        <f>HYPERLINK("https://app.crepc.sk/?fn=detailBiblioForm&amp;sid=E6E3E8772486F0B4385600C5AF")</f>
        <v>https://app.crepc.sk/?fn=detailBiblioForm&amp;sid=E6E3E8772486F0B4385600C5AF</v>
      </c>
    </row>
    <row r="7425" spans="3:5" ht="165" x14ac:dyDescent="0.25">
      <c r="C7425" s="15">
        <v>224656</v>
      </c>
      <c r="D7425" s="4" t="s">
        <v>7429</v>
      </c>
      <c r="E7425" s="4" t="str">
        <f>HYPERLINK("https://app.crepc.sk/?fn=detailBiblioForm&amp;sid=88B39BDB284DEDE945BB744A95")</f>
        <v>https://app.crepc.sk/?fn=detailBiblioForm&amp;sid=88B39BDB284DEDE945BB744A95</v>
      </c>
    </row>
    <row r="7426" spans="3:5" ht="45" x14ac:dyDescent="0.25">
      <c r="C7426" s="15">
        <v>82487</v>
      </c>
      <c r="D7426" s="4" t="s">
        <v>7430</v>
      </c>
      <c r="E7426" s="4" t="str">
        <f>HYPERLINK("https://app.crepc.sk/?fn=detailBiblioForm&amp;sid=7CFA1AD6A8C49BF7540EC307")</f>
        <v>https://app.crepc.sk/?fn=detailBiblioForm&amp;sid=7CFA1AD6A8C49BF7540EC307</v>
      </c>
    </row>
    <row r="7427" spans="3:5" ht="45" x14ac:dyDescent="0.25">
      <c r="C7427" s="15">
        <v>96464</v>
      </c>
      <c r="D7427" s="4" t="s">
        <v>7431</v>
      </c>
      <c r="E7427" s="4" t="str">
        <f>HYPERLINK("https://app.crepc.sk/?fn=detailBiblioForm&amp;sid=039BC50EAEDB037DFD169836")</f>
        <v>https://app.crepc.sk/?fn=detailBiblioForm&amp;sid=039BC50EAEDB037DFD169836</v>
      </c>
    </row>
    <row r="7428" spans="3:5" ht="90" x14ac:dyDescent="0.25">
      <c r="C7428" s="15">
        <v>222045</v>
      </c>
      <c r="D7428" s="4" t="s">
        <v>7432</v>
      </c>
      <c r="E7428" s="4" t="str">
        <f>HYPERLINK("https://app.crepc.sk/?fn=detailBiblioForm&amp;sid=AE035A1340B0E94A908BAF86E8")</f>
        <v>https://app.crepc.sk/?fn=detailBiblioForm&amp;sid=AE035A1340B0E94A908BAF86E8</v>
      </c>
    </row>
    <row r="7429" spans="3:5" ht="60" x14ac:dyDescent="0.25">
      <c r="C7429" s="15">
        <v>304624</v>
      </c>
      <c r="D7429" s="4" t="s">
        <v>7433</v>
      </c>
      <c r="E7429" s="4" t="str">
        <f>HYPERLINK("https://app.crepc.sk/?fn=detailBiblioForm&amp;sid=C9884AA49470EF612ABD11B2CB")</f>
        <v>https://app.crepc.sk/?fn=detailBiblioForm&amp;sid=C9884AA49470EF612ABD11B2CB</v>
      </c>
    </row>
    <row r="7430" spans="3:5" ht="45" x14ac:dyDescent="0.25">
      <c r="C7430" s="15">
        <v>179678</v>
      </c>
      <c r="D7430" s="4" t="s">
        <v>7434</v>
      </c>
      <c r="E7430" s="4" t="str">
        <f>HYPERLINK("https://app.crepc.sk/?fn=detailBiblioForm&amp;sid=E800E35B75A4A8F930002F3FB2")</f>
        <v>https://app.crepc.sk/?fn=detailBiblioForm&amp;sid=E800E35B75A4A8F930002F3FB2</v>
      </c>
    </row>
    <row r="7431" spans="3:5" ht="45" x14ac:dyDescent="0.25">
      <c r="C7431" s="15">
        <v>240869</v>
      </c>
      <c r="D7431" s="4" t="s">
        <v>7435</v>
      </c>
      <c r="E7431" s="4" t="str">
        <f>HYPERLINK("https://app.crepc.sk/?fn=detailBiblioForm&amp;sid=5B016660862A0AA5420C22D6A0")</f>
        <v>https://app.crepc.sk/?fn=detailBiblioForm&amp;sid=5B016660862A0AA5420C22D6A0</v>
      </c>
    </row>
    <row r="7432" spans="3:5" ht="105" x14ac:dyDescent="0.25">
      <c r="C7432" s="15">
        <v>226304</v>
      </c>
      <c r="D7432" s="4" t="s">
        <v>7436</v>
      </c>
      <c r="E7432" s="4" t="str">
        <f>HYPERLINK("https://app.crepc.sk/?fn=detailBiblioForm&amp;sid=C41BF80AB1B114D6B06A142BFB")</f>
        <v>https://app.crepc.sk/?fn=detailBiblioForm&amp;sid=C41BF80AB1B114D6B06A142BFB</v>
      </c>
    </row>
    <row r="7433" spans="3:5" ht="45" x14ac:dyDescent="0.25">
      <c r="C7433" s="15">
        <v>162332</v>
      </c>
      <c r="D7433" s="4" t="s">
        <v>7437</v>
      </c>
      <c r="E7433" s="4" t="str">
        <f>HYPERLINK("https://app.crepc.sk/?fn=detailBiblioForm&amp;sid=5379D0B7E3C25FE39733D05CA5")</f>
        <v>https://app.crepc.sk/?fn=detailBiblioForm&amp;sid=5379D0B7E3C25FE39733D05CA5</v>
      </c>
    </row>
    <row r="7434" spans="3:5" ht="45" x14ac:dyDescent="0.25">
      <c r="C7434" s="15">
        <v>304623</v>
      </c>
      <c r="D7434" s="4" t="s">
        <v>7438</v>
      </c>
      <c r="E7434" s="4" t="str">
        <f>HYPERLINK("https://app.crepc.sk/?fn=detailBiblioForm&amp;sid=C9884AA49470EF612ABA11B2CB")</f>
        <v>https://app.crepc.sk/?fn=detailBiblioForm&amp;sid=C9884AA49470EF612ABA11B2CB</v>
      </c>
    </row>
    <row r="7435" spans="3:5" ht="45" x14ac:dyDescent="0.25">
      <c r="C7435" s="15">
        <v>139510</v>
      </c>
      <c r="D7435" s="4" t="s">
        <v>7439</v>
      </c>
      <c r="E7435" s="4" t="str">
        <f>HYPERLINK("https://app.crepc.sk/?fn=detailBiblioForm&amp;sid=2753E74A420B011D73D712E075")</f>
        <v>https://app.crepc.sk/?fn=detailBiblioForm&amp;sid=2753E74A420B011D73D712E075</v>
      </c>
    </row>
    <row r="7436" spans="3:5" ht="45" x14ac:dyDescent="0.25">
      <c r="C7436" s="15">
        <v>413888</v>
      </c>
      <c r="D7436" s="4" t="s">
        <v>7440</v>
      </c>
      <c r="E7436" s="4" t="str">
        <f>HYPERLINK("https://app.crepc.sk/?fn=detailBiblioForm&amp;sid=0666E4DD92649C3D19557B444D")</f>
        <v>https://app.crepc.sk/?fn=detailBiblioForm&amp;sid=0666E4DD92649C3D19557B444D</v>
      </c>
    </row>
    <row r="7437" spans="3:5" ht="45" x14ac:dyDescent="0.25">
      <c r="C7437" s="15">
        <v>83776</v>
      </c>
      <c r="D7437" s="4" t="s">
        <v>7441</v>
      </c>
      <c r="E7437" s="4" t="str">
        <f>HYPERLINK("https://app.crepc.sk/?fn=detailBiblioForm&amp;sid=B0FC9B1A0B4A25EBF3413E87")</f>
        <v>https://app.crepc.sk/?fn=detailBiblioForm&amp;sid=B0FC9B1A0B4A25EBF3413E87</v>
      </c>
    </row>
    <row r="7438" spans="3:5" ht="60" x14ac:dyDescent="0.25">
      <c r="C7438" s="15">
        <v>96470</v>
      </c>
      <c r="D7438" s="4" t="s">
        <v>7442</v>
      </c>
      <c r="E7438" s="4" t="str">
        <f>HYPERLINK("https://app.crepc.sk/?fn=detailBiblioForm&amp;sid=877D6D9D486CACC9873F422A")</f>
        <v>https://app.crepc.sk/?fn=detailBiblioForm&amp;sid=877D6D9D486CACC9873F422A</v>
      </c>
    </row>
    <row r="7439" spans="3:5" ht="45" x14ac:dyDescent="0.25">
      <c r="C7439" s="15">
        <v>219759</v>
      </c>
      <c r="D7439" s="4" t="s">
        <v>7443</v>
      </c>
      <c r="E7439" s="4" t="str">
        <f>HYPERLINK("https://app.crepc.sk/?fn=detailBiblioForm&amp;sid=8507D8D83F66E08A1B26D1D393")</f>
        <v>https://app.crepc.sk/?fn=detailBiblioForm&amp;sid=8507D8D83F66E08A1B26D1D393</v>
      </c>
    </row>
    <row r="7440" spans="3:5" ht="90" x14ac:dyDescent="0.25">
      <c r="C7440" s="15">
        <v>224327</v>
      </c>
      <c r="D7440" s="4" t="s">
        <v>7444</v>
      </c>
      <c r="E7440" s="4" t="str">
        <f>HYPERLINK("https://app.crepc.sk/?fn=detailBiblioForm&amp;sid=ADB89B80C16DD51A517A821E07")</f>
        <v>https://app.crepc.sk/?fn=detailBiblioForm&amp;sid=ADB89B80C16DD51A517A821E07</v>
      </c>
    </row>
    <row r="7441" spans="3:5" ht="90" x14ac:dyDescent="0.25">
      <c r="C7441" s="15">
        <v>453581</v>
      </c>
      <c r="D7441" s="4" t="s">
        <v>7445</v>
      </c>
      <c r="E7441" s="4" t="str">
        <f>HYPERLINK("https://app.crepc.sk/?fn=detailBiblioForm&amp;sid=363E3362E176FDAD866AF4D970")</f>
        <v>https://app.crepc.sk/?fn=detailBiblioForm&amp;sid=363E3362E176FDAD866AF4D970</v>
      </c>
    </row>
    <row r="7442" spans="3:5" ht="45" x14ac:dyDescent="0.25">
      <c r="C7442" s="15">
        <v>81267</v>
      </c>
      <c r="D7442" s="4" t="s">
        <v>7446</v>
      </c>
      <c r="E7442" s="4" t="str">
        <f>HYPERLINK("https://app.crepc.sk/?fn=detailBiblioForm&amp;sid=B74A63AC994DFD5178A8FAEE")</f>
        <v>https://app.crepc.sk/?fn=detailBiblioForm&amp;sid=B74A63AC994DFD5178A8FAEE</v>
      </c>
    </row>
    <row r="7443" spans="3:5" ht="90" x14ac:dyDescent="0.25">
      <c r="C7443" s="15">
        <v>305690</v>
      </c>
      <c r="D7443" s="4" t="s">
        <v>7447</v>
      </c>
      <c r="E7443" s="4" t="str">
        <f>HYPERLINK("https://app.crepc.sk/?fn=detailBiblioForm&amp;sid=5D66D213C9CFB0CCAF6421ACC1")</f>
        <v>https://app.crepc.sk/?fn=detailBiblioForm&amp;sid=5D66D213C9CFB0CCAF6421ACC1</v>
      </c>
    </row>
    <row r="7444" spans="3:5" ht="45" x14ac:dyDescent="0.25">
      <c r="C7444" s="15">
        <v>427599</v>
      </c>
      <c r="D7444" s="4" t="s">
        <v>7448</v>
      </c>
      <c r="E7444" s="4" t="str">
        <f>HYPERLINK("https://app.crepc.sk/?fn=detailBiblioForm&amp;sid=3E1CF430F52B8E0D3BD7BB744D")</f>
        <v>https://app.crepc.sk/?fn=detailBiblioForm&amp;sid=3E1CF430F52B8E0D3BD7BB744D</v>
      </c>
    </row>
    <row r="7445" spans="3:5" ht="60" x14ac:dyDescent="0.25">
      <c r="C7445" s="15">
        <v>186925</v>
      </c>
      <c r="D7445" s="4" t="s">
        <v>7449</v>
      </c>
      <c r="E7445" s="4" t="str">
        <f>HYPERLINK("https://app.crepc.sk/?fn=detailBiblioForm&amp;sid=9EB7DDC054CB7EBFE177B5FCE5")</f>
        <v>https://app.crepc.sk/?fn=detailBiblioForm&amp;sid=9EB7DDC054CB7EBFE177B5FCE5</v>
      </c>
    </row>
    <row r="7446" spans="3:5" ht="45" x14ac:dyDescent="0.25">
      <c r="C7446" s="15">
        <v>445135</v>
      </c>
      <c r="D7446" s="4" t="s">
        <v>7450</v>
      </c>
      <c r="E7446" s="4" t="str">
        <f>HYPERLINK("https://app.crepc.sk/?fn=detailBiblioForm&amp;sid=0899011EB907D11072B7E7DCE6")</f>
        <v>https://app.crepc.sk/?fn=detailBiblioForm&amp;sid=0899011EB907D11072B7E7DCE6</v>
      </c>
    </row>
    <row r="7447" spans="3:5" ht="45" x14ac:dyDescent="0.25">
      <c r="C7447" s="15">
        <v>84957</v>
      </c>
      <c r="D7447" s="4" t="s">
        <v>7451</v>
      </c>
      <c r="E7447" s="4" t="str">
        <f>HYPERLINK("https://app.crepc.sk/?fn=detailBiblioForm&amp;sid=A853A51B5C8D29BC569E9F7C")</f>
        <v>https://app.crepc.sk/?fn=detailBiblioForm&amp;sid=A853A51B5C8D29BC569E9F7C</v>
      </c>
    </row>
    <row r="7448" spans="3:5" ht="45" x14ac:dyDescent="0.25">
      <c r="C7448" s="15">
        <v>224095</v>
      </c>
      <c r="D7448" s="4" t="s">
        <v>7452</v>
      </c>
      <c r="E7448" s="4" t="str">
        <f>HYPERLINK("https://app.crepc.sk/?fn=detailBiblioForm&amp;sid=61336287E2705DAF74C233E3D4")</f>
        <v>https://app.crepc.sk/?fn=detailBiblioForm&amp;sid=61336287E2705DAF74C233E3D4</v>
      </c>
    </row>
    <row r="7449" spans="3:5" ht="60" x14ac:dyDescent="0.25">
      <c r="C7449" s="15">
        <v>224110</v>
      </c>
      <c r="D7449" s="4" t="s">
        <v>7453</v>
      </c>
      <c r="E7449" s="4" t="str">
        <f>HYPERLINK("https://app.crepc.sk/?fn=detailBiblioForm&amp;sid=B381758F4D9E20AC1B05BD26E5")</f>
        <v>https://app.crepc.sk/?fn=detailBiblioForm&amp;sid=B381758F4D9E20AC1B05BD26E5</v>
      </c>
    </row>
    <row r="7450" spans="3:5" ht="45" x14ac:dyDescent="0.25">
      <c r="C7450" s="15">
        <v>196741</v>
      </c>
      <c r="D7450" s="4" t="s">
        <v>7454</v>
      </c>
      <c r="E7450" s="4" t="str">
        <f>HYPERLINK("https://app.crepc.sk/?fn=detailBiblioForm&amp;sid=959B0CD35FC03E1AE1CA263F38")</f>
        <v>https://app.crepc.sk/?fn=detailBiblioForm&amp;sid=959B0CD35FC03E1AE1CA263F38</v>
      </c>
    </row>
    <row r="7451" spans="3:5" ht="60" x14ac:dyDescent="0.25">
      <c r="C7451" s="15">
        <v>173858</v>
      </c>
      <c r="D7451" s="4" t="s">
        <v>7455</v>
      </c>
      <c r="E7451" s="4" t="str">
        <f>HYPERLINK("https://app.crepc.sk/?fn=detailBiblioForm&amp;sid=A8C5898CD77493B3E2F1565F0F")</f>
        <v>https://app.crepc.sk/?fn=detailBiblioForm&amp;sid=A8C5898CD77493B3E2F1565F0F</v>
      </c>
    </row>
    <row r="7452" spans="3:5" ht="45" x14ac:dyDescent="0.25">
      <c r="C7452" s="15">
        <v>162329</v>
      </c>
      <c r="D7452" s="4" t="s">
        <v>7456</v>
      </c>
      <c r="E7452" s="4" t="str">
        <f>HYPERLINK("https://app.crepc.sk/?fn=detailBiblioForm&amp;sid=5379D0B7E3C25FE39638D05CA5")</f>
        <v>https://app.crepc.sk/?fn=detailBiblioForm&amp;sid=5379D0B7E3C25FE39638D05CA5</v>
      </c>
    </row>
    <row r="7453" spans="3:5" ht="45" x14ac:dyDescent="0.25">
      <c r="C7453" s="15">
        <v>226305</v>
      </c>
      <c r="D7453" s="4" t="s">
        <v>7457</v>
      </c>
      <c r="E7453" s="4" t="str">
        <f>HYPERLINK("https://app.crepc.sk/?fn=detailBiblioForm&amp;sid=C41BF80AB1B114D6B06B142BFB")</f>
        <v>https://app.crepc.sk/?fn=detailBiblioForm&amp;sid=C41BF80AB1B114D6B06B142BFB</v>
      </c>
    </row>
    <row r="7454" spans="3:5" ht="45" x14ac:dyDescent="0.25">
      <c r="C7454" s="15">
        <v>81260</v>
      </c>
      <c r="D7454" s="4" t="s">
        <v>7458</v>
      </c>
      <c r="E7454" s="4" t="str">
        <f>HYPERLINK("https://app.crepc.sk/?fn=detailBiblioForm&amp;sid=B74A63AC994DFD517FA8FAEE")</f>
        <v>https://app.crepc.sk/?fn=detailBiblioForm&amp;sid=B74A63AC994DFD517FA8FAEE</v>
      </c>
    </row>
    <row r="7455" spans="3:5" ht="45" x14ac:dyDescent="0.25">
      <c r="C7455" s="15">
        <v>81263</v>
      </c>
      <c r="D7455" s="4" t="s">
        <v>7459</v>
      </c>
      <c r="E7455" s="4" t="str">
        <f>HYPERLINK("https://app.crepc.sk/?fn=detailBiblioForm&amp;sid=B74A63AC994DFD517CA8FAEE")</f>
        <v>https://app.crepc.sk/?fn=detailBiblioForm&amp;sid=B74A63AC994DFD517CA8FAEE</v>
      </c>
    </row>
    <row r="7456" spans="3:5" ht="75" x14ac:dyDescent="0.25">
      <c r="C7456" s="15">
        <v>231434</v>
      </c>
      <c r="D7456" s="4" t="s">
        <v>7460</v>
      </c>
      <c r="E7456" s="4" t="str">
        <f>HYPERLINK("https://app.crepc.sk/?fn=detailBiblioForm&amp;sid=63CB7DB5CDCA09B7F93EDF1332")</f>
        <v>https://app.crepc.sk/?fn=detailBiblioForm&amp;sid=63CB7DB5CDCA09B7F93EDF1332</v>
      </c>
    </row>
    <row r="7457" spans="3:5" ht="75" x14ac:dyDescent="0.25">
      <c r="C7457" s="15">
        <v>231268</v>
      </c>
      <c r="D7457" s="4" t="s">
        <v>7461</v>
      </c>
      <c r="E7457" s="4" t="str">
        <f>HYPERLINK("https://app.crepc.sk/?fn=detailBiblioForm&amp;sid=47627492C73248934B80CF7CD6")</f>
        <v>https://app.crepc.sk/?fn=detailBiblioForm&amp;sid=47627492C73248934B80CF7CD6</v>
      </c>
    </row>
    <row r="7458" spans="3:5" ht="45" x14ac:dyDescent="0.25">
      <c r="C7458" s="15">
        <v>146243</v>
      </c>
      <c r="D7458" s="4" t="s">
        <v>7462</v>
      </c>
      <c r="E7458" s="4" t="str">
        <f>HYPERLINK("https://app.crepc.sk/?fn=detailBiblioForm&amp;sid=0847CB681108BF2ACE615F0E3C")</f>
        <v>https://app.crepc.sk/?fn=detailBiblioForm&amp;sid=0847CB681108BF2ACE615F0E3C</v>
      </c>
    </row>
    <row r="7459" spans="3:5" ht="45" x14ac:dyDescent="0.25">
      <c r="C7459" s="15">
        <v>437941</v>
      </c>
      <c r="D7459" s="4" t="s">
        <v>7463</v>
      </c>
      <c r="E7459" s="4" t="str">
        <f>HYPERLINK("https://app.crepc.sk/?fn=detailBiblioForm&amp;sid=C250D8BE72838170EDC8CEA6C9")</f>
        <v>https://app.crepc.sk/?fn=detailBiblioForm&amp;sid=C250D8BE72838170EDC8CEA6C9</v>
      </c>
    </row>
    <row r="7460" spans="3:5" ht="45" x14ac:dyDescent="0.25">
      <c r="C7460" s="15">
        <v>194551</v>
      </c>
      <c r="D7460" s="4" t="s">
        <v>7464</v>
      </c>
      <c r="E7460" s="4" t="str">
        <f>HYPERLINK("https://app.crepc.sk/?fn=detailBiblioForm&amp;sid=B3499CADE72D03543BFCA5BCCD")</f>
        <v>https://app.crepc.sk/?fn=detailBiblioForm&amp;sid=B3499CADE72D03543BFCA5BCCD</v>
      </c>
    </row>
    <row r="7461" spans="3:5" ht="75" x14ac:dyDescent="0.25">
      <c r="C7461" s="15">
        <v>229861</v>
      </c>
      <c r="D7461" s="4" t="s">
        <v>7465</v>
      </c>
      <c r="E7461" s="4" t="str">
        <f>HYPERLINK("https://app.crepc.sk/?fn=detailBiblioForm&amp;sid=3EB293E291071F59800189FBD2")</f>
        <v>https://app.crepc.sk/?fn=detailBiblioForm&amp;sid=3EB293E291071F59800189FBD2</v>
      </c>
    </row>
    <row r="7462" spans="3:5" ht="45" x14ac:dyDescent="0.25">
      <c r="C7462" s="15">
        <v>75816</v>
      </c>
      <c r="D7462" s="4" t="s">
        <v>7466</v>
      </c>
      <c r="E7462" s="4" t="str">
        <f>HYPERLINK("https://app.crepc.sk/?fn=detailBiblioForm&amp;sid=53530719005DD7FD9FAF91D2")</f>
        <v>https://app.crepc.sk/?fn=detailBiblioForm&amp;sid=53530719005DD7FD9FAF91D2</v>
      </c>
    </row>
    <row r="7463" spans="3:5" ht="60" x14ac:dyDescent="0.25">
      <c r="C7463" s="15">
        <v>439008</v>
      </c>
      <c r="D7463" s="4" t="s">
        <v>7467</v>
      </c>
      <c r="E7463" s="4" t="str">
        <f>HYPERLINK("https://app.crepc.sk/?fn=detailBiblioForm&amp;sid=B808C99384E756AA5FF51883A2")</f>
        <v>https://app.crepc.sk/?fn=detailBiblioForm&amp;sid=B808C99384E756AA5FF51883A2</v>
      </c>
    </row>
    <row r="7464" spans="3:5" ht="45" x14ac:dyDescent="0.25">
      <c r="C7464" s="15">
        <v>214511</v>
      </c>
      <c r="D7464" s="4" t="s">
        <v>7468</v>
      </c>
      <c r="E7464" s="4" t="str">
        <f>HYPERLINK("https://app.crepc.sk/?fn=detailBiblioForm&amp;sid=3CC7C8A2F9DA363A05D90D5FC5")</f>
        <v>https://app.crepc.sk/?fn=detailBiblioForm&amp;sid=3CC7C8A2F9DA363A05D90D5FC5</v>
      </c>
    </row>
    <row r="7465" spans="3:5" ht="45" x14ac:dyDescent="0.25">
      <c r="C7465" s="15">
        <v>52083</v>
      </c>
      <c r="D7465" s="4" t="s">
        <v>7469</v>
      </c>
      <c r="E7465" s="4" t="str">
        <f>HYPERLINK("https://app.crepc.sk/?fn=detailBiblioForm&amp;sid=774AAF6BB4F872CBAEE47D76")</f>
        <v>https://app.crepc.sk/?fn=detailBiblioForm&amp;sid=774AAF6BB4F872CBAEE47D76</v>
      </c>
    </row>
    <row r="7466" spans="3:5" ht="45" x14ac:dyDescent="0.25">
      <c r="C7466" s="15">
        <v>114897</v>
      </c>
      <c r="D7466" s="4" t="s">
        <v>7470</v>
      </c>
      <c r="E7466" s="4" t="str">
        <f>HYPERLINK("https://app.crepc.sk/?fn=detailBiblioForm&amp;sid=C957D02FE2D4481C66BA82EBB8")</f>
        <v>https://app.crepc.sk/?fn=detailBiblioForm&amp;sid=C957D02FE2D4481C66BA82EBB8</v>
      </c>
    </row>
    <row r="7467" spans="3:5" ht="45" x14ac:dyDescent="0.25">
      <c r="C7467" s="15">
        <v>248324</v>
      </c>
      <c r="D7467" s="4" t="s">
        <v>7471</v>
      </c>
      <c r="E7467" s="4" t="str">
        <f>HYPERLINK("https://app.crepc.sk/?fn=detailBiblioForm&amp;sid=88C4677D16ECF2106C71DA95C7")</f>
        <v>https://app.crepc.sk/?fn=detailBiblioForm&amp;sid=88C4677D16ECF2106C71DA95C7</v>
      </c>
    </row>
    <row r="7468" spans="3:5" ht="45" x14ac:dyDescent="0.25">
      <c r="C7468" s="15">
        <v>69343</v>
      </c>
      <c r="D7468" s="4" t="s">
        <v>7472</v>
      </c>
      <c r="E7468" s="4" t="str">
        <f>HYPERLINK("https://app.crepc.sk/?fn=detailBiblioForm&amp;sid=380BE5F3C338E847136ECDC3")</f>
        <v>https://app.crepc.sk/?fn=detailBiblioForm&amp;sid=380BE5F3C338E847136ECDC3</v>
      </c>
    </row>
    <row r="7469" spans="3:5" ht="60" x14ac:dyDescent="0.25">
      <c r="C7469" s="15">
        <v>434453</v>
      </c>
      <c r="D7469" s="4" t="s">
        <v>7473</v>
      </c>
      <c r="E7469" s="4" t="str">
        <f>HYPERLINK("https://app.crepc.sk/?fn=detailBiblioForm&amp;sid=F0BEE93CA1F04CFF77F94245EB")</f>
        <v>https://app.crepc.sk/?fn=detailBiblioForm&amp;sid=F0BEE93CA1F04CFF77F94245EB</v>
      </c>
    </row>
    <row r="7470" spans="3:5" ht="45" x14ac:dyDescent="0.25">
      <c r="C7470" s="15">
        <v>419541</v>
      </c>
      <c r="D7470" s="4" t="s">
        <v>7474</v>
      </c>
      <c r="E7470" s="4" t="str">
        <f>HYPERLINK("https://app.crepc.sk/?fn=detailBiblioForm&amp;sid=147DE4E58F33913E2982DCEAD2")</f>
        <v>https://app.crepc.sk/?fn=detailBiblioForm&amp;sid=147DE4E58F33913E2982DCEAD2</v>
      </c>
    </row>
    <row r="7471" spans="3:5" ht="45" x14ac:dyDescent="0.25">
      <c r="C7471" s="15">
        <v>51270</v>
      </c>
      <c r="D7471" s="4" t="s">
        <v>7475</v>
      </c>
      <c r="E7471" s="4" t="str">
        <f>HYPERLINK("https://app.crepc.sk/?fn=detailBiblioForm&amp;sid=AB90D1484F35CB78679503B3")</f>
        <v>https://app.crepc.sk/?fn=detailBiblioForm&amp;sid=AB90D1484F35CB78679503B3</v>
      </c>
    </row>
    <row r="7472" spans="3:5" ht="45" x14ac:dyDescent="0.25">
      <c r="C7472" s="15">
        <v>440348</v>
      </c>
      <c r="D7472" s="4" t="s">
        <v>7476</v>
      </c>
      <c r="E7472" s="4" t="str">
        <f>HYPERLINK("https://app.crepc.sk/?fn=detailBiblioForm&amp;sid=AC303CDBB1BEAE3ACB65A7321B")</f>
        <v>https://app.crepc.sk/?fn=detailBiblioForm&amp;sid=AC303CDBB1BEAE3ACB65A7321B</v>
      </c>
    </row>
    <row r="7473" spans="3:5" ht="45" x14ac:dyDescent="0.25">
      <c r="C7473" s="15">
        <v>100833</v>
      </c>
      <c r="D7473" s="4" t="s">
        <v>7477</v>
      </c>
      <c r="E7473" s="4" t="str">
        <f>HYPERLINK("https://app.crepc.sk/?fn=detailBiblioForm&amp;sid=C2DCC5E65C22781D3962D860DE")</f>
        <v>https://app.crepc.sk/?fn=detailBiblioForm&amp;sid=C2DCC5E65C22781D3962D860DE</v>
      </c>
    </row>
    <row r="7474" spans="3:5" ht="45" x14ac:dyDescent="0.25">
      <c r="C7474" s="15">
        <v>223967</v>
      </c>
      <c r="D7474" s="4" t="s">
        <v>7478</v>
      </c>
      <c r="E7474" s="4" t="str">
        <f>HYPERLINK("https://app.crepc.sk/?fn=detailBiblioForm&amp;sid=580091835B90645253832973D0")</f>
        <v>https://app.crepc.sk/?fn=detailBiblioForm&amp;sid=580091835B90645253832973D0</v>
      </c>
    </row>
    <row r="7475" spans="3:5" ht="45" x14ac:dyDescent="0.25">
      <c r="C7475" s="15">
        <v>101815</v>
      </c>
      <c r="D7475" s="4" t="s">
        <v>7479</v>
      </c>
      <c r="E7475" s="4" t="str">
        <f>HYPERLINK("https://app.crepc.sk/?fn=detailBiblioForm&amp;sid=572922C9A04F2A6820A3D0AD4C")</f>
        <v>https://app.crepc.sk/?fn=detailBiblioForm&amp;sid=572922C9A04F2A6820A3D0AD4C</v>
      </c>
    </row>
    <row r="7476" spans="3:5" ht="45" x14ac:dyDescent="0.25">
      <c r="C7476" s="15">
        <v>135710</v>
      </c>
      <c r="D7476" s="4" t="s">
        <v>7480</v>
      </c>
      <c r="E7476" s="4" t="str">
        <f>HYPERLINK("https://app.crepc.sk/?fn=detailBiblioForm&amp;sid=D526CB574B7F6ABB32569B57E6")</f>
        <v>https://app.crepc.sk/?fn=detailBiblioForm&amp;sid=D526CB574B7F6ABB32569B57E6</v>
      </c>
    </row>
    <row r="7477" spans="3:5" ht="45" x14ac:dyDescent="0.25">
      <c r="C7477" s="15">
        <v>440079</v>
      </c>
      <c r="D7477" s="4" t="s">
        <v>7481</v>
      </c>
      <c r="E7477" s="4" t="str">
        <f>HYPERLINK("https://app.crepc.sk/?fn=detailBiblioForm&amp;sid=1F7F22C428EA4866BCF5BC7D5E")</f>
        <v>https://app.crepc.sk/?fn=detailBiblioForm&amp;sid=1F7F22C428EA4866BCF5BC7D5E</v>
      </c>
    </row>
    <row r="7478" spans="3:5" ht="45" x14ac:dyDescent="0.25">
      <c r="C7478" s="15">
        <v>316625</v>
      </c>
      <c r="D7478" s="4" t="s">
        <v>7482</v>
      </c>
      <c r="E7478" s="4" t="str">
        <f>HYPERLINK("https://app.crepc.sk/?fn=detailBiblioForm&amp;sid=D102289ED89A4A14A819573231")</f>
        <v>https://app.crepc.sk/?fn=detailBiblioForm&amp;sid=D102289ED89A4A14A819573231</v>
      </c>
    </row>
    <row r="7479" spans="3:5" ht="45" x14ac:dyDescent="0.25">
      <c r="C7479" s="15">
        <v>310774</v>
      </c>
      <c r="D7479" s="4" t="s">
        <v>7483</v>
      </c>
      <c r="E7479" s="4" t="str">
        <f>HYPERLINK("https://app.crepc.sk/?fn=detailBiblioForm&amp;sid=BA568C50EF7A76E2D4F014E589")</f>
        <v>https://app.crepc.sk/?fn=detailBiblioForm&amp;sid=BA568C50EF7A76E2D4F014E589</v>
      </c>
    </row>
    <row r="7480" spans="3:5" ht="120" x14ac:dyDescent="0.25">
      <c r="C7480" s="15">
        <v>96496</v>
      </c>
      <c r="D7480" s="4" t="s">
        <v>7484</v>
      </c>
      <c r="E7480" s="4" t="str">
        <f>HYPERLINK("https://app.crepc.sk/?fn=detailBiblioForm&amp;sid=71C5AB3F9B5D4C376F12B4E7")</f>
        <v>https://app.crepc.sk/?fn=detailBiblioForm&amp;sid=71C5AB3F9B5D4C376F12B4E7</v>
      </c>
    </row>
    <row r="7481" spans="3:5" ht="150" x14ac:dyDescent="0.25">
      <c r="C7481" s="15">
        <v>237184</v>
      </c>
      <c r="D7481" s="4" t="s">
        <v>7485</v>
      </c>
      <c r="E7481" s="4" t="str">
        <f>HYPERLINK("https://app.crepc.sk/?fn=detailBiblioForm&amp;sid=6F97A29B01FDE04BA2CCBB5493")</f>
        <v>https://app.crepc.sk/?fn=detailBiblioForm&amp;sid=6F97A29B01FDE04BA2CCBB5493</v>
      </c>
    </row>
    <row r="7482" spans="3:5" ht="165" x14ac:dyDescent="0.25">
      <c r="C7482" s="15">
        <v>457971</v>
      </c>
      <c r="D7482" s="4" t="s">
        <v>7486</v>
      </c>
      <c r="E7482" s="4" t="str">
        <f>HYPERLINK("https://app.crepc.sk/?fn=detailBiblioForm&amp;sid=49DF912496E3F1EA3898A24E6B")</f>
        <v>https://app.crepc.sk/?fn=detailBiblioForm&amp;sid=49DF912496E3F1EA3898A24E6B</v>
      </c>
    </row>
    <row r="7483" spans="3:5" ht="120" x14ac:dyDescent="0.25">
      <c r="C7483" s="15">
        <v>237412</v>
      </c>
      <c r="D7483" s="4" t="s">
        <v>7487</v>
      </c>
      <c r="E7483" s="4" t="str">
        <f>HYPERLINK("https://app.crepc.sk/?fn=detailBiblioForm&amp;sid=611C792FA0C4EFEE3802B406F9")</f>
        <v>https://app.crepc.sk/?fn=detailBiblioForm&amp;sid=611C792FA0C4EFEE3802B406F9</v>
      </c>
    </row>
    <row r="7484" spans="3:5" ht="150" x14ac:dyDescent="0.25">
      <c r="C7484" s="15">
        <v>457684</v>
      </c>
      <c r="D7484" s="4" t="s">
        <v>7488</v>
      </c>
      <c r="E7484" s="4" t="str">
        <f>HYPERLINK("https://app.crepc.sk/?fn=detailBiblioForm&amp;sid=E988956DCF5BB2E00025C7336A")</f>
        <v>https://app.crepc.sk/?fn=detailBiblioForm&amp;sid=E988956DCF5BB2E00025C7336A</v>
      </c>
    </row>
    <row r="7485" spans="3:5" ht="135" x14ac:dyDescent="0.25">
      <c r="C7485" s="15">
        <v>241296</v>
      </c>
      <c r="D7485" s="4" t="s">
        <v>7489</v>
      </c>
      <c r="E7485" s="4" t="str">
        <f>HYPERLINK("https://app.crepc.sk/?fn=detailBiblioForm&amp;sid=219D60F26EF95CE101522B998E")</f>
        <v>https://app.crepc.sk/?fn=detailBiblioForm&amp;sid=219D60F26EF95CE101522B998E</v>
      </c>
    </row>
    <row r="7486" spans="3:5" ht="120" x14ac:dyDescent="0.25">
      <c r="C7486" s="15">
        <v>241327</v>
      </c>
      <c r="D7486" s="4" t="s">
        <v>7490</v>
      </c>
      <c r="E7486" s="4" t="str">
        <f>HYPERLINK("https://app.crepc.sk/?fn=detailBiblioForm&amp;sid=1F5434E3A3E42C7B851E3B66E7")</f>
        <v>https://app.crepc.sk/?fn=detailBiblioForm&amp;sid=1F5434E3A3E42C7B851E3B66E7</v>
      </c>
    </row>
    <row r="7487" spans="3:5" ht="105" x14ac:dyDescent="0.25">
      <c r="C7487" s="15">
        <v>224980</v>
      </c>
      <c r="D7487" s="4" t="s">
        <v>7491</v>
      </c>
      <c r="E7487" s="4" t="str">
        <f>HYPERLINK("https://app.crepc.sk/?fn=detailBiblioForm&amp;sid=A17FDCE096B34C51675A5AEA85")</f>
        <v>https://app.crepc.sk/?fn=detailBiblioForm&amp;sid=A17FDCE096B34C51675A5AEA85</v>
      </c>
    </row>
    <row r="7488" spans="3:5" ht="105" x14ac:dyDescent="0.25">
      <c r="C7488" s="15">
        <v>224993</v>
      </c>
      <c r="D7488" s="4" t="s">
        <v>7492</v>
      </c>
      <c r="E7488" s="4" t="str">
        <f>HYPERLINK("https://app.crepc.sk/?fn=detailBiblioForm&amp;sid=A17FDCE096B34C5166595AEA85")</f>
        <v>https://app.crepc.sk/?fn=detailBiblioForm&amp;sid=A17FDCE096B34C5166595AEA85</v>
      </c>
    </row>
    <row r="7489" spans="1:5" ht="105" x14ac:dyDescent="0.25">
      <c r="C7489" s="15">
        <v>237088</v>
      </c>
      <c r="D7489" s="4" t="s">
        <v>7493</v>
      </c>
      <c r="E7489" s="4" t="str">
        <f>HYPERLINK("https://app.crepc.sk/?fn=detailBiblioForm&amp;sid=2A69FAA3E648C335657A7C6B64")</f>
        <v>https://app.crepc.sk/?fn=detailBiblioForm&amp;sid=2A69FAA3E648C335657A7C6B64</v>
      </c>
    </row>
    <row r="7490" spans="1:5" ht="105" x14ac:dyDescent="0.25">
      <c r="C7490" s="15">
        <v>237087</v>
      </c>
      <c r="D7490" s="4" t="s">
        <v>7494</v>
      </c>
      <c r="E7490" s="4" t="str">
        <f>HYPERLINK("https://app.crepc.sk/?fn=detailBiblioForm&amp;sid=2A69FAA3E648C33565757C6B64")</f>
        <v>https://app.crepc.sk/?fn=detailBiblioForm&amp;sid=2A69FAA3E648C33565757C6B64</v>
      </c>
    </row>
    <row r="7491" spans="1:5" ht="105" x14ac:dyDescent="0.25">
      <c r="C7491" s="15">
        <v>238159</v>
      </c>
      <c r="D7491" s="4" t="s">
        <v>7495</v>
      </c>
      <c r="E7491" s="4" t="str">
        <f>HYPERLINK("https://app.crepc.sk/?fn=detailBiblioForm&amp;sid=31DDB10072A0539E778BE783C0")</f>
        <v>https://app.crepc.sk/?fn=detailBiblioForm&amp;sid=31DDB10072A0539E778BE783C0</v>
      </c>
    </row>
    <row r="7492" spans="1:5" ht="135" x14ac:dyDescent="0.25">
      <c r="C7492" s="15">
        <v>238498</v>
      </c>
      <c r="D7492" s="4" t="s">
        <v>7496</v>
      </c>
      <c r="E7492" s="4" t="str">
        <f>HYPERLINK("https://app.crepc.sk/?fn=detailBiblioForm&amp;sid=88A99E11F9D2509A7C431FBB5D")</f>
        <v>https://app.crepc.sk/?fn=detailBiblioForm&amp;sid=88A99E11F9D2509A7C431FBB5D</v>
      </c>
    </row>
    <row r="7493" spans="1:5" ht="165" x14ac:dyDescent="0.25">
      <c r="C7493" s="15">
        <v>442224</v>
      </c>
      <c r="D7493" s="4" t="s">
        <v>7497</v>
      </c>
      <c r="E7493" s="4" t="str">
        <f>HYPERLINK("https://app.crepc.sk/?fn=detailBiblioForm&amp;sid=449A78BFE483A8EAFFF349C553")</f>
        <v>https://app.crepc.sk/?fn=detailBiblioForm&amp;sid=449A78BFE483A8EAFFF349C553</v>
      </c>
    </row>
    <row r="7494" spans="1:5" ht="120" x14ac:dyDescent="0.25">
      <c r="C7494" s="15">
        <v>457963</v>
      </c>
      <c r="D7494" s="4" t="s">
        <v>7498</v>
      </c>
      <c r="E7494" s="4" t="str">
        <f>HYPERLINK("https://app.crepc.sk/?fn=detailBiblioForm&amp;sid=49DF912496E3F1EA399AA24E6B")</f>
        <v>https://app.crepc.sk/?fn=detailBiblioForm&amp;sid=49DF912496E3F1EA399AA24E6B</v>
      </c>
    </row>
    <row r="7495" spans="1:5" x14ac:dyDescent="0.25">
      <c r="A7495" s="4" t="s">
        <v>7499</v>
      </c>
      <c r="B7495" s="15">
        <v>2</v>
      </c>
    </row>
    <row r="7496" spans="1:5" ht="90" x14ac:dyDescent="0.25">
      <c r="C7496" s="15">
        <v>105221</v>
      </c>
      <c r="D7496" s="4" t="s">
        <v>7500</v>
      </c>
      <c r="E7496" s="4" t="str">
        <f>HYPERLINK("https://app.crepc.sk/?fn=detailBiblioForm&amp;sid=4156E77560192824B6617680CC")</f>
        <v>https://app.crepc.sk/?fn=detailBiblioForm&amp;sid=4156E77560192824B6617680CC</v>
      </c>
    </row>
    <row r="7497" spans="1:5" ht="45" x14ac:dyDescent="0.25">
      <c r="C7497" s="15">
        <v>75938</v>
      </c>
      <c r="D7497" s="4" t="s">
        <v>7501</v>
      </c>
      <c r="E7497" s="4" t="str">
        <f>HYPERLINK("https://app.crepc.sk/?fn=detailBiblioForm&amp;sid=B0894828ACBFA51144781738")</f>
        <v>https://app.crepc.sk/?fn=detailBiblioForm&amp;sid=B0894828ACBFA51144781738</v>
      </c>
    </row>
    <row r="7498" spans="1:5" ht="30" x14ac:dyDescent="0.25">
      <c r="A7498" s="4" t="s">
        <v>7502</v>
      </c>
      <c r="B7498" s="15">
        <v>4</v>
      </c>
    </row>
    <row r="7499" spans="1:5" ht="75" x14ac:dyDescent="0.25">
      <c r="C7499" s="15">
        <v>75489</v>
      </c>
      <c r="D7499" s="4" t="s">
        <v>7503</v>
      </c>
      <c r="E7499" s="4" t="str">
        <f>HYPERLINK("https://app.crepc.sk/?fn=detailBiblioForm&amp;sid=F56986F536C28F80EECE75CE")</f>
        <v>https://app.crepc.sk/?fn=detailBiblioForm&amp;sid=F56986F536C28F80EECE75CE</v>
      </c>
    </row>
    <row r="7500" spans="1:5" ht="45" x14ac:dyDescent="0.25">
      <c r="C7500" s="15">
        <v>74130</v>
      </c>
      <c r="D7500" s="4" t="s">
        <v>7504</v>
      </c>
      <c r="E7500" s="4" t="str">
        <f>HYPERLINK("https://app.crepc.sk/?fn=detailBiblioForm&amp;sid=456E4CDEDD984D791BF45357")</f>
        <v>https://app.crepc.sk/?fn=detailBiblioForm&amp;sid=456E4CDEDD984D791BF45357</v>
      </c>
    </row>
    <row r="7501" spans="1:5" ht="45" x14ac:dyDescent="0.25">
      <c r="C7501" s="15">
        <v>137758</v>
      </c>
      <c r="D7501" s="4" t="s">
        <v>7505</v>
      </c>
      <c r="E7501" s="4" t="str">
        <f>HYPERLINK("https://app.crepc.sk/?fn=detailBiblioForm&amp;sid=652C531D78969B52955F80470C")</f>
        <v>https://app.crepc.sk/?fn=detailBiblioForm&amp;sid=652C531D78969B52955F80470C</v>
      </c>
    </row>
    <row r="7502" spans="1:5" ht="60" x14ac:dyDescent="0.25">
      <c r="C7502" s="15">
        <v>245329</v>
      </c>
      <c r="D7502" s="4" t="s">
        <v>7506</v>
      </c>
      <c r="E7502" s="4" t="str">
        <f>HYPERLINK("https://app.crepc.sk/?fn=detailBiblioForm&amp;sid=9DE3930058222689B4A82F2705")</f>
        <v>https://app.crepc.sk/?fn=detailBiblioForm&amp;sid=9DE3930058222689B4A82F2705</v>
      </c>
    </row>
    <row r="7503" spans="1:5" ht="30" x14ac:dyDescent="0.25">
      <c r="A7503" s="4" t="s">
        <v>7507</v>
      </c>
      <c r="B7503" s="15">
        <v>2</v>
      </c>
    </row>
    <row r="7504" spans="1:5" ht="45" x14ac:dyDescent="0.25">
      <c r="C7504" s="15">
        <v>139465</v>
      </c>
      <c r="D7504" s="4" t="s">
        <v>7508</v>
      </c>
      <c r="E7504" s="4" t="str">
        <f>HYPERLINK("https://app.crepc.sk/?fn=detailBiblioForm&amp;sid=A3F3DC538E4836F27993BE03C8")</f>
        <v>https://app.crepc.sk/?fn=detailBiblioForm&amp;sid=A3F3DC538E4836F27993BE03C8</v>
      </c>
    </row>
    <row r="7505" spans="1:5" ht="45" x14ac:dyDescent="0.25">
      <c r="C7505" s="15">
        <v>139477</v>
      </c>
      <c r="D7505" s="4" t="s">
        <v>7509</v>
      </c>
      <c r="E7505" s="4" t="str">
        <f>HYPERLINK("https://app.crepc.sk/?fn=detailBiblioForm&amp;sid=A3F3DC538E4836F27891BE03C8")</f>
        <v>https://app.crepc.sk/?fn=detailBiblioForm&amp;sid=A3F3DC538E4836F27891BE03C8</v>
      </c>
    </row>
    <row r="7506" spans="1:5" x14ac:dyDescent="0.25">
      <c r="A7506" s="4" t="s">
        <v>7510</v>
      </c>
      <c r="B7506" s="15">
        <v>1</v>
      </c>
    </row>
    <row r="7507" spans="1:5" ht="90" x14ac:dyDescent="0.25">
      <c r="C7507" s="15">
        <v>210758</v>
      </c>
      <c r="D7507" s="4" t="s">
        <v>7511</v>
      </c>
      <c r="E7507" s="4" t="str">
        <f>HYPERLINK("https://app.crepc.sk/?fn=detailBiblioForm&amp;sid=36B56AEA95B56E9F6FEB6E5F31")</f>
        <v>https://app.crepc.sk/?fn=detailBiblioForm&amp;sid=36B56AEA95B56E9F6FEB6E5F31</v>
      </c>
    </row>
    <row r="7508" spans="1:5" x14ac:dyDescent="0.25">
      <c r="A7508" s="4" t="s">
        <v>7512</v>
      </c>
      <c r="B7508" s="15">
        <v>36</v>
      </c>
    </row>
    <row r="7509" spans="1:5" ht="30" x14ac:dyDescent="0.25">
      <c r="C7509" s="15">
        <v>62253</v>
      </c>
      <c r="D7509" s="4" t="s">
        <v>7513</v>
      </c>
      <c r="E7509" s="4" t="str">
        <f>HYPERLINK("https://app.crepc.sk/?fn=detailBiblioForm&amp;sid=F04A42872EE3EF6B29A06055")</f>
        <v>https://app.crepc.sk/?fn=detailBiblioForm&amp;sid=F04A42872EE3EF6B29A06055</v>
      </c>
    </row>
    <row r="7510" spans="1:5" ht="45" x14ac:dyDescent="0.25">
      <c r="C7510" s="15">
        <v>194314</v>
      </c>
      <c r="D7510" s="4" t="s">
        <v>7514</v>
      </c>
      <c r="E7510" s="4" t="str">
        <f>HYPERLINK("https://app.crepc.sk/?fn=detailBiblioForm&amp;sid=81992416CA72F8A64FDA843BD5")</f>
        <v>https://app.crepc.sk/?fn=detailBiblioForm&amp;sid=81992416CA72F8A64FDA843BD5</v>
      </c>
    </row>
    <row r="7511" spans="1:5" ht="45" x14ac:dyDescent="0.25">
      <c r="C7511" s="15">
        <v>448096</v>
      </c>
      <c r="D7511" s="4" t="s">
        <v>7515</v>
      </c>
      <c r="E7511" s="4" t="str">
        <f>HYPERLINK("https://app.crepc.sk/?fn=detailBiblioForm&amp;sid=C456FEA07AAA4EFBDDEE4E7345")</f>
        <v>https://app.crepc.sk/?fn=detailBiblioForm&amp;sid=C456FEA07AAA4EFBDDEE4E7345</v>
      </c>
    </row>
    <row r="7512" spans="1:5" ht="45" x14ac:dyDescent="0.25">
      <c r="C7512" s="15">
        <v>207483</v>
      </c>
      <c r="D7512" s="4" t="s">
        <v>7516</v>
      </c>
      <c r="E7512" s="4" t="str">
        <f>HYPERLINK("https://app.crepc.sk/?fn=detailBiblioForm&amp;sid=710E036344B29395B38446F5C5")</f>
        <v>https://app.crepc.sk/?fn=detailBiblioForm&amp;sid=710E036344B29395B38446F5C5</v>
      </c>
    </row>
    <row r="7513" spans="1:5" ht="45" x14ac:dyDescent="0.25">
      <c r="C7513" s="15">
        <v>184377</v>
      </c>
      <c r="D7513" s="4" t="s">
        <v>7517</v>
      </c>
      <c r="E7513" s="4" t="str">
        <f>HYPERLINK("https://app.crepc.sk/?fn=detailBiblioForm&amp;sid=F29B441F8EC4F8FBF231DE11B3")</f>
        <v>https://app.crepc.sk/?fn=detailBiblioForm&amp;sid=F29B441F8EC4F8FBF231DE11B3</v>
      </c>
    </row>
    <row r="7514" spans="1:5" ht="45" x14ac:dyDescent="0.25">
      <c r="C7514" s="15">
        <v>194317</v>
      </c>
      <c r="D7514" s="4" t="s">
        <v>7518</v>
      </c>
      <c r="E7514" s="4" t="str">
        <f>HYPERLINK("https://app.crepc.sk/?fn=detailBiblioForm&amp;sid=81992416CA72F8A64FD9843BD5")</f>
        <v>https://app.crepc.sk/?fn=detailBiblioForm&amp;sid=81992416CA72F8A64FD9843BD5</v>
      </c>
    </row>
    <row r="7515" spans="1:5" ht="60" x14ac:dyDescent="0.25">
      <c r="C7515" s="15">
        <v>442479</v>
      </c>
      <c r="D7515" s="4" t="s">
        <v>7519</v>
      </c>
      <c r="E7515" s="4" t="str">
        <f>HYPERLINK("https://app.crepc.sk/?fn=detailBiblioForm&amp;sid=71E4C87088576A56E726049C2E")</f>
        <v>https://app.crepc.sk/?fn=detailBiblioForm&amp;sid=71E4C87088576A56E726049C2E</v>
      </c>
    </row>
    <row r="7516" spans="1:5" ht="60" x14ac:dyDescent="0.25">
      <c r="C7516" s="15">
        <v>187979</v>
      </c>
      <c r="D7516" s="4" t="s">
        <v>7520</v>
      </c>
      <c r="E7516" s="4" t="str">
        <f>HYPERLINK("https://app.crepc.sk/?fn=detailBiblioForm&amp;sid=29837531D12ABA4A49ACD7A980")</f>
        <v>https://app.crepc.sk/?fn=detailBiblioForm&amp;sid=29837531D12ABA4A49ACD7A980</v>
      </c>
    </row>
    <row r="7517" spans="1:5" ht="45" x14ac:dyDescent="0.25">
      <c r="C7517" s="15">
        <v>251505</v>
      </c>
      <c r="D7517" s="4" t="s">
        <v>7521</v>
      </c>
      <c r="E7517" s="4" t="str">
        <f>HYPERLINK("https://app.crepc.sk/?fn=detailBiblioForm&amp;sid=9C6AE13B16FB2FC9A0A52CA335")</f>
        <v>https://app.crepc.sk/?fn=detailBiblioForm&amp;sid=9C6AE13B16FB2FC9A0A52CA335</v>
      </c>
    </row>
    <row r="7518" spans="1:5" ht="45" x14ac:dyDescent="0.25">
      <c r="C7518" s="15">
        <v>162383</v>
      </c>
      <c r="D7518" s="4" t="s">
        <v>7522</v>
      </c>
      <c r="E7518" s="4" t="str">
        <f>HYPERLINK("https://app.crepc.sk/?fn=detailBiblioForm&amp;sid=5379D0B7E3C25FE39C32D05CA5")</f>
        <v>https://app.crepc.sk/?fn=detailBiblioForm&amp;sid=5379D0B7E3C25FE39C32D05CA5</v>
      </c>
    </row>
    <row r="7519" spans="1:5" ht="60" x14ac:dyDescent="0.25">
      <c r="C7519" s="15">
        <v>425620</v>
      </c>
      <c r="D7519" s="4" t="s">
        <v>7523</v>
      </c>
      <c r="E7519" s="4" t="str">
        <f>HYPERLINK("https://app.crepc.sk/?fn=detailBiblioForm&amp;sid=DCD87B093B43B4A7BE09497B10")</f>
        <v>https://app.crepc.sk/?fn=detailBiblioForm&amp;sid=DCD87B093B43B4A7BE09497B10</v>
      </c>
    </row>
    <row r="7520" spans="1:5" ht="45" x14ac:dyDescent="0.25">
      <c r="C7520" s="15">
        <v>251494</v>
      </c>
      <c r="D7520" s="4" t="s">
        <v>7524</v>
      </c>
      <c r="E7520" s="4" t="str">
        <f>HYPERLINK("https://app.crepc.sk/?fn=detailBiblioForm&amp;sid=59CB35E416CE960C5619AB811A")</f>
        <v>https://app.crepc.sk/?fn=detailBiblioForm&amp;sid=59CB35E416CE960C5619AB811A</v>
      </c>
    </row>
    <row r="7521" spans="3:5" ht="45" x14ac:dyDescent="0.25">
      <c r="C7521" s="15">
        <v>218278</v>
      </c>
      <c r="D7521" s="4" t="s">
        <v>7525</v>
      </c>
      <c r="E7521" s="4" t="str">
        <f>HYPERLINK("https://app.crepc.sk/?fn=detailBiblioForm&amp;sid=2506B099E56293C87F418BEA9E")</f>
        <v>https://app.crepc.sk/?fn=detailBiblioForm&amp;sid=2506B099E56293C87F418BEA9E</v>
      </c>
    </row>
    <row r="7522" spans="3:5" ht="60" x14ac:dyDescent="0.25">
      <c r="C7522" s="15">
        <v>242820</v>
      </c>
      <c r="D7522" s="4" t="s">
        <v>7526</v>
      </c>
      <c r="E7522" s="4" t="str">
        <f>HYPERLINK("https://app.crepc.sk/?fn=detailBiblioForm&amp;sid=11BB39C9E8B430AEC6FDE2A5C9")</f>
        <v>https://app.crepc.sk/?fn=detailBiblioForm&amp;sid=11BB39C9E8B430AEC6FDE2A5C9</v>
      </c>
    </row>
    <row r="7523" spans="3:5" ht="60" x14ac:dyDescent="0.25">
      <c r="C7523" s="15">
        <v>175017</v>
      </c>
      <c r="D7523" s="4" t="s">
        <v>7527</v>
      </c>
      <c r="E7523" s="4" t="str">
        <f>HYPERLINK("https://app.crepc.sk/?fn=detailBiblioForm&amp;sid=378281AEB05FBF717033A4B0F1")</f>
        <v>https://app.crepc.sk/?fn=detailBiblioForm&amp;sid=378281AEB05FBF717033A4B0F1</v>
      </c>
    </row>
    <row r="7524" spans="3:5" ht="45" x14ac:dyDescent="0.25">
      <c r="C7524" s="15">
        <v>219569</v>
      </c>
      <c r="D7524" s="4" t="s">
        <v>7528</v>
      </c>
      <c r="E7524" s="4" t="str">
        <f>HYPERLINK("https://app.crepc.sk/?fn=detailBiblioForm&amp;sid=82B1BA4FFFB57B2C9AD0468A88")</f>
        <v>https://app.crepc.sk/?fn=detailBiblioForm&amp;sid=82B1BA4FFFB57B2C9AD0468A88</v>
      </c>
    </row>
    <row r="7525" spans="3:5" ht="45" x14ac:dyDescent="0.25">
      <c r="C7525" s="15">
        <v>178321</v>
      </c>
      <c r="D7525" s="4" t="s">
        <v>7529</v>
      </c>
      <c r="E7525" s="4" t="str">
        <f>HYPERLINK("https://app.crepc.sk/?fn=detailBiblioForm&amp;sid=A5BC586C45F519526AE545B98C")</f>
        <v>https://app.crepc.sk/?fn=detailBiblioForm&amp;sid=A5BC586C45F519526AE545B98C</v>
      </c>
    </row>
    <row r="7526" spans="3:5" ht="60" x14ac:dyDescent="0.25">
      <c r="C7526" s="15">
        <v>197219</v>
      </c>
      <c r="D7526" s="4" t="s">
        <v>7530</v>
      </c>
      <c r="E7526" s="4" t="str">
        <f>HYPERLINK("https://app.crepc.sk/?fn=detailBiblioForm&amp;sid=DD548C8F9E86EAB0840EBC14DD")</f>
        <v>https://app.crepc.sk/?fn=detailBiblioForm&amp;sid=DD548C8F9E86EAB0840EBC14DD</v>
      </c>
    </row>
    <row r="7527" spans="3:5" ht="60" x14ac:dyDescent="0.25">
      <c r="C7527" s="15">
        <v>425623</v>
      </c>
      <c r="D7527" s="4" t="s">
        <v>7531</v>
      </c>
      <c r="E7527" s="4" t="str">
        <f>HYPERLINK("https://app.crepc.sk/?fn=detailBiblioForm&amp;sid=DCD87B093B43B4A7BE0A497B10")</f>
        <v>https://app.crepc.sk/?fn=detailBiblioForm&amp;sid=DCD87B093B43B4A7BE0A497B10</v>
      </c>
    </row>
    <row r="7528" spans="3:5" ht="60" x14ac:dyDescent="0.25">
      <c r="C7528" s="15">
        <v>429189</v>
      </c>
      <c r="D7528" s="4" t="s">
        <v>7532</v>
      </c>
      <c r="E7528" s="4" t="str">
        <f>HYPERLINK("https://app.crepc.sk/?fn=detailBiblioForm&amp;sid=1F960971EB794925EAFB3E5078")</f>
        <v>https://app.crepc.sk/?fn=detailBiblioForm&amp;sid=1F960971EB794925EAFB3E5078</v>
      </c>
    </row>
    <row r="7529" spans="3:5" ht="60" x14ac:dyDescent="0.25">
      <c r="C7529" s="15">
        <v>215712</v>
      </c>
      <c r="D7529" s="4" t="s">
        <v>7533</v>
      </c>
      <c r="E7529" s="4" t="str">
        <f>HYPERLINK("https://app.crepc.sk/?fn=detailBiblioForm&amp;sid=8D210FFAAFF670BF496474A2B3")</f>
        <v>https://app.crepc.sk/?fn=detailBiblioForm&amp;sid=8D210FFAAFF670BF496474A2B3</v>
      </c>
    </row>
    <row r="7530" spans="3:5" ht="45" x14ac:dyDescent="0.25">
      <c r="C7530" s="15">
        <v>194318</v>
      </c>
      <c r="D7530" s="4" t="s">
        <v>7534</v>
      </c>
      <c r="E7530" s="4" t="str">
        <f>HYPERLINK("https://app.crepc.sk/?fn=detailBiblioForm&amp;sid=81992416CA72F8A64FD6843BD5")</f>
        <v>https://app.crepc.sk/?fn=detailBiblioForm&amp;sid=81992416CA72F8A64FD6843BD5</v>
      </c>
    </row>
    <row r="7531" spans="3:5" ht="30" x14ac:dyDescent="0.25">
      <c r="C7531" s="15">
        <v>68285</v>
      </c>
      <c r="D7531" s="4" t="s">
        <v>7535</v>
      </c>
      <c r="E7531" s="4" t="str">
        <f>HYPERLINK("https://app.crepc.sk/?fn=detailBiblioForm&amp;sid=1B01407DBBECC46F000F2846")</f>
        <v>https://app.crepc.sk/?fn=detailBiblioForm&amp;sid=1B01407DBBECC46F000F2846</v>
      </c>
    </row>
    <row r="7532" spans="3:5" ht="45" x14ac:dyDescent="0.25">
      <c r="C7532" s="15">
        <v>195996</v>
      </c>
      <c r="D7532" s="4" t="s">
        <v>7536</v>
      </c>
      <c r="E7532" s="4" t="str">
        <f>HYPERLINK("https://app.crepc.sk/?fn=detailBiblioForm&amp;sid=D0FFB1787B7ACE98B656689ACF")</f>
        <v>https://app.crepc.sk/?fn=detailBiblioForm&amp;sid=D0FFB1787B7ACE98B656689ACF</v>
      </c>
    </row>
    <row r="7533" spans="3:5" ht="45" x14ac:dyDescent="0.25">
      <c r="C7533" s="15">
        <v>117375</v>
      </c>
      <c r="D7533" s="4" t="s">
        <v>7537</v>
      </c>
      <c r="E7533" s="4" t="str">
        <f>HYPERLINK("https://app.crepc.sk/?fn=detailBiblioForm&amp;sid=CCDF67E7FC0AADE0B8BE9FDF23")</f>
        <v>https://app.crepc.sk/?fn=detailBiblioForm&amp;sid=CCDF67E7FC0AADE0B8BE9FDF23</v>
      </c>
    </row>
    <row r="7534" spans="3:5" ht="45" x14ac:dyDescent="0.25">
      <c r="C7534" s="15">
        <v>167197</v>
      </c>
      <c r="D7534" s="4" t="s">
        <v>7538</v>
      </c>
      <c r="E7534" s="4" t="str">
        <f>HYPERLINK("https://app.crepc.sk/?fn=detailBiblioForm&amp;sid=780C5DA7522A72A295F79DC9C0")</f>
        <v>https://app.crepc.sk/?fn=detailBiblioForm&amp;sid=780C5DA7522A72A295F79DC9C0</v>
      </c>
    </row>
    <row r="7535" spans="3:5" ht="45" x14ac:dyDescent="0.25">
      <c r="C7535" s="15">
        <v>194320</v>
      </c>
      <c r="D7535" s="4" t="s">
        <v>7539</v>
      </c>
      <c r="E7535" s="4" t="str">
        <f>HYPERLINK("https://app.crepc.sk/?fn=detailBiblioForm&amp;sid=81992416CA72F8A64CDE843BD5")</f>
        <v>https://app.crepc.sk/?fn=detailBiblioForm&amp;sid=81992416CA72F8A64CDE843BD5</v>
      </c>
    </row>
    <row r="7536" spans="3:5" ht="45" x14ac:dyDescent="0.25">
      <c r="C7536" s="15">
        <v>207637</v>
      </c>
      <c r="D7536" s="4" t="s">
        <v>7540</v>
      </c>
      <c r="E7536" s="4" t="str">
        <f>HYPERLINK("https://app.crepc.sk/?fn=detailBiblioForm&amp;sid=97A7899C8E82B016AE6C429508")</f>
        <v>https://app.crepc.sk/?fn=detailBiblioForm&amp;sid=97A7899C8E82B016AE6C429508</v>
      </c>
    </row>
    <row r="7537" spans="1:5" ht="45" x14ac:dyDescent="0.25">
      <c r="C7537" s="15">
        <v>437356</v>
      </c>
      <c r="D7537" s="4" t="s">
        <v>7541</v>
      </c>
      <c r="E7537" s="4" t="str">
        <f>HYPERLINK("https://app.crepc.sk/?fn=detailBiblioForm&amp;sid=8BC9DDCFB45BB4090060A2C05A")</f>
        <v>https://app.crepc.sk/?fn=detailBiblioForm&amp;sid=8BC9DDCFB45BB4090060A2C05A</v>
      </c>
    </row>
    <row r="7538" spans="1:5" ht="60" x14ac:dyDescent="0.25">
      <c r="C7538" s="15">
        <v>237864</v>
      </c>
      <c r="D7538" s="4" t="s">
        <v>7542</v>
      </c>
      <c r="E7538" s="4" t="str">
        <f>HYPERLINK("https://app.crepc.sk/?fn=detailBiblioForm&amp;sid=2CB3483D53C790CF131557E3CA")</f>
        <v>https://app.crepc.sk/?fn=detailBiblioForm&amp;sid=2CB3483D53C790CF131557E3CA</v>
      </c>
    </row>
    <row r="7539" spans="1:5" ht="45" x14ac:dyDescent="0.25">
      <c r="C7539" s="15">
        <v>56789</v>
      </c>
      <c r="D7539" s="4" t="s">
        <v>7543</v>
      </c>
      <c r="E7539" s="4" t="str">
        <f>HYPERLINK("https://app.crepc.sk/?fn=detailBiblioForm&amp;sid=59704D7C1C81D77196783FA0")</f>
        <v>https://app.crepc.sk/?fn=detailBiblioForm&amp;sid=59704D7C1C81D77196783FA0</v>
      </c>
    </row>
    <row r="7540" spans="1:5" ht="45" x14ac:dyDescent="0.25">
      <c r="C7540" s="15">
        <v>95281</v>
      </c>
      <c r="D7540" s="4" t="s">
        <v>7544</v>
      </c>
      <c r="E7540" s="4" t="str">
        <f>HYPERLINK("https://app.crepc.sk/?fn=detailBiblioForm&amp;sid=C1C0B16C23632D8C36E8E954")</f>
        <v>https://app.crepc.sk/?fn=detailBiblioForm&amp;sid=C1C0B16C23632D8C36E8E954</v>
      </c>
    </row>
    <row r="7541" spans="1:5" ht="60" x14ac:dyDescent="0.25">
      <c r="C7541" s="15">
        <v>427321</v>
      </c>
      <c r="D7541" s="4" t="s">
        <v>7545</v>
      </c>
      <c r="E7541" s="4" t="str">
        <f>HYPERLINK("https://app.crepc.sk/?fn=detailBiblioForm&amp;sid=906D2E96787915844533D0E9D8")</f>
        <v>https://app.crepc.sk/?fn=detailBiblioForm&amp;sid=906D2E96787915844533D0E9D8</v>
      </c>
    </row>
    <row r="7542" spans="1:5" ht="45" x14ac:dyDescent="0.25">
      <c r="C7542" s="15">
        <v>103126</v>
      </c>
      <c r="D7542" s="4" t="s">
        <v>7546</v>
      </c>
      <c r="E7542" s="4" t="str">
        <f>HYPERLINK("https://app.crepc.sk/?fn=detailBiblioForm&amp;sid=1C4C6AA85D9A3B933597B2703D")</f>
        <v>https://app.crepc.sk/?fn=detailBiblioForm&amp;sid=1C4C6AA85D9A3B933597B2703D</v>
      </c>
    </row>
    <row r="7543" spans="1:5" ht="45" x14ac:dyDescent="0.25">
      <c r="C7543" s="15">
        <v>452323</v>
      </c>
      <c r="D7543" s="4" t="s">
        <v>7547</v>
      </c>
      <c r="E7543" s="4" t="str">
        <f>HYPERLINK("https://app.crepc.sk/?fn=detailBiblioForm&amp;sid=66C74FF48D413BFF49DE3EA132")</f>
        <v>https://app.crepc.sk/?fn=detailBiblioForm&amp;sid=66C74FF48D413BFF49DE3EA132</v>
      </c>
    </row>
    <row r="7544" spans="1:5" ht="45" x14ac:dyDescent="0.25">
      <c r="C7544" s="15">
        <v>194319</v>
      </c>
      <c r="D7544" s="4" t="s">
        <v>7548</v>
      </c>
      <c r="E7544" s="4" t="str">
        <f>HYPERLINK("https://app.crepc.sk/?fn=detailBiblioForm&amp;sid=81992416CA72F8A64FD7843BD5")</f>
        <v>https://app.crepc.sk/?fn=detailBiblioForm&amp;sid=81992416CA72F8A64FD7843BD5</v>
      </c>
    </row>
    <row r="7545" spans="1:5" x14ac:dyDescent="0.25">
      <c r="A7545" s="4" t="s">
        <v>7549</v>
      </c>
      <c r="B7545" s="15">
        <v>437</v>
      </c>
    </row>
    <row r="7546" spans="1:5" ht="60" x14ac:dyDescent="0.25">
      <c r="C7546" s="15">
        <v>186881</v>
      </c>
      <c r="D7546" s="4" t="s">
        <v>7550</v>
      </c>
      <c r="E7546" s="4" t="str">
        <f>HYPERLINK("https://app.crepc.sk/?fn=detailBiblioForm&amp;sid=F7FB4258F672B8ADC7ABC37D9F")</f>
        <v>https://app.crepc.sk/?fn=detailBiblioForm&amp;sid=F7FB4258F672B8ADC7ABC37D9F</v>
      </c>
    </row>
    <row r="7547" spans="1:5" ht="45" x14ac:dyDescent="0.25">
      <c r="C7547" s="15">
        <v>154521</v>
      </c>
      <c r="D7547" s="4" t="s">
        <v>7551</v>
      </c>
      <c r="E7547" s="4" t="str">
        <f>HYPERLINK("https://app.crepc.sk/?fn=detailBiblioForm&amp;sid=7CD47704C688C3C83151859C4A")</f>
        <v>https://app.crepc.sk/?fn=detailBiblioForm&amp;sid=7CD47704C688C3C83151859C4A</v>
      </c>
    </row>
    <row r="7548" spans="1:5" ht="45" x14ac:dyDescent="0.25">
      <c r="C7548" s="15">
        <v>128713</v>
      </c>
      <c r="D7548" s="4" t="s">
        <v>7552</v>
      </c>
      <c r="E7548" s="4" t="str">
        <f>HYPERLINK("https://app.crepc.sk/?fn=detailBiblioForm&amp;sid=E17FC85307AF86FA3AC5D64547")</f>
        <v>https://app.crepc.sk/?fn=detailBiblioForm&amp;sid=E17FC85307AF86FA3AC5D64547</v>
      </c>
    </row>
    <row r="7549" spans="1:5" ht="45" x14ac:dyDescent="0.25">
      <c r="C7549" s="15">
        <v>85092</v>
      </c>
      <c r="D7549" s="4" t="s">
        <v>7553</v>
      </c>
      <c r="E7549" s="4" t="str">
        <f>HYPERLINK("https://app.crepc.sk/?fn=detailBiblioForm&amp;sid=DCB3707E7811B2B3B97A60EB")</f>
        <v>https://app.crepc.sk/?fn=detailBiblioForm&amp;sid=DCB3707E7811B2B3B97A60EB</v>
      </c>
    </row>
    <row r="7550" spans="1:5" ht="45" x14ac:dyDescent="0.25">
      <c r="C7550" s="15">
        <v>215092</v>
      </c>
      <c r="D7550" s="4" t="s">
        <v>7554</v>
      </c>
      <c r="E7550" s="4" t="str">
        <f>HYPERLINK("https://app.crepc.sk/?fn=detailBiblioForm&amp;sid=C4807EF2F858620C0FED30175A")</f>
        <v>https://app.crepc.sk/?fn=detailBiblioForm&amp;sid=C4807EF2F858620C0FED30175A</v>
      </c>
    </row>
    <row r="7551" spans="1:5" ht="60" x14ac:dyDescent="0.25">
      <c r="C7551" s="15">
        <v>436045</v>
      </c>
      <c r="D7551" s="4" t="s">
        <v>7555</v>
      </c>
      <c r="E7551" s="4" t="str">
        <f>HYPERLINK("https://app.crepc.sk/?fn=detailBiblioForm&amp;sid=0D8840D8555AF42F40876A8F01")</f>
        <v>https://app.crepc.sk/?fn=detailBiblioForm&amp;sid=0D8840D8555AF42F40876A8F01</v>
      </c>
    </row>
    <row r="7552" spans="1:5" ht="60" x14ac:dyDescent="0.25">
      <c r="C7552" s="15">
        <v>174097</v>
      </c>
      <c r="D7552" s="4" t="s">
        <v>7556</v>
      </c>
      <c r="E7552" s="4" t="str">
        <f>HYPERLINK("https://app.crepc.sk/?fn=detailBiblioForm&amp;sid=2990E1F3D3E255467082594FF3")</f>
        <v>https://app.crepc.sk/?fn=detailBiblioForm&amp;sid=2990E1F3D3E255467082594FF3</v>
      </c>
    </row>
    <row r="7553" spans="3:5" ht="45" x14ac:dyDescent="0.25">
      <c r="C7553" s="15">
        <v>440781</v>
      </c>
      <c r="D7553" s="4" t="s">
        <v>7557</v>
      </c>
      <c r="E7553" s="4" t="str">
        <f>HYPERLINK("https://app.crepc.sk/?fn=detailBiblioForm&amp;sid=C3C046FDC00D8772C630A536D3")</f>
        <v>https://app.crepc.sk/?fn=detailBiblioForm&amp;sid=C3C046FDC00D8772C630A536D3</v>
      </c>
    </row>
    <row r="7554" spans="3:5" ht="60" x14ac:dyDescent="0.25">
      <c r="C7554" s="15">
        <v>227929</v>
      </c>
      <c r="D7554" s="4" t="s">
        <v>7558</v>
      </c>
      <c r="E7554" s="4" t="str">
        <f>HYPERLINK("https://app.crepc.sk/?fn=detailBiblioForm&amp;sid=F2D51D583C29E8969BE4D8DA83")</f>
        <v>https://app.crepc.sk/?fn=detailBiblioForm&amp;sid=F2D51D583C29E8969BE4D8DA83</v>
      </c>
    </row>
    <row r="7555" spans="3:5" ht="45" x14ac:dyDescent="0.25">
      <c r="C7555" s="15">
        <v>179583</v>
      </c>
      <c r="D7555" s="4" t="s">
        <v>7559</v>
      </c>
      <c r="E7555" s="4" t="str">
        <f>HYPERLINK("https://app.crepc.sk/?fn=detailBiblioForm&amp;sid=D2CDA85DA56256F2783E8485A6")</f>
        <v>https://app.crepc.sk/?fn=detailBiblioForm&amp;sid=D2CDA85DA56256F2783E8485A6</v>
      </c>
    </row>
    <row r="7556" spans="3:5" ht="45" x14ac:dyDescent="0.25">
      <c r="C7556" s="15">
        <v>84841</v>
      </c>
      <c r="D7556" s="4" t="s">
        <v>7560</v>
      </c>
      <c r="E7556" s="4" t="str">
        <f>HYPERLINK("https://app.crepc.sk/?fn=detailBiblioForm&amp;sid=E5581B7F073E1E86B632AA2D")</f>
        <v>https://app.crepc.sk/?fn=detailBiblioForm&amp;sid=E5581B7F073E1E86B632AA2D</v>
      </c>
    </row>
    <row r="7557" spans="3:5" ht="60" x14ac:dyDescent="0.25">
      <c r="C7557" s="15">
        <v>80901</v>
      </c>
      <c r="D7557" s="4" t="s">
        <v>7561</v>
      </c>
      <c r="E7557" s="4" t="str">
        <f>HYPERLINK("https://app.crepc.sk/?fn=detailBiblioForm&amp;sid=0DB5664C7E142A9DEDEAFF13")</f>
        <v>https://app.crepc.sk/?fn=detailBiblioForm&amp;sid=0DB5664C7E142A9DEDEAFF13</v>
      </c>
    </row>
    <row r="7558" spans="3:5" ht="45" x14ac:dyDescent="0.25">
      <c r="C7558" s="15">
        <v>82679</v>
      </c>
      <c r="D7558" s="4" t="s">
        <v>7562</v>
      </c>
      <c r="E7558" s="4" t="str">
        <f>HYPERLINK("https://app.crepc.sk/?fn=detailBiblioForm&amp;sid=A6649E206CEB1A7EBC9CAE74")</f>
        <v>https://app.crepc.sk/?fn=detailBiblioForm&amp;sid=A6649E206CEB1A7EBC9CAE74</v>
      </c>
    </row>
    <row r="7559" spans="3:5" ht="60" x14ac:dyDescent="0.25">
      <c r="C7559" s="15">
        <v>80497</v>
      </c>
      <c r="D7559" s="4" t="s">
        <v>7563</v>
      </c>
      <c r="E7559" s="4" t="str">
        <f>HYPERLINK("https://app.crepc.sk/?fn=detailBiblioForm&amp;sid=2618B694FE496B102F43FAFE")</f>
        <v>https://app.crepc.sk/?fn=detailBiblioForm&amp;sid=2618B694FE496B102F43FAFE</v>
      </c>
    </row>
    <row r="7560" spans="3:5" ht="45" x14ac:dyDescent="0.25">
      <c r="C7560" s="15">
        <v>80535</v>
      </c>
      <c r="D7560" s="4" t="s">
        <v>7564</v>
      </c>
      <c r="E7560" s="4" t="str">
        <f>HYPERLINK("https://app.crepc.sk/?fn=detailBiblioForm&amp;sid=B6C709362453480CA805C860")</f>
        <v>https://app.crepc.sk/?fn=detailBiblioForm&amp;sid=B6C709362453480CA805C860</v>
      </c>
    </row>
    <row r="7561" spans="3:5" ht="45" x14ac:dyDescent="0.25">
      <c r="C7561" s="15">
        <v>82701</v>
      </c>
      <c r="D7561" s="4" t="s">
        <v>7565</v>
      </c>
      <c r="E7561" s="4" t="str">
        <f>HYPERLINK("https://app.crepc.sk/?fn=detailBiblioForm&amp;sid=7F5C470A93AF8328EEC97C9A")</f>
        <v>https://app.crepc.sk/?fn=detailBiblioForm&amp;sid=7F5C470A93AF8328EEC97C9A</v>
      </c>
    </row>
    <row r="7562" spans="3:5" ht="45" x14ac:dyDescent="0.25">
      <c r="C7562" s="15">
        <v>237559</v>
      </c>
      <c r="D7562" s="4" t="s">
        <v>7566</v>
      </c>
      <c r="E7562" s="4" t="str">
        <f>HYPERLINK("https://app.crepc.sk/?fn=detailBiblioForm&amp;sid=3D8967D221FB1E16E559E06EA2")</f>
        <v>https://app.crepc.sk/?fn=detailBiblioForm&amp;sid=3D8967D221FB1E16E559E06EA2</v>
      </c>
    </row>
    <row r="7563" spans="3:5" ht="45" x14ac:dyDescent="0.25">
      <c r="C7563" s="15">
        <v>212677</v>
      </c>
      <c r="D7563" s="4" t="s">
        <v>7567</v>
      </c>
      <c r="E7563" s="4" t="str">
        <f>HYPERLINK("https://app.crepc.sk/?fn=detailBiblioForm&amp;sid=98C1BC1B72D21E0930A00A25E5")</f>
        <v>https://app.crepc.sk/?fn=detailBiblioForm&amp;sid=98C1BC1B72D21E0930A00A25E5</v>
      </c>
    </row>
    <row r="7564" spans="3:5" ht="45" x14ac:dyDescent="0.25">
      <c r="C7564" s="15">
        <v>315653</v>
      </c>
      <c r="D7564" s="4" t="s">
        <v>7568</v>
      </c>
      <c r="E7564" s="4" t="str">
        <f>HYPERLINK("https://app.crepc.sk/?fn=detailBiblioForm&amp;sid=529BAC41B3BEAAB58F2A1F4001")</f>
        <v>https://app.crepc.sk/?fn=detailBiblioForm&amp;sid=529BAC41B3BEAAB58F2A1F4001</v>
      </c>
    </row>
    <row r="7565" spans="3:5" ht="45" x14ac:dyDescent="0.25">
      <c r="C7565" s="15">
        <v>82492</v>
      </c>
      <c r="D7565" s="4" t="s">
        <v>7569</v>
      </c>
      <c r="E7565" s="4" t="str">
        <f>HYPERLINK("https://app.crepc.sk/?fn=detailBiblioForm&amp;sid=C63DFD6344BF5829B214E609")</f>
        <v>https://app.crepc.sk/?fn=detailBiblioForm&amp;sid=C63DFD6344BF5829B214E609</v>
      </c>
    </row>
    <row r="7566" spans="3:5" ht="45" x14ac:dyDescent="0.25">
      <c r="C7566" s="15">
        <v>162358</v>
      </c>
      <c r="D7566" s="4" t="s">
        <v>7570</v>
      </c>
      <c r="E7566" s="4" t="str">
        <f>HYPERLINK("https://app.crepc.sk/?fn=detailBiblioForm&amp;sid=5379D0B7E3C25FE39139D05CA5")</f>
        <v>https://app.crepc.sk/?fn=detailBiblioForm&amp;sid=5379D0B7E3C25FE39139D05CA5</v>
      </c>
    </row>
    <row r="7567" spans="3:5" ht="45" x14ac:dyDescent="0.25">
      <c r="C7567" s="15">
        <v>230007</v>
      </c>
      <c r="D7567" s="4" t="s">
        <v>7571</v>
      </c>
      <c r="E7567" s="4" t="str">
        <f>HYPERLINK("https://app.crepc.sk/?fn=detailBiblioForm&amp;sid=1447EAD9E9ED6D3C207D565EB0")</f>
        <v>https://app.crepc.sk/?fn=detailBiblioForm&amp;sid=1447EAD9E9ED6D3C207D565EB0</v>
      </c>
    </row>
    <row r="7568" spans="3:5" ht="45" x14ac:dyDescent="0.25">
      <c r="C7568" s="15">
        <v>229998</v>
      </c>
      <c r="D7568" s="4" t="s">
        <v>7572</v>
      </c>
      <c r="E7568" s="4" t="str">
        <f>HYPERLINK("https://app.crepc.sk/?fn=detailBiblioForm&amp;sid=B9A1E168420495007ECE2EFBD6")</f>
        <v>https://app.crepc.sk/?fn=detailBiblioForm&amp;sid=B9A1E168420495007ECE2EFBD6</v>
      </c>
    </row>
    <row r="7569" spans="3:5" ht="60" x14ac:dyDescent="0.25">
      <c r="C7569" s="15">
        <v>436111</v>
      </c>
      <c r="D7569" s="4" t="s">
        <v>7573</v>
      </c>
      <c r="E7569" s="4" t="str">
        <f>HYPERLINK("https://app.crepc.sk/?fn=detailBiblioForm&amp;sid=F8B0ADCB0E369D199C99F069F9")</f>
        <v>https://app.crepc.sk/?fn=detailBiblioForm&amp;sid=F8B0ADCB0E369D199C99F069F9</v>
      </c>
    </row>
    <row r="7570" spans="3:5" ht="45" x14ac:dyDescent="0.25">
      <c r="C7570" s="15">
        <v>82522</v>
      </c>
      <c r="D7570" s="4" t="s">
        <v>7574</v>
      </c>
      <c r="E7570" s="4" t="str">
        <f>HYPERLINK("https://app.crepc.sk/?fn=detailBiblioForm&amp;sid=1BA703EB408D702C52731B23")</f>
        <v>https://app.crepc.sk/?fn=detailBiblioForm&amp;sid=1BA703EB408D702C52731B23</v>
      </c>
    </row>
    <row r="7571" spans="3:5" ht="45" x14ac:dyDescent="0.25">
      <c r="C7571" s="15">
        <v>226307</v>
      </c>
      <c r="D7571" s="4" t="s">
        <v>7575</v>
      </c>
      <c r="E7571" s="4" t="str">
        <f>HYPERLINK("https://app.crepc.sk/?fn=detailBiblioForm&amp;sid=C41BF80AB1B114D6B069142BFB")</f>
        <v>https://app.crepc.sk/?fn=detailBiblioForm&amp;sid=C41BF80AB1B114D6B069142BFB</v>
      </c>
    </row>
    <row r="7572" spans="3:5" ht="45" x14ac:dyDescent="0.25">
      <c r="C7572" s="15">
        <v>181106</v>
      </c>
      <c r="D7572" s="4" t="s">
        <v>7576</v>
      </c>
      <c r="E7572" s="4" t="str">
        <f>HYPERLINK("https://app.crepc.sk/?fn=detailBiblioForm&amp;sid=D2270EF957433A5E2D72E60F57")</f>
        <v>https://app.crepc.sk/?fn=detailBiblioForm&amp;sid=D2270EF957433A5E2D72E60F57</v>
      </c>
    </row>
    <row r="7573" spans="3:5" ht="60" x14ac:dyDescent="0.25">
      <c r="C7573" s="15">
        <v>51621</v>
      </c>
      <c r="D7573" s="4" t="s">
        <v>7577</v>
      </c>
      <c r="E7573" s="4" t="str">
        <f>HYPERLINK("https://app.crepc.sk/?fn=detailBiblioForm&amp;sid=DBB707ABF7C726FCC1B3B87C")</f>
        <v>https://app.crepc.sk/?fn=detailBiblioForm&amp;sid=DBB707ABF7C726FCC1B3B87C</v>
      </c>
    </row>
    <row r="7574" spans="3:5" ht="45" x14ac:dyDescent="0.25">
      <c r="C7574" s="15">
        <v>51628</v>
      </c>
      <c r="D7574" s="4" t="s">
        <v>7578</v>
      </c>
      <c r="E7574" s="4" t="str">
        <f>HYPERLINK("https://app.crepc.sk/?fn=detailBiblioForm&amp;sid=DBB707ABF7C726FCC8B3B87C")</f>
        <v>https://app.crepc.sk/?fn=detailBiblioForm&amp;sid=DBB707ABF7C726FCC8B3B87C</v>
      </c>
    </row>
    <row r="7575" spans="3:5" ht="45" x14ac:dyDescent="0.25">
      <c r="C7575" s="15">
        <v>82519</v>
      </c>
      <c r="D7575" s="4" t="s">
        <v>7579</v>
      </c>
      <c r="E7575" s="4" t="str">
        <f>HYPERLINK("https://app.crepc.sk/?fn=detailBiblioForm&amp;sid=C7B45D83A5CAF418205C64EC")</f>
        <v>https://app.crepc.sk/?fn=detailBiblioForm&amp;sid=C7B45D83A5CAF418205C64EC</v>
      </c>
    </row>
    <row r="7576" spans="3:5" ht="45" x14ac:dyDescent="0.25">
      <c r="C7576" s="15">
        <v>82516</v>
      </c>
      <c r="D7576" s="4" t="s">
        <v>7580</v>
      </c>
      <c r="E7576" s="4" t="str">
        <f>HYPERLINK("https://app.crepc.sk/?fn=detailBiblioForm&amp;sid=C7B45D83A5CAF4182F5C64EC")</f>
        <v>https://app.crepc.sk/?fn=detailBiblioForm&amp;sid=C7B45D83A5CAF4182F5C64EC</v>
      </c>
    </row>
    <row r="7577" spans="3:5" ht="45" x14ac:dyDescent="0.25">
      <c r="C7577" s="15">
        <v>435815</v>
      </c>
      <c r="D7577" s="4" t="s">
        <v>7581</v>
      </c>
      <c r="E7577" s="4" t="str">
        <f>HYPERLINK("https://app.crepc.sk/?fn=detailBiblioForm&amp;sid=0FFE5128E80DD4211F0ECC8394")</f>
        <v>https://app.crepc.sk/?fn=detailBiblioForm&amp;sid=0FFE5128E80DD4211F0ECC8394</v>
      </c>
    </row>
    <row r="7578" spans="3:5" ht="45" x14ac:dyDescent="0.25">
      <c r="C7578" s="15">
        <v>305551</v>
      </c>
      <c r="D7578" s="4" t="s">
        <v>7582</v>
      </c>
      <c r="E7578" s="4" t="str">
        <f>HYPERLINK("https://app.crepc.sk/?fn=detailBiblioForm&amp;sid=8CF101330A0FECECEBFC944C8F")</f>
        <v>https://app.crepc.sk/?fn=detailBiblioForm&amp;sid=8CF101330A0FECECEBFC944C8F</v>
      </c>
    </row>
    <row r="7579" spans="3:5" ht="45" x14ac:dyDescent="0.25">
      <c r="C7579" s="15">
        <v>208800</v>
      </c>
      <c r="D7579" s="4" t="s">
        <v>7583</v>
      </c>
      <c r="E7579" s="4" t="str">
        <f>HYPERLINK("https://app.crepc.sk/?fn=detailBiblioForm&amp;sid=8709A00DECECE1CBA04645B0F2")</f>
        <v>https://app.crepc.sk/?fn=detailBiblioForm&amp;sid=8709A00DECECE1CBA04645B0F2</v>
      </c>
    </row>
    <row r="7580" spans="3:5" ht="45" x14ac:dyDescent="0.25">
      <c r="C7580" s="15">
        <v>308336</v>
      </c>
      <c r="D7580" s="4" t="s">
        <v>7584</v>
      </c>
      <c r="E7580" s="4" t="str">
        <f>HYPERLINK("https://app.crepc.sk/?fn=detailBiblioForm&amp;sid=DDD6FF1D1BD7B36E766AA733CA")</f>
        <v>https://app.crepc.sk/?fn=detailBiblioForm&amp;sid=DDD6FF1D1BD7B36E766AA733CA</v>
      </c>
    </row>
    <row r="7581" spans="3:5" ht="45" x14ac:dyDescent="0.25">
      <c r="C7581" s="15">
        <v>226306</v>
      </c>
      <c r="D7581" s="4" t="s">
        <v>7585</v>
      </c>
      <c r="E7581" s="4" t="str">
        <f>HYPERLINK("https://app.crepc.sk/?fn=detailBiblioForm&amp;sid=C41BF80AB1B114D6B068142BFB")</f>
        <v>https://app.crepc.sk/?fn=detailBiblioForm&amp;sid=C41BF80AB1B114D6B068142BFB</v>
      </c>
    </row>
    <row r="7582" spans="3:5" ht="45" x14ac:dyDescent="0.25">
      <c r="C7582" s="15">
        <v>188333</v>
      </c>
      <c r="D7582" s="4" t="s">
        <v>7586</v>
      </c>
      <c r="E7582" s="4" t="str">
        <f>HYPERLINK("https://app.crepc.sk/?fn=detailBiblioForm&amp;sid=0B2113943BE8BD1B3AEC9DC86B")</f>
        <v>https://app.crepc.sk/?fn=detailBiblioForm&amp;sid=0B2113943BE8BD1B3AEC9DC86B</v>
      </c>
    </row>
    <row r="7583" spans="3:5" ht="45" x14ac:dyDescent="0.25">
      <c r="C7583" s="15">
        <v>235036</v>
      </c>
      <c r="D7583" s="4" t="s">
        <v>7587</v>
      </c>
      <c r="E7583" s="4" t="str">
        <f>HYPERLINK("https://app.crepc.sk/?fn=detailBiblioForm&amp;sid=1672AA2C7269BEB14C2460D9C8")</f>
        <v>https://app.crepc.sk/?fn=detailBiblioForm&amp;sid=1672AA2C7269BEB14C2460D9C8</v>
      </c>
    </row>
    <row r="7584" spans="3:5" ht="60" x14ac:dyDescent="0.25">
      <c r="C7584" s="15">
        <v>62291</v>
      </c>
      <c r="D7584" s="4" t="s">
        <v>7588</v>
      </c>
      <c r="E7584" s="4" t="str">
        <f>HYPERLINK("https://app.crepc.sk/?fn=detailBiblioForm&amp;sid=B9E1CF94CFB823FF62F84063")</f>
        <v>https://app.crepc.sk/?fn=detailBiblioForm&amp;sid=B9E1CF94CFB823FF62F84063</v>
      </c>
    </row>
    <row r="7585" spans="3:5" ht="45" x14ac:dyDescent="0.25">
      <c r="C7585" s="15">
        <v>416780</v>
      </c>
      <c r="D7585" s="4" t="s">
        <v>7589</v>
      </c>
      <c r="E7585" s="4" t="str">
        <f>HYPERLINK("https://app.crepc.sk/?fn=detailBiblioForm&amp;sid=FFF02B87E998ACF2FD2F56DEC9")</f>
        <v>https://app.crepc.sk/?fn=detailBiblioForm&amp;sid=FFF02B87E998ACF2FD2F56DEC9</v>
      </c>
    </row>
    <row r="7586" spans="3:5" ht="45" x14ac:dyDescent="0.25">
      <c r="C7586" s="15">
        <v>235102</v>
      </c>
      <c r="D7586" s="4" t="s">
        <v>7590</v>
      </c>
      <c r="E7586" s="4" t="str">
        <f>HYPERLINK("https://app.crepc.sk/?fn=detailBiblioForm&amp;sid=7CC85D9BBAA576830BF1919818")</f>
        <v>https://app.crepc.sk/?fn=detailBiblioForm&amp;sid=7CC85D9BBAA576830BF1919818</v>
      </c>
    </row>
    <row r="7587" spans="3:5" ht="45" x14ac:dyDescent="0.25">
      <c r="C7587" s="15">
        <v>215262</v>
      </c>
      <c r="D7587" s="4" t="s">
        <v>7591</v>
      </c>
      <c r="E7587" s="4" t="str">
        <f>HYPERLINK("https://app.crepc.sk/?fn=detailBiblioForm&amp;sid=232B0374A242225DB102E0C308")</f>
        <v>https://app.crepc.sk/?fn=detailBiblioForm&amp;sid=232B0374A242225DB102E0C308</v>
      </c>
    </row>
    <row r="7588" spans="3:5" ht="45" x14ac:dyDescent="0.25">
      <c r="C7588" s="15">
        <v>173844</v>
      </c>
      <c r="D7588" s="4" t="s">
        <v>7592</v>
      </c>
      <c r="E7588" s="4" t="str">
        <f>HYPERLINK("https://app.crepc.sk/?fn=detailBiblioForm&amp;sid=A8C5898CD77493B3E3FD565F0F")</f>
        <v>https://app.crepc.sk/?fn=detailBiblioForm&amp;sid=A8C5898CD77493B3E3FD565F0F</v>
      </c>
    </row>
    <row r="7589" spans="3:5" ht="60" x14ac:dyDescent="0.25">
      <c r="C7589" s="15">
        <v>180502</v>
      </c>
      <c r="D7589" s="4" t="s">
        <v>7593</v>
      </c>
      <c r="E7589" s="4" t="str">
        <f>HYPERLINK("https://app.crepc.sk/?fn=detailBiblioForm&amp;sid=F33BEAA28AB422A4F41C03D707")</f>
        <v>https://app.crepc.sk/?fn=detailBiblioForm&amp;sid=F33BEAA28AB422A4F41C03D707</v>
      </c>
    </row>
    <row r="7590" spans="3:5" ht="45" x14ac:dyDescent="0.25">
      <c r="C7590" s="15">
        <v>434645</v>
      </c>
      <c r="D7590" s="4" t="s">
        <v>7594</v>
      </c>
      <c r="E7590" s="4" t="str">
        <f>HYPERLINK("https://app.crepc.sk/?fn=detailBiblioForm&amp;sid=7166C1BDD775310309C9F6060F")</f>
        <v>https://app.crepc.sk/?fn=detailBiblioForm&amp;sid=7166C1BDD775310309C9F6060F</v>
      </c>
    </row>
    <row r="7591" spans="3:5" ht="45" x14ac:dyDescent="0.25">
      <c r="C7591" s="15">
        <v>81268</v>
      </c>
      <c r="D7591" s="4" t="s">
        <v>7595</v>
      </c>
      <c r="E7591" s="4" t="str">
        <f>HYPERLINK("https://app.crepc.sk/?fn=detailBiblioForm&amp;sid=B74A63AC994DFD5177A8FAEE")</f>
        <v>https://app.crepc.sk/?fn=detailBiblioForm&amp;sid=B74A63AC994DFD5177A8FAEE</v>
      </c>
    </row>
    <row r="7592" spans="3:5" ht="45" x14ac:dyDescent="0.25">
      <c r="C7592" s="15">
        <v>51286</v>
      </c>
      <c r="D7592" s="4" t="s">
        <v>7596</v>
      </c>
      <c r="E7592" s="4" t="str">
        <f>HYPERLINK("https://app.crepc.sk/?fn=detailBiblioForm&amp;sid=10268AE5B07891EC7EB2AC09")</f>
        <v>https://app.crepc.sk/?fn=detailBiblioForm&amp;sid=10268AE5B07891EC7EB2AC09</v>
      </c>
    </row>
    <row r="7593" spans="3:5" ht="45" x14ac:dyDescent="0.25">
      <c r="C7593" s="15">
        <v>195716</v>
      </c>
      <c r="D7593" s="4" t="s">
        <v>7597</v>
      </c>
      <c r="E7593" s="4" t="str">
        <f>HYPERLINK("https://app.crepc.sk/?fn=detailBiblioForm&amp;sid=295815C2A9E117C13CBCA4E4D3")</f>
        <v>https://app.crepc.sk/?fn=detailBiblioForm&amp;sid=295815C2A9E117C13CBCA4E4D3</v>
      </c>
    </row>
    <row r="7594" spans="3:5" ht="45" x14ac:dyDescent="0.25">
      <c r="C7594" s="15">
        <v>312741</v>
      </c>
      <c r="D7594" s="4" t="s">
        <v>7598</v>
      </c>
      <c r="E7594" s="4" t="str">
        <f>HYPERLINK("https://app.crepc.sk/?fn=detailBiblioForm&amp;sid=80E4BE4F2EDF3A918CD9FDE53D")</f>
        <v>https://app.crepc.sk/?fn=detailBiblioForm&amp;sid=80E4BE4F2EDF3A918CD9FDE53D</v>
      </c>
    </row>
    <row r="7595" spans="3:5" ht="45" x14ac:dyDescent="0.25">
      <c r="C7595" s="15">
        <v>308595</v>
      </c>
      <c r="D7595" s="4" t="s">
        <v>7599</v>
      </c>
      <c r="E7595" s="4" t="str">
        <f>HYPERLINK("https://app.crepc.sk/?fn=detailBiblioForm&amp;sid=3BF5F14AF70D160362207688C7")</f>
        <v>https://app.crepc.sk/?fn=detailBiblioForm&amp;sid=3BF5F14AF70D160362207688C7</v>
      </c>
    </row>
    <row r="7596" spans="3:5" ht="45" x14ac:dyDescent="0.25">
      <c r="C7596" s="15">
        <v>60255</v>
      </c>
      <c r="D7596" s="4" t="s">
        <v>7600</v>
      </c>
      <c r="E7596" s="4" t="str">
        <f>HYPERLINK("https://app.crepc.sk/?fn=detailBiblioForm&amp;sid=D794125F480E8161CEFC2E28")</f>
        <v>https://app.crepc.sk/?fn=detailBiblioForm&amp;sid=D794125F480E8161CEFC2E28</v>
      </c>
    </row>
    <row r="7597" spans="3:5" ht="60" x14ac:dyDescent="0.25">
      <c r="C7597" s="15">
        <v>80854</v>
      </c>
      <c r="D7597" s="4" t="s">
        <v>7601</v>
      </c>
      <c r="E7597" s="4" t="str">
        <f>HYPERLINK("https://app.crepc.sk/?fn=detailBiblioForm&amp;sid=E2FF28C6FE5B0CFE957F0284")</f>
        <v>https://app.crepc.sk/?fn=detailBiblioForm&amp;sid=E2FF28C6FE5B0CFE957F0284</v>
      </c>
    </row>
    <row r="7598" spans="3:5" ht="45" x14ac:dyDescent="0.25">
      <c r="C7598" s="15">
        <v>312451</v>
      </c>
      <c r="D7598" s="4" t="s">
        <v>7602</v>
      </c>
      <c r="E7598" s="4" t="str">
        <f>HYPERLINK("https://app.crepc.sk/?fn=detailBiblioForm&amp;sid=29E831AA7AE2D1910AE12E0FED")</f>
        <v>https://app.crepc.sk/?fn=detailBiblioForm&amp;sid=29E831AA7AE2D1910AE12E0FED</v>
      </c>
    </row>
    <row r="7599" spans="3:5" ht="45" x14ac:dyDescent="0.25">
      <c r="C7599" s="15">
        <v>79213</v>
      </c>
      <c r="D7599" s="4" t="s">
        <v>7603</v>
      </c>
      <c r="E7599" s="4" t="str">
        <f>HYPERLINK("https://app.crepc.sk/?fn=detailBiblioForm&amp;sid=7F2B1409501C3468D09506A5")</f>
        <v>https://app.crepc.sk/?fn=detailBiblioForm&amp;sid=7F2B1409501C3468D09506A5</v>
      </c>
    </row>
    <row r="7600" spans="3:5" ht="45" x14ac:dyDescent="0.25">
      <c r="C7600" s="15">
        <v>429176</v>
      </c>
      <c r="D7600" s="4" t="s">
        <v>7604</v>
      </c>
      <c r="E7600" s="4" t="str">
        <f>HYPERLINK("https://app.crepc.sk/?fn=detailBiblioForm&amp;sid=1F960971EB794925E5F43E5078")</f>
        <v>https://app.crepc.sk/?fn=detailBiblioForm&amp;sid=1F960971EB794925E5F43E5078</v>
      </c>
    </row>
    <row r="7601" spans="3:5" ht="45" x14ac:dyDescent="0.25">
      <c r="C7601" s="15">
        <v>212137</v>
      </c>
      <c r="D7601" s="4" t="s">
        <v>7605</v>
      </c>
      <c r="E7601" s="4" t="str">
        <f>HYPERLINK("https://app.crepc.sk/?fn=detailBiblioForm&amp;sid=A1202DE7B01A324D6BF987F106")</f>
        <v>https://app.crepc.sk/?fn=detailBiblioForm&amp;sid=A1202DE7B01A324D6BF987F106</v>
      </c>
    </row>
    <row r="7602" spans="3:5" ht="45" x14ac:dyDescent="0.25">
      <c r="C7602" s="15">
        <v>196930</v>
      </c>
      <c r="D7602" s="4" t="s">
        <v>7606</v>
      </c>
      <c r="E7602" s="4" t="str">
        <f>HYPERLINK("https://app.crepc.sk/?fn=detailBiblioForm&amp;sid=FD2A61625DB31BB35559FEE577")</f>
        <v>https://app.crepc.sk/?fn=detailBiblioForm&amp;sid=FD2A61625DB31BB35559FEE577</v>
      </c>
    </row>
    <row r="7603" spans="3:5" ht="45" x14ac:dyDescent="0.25">
      <c r="C7603" s="15">
        <v>255333</v>
      </c>
      <c r="D7603" s="4" t="s">
        <v>7607</v>
      </c>
      <c r="E7603" s="4" t="str">
        <f>HYPERLINK("https://app.crepc.sk/?fn=detailBiblioForm&amp;sid=240D82286EC66312FD444ACBFC")</f>
        <v>https://app.crepc.sk/?fn=detailBiblioForm&amp;sid=240D82286EC66312FD444ACBFC</v>
      </c>
    </row>
    <row r="7604" spans="3:5" ht="45" x14ac:dyDescent="0.25">
      <c r="C7604" s="15">
        <v>82513</v>
      </c>
      <c r="D7604" s="4" t="s">
        <v>7608</v>
      </c>
      <c r="E7604" s="4" t="str">
        <f>HYPERLINK("https://app.crepc.sk/?fn=detailBiblioForm&amp;sid=C7B45D83A5CAF4182A5C64EC")</f>
        <v>https://app.crepc.sk/?fn=detailBiblioForm&amp;sid=C7B45D83A5CAF4182A5C64EC</v>
      </c>
    </row>
    <row r="7605" spans="3:5" ht="45" x14ac:dyDescent="0.25">
      <c r="C7605" s="15">
        <v>51610</v>
      </c>
      <c r="D7605" s="4" t="s">
        <v>7609</v>
      </c>
      <c r="E7605" s="4" t="str">
        <f>HYPERLINK("https://app.crepc.sk/?fn=detailBiblioForm&amp;sid=0EBA0D24DC47CEA5CDDBDCFE")</f>
        <v>https://app.crepc.sk/?fn=detailBiblioForm&amp;sid=0EBA0D24DC47CEA5CDDBDCFE</v>
      </c>
    </row>
    <row r="7606" spans="3:5" ht="45" x14ac:dyDescent="0.25">
      <c r="C7606" s="15">
        <v>51626</v>
      </c>
      <c r="D7606" s="4" t="s">
        <v>7610</v>
      </c>
      <c r="E7606" s="4" t="str">
        <f>HYPERLINK("https://app.crepc.sk/?fn=detailBiblioForm&amp;sid=DBB707ABF7C726FCC6B3B87C")</f>
        <v>https://app.crepc.sk/?fn=detailBiblioForm&amp;sid=DBB707ABF7C726FCC6B3B87C</v>
      </c>
    </row>
    <row r="7607" spans="3:5" ht="45" x14ac:dyDescent="0.25">
      <c r="C7607" s="15">
        <v>213319</v>
      </c>
      <c r="D7607" s="4" t="s">
        <v>7611</v>
      </c>
      <c r="E7607" s="4" t="str">
        <f>HYPERLINK("https://app.crepc.sk/?fn=detailBiblioForm&amp;sid=308D10ECDAFDE6B1C3A84E1744")</f>
        <v>https://app.crepc.sk/?fn=detailBiblioForm&amp;sid=308D10ECDAFDE6B1C3A84E1744</v>
      </c>
    </row>
    <row r="7608" spans="3:5" ht="45" x14ac:dyDescent="0.25">
      <c r="C7608" s="15">
        <v>162375</v>
      </c>
      <c r="D7608" s="4" t="s">
        <v>7612</v>
      </c>
      <c r="E7608" s="4" t="str">
        <f>HYPERLINK("https://app.crepc.sk/?fn=detailBiblioForm&amp;sid=5379D0B7E3C25FE39334D05CA5")</f>
        <v>https://app.crepc.sk/?fn=detailBiblioForm&amp;sid=5379D0B7E3C25FE39334D05CA5</v>
      </c>
    </row>
    <row r="7609" spans="3:5" ht="45" x14ac:dyDescent="0.25">
      <c r="C7609" s="15">
        <v>100859</v>
      </c>
      <c r="D7609" s="4" t="s">
        <v>7613</v>
      </c>
      <c r="E7609" s="4" t="str">
        <f>HYPERLINK("https://app.crepc.sk/?fn=detailBiblioForm&amp;sid=C2DCC5E65C22781D3F68D860DE")</f>
        <v>https://app.crepc.sk/?fn=detailBiblioForm&amp;sid=C2DCC5E65C22781D3F68D860DE</v>
      </c>
    </row>
    <row r="7610" spans="3:5" ht="45" x14ac:dyDescent="0.25">
      <c r="C7610" s="15">
        <v>434617</v>
      </c>
      <c r="D7610" s="4" t="s">
        <v>7614</v>
      </c>
      <c r="E7610" s="4" t="str">
        <f>HYPERLINK("https://app.crepc.sk/?fn=detailBiblioForm&amp;sid=7166C1BDD77531030CCBF6060F")</f>
        <v>https://app.crepc.sk/?fn=detailBiblioForm&amp;sid=7166C1BDD77531030CCBF6060F</v>
      </c>
    </row>
    <row r="7611" spans="3:5" ht="45" x14ac:dyDescent="0.25">
      <c r="C7611" s="15">
        <v>83190</v>
      </c>
      <c r="D7611" s="4" t="s">
        <v>7615</v>
      </c>
      <c r="E7611" s="4" t="str">
        <f>HYPERLINK("https://app.crepc.sk/?fn=detailBiblioForm&amp;sid=0C57D2FA1BBE6555A1A9CF7C")</f>
        <v>https://app.crepc.sk/?fn=detailBiblioForm&amp;sid=0C57D2FA1BBE6555A1A9CF7C</v>
      </c>
    </row>
    <row r="7612" spans="3:5" ht="60" x14ac:dyDescent="0.25">
      <c r="C7612" s="15">
        <v>187843</v>
      </c>
      <c r="D7612" s="4" t="s">
        <v>7616</v>
      </c>
      <c r="E7612" s="4" t="str">
        <f>HYPERLINK("https://app.crepc.sk/?fn=detailBiblioForm&amp;sid=CB4D57913478E3D225CAD6734D")</f>
        <v>https://app.crepc.sk/?fn=detailBiblioForm&amp;sid=CB4D57913478E3D225CAD6734D</v>
      </c>
    </row>
    <row r="7613" spans="3:5" ht="60" x14ac:dyDescent="0.25">
      <c r="C7613" s="15">
        <v>441488</v>
      </c>
      <c r="D7613" s="4" t="s">
        <v>7617</v>
      </c>
      <c r="E7613" s="4" t="str">
        <f>HYPERLINK("https://app.crepc.sk/?fn=detailBiblioForm&amp;sid=35A487982B485B4FC7033650B6")</f>
        <v>https://app.crepc.sk/?fn=detailBiblioForm&amp;sid=35A487982B485B4FC7033650B6</v>
      </c>
    </row>
    <row r="7614" spans="3:5" ht="45" x14ac:dyDescent="0.25">
      <c r="C7614" s="15">
        <v>437811</v>
      </c>
      <c r="D7614" s="4" t="s">
        <v>7618</v>
      </c>
      <c r="E7614" s="4" t="str">
        <f>HYPERLINK("https://app.crepc.sk/?fn=detailBiblioForm&amp;sid=CB094769097E3364E4148633D1")</f>
        <v>https://app.crepc.sk/?fn=detailBiblioForm&amp;sid=CB094769097E3364E4148633D1</v>
      </c>
    </row>
    <row r="7615" spans="3:5" ht="45" x14ac:dyDescent="0.25">
      <c r="C7615" s="15">
        <v>193196</v>
      </c>
      <c r="D7615" s="4" t="s">
        <v>7619</v>
      </c>
      <c r="E7615" s="4" t="str">
        <f>HYPERLINK("https://app.crepc.sk/?fn=detailBiblioForm&amp;sid=A68C5B864BF790E45D9B8CF7B6")</f>
        <v>https://app.crepc.sk/?fn=detailBiblioForm&amp;sid=A68C5B864BF790E45D9B8CF7B6</v>
      </c>
    </row>
    <row r="7616" spans="3:5" ht="45" x14ac:dyDescent="0.25">
      <c r="C7616" s="15">
        <v>180643</v>
      </c>
      <c r="D7616" s="4" t="s">
        <v>7620</v>
      </c>
      <c r="E7616" s="4" t="str">
        <f>HYPERLINK("https://app.crepc.sk/?fn=detailBiblioForm&amp;sid=6B977D197BBEDDBAD77BD8DAE5")</f>
        <v>https://app.crepc.sk/?fn=detailBiblioForm&amp;sid=6B977D197BBEDDBAD77BD8DAE5</v>
      </c>
    </row>
    <row r="7617" spans="3:5" ht="60" x14ac:dyDescent="0.25">
      <c r="C7617" s="15">
        <v>423074</v>
      </c>
      <c r="D7617" s="4" t="s">
        <v>7621</v>
      </c>
      <c r="E7617" s="4" t="str">
        <f>HYPERLINK("https://app.crepc.sk/?fn=detailBiblioForm&amp;sid=DB5C56B962FEDC7A0ADF9723F0")</f>
        <v>https://app.crepc.sk/?fn=detailBiblioForm&amp;sid=DB5C56B962FEDC7A0ADF9723F0</v>
      </c>
    </row>
    <row r="7618" spans="3:5" ht="45" x14ac:dyDescent="0.25">
      <c r="C7618" s="15">
        <v>187318</v>
      </c>
      <c r="D7618" s="4" t="s">
        <v>7622</v>
      </c>
      <c r="E7618" s="4" t="str">
        <f>HYPERLINK("https://app.crepc.sk/?fn=detailBiblioForm&amp;sid=BA75C2D62745AD5727E5FA88C3")</f>
        <v>https://app.crepc.sk/?fn=detailBiblioForm&amp;sid=BA75C2D62745AD5727E5FA88C3</v>
      </c>
    </row>
    <row r="7619" spans="3:5" ht="60" x14ac:dyDescent="0.25">
      <c r="C7619" s="15">
        <v>180460</v>
      </c>
      <c r="D7619" s="4" t="s">
        <v>7623</v>
      </c>
      <c r="E7619" s="4" t="str">
        <f>HYPERLINK("https://app.crepc.sk/?fn=detailBiblioForm&amp;sid=46E5F073F744ACC4F879236061")</f>
        <v>https://app.crepc.sk/?fn=detailBiblioForm&amp;sid=46E5F073F744ACC4F879236061</v>
      </c>
    </row>
    <row r="7620" spans="3:5" ht="60" x14ac:dyDescent="0.25">
      <c r="C7620" s="15">
        <v>185568</v>
      </c>
      <c r="D7620" s="4" t="s">
        <v>7624</v>
      </c>
      <c r="E7620" s="4" t="str">
        <f>HYPERLINK("https://app.crepc.sk/?fn=detailBiblioForm&amp;sid=976842DB397D7CF04DBFA63B93")</f>
        <v>https://app.crepc.sk/?fn=detailBiblioForm&amp;sid=976842DB397D7CF04DBFA63B93</v>
      </c>
    </row>
    <row r="7621" spans="3:5" ht="60" x14ac:dyDescent="0.25">
      <c r="C7621" s="15">
        <v>306506</v>
      </c>
      <c r="D7621" s="4" t="s">
        <v>7625</v>
      </c>
      <c r="E7621" s="4" t="str">
        <f>HYPERLINK("https://app.crepc.sk/?fn=detailBiblioForm&amp;sid=CBB657F935C68F148C48AC8AF7")</f>
        <v>https://app.crepc.sk/?fn=detailBiblioForm&amp;sid=CBB657F935C68F148C48AC8AF7</v>
      </c>
    </row>
    <row r="7622" spans="3:5" ht="45" x14ac:dyDescent="0.25">
      <c r="C7622" s="15">
        <v>143361</v>
      </c>
      <c r="D7622" s="4" t="s">
        <v>7626</v>
      </c>
      <c r="E7622" s="4" t="str">
        <f>HYPERLINK("https://app.crepc.sk/?fn=detailBiblioForm&amp;sid=20F6D125F7A47F553599D455D1")</f>
        <v>https://app.crepc.sk/?fn=detailBiblioForm&amp;sid=20F6D125F7A47F553599D455D1</v>
      </c>
    </row>
    <row r="7623" spans="3:5" ht="45" x14ac:dyDescent="0.25">
      <c r="C7623" s="15">
        <v>127979</v>
      </c>
      <c r="D7623" s="4" t="s">
        <v>7627</v>
      </c>
      <c r="E7623" s="4" t="str">
        <f>HYPERLINK("https://app.crepc.sk/?fn=detailBiblioForm&amp;sid=24C6E28F89ED84B92A6C59EEF1")</f>
        <v>https://app.crepc.sk/?fn=detailBiblioForm&amp;sid=24C6E28F89ED84B92A6C59EEF1</v>
      </c>
    </row>
    <row r="7624" spans="3:5" ht="45" x14ac:dyDescent="0.25">
      <c r="C7624" s="15">
        <v>51479</v>
      </c>
      <c r="D7624" s="4" t="s">
        <v>7628</v>
      </c>
      <c r="E7624" s="4" t="str">
        <f>HYPERLINK("https://app.crepc.sk/?fn=detailBiblioForm&amp;sid=23D6B832D4F85AEFDFF88C26")</f>
        <v>https://app.crepc.sk/?fn=detailBiblioForm&amp;sid=23D6B832D4F85AEFDFF88C26</v>
      </c>
    </row>
    <row r="7625" spans="3:5" ht="45" x14ac:dyDescent="0.25">
      <c r="C7625" s="15">
        <v>142816</v>
      </c>
      <c r="D7625" s="4" t="s">
        <v>7629</v>
      </c>
      <c r="E7625" s="4" t="str">
        <f>HYPERLINK("https://app.crepc.sk/?fn=detailBiblioForm&amp;sid=B1D97A91A049E9F6A76994B22D")</f>
        <v>https://app.crepc.sk/?fn=detailBiblioForm&amp;sid=B1D97A91A049E9F6A76994B22D</v>
      </c>
    </row>
    <row r="7626" spans="3:5" ht="45" x14ac:dyDescent="0.25">
      <c r="C7626" s="15">
        <v>220046</v>
      </c>
      <c r="D7626" s="4" t="s">
        <v>7630</v>
      </c>
      <c r="E7626" s="4" t="str">
        <f>HYPERLINK("https://app.crepc.sk/?fn=detailBiblioForm&amp;sid=6722ACCCD5DE7D8979E01B3D64")</f>
        <v>https://app.crepc.sk/?fn=detailBiblioForm&amp;sid=6722ACCCD5DE7D8979E01B3D64</v>
      </c>
    </row>
    <row r="7627" spans="3:5" ht="45" x14ac:dyDescent="0.25">
      <c r="C7627" s="15">
        <v>446961</v>
      </c>
      <c r="D7627" s="4" t="s">
        <v>7631</v>
      </c>
      <c r="E7627" s="4" t="str">
        <f>HYPERLINK("https://app.crepc.sk/?fn=detailBiblioForm&amp;sid=7D0E99783D71B1037F1CEB67B7")</f>
        <v>https://app.crepc.sk/?fn=detailBiblioForm&amp;sid=7D0E99783D71B1037F1CEB67B7</v>
      </c>
    </row>
    <row r="7628" spans="3:5" ht="60" x14ac:dyDescent="0.25">
      <c r="C7628" s="15">
        <v>52981</v>
      </c>
      <c r="D7628" s="4" t="s">
        <v>7632</v>
      </c>
      <c r="E7628" s="4" t="str">
        <f>HYPERLINK("https://app.crepc.sk/?fn=detailBiblioForm&amp;sid=E5489D6BC24E57899DCC7646")</f>
        <v>https://app.crepc.sk/?fn=detailBiblioForm&amp;sid=E5489D6BC24E57899DCC7646</v>
      </c>
    </row>
    <row r="7629" spans="3:5" ht="45" x14ac:dyDescent="0.25">
      <c r="C7629" s="15">
        <v>308331</v>
      </c>
      <c r="D7629" s="4" t="s">
        <v>7633</v>
      </c>
      <c r="E7629" s="4" t="str">
        <f>HYPERLINK("https://app.crepc.sk/?fn=detailBiblioForm&amp;sid=DDD6FF1D1BD7B36E766DA733CA")</f>
        <v>https://app.crepc.sk/?fn=detailBiblioForm&amp;sid=DDD6FF1D1BD7B36E766DA733CA</v>
      </c>
    </row>
    <row r="7630" spans="3:5" ht="60" x14ac:dyDescent="0.25">
      <c r="C7630" s="15">
        <v>60072</v>
      </c>
      <c r="D7630" s="4" t="s">
        <v>7634</v>
      </c>
      <c r="E7630" s="4" t="str">
        <f>HYPERLINK("https://app.crepc.sk/?fn=detailBiblioForm&amp;sid=4D381971A6602DE2145AC94B")</f>
        <v>https://app.crepc.sk/?fn=detailBiblioForm&amp;sid=4D381971A6602DE2145AC94B</v>
      </c>
    </row>
    <row r="7631" spans="3:5" ht="45" x14ac:dyDescent="0.25">
      <c r="C7631" s="15">
        <v>174100</v>
      </c>
      <c r="D7631" s="4" t="s">
        <v>7635</v>
      </c>
      <c r="E7631" s="4" t="str">
        <f>HYPERLINK("https://app.crepc.sk/?fn=detailBiblioForm&amp;sid=D9F0BB0A8DA9926988A0F8C501")</f>
        <v>https://app.crepc.sk/?fn=detailBiblioForm&amp;sid=D9F0BB0A8DA9926988A0F8C501</v>
      </c>
    </row>
    <row r="7632" spans="3:5" ht="45" x14ac:dyDescent="0.25">
      <c r="C7632" s="15">
        <v>308250</v>
      </c>
      <c r="D7632" s="4" t="s">
        <v>7636</v>
      </c>
      <c r="E7632" s="4" t="str">
        <f>HYPERLINK("https://app.crepc.sk/?fn=detailBiblioForm&amp;sid=65F0C0F63AFF658DA2A53F357A")</f>
        <v>https://app.crepc.sk/?fn=detailBiblioForm&amp;sid=65F0C0F63AFF658DA2A53F357A</v>
      </c>
    </row>
    <row r="7633" spans="3:5" ht="45" x14ac:dyDescent="0.25">
      <c r="C7633" s="15">
        <v>182640</v>
      </c>
      <c r="D7633" s="4" t="s">
        <v>7637</v>
      </c>
      <c r="E7633" s="4" t="str">
        <f>HYPERLINK("https://app.crepc.sk/?fn=detailBiblioForm&amp;sid=AA9A59A4FA5B9CCA5D952111BD")</f>
        <v>https://app.crepc.sk/?fn=detailBiblioForm&amp;sid=AA9A59A4FA5B9CCA5D952111BD</v>
      </c>
    </row>
    <row r="7634" spans="3:5" ht="45" x14ac:dyDescent="0.25">
      <c r="C7634" s="15">
        <v>79209</v>
      </c>
      <c r="D7634" s="4" t="s">
        <v>7638</v>
      </c>
      <c r="E7634" s="4" t="str">
        <f>HYPERLINK("https://app.crepc.sk/?fn=detailBiblioForm&amp;sid=7DE0424E8930A52F5B58A9EC")</f>
        <v>https://app.crepc.sk/?fn=detailBiblioForm&amp;sid=7DE0424E8930A52F5B58A9EC</v>
      </c>
    </row>
    <row r="7635" spans="3:5" ht="45" x14ac:dyDescent="0.25">
      <c r="C7635" s="15">
        <v>314017</v>
      </c>
      <c r="D7635" s="4" t="s">
        <v>7639</v>
      </c>
      <c r="E7635" s="4" t="str">
        <f>HYPERLINK("https://app.crepc.sk/?fn=detailBiblioForm&amp;sid=52CF6327BC03DBAB5D14815F18")</f>
        <v>https://app.crepc.sk/?fn=detailBiblioForm&amp;sid=52CF6327BC03DBAB5D14815F18</v>
      </c>
    </row>
    <row r="7636" spans="3:5" ht="45" x14ac:dyDescent="0.25">
      <c r="C7636" s="15">
        <v>181115</v>
      </c>
      <c r="D7636" s="4" t="s">
        <v>7640</v>
      </c>
      <c r="E7636" s="4" t="str">
        <f>HYPERLINK("https://app.crepc.sk/?fn=detailBiblioForm&amp;sid=D2270EF957433A5E2C71E60F57")</f>
        <v>https://app.crepc.sk/?fn=detailBiblioForm&amp;sid=D2270EF957433A5E2C71E60F57</v>
      </c>
    </row>
    <row r="7637" spans="3:5" ht="45" x14ac:dyDescent="0.25">
      <c r="C7637" s="15">
        <v>307746</v>
      </c>
      <c r="D7637" s="4" t="s">
        <v>7641</v>
      </c>
      <c r="E7637" s="4" t="str">
        <f>HYPERLINK("https://app.crepc.sk/?fn=detailBiblioForm&amp;sid=D300494292311A148E0E9C5B89")</f>
        <v>https://app.crepc.sk/?fn=detailBiblioForm&amp;sid=D300494292311A148E0E9C5B89</v>
      </c>
    </row>
    <row r="7638" spans="3:5" ht="45" x14ac:dyDescent="0.25">
      <c r="C7638" s="15">
        <v>60647</v>
      </c>
      <c r="D7638" s="4" t="s">
        <v>7642</v>
      </c>
      <c r="E7638" s="4" t="str">
        <f>HYPERLINK("https://app.crepc.sk/?fn=detailBiblioForm&amp;sid=91CC5BF8099685B4A63D6095")</f>
        <v>https://app.crepc.sk/?fn=detailBiblioForm&amp;sid=91CC5BF8099685B4A63D6095</v>
      </c>
    </row>
    <row r="7639" spans="3:5" ht="60" x14ac:dyDescent="0.25">
      <c r="C7639" s="15">
        <v>134896</v>
      </c>
      <c r="D7639" s="4" t="s">
        <v>7643</v>
      </c>
      <c r="E7639" s="4" t="str">
        <f>HYPERLINK("https://app.crepc.sk/?fn=detailBiblioForm&amp;sid=CBD6E88493DC1C70E875533178")</f>
        <v>https://app.crepc.sk/?fn=detailBiblioForm&amp;sid=CBD6E88493DC1C70E875533178</v>
      </c>
    </row>
    <row r="7640" spans="3:5" ht="45" x14ac:dyDescent="0.25">
      <c r="C7640" s="15">
        <v>105342</v>
      </c>
      <c r="D7640" s="4" t="s">
        <v>7644</v>
      </c>
      <c r="E7640" s="4" t="str">
        <f>HYPERLINK("https://app.crepc.sk/?fn=detailBiblioForm&amp;sid=E84B3E3EDA810AC0086A399568")</f>
        <v>https://app.crepc.sk/?fn=detailBiblioForm&amp;sid=E84B3E3EDA810AC0086A399568</v>
      </c>
    </row>
    <row r="7641" spans="3:5" ht="60" x14ac:dyDescent="0.25">
      <c r="C7641" s="15">
        <v>85255</v>
      </c>
      <c r="D7641" s="4" t="s">
        <v>7645</v>
      </c>
      <c r="E7641" s="4" t="str">
        <f>HYPERLINK("https://app.crepc.sk/?fn=detailBiblioForm&amp;sid=93100AC43EB6CB9739383171")</f>
        <v>https://app.crepc.sk/?fn=detailBiblioForm&amp;sid=93100AC43EB6CB9739383171</v>
      </c>
    </row>
    <row r="7642" spans="3:5" ht="60" x14ac:dyDescent="0.25">
      <c r="C7642" s="15">
        <v>133781</v>
      </c>
      <c r="D7642" s="4" t="s">
        <v>7646</v>
      </c>
      <c r="E7642" s="4" t="str">
        <f>HYPERLINK("https://app.crepc.sk/?fn=detailBiblioForm&amp;sid=CB55A48AE268F42C0EE5A2B091")</f>
        <v>https://app.crepc.sk/?fn=detailBiblioForm&amp;sid=CB55A48AE268F42C0EE5A2B091</v>
      </c>
    </row>
    <row r="7643" spans="3:5" ht="45" x14ac:dyDescent="0.25">
      <c r="C7643" s="15">
        <v>240732</v>
      </c>
      <c r="D7643" s="4" t="s">
        <v>7647</v>
      </c>
      <c r="E7643" s="4" t="str">
        <f>HYPERLINK("https://app.crepc.sk/?fn=detailBiblioForm&amp;sid=B5C4CE62DFD1802A8220A31AF2")</f>
        <v>https://app.crepc.sk/?fn=detailBiblioForm&amp;sid=B5C4CE62DFD1802A8220A31AF2</v>
      </c>
    </row>
    <row r="7644" spans="3:5" ht="45" x14ac:dyDescent="0.25">
      <c r="C7644" s="15">
        <v>161926</v>
      </c>
      <c r="D7644" s="4" t="s">
        <v>7648</v>
      </c>
      <c r="E7644" s="4" t="str">
        <f>HYPERLINK("https://app.crepc.sk/?fn=detailBiblioForm&amp;sid=3BEC39B52C756B70CF0479B3D6")</f>
        <v>https://app.crepc.sk/?fn=detailBiblioForm&amp;sid=3BEC39B52C756B70CF0479B3D6</v>
      </c>
    </row>
    <row r="7645" spans="3:5" ht="75" x14ac:dyDescent="0.25">
      <c r="C7645" s="15">
        <v>443258</v>
      </c>
      <c r="D7645" s="4" t="s">
        <v>7649</v>
      </c>
      <c r="E7645" s="4" t="str">
        <f>HYPERLINK("https://app.crepc.sk/?fn=detailBiblioForm&amp;sid=05DFDDD0691F0F03217D107290")</f>
        <v>https://app.crepc.sk/?fn=detailBiblioForm&amp;sid=05DFDDD0691F0F03217D107290</v>
      </c>
    </row>
    <row r="7646" spans="3:5" ht="45" x14ac:dyDescent="0.25">
      <c r="C7646" s="15">
        <v>448394</v>
      </c>
      <c r="D7646" s="4" t="s">
        <v>7650</v>
      </c>
      <c r="E7646" s="4" t="str">
        <f>HYPERLINK("https://app.crepc.sk/?fn=detailBiblioForm&amp;sid=F4F83FF99D02212E8E4865EA70")</f>
        <v>https://app.crepc.sk/?fn=detailBiblioForm&amp;sid=F4F83FF99D02212E8E4865EA70</v>
      </c>
    </row>
    <row r="7647" spans="3:5" ht="45" x14ac:dyDescent="0.25">
      <c r="C7647" s="15">
        <v>422427</v>
      </c>
      <c r="D7647" s="4" t="s">
        <v>7651</v>
      </c>
      <c r="E7647" s="4" t="str">
        <f>HYPERLINK("https://app.crepc.sk/?fn=detailBiblioForm&amp;sid=50C23C962AC4873685F498C4F3")</f>
        <v>https://app.crepc.sk/?fn=detailBiblioForm&amp;sid=50C23C962AC4873685F498C4F3</v>
      </c>
    </row>
    <row r="7648" spans="3:5" ht="60" x14ac:dyDescent="0.25">
      <c r="C7648" s="15">
        <v>247360</v>
      </c>
      <c r="D7648" s="4" t="s">
        <v>7652</v>
      </c>
      <c r="E7648" s="4" t="str">
        <f>HYPERLINK("https://app.crepc.sk/?fn=detailBiblioForm&amp;sid=D914BD9F0400FF3A7015287E4B")</f>
        <v>https://app.crepc.sk/?fn=detailBiblioForm&amp;sid=D914BD9F0400FF3A7015287E4B</v>
      </c>
    </row>
    <row r="7649" spans="3:5" ht="60" x14ac:dyDescent="0.25">
      <c r="C7649" s="15">
        <v>182642</v>
      </c>
      <c r="D7649" s="4" t="s">
        <v>7653</v>
      </c>
      <c r="E7649" s="4" t="str">
        <f>HYPERLINK("https://app.crepc.sk/?fn=detailBiblioForm&amp;sid=AA9A59A4FA5B9CCA5D972111BD")</f>
        <v>https://app.crepc.sk/?fn=detailBiblioForm&amp;sid=AA9A59A4FA5B9CCA5D972111BD</v>
      </c>
    </row>
    <row r="7650" spans="3:5" ht="45" x14ac:dyDescent="0.25">
      <c r="C7650" s="15">
        <v>80477</v>
      </c>
      <c r="D7650" s="4" t="s">
        <v>7654</v>
      </c>
      <c r="E7650" s="4" t="str">
        <f>HYPERLINK("https://app.crepc.sk/?fn=detailBiblioForm&amp;sid=83BD17D2F0EE7DDDBBAD7462")</f>
        <v>https://app.crepc.sk/?fn=detailBiblioForm&amp;sid=83BD17D2F0EE7DDDBBAD7462</v>
      </c>
    </row>
    <row r="7651" spans="3:5" ht="30" x14ac:dyDescent="0.25">
      <c r="C7651" s="15">
        <v>94978</v>
      </c>
      <c r="D7651" s="4" t="s">
        <v>7655</v>
      </c>
      <c r="E7651" s="4" t="str">
        <f>HYPERLINK("https://app.crepc.sk/?fn=detailBiblioForm&amp;sid=26EDB012116DD8502D4CEE99")</f>
        <v>https://app.crepc.sk/?fn=detailBiblioForm&amp;sid=26EDB012116DD8502D4CEE99</v>
      </c>
    </row>
    <row r="7652" spans="3:5" ht="45" x14ac:dyDescent="0.25">
      <c r="C7652" s="15">
        <v>216253</v>
      </c>
      <c r="D7652" s="4" t="s">
        <v>7656</v>
      </c>
      <c r="E7652" s="4" t="str">
        <f>HYPERLINK("https://app.crepc.sk/?fn=detailBiblioForm&amp;sid=F094E74840BE5AF62A6A35B4F5")</f>
        <v>https://app.crepc.sk/?fn=detailBiblioForm&amp;sid=F094E74840BE5AF62A6A35B4F5</v>
      </c>
    </row>
    <row r="7653" spans="3:5" ht="45" x14ac:dyDescent="0.25">
      <c r="C7653" s="15">
        <v>161747</v>
      </c>
      <c r="D7653" s="4" t="s">
        <v>7657</v>
      </c>
      <c r="E7653" s="4" t="str">
        <f>HYPERLINK("https://app.crepc.sk/?fn=detailBiblioForm&amp;sid=BCA102CB6C4CA54D48E8C863D9")</f>
        <v>https://app.crepc.sk/?fn=detailBiblioForm&amp;sid=BCA102CB6C4CA54D48E8C863D9</v>
      </c>
    </row>
    <row r="7654" spans="3:5" ht="45" x14ac:dyDescent="0.25">
      <c r="C7654" s="15">
        <v>75957</v>
      </c>
      <c r="D7654" s="4" t="s">
        <v>7658</v>
      </c>
      <c r="E7654" s="4" t="str">
        <f>HYPERLINK("https://app.crepc.sk/?fn=detailBiblioForm&amp;sid=4A76D8BB5131AE89368221C9")</f>
        <v>https://app.crepc.sk/?fn=detailBiblioForm&amp;sid=4A76D8BB5131AE89368221C9</v>
      </c>
    </row>
    <row r="7655" spans="3:5" ht="45" x14ac:dyDescent="0.25">
      <c r="C7655" s="15">
        <v>100013</v>
      </c>
      <c r="D7655" s="4" t="s">
        <v>7659</v>
      </c>
      <c r="E7655" s="4" t="str">
        <f>HYPERLINK("https://app.crepc.sk/?fn=detailBiblioForm&amp;sid=8D3F7791082C9B6936D780258C")</f>
        <v>https://app.crepc.sk/?fn=detailBiblioForm&amp;sid=8D3F7791082C9B6936D780258C</v>
      </c>
    </row>
    <row r="7656" spans="3:5" ht="60" x14ac:dyDescent="0.25">
      <c r="C7656" s="15">
        <v>201016</v>
      </c>
      <c r="D7656" s="4" t="s">
        <v>7660</v>
      </c>
      <c r="E7656" s="4" t="str">
        <f>HYPERLINK("https://app.crepc.sk/?fn=detailBiblioForm&amp;sid=243046BA5D04E9C171057A43A4")</f>
        <v>https://app.crepc.sk/?fn=detailBiblioForm&amp;sid=243046BA5D04E9C171057A43A4</v>
      </c>
    </row>
    <row r="7657" spans="3:5" ht="60" x14ac:dyDescent="0.25">
      <c r="C7657" s="15">
        <v>455766</v>
      </c>
      <c r="D7657" s="4" t="s">
        <v>7661</v>
      </c>
      <c r="E7657" s="4" t="str">
        <f>HYPERLINK("https://app.crepc.sk/?fn=detailBiblioForm&amp;sid=F2395E6907A6AA797794E9955B")</f>
        <v>https://app.crepc.sk/?fn=detailBiblioForm&amp;sid=F2395E6907A6AA797794E9955B</v>
      </c>
    </row>
    <row r="7658" spans="3:5" ht="45" x14ac:dyDescent="0.25">
      <c r="C7658" s="15">
        <v>60441</v>
      </c>
      <c r="D7658" s="4" t="s">
        <v>7662</v>
      </c>
      <c r="E7658" s="4" t="str">
        <f>HYPERLINK("https://app.crepc.sk/?fn=detailBiblioForm&amp;sid=2836E4C8E4C6CE42A7BA31E5")</f>
        <v>https://app.crepc.sk/?fn=detailBiblioForm&amp;sid=2836E4C8E4C6CE42A7BA31E5</v>
      </c>
    </row>
    <row r="7659" spans="3:5" ht="45" x14ac:dyDescent="0.25">
      <c r="C7659" s="15">
        <v>100108</v>
      </c>
      <c r="D7659" s="4" t="s">
        <v>7663</v>
      </c>
      <c r="E7659" s="4" t="str">
        <f>HYPERLINK("https://app.crepc.sk/?fn=detailBiblioForm&amp;sid=5BFE66B123F0ED37A6571F9F3C")</f>
        <v>https://app.crepc.sk/?fn=detailBiblioForm&amp;sid=5BFE66B123F0ED37A6571F9F3C</v>
      </c>
    </row>
    <row r="7660" spans="3:5" ht="45" x14ac:dyDescent="0.25">
      <c r="C7660" s="15">
        <v>215286</v>
      </c>
      <c r="D7660" s="4" t="s">
        <v>7664</v>
      </c>
      <c r="E7660" s="4" t="str">
        <f>HYPERLINK("https://app.crepc.sk/?fn=detailBiblioForm&amp;sid=232B0374A242225DBF06E0C308")</f>
        <v>https://app.crepc.sk/?fn=detailBiblioForm&amp;sid=232B0374A242225DBF06E0C308</v>
      </c>
    </row>
    <row r="7661" spans="3:5" ht="75" x14ac:dyDescent="0.25">
      <c r="C7661" s="15">
        <v>224084</v>
      </c>
      <c r="D7661" s="4" t="s">
        <v>7665</v>
      </c>
      <c r="E7661" s="4" t="str">
        <f>HYPERLINK("https://app.crepc.sk/?fn=detailBiblioForm&amp;sid=61336287E2705DAF75C333E3D4")</f>
        <v>https://app.crepc.sk/?fn=detailBiblioForm&amp;sid=61336287E2705DAF75C333E3D4</v>
      </c>
    </row>
    <row r="7662" spans="3:5" ht="45" x14ac:dyDescent="0.25">
      <c r="C7662" s="15">
        <v>60422</v>
      </c>
      <c r="D7662" s="4" t="s">
        <v>7666</v>
      </c>
      <c r="E7662" s="4" t="str">
        <f>HYPERLINK("https://app.crepc.sk/?fn=detailBiblioForm&amp;sid=95B2A0FA32DD93D0E915459A")</f>
        <v>https://app.crepc.sk/?fn=detailBiblioForm&amp;sid=95B2A0FA32DD93D0E915459A</v>
      </c>
    </row>
    <row r="7663" spans="3:5" ht="45" x14ac:dyDescent="0.25">
      <c r="C7663" s="15">
        <v>103142</v>
      </c>
      <c r="D7663" s="4" t="s">
        <v>7667</v>
      </c>
      <c r="E7663" s="4" t="str">
        <f>HYPERLINK("https://app.crepc.sk/?fn=detailBiblioForm&amp;sid=1C4C6AA85D9A3B933393B2703D")</f>
        <v>https://app.crepc.sk/?fn=detailBiblioForm&amp;sid=1C4C6AA85D9A3B933393B2703D</v>
      </c>
    </row>
    <row r="7664" spans="3:5" ht="60" x14ac:dyDescent="0.25">
      <c r="C7664" s="15">
        <v>141255</v>
      </c>
      <c r="D7664" s="4" t="s">
        <v>7668</v>
      </c>
      <c r="E7664" s="4" t="str">
        <f>HYPERLINK("https://app.crepc.sk/?fn=detailBiblioForm&amp;sid=A1BE4CBC10A6410E2FD21A9BFE")</f>
        <v>https://app.crepc.sk/?fn=detailBiblioForm&amp;sid=A1BE4CBC10A6410E2FD21A9BFE</v>
      </c>
    </row>
    <row r="7665" spans="3:5" ht="45" x14ac:dyDescent="0.25">
      <c r="C7665" s="15">
        <v>235106</v>
      </c>
      <c r="D7665" s="4" t="s">
        <v>7669</v>
      </c>
      <c r="E7665" s="4" t="str">
        <f>HYPERLINK("https://app.crepc.sk/?fn=detailBiblioForm&amp;sid=7CC85D9BBAA576830BF5919818")</f>
        <v>https://app.crepc.sk/?fn=detailBiblioForm&amp;sid=7CC85D9BBAA576830BF5919818</v>
      </c>
    </row>
    <row r="7666" spans="3:5" ht="45" x14ac:dyDescent="0.25">
      <c r="C7666" s="15">
        <v>100081</v>
      </c>
      <c r="D7666" s="4" t="s">
        <v>7670</v>
      </c>
      <c r="E7666" s="4" t="str">
        <f>HYPERLINK("https://app.crepc.sk/?fn=detailBiblioForm&amp;sid=8D3F7791082C9B693FD580258C")</f>
        <v>https://app.crepc.sk/?fn=detailBiblioForm&amp;sid=8D3F7791082C9B693FD580258C</v>
      </c>
    </row>
    <row r="7667" spans="3:5" ht="45" x14ac:dyDescent="0.25">
      <c r="C7667" s="15">
        <v>64933</v>
      </c>
      <c r="D7667" s="4" t="s">
        <v>7671</v>
      </c>
      <c r="E7667" s="4" t="str">
        <f>HYPERLINK("https://app.crepc.sk/?fn=detailBiblioForm&amp;sid=35D309216F5400A3B06533D7")</f>
        <v>https://app.crepc.sk/?fn=detailBiblioForm&amp;sid=35D309216F5400A3B06533D7</v>
      </c>
    </row>
    <row r="7668" spans="3:5" ht="75" x14ac:dyDescent="0.25">
      <c r="C7668" s="15">
        <v>129820</v>
      </c>
      <c r="D7668" s="4" t="s">
        <v>7672</v>
      </c>
      <c r="E7668" s="4" t="str">
        <f>HYPERLINK("https://app.crepc.sk/?fn=detailBiblioForm&amp;sid=52338B61C0045FC8DB5954DEB2")</f>
        <v>https://app.crepc.sk/?fn=detailBiblioForm&amp;sid=52338B61C0045FC8DB5954DEB2</v>
      </c>
    </row>
    <row r="7669" spans="3:5" ht="45" x14ac:dyDescent="0.25">
      <c r="C7669" s="15">
        <v>103149</v>
      </c>
      <c r="D7669" s="4" t="s">
        <v>7673</v>
      </c>
      <c r="E7669" s="4" t="str">
        <f>HYPERLINK("https://app.crepc.sk/?fn=detailBiblioForm&amp;sid=1C4C6AA85D9A3B933398B2703D")</f>
        <v>https://app.crepc.sk/?fn=detailBiblioForm&amp;sid=1C4C6AA85D9A3B933398B2703D</v>
      </c>
    </row>
    <row r="7670" spans="3:5" ht="60" x14ac:dyDescent="0.25">
      <c r="C7670" s="15">
        <v>251144</v>
      </c>
      <c r="D7670" s="4" t="s">
        <v>7674</v>
      </c>
      <c r="E7670" s="4" t="str">
        <f>HYPERLINK("https://app.crepc.sk/?fn=detailBiblioForm&amp;sid=39F653ADC89B9C3287BDF67185")</f>
        <v>https://app.crepc.sk/?fn=detailBiblioForm&amp;sid=39F653ADC89B9C3287BDF67185</v>
      </c>
    </row>
    <row r="7671" spans="3:5" ht="45" x14ac:dyDescent="0.25">
      <c r="C7671" s="15">
        <v>179584</v>
      </c>
      <c r="D7671" s="4" t="s">
        <v>7675</v>
      </c>
      <c r="E7671" s="4" t="str">
        <f>HYPERLINK("https://app.crepc.sk/?fn=detailBiblioForm&amp;sid=D2CDA85DA56256F278398485A6")</f>
        <v>https://app.crepc.sk/?fn=detailBiblioForm&amp;sid=D2CDA85DA56256F278398485A6</v>
      </c>
    </row>
    <row r="7672" spans="3:5" ht="60" x14ac:dyDescent="0.25">
      <c r="C7672" s="15">
        <v>235212</v>
      </c>
      <c r="D7672" s="4" t="s">
        <v>7676</v>
      </c>
      <c r="E7672" s="4" t="str">
        <f>HYPERLINK("https://app.crepc.sk/?fn=detailBiblioForm&amp;sid=4A9EA27BD72BC8C6100B297B28")</f>
        <v>https://app.crepc.sk/?fn=detailBiblioForm&amp;sid=4A9EA27BD72BC8C6100B297B28</v>
      </c>
    </row>
    <row r="7673" spans="3:5" ht="60" x14ac:dyDescent="0.25">
      <c r="C7673" s="15">
        <v>228210</v>
      </c>
      <c r="D7673" s="4" t="s">
        <v>7677</v>
      </c>
      <c r="E7673" s="4" t="str">
        <f>HYPERLINK("https://app.crepc.sk/?fn=detailBiblioForm&amp;sid=AF76E74BF3CFEA1C4598851A00")</f>
        <v>https://app.crepc.sk/?fn=detailBiblioForm&amp;sid=AF76E74BF3CFEA1C4598851A00</v>
      </c>
    </row>
    <row r="7674" spans="3:5" ht="45" x14ac:dyDescent="0.25">
      <c r="C7674" s="15">
        <v>105845</v>
      </c>
      <c r="D7674" s="4" t="s">
        <v>7678</v>
      </c>
      <c r="E7674" s="4" t="str">
        <f>HYPERLINK("https://app.crepc.sk/?fn=detailBiblioForm&amp;sid=497BFD8B534E5A6C0B84946B09")</f>
        <v>https://app.crepc.sk/?fn=detailBiblioForm&amp;sid=497BFD8B534E5A6C0B84946B09</v>
      </c>
    </row>
    <row r="7675" spans="3:5" ht="45" x14ac:dyDescent="0.25">
      <c r="C7675" s="15">
        <v>143028</v>
      </c>
      <c r="D7675" s="4" t="s">
        <v>7679</v>
      </c>
      <c r="E7675" s="4" t="str">
        <f>HYPERLINK("https://app.crepc.sk/?fn=detailBiblioForm&amp;sid=0EA7DBD32D42EAF6EFE4224B52")</f>
        <v>https://app.crepc.sk/?fn=detailBiblioForm&amp;sid=0EA7DBD32D42EAF6EFE4224B52</v>
      </c>
    </row>
    <row r="7676" spans="3:5" ht="45" x14ac:dyDescent="0.25">
      <c r="C7676" s="15">
        <v>189674</v>
      </c>
      <c r="D7676" s="4" t="s">
        <v>7680</v>
      </c>
      <c r="E7676" s="4" t="str">
        <f>HYPERLINK("https://app.crepc.sk/?fn=detailBiblioForm&amp;sid=8659C29BADED150F7A40084902")</f>
        <v>https://app.crepc.sk/?fn=detailBiblioForm&amp;sid=8659C29BADED150F7A40084902</v>
      </c>
    </row>
    <row r="7677" spans="3:5" ht="60" x14ac:dyDescent="0.25">
      <c r="C7677" s="15">
        <v>239294</v>
      </c>
      <c r="D7677" s="4" t="s">
        <v>7681</v>
      </c>
      <c r="E7677" s="4" t="str">
        <f>HYPERLINK("https://app.crepc.sk/?fn=detailBiblioForm&amp;sid=4295ABBB03FBD97F05B892826D")</f>
        <v>https://app.crepc.sk/?fn=detailBiblioForm&amp;sid=4295ABBB03FBD97F05B892826D</v>
      </c>
    </row>
    <row r="7678" spans="3:5" ht="45" x14ac:dyDescent="0.25">
      <c r="C7678" s="15">
        <v>162381</v>
      </c>
      <c r="D7678" s="4" t="s">
        <v>7682</v>
      </c>
      <c r="E7678" s="4" t="str">
        <f>HYPERLINK("https://app.crepc.sk/?fn=detailBiblioForm&amp;sid=5379D0B7E3C25FE39C30D05CA5")</f>
        <v>https://app.crepc.sk/?fn=detailBiblioForm&amp;sid=5379D0B7E3C25FE39C30D05CA5</v>
      </c>
    </row>
    <row r="7679" spans="3:5" ht="60" x14ac:dyDescent="0.25">
      <c r="C7679" s="15">
        <v>80536</v>
      </c>
      <c r="D7679" s="4" t="s">
        <v>7683</v>
      </c>
      <c r="E7679" s="4" t="str">
        <f>HYPERLINK("https://app.crepc.sk/?fn=detailBiblioForm&amp;sid=B6C709362453480CAB05C860")</f>
        <v>https://app.crepc.sk/?fn=detailBiblioForm&amp;sid=B6C709362453480CAB05C860</v>
      </c>
    </row>
    <row r="7680" spans="3:5" ht="60" x14ac:dyDescent="0.25">
      <c r="C7680" s="15">
        <v>455988</v>
      </c>
      <c r="D7680" s="4" t="s">
        <v>7684</v>
      </c>
      <c r="E7680" s="4" t="str">
        <f>HYPERLINK("https://app.crepc.sk/?fn=detailBiblioForm&amp;sid=F8E041F7343F91A7986C1A8B80")</f>
        <v>https://app.crepc.sk/?fn=detailBiblioForm&amp;sid=F8E041F7343F91A7986C1A8B80</v>
      </c>
    </row>
    <row r="7681" spans="3:5" ht="45" x14ac:dyDescent="0.25">
      <c r="C7681" s="15">
        <v>80866</v>
      </c>
      <c r="D7681" s="4" t="s">
        <v>7685</v>
      </c>
      <c r="E7681" s="4" t="str">
        <f>HYPERLINK("https://app.crepc.sk/?fn=detailBiblioForm&amp;sid=7AD28EA6D308C9D185283271")</f>
        <v>https://app.crepc.sk/?fn=detailBiblioForm&amp;sid=7AD28EA6D308C9D185283271</v>
      </c>
    </row>
    <row r="7682" spans="3:5" ht="45" x14ac:dyDescent="0.25">
      <c r="C7682" s="15">
        <v>116490</v>
      </c>
      <c r="D7682" s="4" t="s">
        <v>7686</v>
      </c>
      <c r="E7682" s="4" t="str">
        <f>HYPERLINK("https://app.crepc.sk/?fn=detailBiblioForm&amp;sid=E2F93AEC495D93B32A40774800")</f>
        <v>https://app.crepc.sk/?fn=detailBiblioForm&amp;sid=E2F93AEC495D93B32A40774800</v>
      </c>
    </row>
    <row r="7683" spans="3:5" ht="45" x14ac:dyDescent="0.25">
      <c r="C7683" s="15">
        <v>225578</v>
      </c>
      <c r="D7683" s="4" t="s">
        <v>7687</v>
      </c>
      <c r="E7683" s="4" t="str">
        <f>HYPERLINK("https://app.crepc.sk/?fn=detailBiblioForm&amp;sid=1305C8105952319236D88DD014")</f>
        <v>https://app.crepc.sk/?fn=detailBiblioForm&amp;sid=1305C8105952319236D88DD014</v>
      </c>
    </row>
    <row r="7684" spans="3:5" ht="45" x14ac:dyDescent="0.25">
      <c r="C7684" s="15">
        <v>225429</v>
      </c>
      <c r="D7684" s="4" t="s">
        <v>7688</v>
      </c>
      <c r="E7684" s="4" t="str">
        <f>HYPERLINK("https://app.crepc.sk/?fn=detailBiblioForm&amp;sid=D044C6AD8D0F3136A3A0C7AD16")</f>
        <v>https://app.crepc.sk/?fn=detailBiblioForm&amp;sid=D044C6AD8D0F3136A3A0C7AD16</v>
      </c>
    </row>
    <row r="7685" spans="3:5" ht="45" x14ac:dyDescent="0.25">
      <c r="C7685" s="15">
        <v>225586</v>
      </c>
      <c r="D7685" s="4" t="s">
        <v>7689</v>
      </c>
      <c r="E7685" s="4" t="str">
        <f>HYPERLINK("https://app.crepc.sk/?fn=detailBiblioForm&amp;sid=1305C8105952319239D68DD014")</f>
        <v>https://app.crepc.sk/?fn=detailBiblioForm&amp;sid=1305C8105952319239D68DD014</v>
      </c>
    </row>
    <row r="7686" spans="3:5" ht="45" x14ac:dyDescent="0.25">
      <c r="C7686" s="15">
        <v>111585</v>
      </c>
      <c r="D7686" s="4" t="s">
        <v>7690</v>
      </c>
      <c r="E7686" s="4" t="str">
        <f>HYPERLINK("https://app.crepc.sk/?fn=detailBiblioForm&amp;sid=2C59A918B2DCB0BD70F42F71B2")</f>
        <v>https://app.crepc.sk/?fn=detailBiblioForm&amp;sid=2C59A918B2DCB0BD70F42F71B2</v>
      </c>
    </row>
    <row r="7687" spans="3:5" ht="45" x14ac:dyDescent="0.25">
      <c r="C7687" s="15">
        <v>149160</v>
      </c>
      <c r="D7687" s="4" t="s">
        <v>7691</v>
      </c>
      <c r="E7687" s="4" t="str">
        <f>HYPERLINK("https://app.crepc.sk/?fn=detailBiblioForm&amp;sid=DAA396BB6B0B0113454B686083")</f>
        <v>https://app.crepc.sk/?fn=detailBiblioForm&amp;sid=DAA396BB6B0B0113454B686083</v>
      </c>
    </row>
    <row r="7688" spans="3:5" ht="45" x14ac:dyDescent="0.25">
      <c r="C7688" s="15">
        <v>161856</v>
      </c>
      <c r="D7688" s="4" t="s">
        <v>7692</v>
      </c>
      <c r="E7688" s="4" t="str">
        <f>HYPERLINK("https://app.crepc.sk/?fn=detailBiblioForm&amp;sid=9F8942B94996237AAEFB74E07C")</f>
        <v>https://app.crepc.sk/?fn=detailBiblioForm&amp;sid=9F8942B94996237AAEFB74E07C</v>
      </c>
    </row>
    <row r="7689" spans="3:5" ht="45" x14ac:dyDescent="0.25">
      <c r="C7689" s="15">
        <v>51040</v>
      </c>
      <c r="D7689" s="4" t="s">
        <v>7693</v>
      </c>
      <c r="E7689" s="4" t="str">
        <f>HYPERLINK("https://app.crepc.sk/?fn=detailBiblioForm&amp;sid=F664559925A71C4E5F7195AA")</f>
        <v>https://app.crepc.sk/?fn=detailBiblioForm&amp;sid=F664559925A71C4E5F7195AA</v>
      </c>
    </row>
    <row r="7690" spans="3:5" ht="75" x14ac:dyDescent="0.25">
      <c r="C7690" s="15">
        <v>106129</v>
      </c>
      <c r="D7690" s="4" t="s">
        <v>7694</v>
      </c>
      <c r="E7690" s="4" t="str">
        <f>HYPERLINK("https://app.crepc.sk/?fn=detailBiblioForm&amp;sid=4D4650D7C82505D34BF276FBD7")</f>
        <v>https://app.crepc.sk/?fn=detailBiblioForm&amp;sid=4D4650D7C82505D34BF276FBD7</v>
      </c>
    </row>
    <row r="7691" spans="3:5" ht="45" x14ac:dyDescent="0.25">
      <c r="C7691" s="15">
        <v>253585</v>
      </c>
      <c r="D7691" s="4" t="s">
        <v>7695</v>
      </c>
      <c r="E7691" s="4" t="str">
        <f>HYPERLINK("https://app.crepc.sk/?fn=detailBiblioForm&amp;sid=CEF2DEE1832EFB79A2BD6939C9")</f>
        <v>https://app.crepc.sk/?fn=detailBiblioForm&amp;sid=CEF2DEE1832EFB79A2BD6939C9</v>
      </c>
    </row>
    <row r="7692" spans="3:5" ht="45" x14ac:dyDescent="0.25">
      <c r="C7692" s="15">
        <v>115869</v>
      </c>
      <c r="D7692" s="4" t="s">
        <v>7696</v>
      </c>
      <c r="E7692" s="4" t="str">
        <f>HYPERLINK("https://app.crepc.sk/?fn=detailBiblioForm&amp;sid=A7BFAA61F5172B9FE1B579FA0D")</f>
        <v>https://app.crepc.sk/?fn=detailBiblioForm&amp;sid=A7BFAA61F5172B9FE1B579FA0D</v>
      </c>
    </row>
    <row r="7693" spans="3:5" ht="45" x14ac:dyDescent="0.25">
      <c r="C7693" s="15">
        <v>228209</v>
      </c>
      <c r="D7693" s="4" t="s">
        <v>7697</v>
      </c>
      <c r="E7693" s="4" t="str">
        <f>HYPERLINK("https://app.crepc.sk/?fn=detailBiblioForm&amp;sid=AF76E74BF3CFEA1C4491851A00")</f>
        <v>https://app.crepc.sk/?fn=detailBiblioForm&amp;sid=AF76E74BF3CFEA1C4491851A00</v>
      </c>
    </row>
    <row r="7694" spans="3:5" ht="45" x14ac:dyDescent="0.25">
      <c r="C7694" s="15">
        <v>241732</v>
      </c>
      <c r="D7694" s="4" t="s">
        <v>7698</v>
      </c>
      <c r="E7694" s="4" t="str">
        <f>HYPERLINK("https://app.crepc.sk/?fn=detailBiblioForm&amp;sid=1990B27394CC7EA0FA93309990")</f>
        <v>https://app.crepc.sk/?fn=detailBiblioForm&amp;sid=1990B27394CC7EA0FA93309990</v>
      </c>
    </row>
    <row r="7695" spans="3:5" ht="45" x14ac:dyDescent="0.25">
      <c r="C7695" s="15">
        <v>133687</v>
      </c>
      <c r="D7695" s="4" t="s">
        <v>7699</v>
      </c>
      <c r="E7695" s="4" t="str">
        <f>HYPERLINK("https://app.crepc.sk/?fn=detailBiblioForm&amp;sid=843FECD318613D3B1FEBA125F3")</f>
        <v>https://app.crepc.sk/?fn=detailBiblioForm&amp;sid=843FECD318613D3B1FEBA125F3</v>
      </c>
    </row>
    <row r="7696" spans="3:5" ht="60" x14ac:dyDescent="0.25">
      <c r="C7696" s="15">
        <v>117132</v>
      </c>
      <c r="D7696" s="4" t="s">
        <v>7700</v>
      </c>
      <c r="E7696" s="4" t="str">
        <f>HYPERLINK("https://app.crepc.sk/?fn=detailBiblioForm&amp;sid=6B68A92B6F46FD75E9678F4FE2")</f>
        <v>https://app.crepc.sk/?fn=detailBiblioForm&amp;sid=6B68A92B6F46FD75E9678F4FE2</v>
      </c>
    </row>
    <row r="7697" spans="3:5" ht="45" x14ac:dyDescent="0.25">
      <c r="C7697" s="15">
        <v>251164</v>
      </c>
      <c r="D7697" s="4" t="s">
        <v>7701</v>
      </c>
      <c r="E7697" s="4" t="str">
        <f>HYPERLINK("https://app.crepc.sk/?fn=detailBiblioForm&amp;sid=39F653ADC89B9C3285BDF67185")</f>
        <v>https://app.crepc.sk/?fn=detailBiblioForm&amp;sid=39F653ADC89B9C3285BDF67185</v>
      </c>
    </row>
    <row r="7698" spans="3:5" ht="60" x14ac:dyDescent="0.25">
      <c r="C7698" s="15">
        <v>176693</v>
      </c>
      <c r="D7698" s="4" t="s">
        <v>7702</v>
      </c>
      <c r="E7698" s="4" t="str">
        <f>HYPERLINK("https://app.crepc.sk/?fn=detailBiblioForm&amp;sid=A620BEC7F66F1ABEDF12EBCE76")</f>
        <v>https://app.crepc.sk/?fn=detailBiblioForm&amp;sid=A620BEC7F66F1ABEDF12EBCE76</v>
      </c>
    </row>
    <row r="7699" spans="3:5" ht="45" x14ac:dyDescent="0.25">
      <c r="C7699" s="15">
        <v>309529</v>
      </c>
      <c r="D7699" s="4" t="s">
        <v>7703</v>
      </c>
      <c r="E7699" s="4" t="str">
        <f>HYPERLINK("https://app.crepc.sk/?fn=detailBiblioForm&amp;sid=409B0A664F24F32E94C88B9622")</f>
        <v>https://app.crepc.sk/?fn=detailBiblioForm&amp;sid=409B0A664F24F32E94C88B9622</v>
      </c>
    </row>
    <row r="7700" spans="3:5" ht="45" x14ac:dyDescent="0.25">
      <c r="C7700" s="15">
        <v>174320</v>
      </c>
      <c r="D7700" s="4" t="s">
        <v>7704</v>
      </c>
      <c r="E7700" s="4" t="str">
        <f>HYPERLINK("https://app.crepc.sk/?fn=detailBiblioForm&amp;sid=4F55101800366CEF5FF5A9CD0A")</f>
        <v>https://app.crepc.sk/?fn=detailBiblioForm&amp;sid=4F55101800366CEF5FF5A9CD0A</v>
      </c>
    </row>
    <row r="7701" spans="3:5" ht="45" x14ac:dyDescent="0.25">
      <c r="C7701" s="15">
        <v>181121</v>
      </c>
      <c r="D7701" s="4" t="s">
        <v>7705</v>
      </c>
      <c r="E7701" s="4" t="str">
        <f>HYPERLINK("https://app.crepc.sk/?fn=detailBiblioForm&amp;sid=D2270EF957433A5E2F75E60F57")</f>
        <v>https://app.crepc.sk/?fn=detailBiblioForm&amp;sid=D2270EF957433A5E2F75E60F57</v>
      </c>
    </row>
    <row r="7702" spans="3:5" ht="60" x14ac:dyDescent="0.25">
      <c r="C7702" s="15">
        <v>119715</v>
      </c>
      <c r="D7702" s="4" t="s">
        <v>7706</v>
      </c>
      <c r="E7702" s="4" t="str">
        <f>HYPERLINK("https://app.crepc.sk/?fn=detailBiblioForm&amp;sid=B5D677CC38484FF056983AF3C2")</f>
        <v>https://app.crepc.sk/?fn=detailBiblioForm&amp;sid=B5D677CC38484FF056983AF3C2</v>
      </c>
    </row>
    <row r="7703" spans="3:5" ht="45" x14ac:dyDescent="0.25">
      <c r="C7703" s="15">
        <v>181611</v>
      </c>
      <c r="D7703" s="4" t="s">
        <v>7707</v>
      </c>
      <c r="E7703" s="4" t="str">
        <f>HYPERLINK("https://app.crepc.sk/?fn=detailBiblioForm&amp;sid=F0082B7A009D1614B9C175AE99")</f>
        <v>https://app.crepc.sk/?fn=detailBiblioForm&amp;sid=F0082B7A009D1614B9C175AE99</v>
      </c>
    </row>
    <row r="7704" spans="3:5" ht="45" x14ac:dyDescent="0.25">
      <c r="C7704" s="15">
        <v>241205</v>
      </c>
      <c r="D7704" s="4" t="s">
        <v>7708</v>
      </c>
      <c r="E7704" s="4" t="str">
        <f>HYPERLINK("https://app.crepc.sk/?fn=detailBiblioForm&amp;sid=219D60F26EF95CE108512B998E")</f>
        <v>https://app.crepc.sk/?fn=detailBiblioForm&amp;sid=219D60F26EF95CE108512B998E</v>
      </c>
    </row>
    <row r="7705" spans="3:5" ht="45" x14ac:dyDescent="0.25">
      <c r="C7705" s="15">
        <v>213132</v>
      </c>
      <c r="D7705" s="4" t="s">
        <v>7709</v>
      </c>
      <c r="E7705" s="4" t="str">
        <f>HYPERLINK("https://app.crepc.sk/?fn=detailBiblioForm&amp;sid=135C93AC0B2CE4567FF9F252A0")</f>
        <v>https://app.crepc.sk/?fn=detailBiblioForm&amp;sid=135C93AC0B2CE4567FF9F252A0</v>
      </c>
    </row>
    <row r="7706" spans="3:5" ht="45" x14ac:dyDescent="0.25">
      <c r="C7706" s="15">
        <v>55831</v>
      </c>
      <c r="D7706" s="4" t="s">
        <v>7710</v>
      </c>
      <c r="E7706" s="4" t="str">
        <f>HYPERLINK("https://app.crepc.sk/?fn=detailBiblioForm&amp;sid=86998B6BFD6DC25B69FB6433")</f>
        <v>https://app.crepc.sk/?fn=detailBiblioForm&amp;sid=86998B6BFD6DC25B69FB6433</v>
      </c>
    </row>
    <row r="7707" spans="3:5" ht="60" x14ac:dyDescent="0.25">
      <c r="C7707" s="15">
        <v>161819</v>
      </c>
      <c r="D7707" s="4" t="s">
        <v>7711</v>
      </c>
      <c r="E7707" s="4" t="str">
        <f>HYPERLINK("https://app.crepc.sk/?fn=detailBiblioForm&amp;sid=9F8942B94996237AAAF474E07C")</f>
        <v>https://app.crepc.sk/?fn=detailBiblioForm&amp;sid=9F8942B94996237AAAF474E07C</v>
      </c>
    </row>
    <row r="7708" spans="3:5" ht="60" x14ac:dyDescent="0.25">
      <c r="C7708" s="15">
        <v>97503</v>
      </c>
      <c r="D7708" s="4" t="s">
        <v>7712</v>
      </c>
      <c r="E7708" s="4" t="str">
        <f>HYPERLINK("https://app.crepc.sk/?fn=detailBiblioForm&amp;sid=91467FF0406D086915990EAC")</f>
        <v>https://app.crepc.sk/?fn=detailBiblioForm&amp;sid=91467FF0406D086915990EAC</v>
      </c>
    </row>
    <row r="7709" spans="3:5" ht="60" x14ac:dyDescent="0.25">
      <c r="C7709" s="15">
        <v>70677</v>
      </c>
      <c r="D7709" s="4" t="s">
        <v>7713</v>
      </c>
      <c r="E7709" s="4" t="str">
        <f>HYPERLINK("https://app.crepc.sk/?fn=detailBiblioForm&amp;sid=41C4C1F4880435D045941A6F")</f>
        <v>https://app.crepc.sk/?fn=detailBiblioForm&amp;sid=41C4C1F4880435D045941A6F</v>
      </c>
    </row>
    <row r="7710" spans="3:5" ht="45" x14ac:dyDescent="0.25">
      <c r="C7710" s="15">
        <v>145098</v>
      </c>
      <c r="D7710" s="4" t="s">
        <v>7714</v>
      </c>
      <c r="E7710" s="4" t="str">
        <f>HYPERLINK("https://app.crepc.sk/?fn=detailBiblioForm&amp;sid=A067BA41CFE566E7BC8A7B2D76")</f>
        <v>https://app.crepc.sk/?fn=detailBiblioForm&amp;sid=A067BA41CFE566E7BC8A7B2D76</v>
      </c>
    </row>
    <row r="7711" spans="3:5" ht="45" x14ac:dyDescent="0.25">
      <c r="C7711" s="15">
        <v>225712</v>
      </c>
      <c r="D7711" s="4" t="s">
        <v>7715</v>
      </c>
      <c r="E7711" s="4" t="str">
        <f>HYPERLINK("https://app.crepc.sk/?fn=detailBiblioForm&amp;sid=A02FDD97A14D5247056C018373")</f>
        <v>https://app.crepc.sk/?fn=detailBiblioForm&amp;sid=A02FDD97A14D5247056C018373</v>
      </c>
    </row>
    <row r="7712" spans="3:5" ht="45" x14ac:dyDescent="0.25">
      <c r="C7712" s="15">
        <v>160640</v>
      </c>
      <c r="D7712" s="4" t="s">
        <v>7716</v>
      </c>
      <c r="E7712" s="4" t="str">
        <f>HYPERLINK("https://app.crepc.sk/?fn=detailBiblioForm&amp;sid=EAEEF7E0DC56650F7B7670EDEA")</f>
        <v>https://app.crepc.sk/?fn=detailBiblioForm&amp;sid=EAEEF7E0DC56650F7B7670EDEA</v>
      </c>
    </row>
    <row r="7713" spans="3:5" ht="75" x14ac:dyDescent="0.25">
      <c r="C7713" s="15">
        <v>82695</v>
      </c>
      <c r="D7713" s="4" t="s">
        <v>7717</v>
      </c>
      <c r="E7713" s="4" t="str">
        <f>HYPERLINK("https://app.crepc.sk/?fn=detailBiblioForm&amp;sid=5A76C1856B535E23CEB34820")</f>
        <v>https://app.crepc.sk/?fn=detailBiblioForm&amp;sid=5A76C1856B535E23CEB34820</v>
      </c>
    </row>
    <row r="7714" spans="3:5" ht="45" x14ac:dyDescent="0.25">
      <c r="C7714" s="15">
        <v>416741</v>
      </c>
      <c r="D7714" s="4" t="s">
        <v>7718</v>
      </c>
      <c r="E7714" s="4" t="str">
        <f>HYPERLINK("https://app.crepc.sk/?fn=detailBiblioForm&amp;sid=FFF02B87E998ACF2F12E56DEC9")</f>
        <v>https://app.crepc.sk/?fn=detailBiblioForm&amp;sid=FFF02B87E998ACF2F12E56DEC9</v>
      </c>
    </row>
    <row r="7715" spans="3:5" ht="45" x14ac:dyDescent="0.25">
      <c r="C7715" s="15">
        <v>99947</v>
      </c>
      <c r="D7715" s="4" t="s">
        <v>7719</v>
      </c>
      <c r="E7715" s="4" t="str">
        <f>HYPERLINK("https://app.crepc.sk/?fn=detailBiblioForm&amp;sid=3905B56557845F5FD8C29609")</f>
        <v>https://app.crepc.sk/?fn=detailBiblioForm&amp;sid=3905B56557845F5FD8C29609</v>
      </c>
    </row>
    <row r="7716" spans="3:5" ht="45" x14ac:dyDescent="0.25">
      <c r="C7716" s="15">
        <v>80927</v>
      </c>
      <c r="D7716" s="4" t="s">
        <v>7720</v>
      </c>
      <c r="E7716" s="4" t="str">
        <f>HYPERLINK("https://app.crepc.sk/?fn=detailBiblioForm&amp;sid=BF6747541D1E3B2602E84D09")</f>
        <v>https://app.crepc.sk/?fn=detailBiblioForm&amp;sid=BF6747541D1E3B2602E84D09</v>
      </c>
    </row>
    <row r="7717" spans="3:5" ht="60" x14ac:dyDescent="0.25">
      <c r="C7717" s="15">
        <v>440750</v>
      </c>
      <c r="D7717" s="4" t="s">
        <v>7721</v>
      </c>
      <c r="E7717" s="4" t="str">
        <f>HYPERLINK("https://app.crepc.sk/?fn=detailBiblioForm&amp;sid=C3C046FDC00D8772CB31A536D3")</f>
        <v>https://app.crepc.sk/?fn=detailBiblioForm&amp;sid=C3C046FDC00D8772CB31A536D3</v>
      </c>
    </row>
    <row r="7718" spans="3:5" ht="60" x14ac:dyDescent="0.25">
      <c r="C7718" s="15">
        <v>440755</v>
      </c>
      <c r="D7718" s="4" t="s">
        <v>7722</v>
      </c>
      <c r="E7718" s="4" t="str">
        <f>HYPERLINK("https://app.crepc.sk/?fn=detailBiblioForm&amp;sid=C3C046FDC00D8772CB34A536D3")</f>
        <v>https://app.crepc.sk/?fn=detailBiblioForm&amp;sid=C3C046FDC00D8772CB34A536D3</v>
      </c>
    </row>
    <row r="7719" spans="3:5" ht="45" x14ac:dyDescent="0.25">
      <c r="C7719" s="15">
        <v>181123</v>
      </c>
      <c r="D7719" s="4" t="s">
        <v>7723</v>
      </c>
      <c r="E7719" s="4" t="str">
        <f>HYPERLINK("https://app.crepc.sk/?fn=detailBiblioForm&amp;sid=D2270EF957433A5E2F77E60F57")</f>
        <v>https://app.crepc.sk/?fn=detailBiblioForm&amp;sid=D2270EF957433A5E2F77E60F57</v>
      </c>
    </row>
    <row r="7720" spans="3:5" ht="45" x14ac:dyDescent="0.25">
      <c r="C7720" s="15">
        <v>181118</v>
      </c>
      <c r="D7720" s="4" t="s">
        <v>7724</v>
      </c>
      <c r="E7720" s="4" t="str">
        <f>HYPERLINK("https://app.crepc.sk/?fn=detailBiblioForm&amp;sid=D2270EF957433A5E2C7CE60F57")</f>
        <v>https://app.crepc.sk/?fn=detailBiblioForm&amp;sid=D2270EF957433A5E2C7CE60F57</v>
      </c>
    </row>
    <row r="7721" spans="3:5" ht="45" x14ac:dyDescent="0.25">
      <c r="C7721" s="15">
        <v>80877</v>
      </c>
      <c r="D7721" s="4" t="s">
        <v>7725</v>
      </c>
      <c r="E7721" s="4" t="str">
        <f>HYPERLINK("https://app.crepc.sk/?fn=detailBiblioForm&amp;sid=702C30BF6147FD5F86DF172C")</f>
        <v>https://app.crepc.sk/?fn=detailBiblioForm&amp;sid=702C30BF6147FD5F86DF172C</v>
      </c>
    </row>
    <row r="7722" spans="3:5" ht="45" x14ac:dyDescent="0.25">
      <c r="C7722" s="15">
        <v>80890</v>
      </c>
      <c r="D7722" s="4" t="s">
        <v>7726</v>
      </c>
      <c r="E7722" s="4" t="str">
        <f>HYPERLINK("https://app.crepc.sk/?fn=detailBiblioForm&amp;sid=FD74A137D07AF7CEED2A755E")</f>
        <v>https://app.crepc.sk/?fn=detailBiblioForm&amp;sid=FD74A137D07AF7CEED2A755E</v>
      </c>
    </row>
    <row r="7723" spans="3:5" ht="60" x14ac:dyDescent="0.25">
      <c r="C7723" s="15">
        <v>100065</v>
      </c>
      <c r="D7723" s="4" t="s">
        <v>7727</v>
      </c>
      <c r="E7723" s="4" t="str">
        <f>HYPERLINK("https://app.crepc.sk/?fn=detailBiblioForm&amp;sid=8D3F7791082C9B6931D180258C")</f>
        <v>https://app.crepc.sk/?fn=detailBiblioForm&amp;sid=8D3F7791082C9B6931D180258C</v>
      </c>
    </row>
    <row r="7724" spans="3:5" ht="45" x14ac:dyDescent="0.25">
      <c r="C7724" s="15">
        <v>181612</v>
      </c>
      <c r="D7724" s="4" t="s">
        <v>7728</v>
      </c>
      <c r="E7724" s="4" t="str">
        <f>HYPERLINK("https://app.crepc.sk/?fn=detailBiblioForm&amp;sid=F0082B7A009D1614B9C275AE99")</f>
        <v>https://app.crepc.sk/?fn=detailBiblioForm&amp;sid=F0082B7A009D1614B9C275AE99</v>
      </c>
    </row>
    <row r="7725" spans="3:5" ht="45" x14ac:dyDescent="0.25">
      <c r="C7725" s="15">
        <v>57785</v>
      </c>
      <c r="D7725" s="4" t="s">
        <v>7729</v>
      </c>
      <c r="E7725" s="4" t="str">
        <f>HYPERLINK("https://app.crepc.sk/?fn=detailBiblioForm&amp;sid=9A55BB660F428DAA855389F6")</f>
        <v>https://app.crepc.sk/?fn=detailBiblioForm&amp;sid=9A55BB660F428DAA855389F6</v>
      </c>
    </row>
    <row r="7726" spans="3:5" ht="60" x14ac:dyDescent="0.25">
      <c r="C7726" s="15">
        <v>161980</v>
      </c>
      <c r="D7726" s="4" t="s">
        <v>7730</v>
      </c>
      <c r="E7726" s="4" t="str">
        <f>HYPERLINK("https://app.crepc.sk/?fn=detailBiblioForm&amp;sid=3BEC39B52C756B70C50279B3D6")</f>
        <v>https://app.crepc.sk/?fn=detailBiblioForm&amp;sid=3BEC39B52C756B70C50279B3D6</v>
      </c>
    </row>
    <row r="7727" spans="3:5" ht="45" x14ac:dyDescent="0.25">
      <c r="C7727" s="15">
        <v>305823</v>
      </c>
      <c r="D7727" s="4" t="s">
        <v>7731</v>
      </c>
      <c r="E7727" s="4" t="str">
        <f>HYPERLINK("https://app.crepc.sk/?fn=detailBiblioForm&amp;sid=4FAEBD38B72F227D0236B62942")</f>
        <v>https://app.crepc.sk/?fn=detailBiblioForm&amp;sid=4FAEBD38B72F227D0236B62942</v>
      </c>
    </row>
    <row r="7728" spans="3:5" ht="45" x14ac:dyDescent="0.25">
      <c r="C7728" s="15">
        <v>222082</v>
      </c>
      <c r="D7728" s="4" t="s">
        <v>7732</v>
      </c>
      <c r="E7728" s="4" t="str">
        <f>HYPERLINK("https://app.crepc.sk/?fn=detailBiblioForm&amp;sid=AE035A1340B0E94A9C8CAF86E8")</f>
        <v>https://app.crepc.sk/?fn=detailBiblioForm&amp;sid=AE035A1340B0E94A9C8CAF86E8</v>
      </c>
    </row>
    <row r="7729" spans="3:5" ht="45" x14ac:dyDescent="0.25">
      <c r="C7729" s="15">
        <v>425218</v>
      </c>
      <c r="D7729" s="4" t="s">
        <v>7733</v>
      </c>
      <c r="E7729" s="4" t="str">
        <f>HYPERLINK("https://app.crepc.sk/?fn=detailBiblioForm&amp;sid=FDA51FD9742DF568CB0C772E8D")</f>
        <v>https://app.crepc.sk/?fn=detailBiblioForm&amp;sid=FDA51FD9742DF568CB0C772E8D</v>
      </c>
    </row>
    <row r="7730" spans="3:5" ht="45" x14ac:dyDescent="0.25">
      <c r="C7730" s="15">
        <v>305826</v>
      </c>
      <c r="D7730" s="4" t="s">
        <v>7734</v>
      </c>
      <c r="E7730" s="4" t="str">
        <f>HYPERLINK("https://app.crepc.sk/?fn=detailBiblioForm&amp;sid=4FAEBD38B72F227D0233B62942")</f>
        <v>https://app.crepc.sk/?fn=detailBiblioForm&amp;sid=4FAEBD38B72F227D0233B62942</v>
      </c>
    </row>
    <row r="7731" spans="3:5" ht="45" x14ac:dyDescent="0.25">
      <c r="C7731" s="15">
        <v>436049</v>
      </c>
      <c r="D7731" s="4" t="s">
        <v>7735</v>
      </c>
      <c r="E7731" s="4" t="str">
        <f>HYPERLINK("https://app.crepc.sk/?fn=detailBiblioForm&amp;sid=0D8840D8555AF42F408B6A8F01")</f>
        <v>https://app.crepc.sk/?fn=detailBiblioForm&amp;sid=0D8840D8555AF42F408B6A8F01</v>
      </c>
    </row>
    <row r="7732" spans="3:5" ht="45" x14ac:dyDescent="0.25">
      <c r="C7732" s="15">
        <v>166986</v>
      </c>
      <c r="D7732" s="4" t="s">
        <v>7736</v>
      </c>
      <c r="E7732" s="4" t="str">
        <f>HYPERLINK("https://app.crepc.sk/?fn=detailBiblioForm&amp;sid=ADD66581470B3E4A104434C3C3")</f>
        <v>https://app.crepc.sk/?fn=detailBiblioForm&amp;sid=ADD66581470B3E4A104434C3C3</v>
      </c>
    </row>
    <row r="7733" spans="3:5" ht="75" x14ac:dyDescent="0.25">
      <c r="C7733" s="15">
        <v>425619</v>
      </c>
      <c r="D7733" s="4" t="s">
        <v>7737</v>
      </c>
      <c r="E7733" s="4" t="str">
        <f>HYPERLINK("https://app.crepc.sk/?fn=detailBiblioForm&amp;sid=DCD87B093B43B4A7BD00497B10")</f>
        <v>https://app.crepc.sk/?fn=detailBiblioForm&amp;sid=DCD87B093B43B4A7BD00497B10</v>
      </c>
    </row>
    <row r="7734" spans="3:5" ht="45" x14ac:dyDescent="0.25">
      <c r="C7734" s="15">
        <v>441485</v>
      </c>
      <c r="D7734" s="4" t="s">
        <v>7738</v>
      </c>
      <c r="E7734" s="4" t="str">
        <f>HYPERLINK("https://app.crepc.sk/?fn=detailBiblioForm&amp;sid=35A487982B485B4FC70E3650B6")</f>
        <v>https://app.crepc.sk/?fn=detailBiblioForm&amp;sid=35A487982B485B4FC70E3650B6</v>
      </c>
    </row>
    <row r="7735" spans="3:5" ht="45" x14ac:dyDescent="0.25">
      <c r="C7735" s="15">
        <v>448290</v>
      </c>
      <c r="D7735" s="4" t="s">
        <v>7739</v>
      </c>
      <c r="E7735" s="4" t="str">
        <f>HYPERLINK("https://app.crepc.sk/?fn=detailBiblioForm&amp;sid=5BE501D611F83A9AA39C67DA3F")</f>
        <v>https://app.crepc.sk/?fn=detailBiblioForm&amp;sid=5BE501D611F83A9AA39C67DA3F</v>
      </c>
    </row>
    <row r="7736" spans="3:5" ht="45" x14ac:dyDescent="0.25">
      <c r="C7736" s="15">
        <v>212740</v>
      </c>
      <c r="D7736" s="4" t="s">
        <v>7740</v>
      </c>
      <c r="E7736" s="4" t="str">
        <f>HYPERLINK("https://app.crepc.sk/?fn=detailBiblioForm&amp;sid=24B1BED81E519E7D60B0007643")</f>
        <v>https://app.crepc.sk/?fn=detailBiblioForm&amp;sid=24B1BED81E519E7D60B0007643</v>
      </c>
    </row>
    <row r="7737" spans="3:5" ht="45" x14ac:dyDescent="0.25">
      <c r="C7737" s="15">
        <v>429192</v>
      </c>
      <c r="D7737" s="4" t="s">
        <v>7741</v>
      </c>
      <c r="E7737" s="4" t="str">
        <f>HYPERLINK("https://app.crepc.sk/?fn=detailBiblioForm&amp;sid=1F960971EB794925EBF03E5078")</f>
        <v>https://app.crepc.sk/?fn=detailBiblioForm&amp;sid=1F960971EB794925EBF03E5078</v>
      </c>
    </row>
    <row r="7738" spans="3:5" ht="45" x14ac:dyDescent="0.25">
      <c r="C7738" s="15">
        <v>72284</v>
      </c>
      <c r="D7738" s="4" t="s">
        <v>7742</v>
      </c>
      <c r="E7738" s="4" t="str">
        <f>HYPERLINK("https://app.crepc.sk/?fn=detailBiblioForm&amp;sid=D5D361BABD45C2BA2E42C1D7")</f>
        <v>https://app.crepc.sk/?fn=detailBiblioForm&amp;sid=D5D361BABD45C2BA2E42C1D7</v>
      </c>
    </row>
    <row r="7739" spans="3:5" ht="45" x14ac:dyDescent="0.25">
      <c r="C7739" s="15">
        <v>226036</v>
      </c>
      <c r="D7739" s="4" t="s">
        <v>7743</v>
      </c>
      <c r="E7739" s="4" t="str">
        <f>HYPERLINK("https://app.crepc.sk/?fn=detailBiblioForm&amp;sid=7241E0F0A68FF7150A5CAE2810")</f>
        <v>https://app.crepc.sk/?fn=detailBiblioForm&amp;sid=7241E0F0A68FF7150A5CAE2810</v>
      </c>
    </row>
    <row r="7740" spans="3:5" ht="45" x14ac:dyDescent="0.25">
      <c r="C7740" s="15">
        <v>100054</v>
      </c>
      <c r="D7740" s="4" t="s">
        <v>7744</v>
      </c>
      <c r="E7740" s="4" t="str">
        <f>HYPERLINK("https://app.crepc.sk/?fn=detailBiblioForm&amp;sid=8D3F7791082C9B6932D080258C")</f>
        <v>https://app.crepc.sk/?fn=detailBiblioForm&amp;sid=8D3F7791082C9B6932D080258C</v>
      </c>
    </row>
    <row r="7741" spans="3:5" ht="45" x14ac:dyDescent="0.25">
      <c r="C7741" s="15">
        <v>137519</v>
      </c>
      <c r="D7741" s="4" t="s">
        <v>7745</v>
      </c>
      <c r="E7741" s="4" t="str">
        <f>HYPERLINK("https://app.crepc.sk/?fn=detailBiblioForm&amp;sid=3E9AEE53085E0AC85A9191864D")</f>
        <v>https://app.crepc.sk/?fn=detailBiblioForm&amp;sid=3E9AEE53085E0AC85A9191864D</v>
      </c>
    </row>
    <row r="7742" spans="3:5" ht="60" x14ac:dyDescent="0.25">
      <c r="C7742" s="15">
        <v>51872</v>
      </c>
      <c r="D7742" s="4" t="s">
        <v>7746</v>
      </c>
      <c r="E7742" s="4" t="str">
        <f>HYPERLINK("https://app.crepc.sk/?fn=detailBiblioForm&amp;sid=D5D698E870B5262BEE2533D6")</f>
        <v>https://app.crepc.sk/?fn=detailBiblioForm&amp;sid=D5D698E870B5262BEE2533D6</v>
      </c>
    </row>
    <row r="7743" spans="3:5" ht="45" x14ac:dyDescent="0.25">
      <c r="C7743" s="15">
        <v>434641</v>
      </c>
      <c r="D7743" s="4" t="s">
        <v>7747</v>
      </c>
      <c r="E7743" s="4" t="str">
        <f>HYPERLINK("https://app.crepc.sk/?fn=detailBiblioForm&amp;sid=7166C1BDD775310309CDF6060F")</f>
        <v>https://app.crepc.sk/?fn=detailBiblioForm&amp;sid=7166C1BDD775310309CDF6060F</v>
      </c>
    </row>
    <row r="7744" spans="3:5" ht="45" x14ac:dyDescent="0.25">
      <c r="C7744" s="15">
        <v>149143</v>
      </c>
      <c r="D7744" s="4" t="s">
        <v>7748</v>
      </c>
      <c r="E7744" s="4" t="str">
        <f>HYPERLINK("https://app.crepc.sk/?fn=detailBiblioForm&amp;sid=DAA396BB6B0B01134748686083")</f>
        <v>https://app.crepc.sk/?fn=detailBiblioForm&amp;sid=DAA396BB6B0B01134748686083</v>
      </c>
    </row>
    <row r="7745" spans="3:5" ht="45" x14ac:dyDescent="0.25">
      <c r="C7745" s="15">
        <v>149097</v>
      </c>
      <c r="D7745" s="4" t="s">
        <v>7749</v>
      </c>
      <c r="E7745" s="4" t="str">
        <f>HYPERLINK("https://app.crepc.sk/?fn=detailBiblioForm&amp;sid=394581B55BAE63AC68AAD47953")</f>
        <v>https://app.crepc.sk/?fn=detailBiblioForm&amp;sid=394581B55BAE63AC68AAD47953</v>
      </c>
    </row>
    <row r="7746" spans="3:5" ht="60" x14ac:dyDescent="0.25">
      <c r="C7746" s="15">
        <v>442363</v>
      </c>
      <c r="D7746" s="4" t="s">
        <v>7750</v>
      </c>
      <c r="E7746" s="4" t="str">
        <f>HYPERLINK("https://app.crepc.sk/?fn=detailBiblioForm&amp;sid=F661DE2421DD595D52CE62841D")</f>
        <v>https://app.crepc.sk/?fn=detailBiblioForm&amp;sid=F661DE2421DD595D52CE62841D</v>
      </c>
    </row>
    <row r="7747" spans="3:5" ht="60" x14ac:dyDescent="0.25">
      <c r="C7747" s="15">
        <v>442364</v>
      </c>
      <c r="D7747" s="4" t="s">
        <v>7751</v>
      </c>
      <c r="E7747" s="4" t="str">
        <f>HYPERLINK("https://app.crepc.sk/?fn=detailBiblioForm&amp;sid=F661DE2421DD595D52C962841D")</f>
        <v>https://app.crepc.sk/?fn=detailBiblioForm&amp;sid=F661DE2421DD595D52C962841D</v>
      </c>
    </row>
    <row r="7748" spans="3:5" ht="75" x14ac:dyDescent="0.25">
      <c r="C7748" s="15">
        <v>442365</v>
      </c>
      <c r="D7748" s="4" t="s">
        <v>7752</v>
      </c>
      <c r="E7748" s="4" t="str">
        <f>HYPERLINK("https://app.crepc.sk/?fn=detailBiblioForm&amp;sid=F661DE2421DD595D52C862841D")</f>
        <v>https://app.crepc.sk/?fn=detailBiblioForm&amp;sid=F661DE2421DD595D52C862841D</v>
      </c>
    </row>
    <row r="7749" spans="3:5" ht="60" x14ac:dyDescent="0.25">
      <c r="C7749" s="15">
        <v>175478</v>
      </c>
      <c r="D7749" s="4" t="s">
        <v>7753</v>
      </c>
      <c r="E7749" s="4" t="str">
        <f>HYPERLINK("https://app.crepc.sk/?fn=detailBiblioForm&amp;sid=5E8AE344A08831ABCA8303A46F")</f>
        <v>https://app.crepc.sk/?fn=detailBiblioForm&amp;sid=5E8AE344A08831ABCA8303A46F</v>
      </c>
    </row>
    <row r="7750" spans="3:5" ht="60" x14ac:dyDescent="0.25">
      <c r="C7750" s="15">
        <v>215088</v>
      </c>
      <c r="D7750" s="4" t="s">
        <v>7754</v>
      </c>
      <c r="E7750" s="4" t="str">
        <f>HYPERLINK("https://app.crepc.sk/?fn=detailBiblioForm&amp;sid=C4807EF2F858620C0EE730175A")</f>
        <v>https://app.crepc.sk/?fn=detailBiblioForm&amp;sid=C4807EF2F858620C0EE730175A</v>
      </c>
    </row>
    <row r="7751" spans="3:5" ht="45" x14ac:dyDescent="0.25">
      <c r="C7751" s="15">
        <v>120335</v>
      </c>
      <c r="D7751" s="4" t="s">
        <v>7755</v>
      </c>
      <c r="E7751" s="4" t="str">
        <f>HYPERLINK("https://app.crepc.sk/?fn=detailBiblioForm&amp;sid=7C8EC80C674BD33D47A86DBADF")</f>
        <v>https://app.crepc.sk/?fn=detailBiblioForm&amp;sid=7C8EC80C674BD33D47A86DBADF</v>
      </c>
    </row>
    <row r="7752" spans="3:5" ht="45" x14ac:dyDescent="0.25">
      <c r="C7752" s="15">
        <v>181122</v>
      </c>
      <c r="D7752" s="4" t="s">
        <v>7756</v>
      </c>
      <c r="E7752" s="4" t="str">
        <f>HYPERLINK("https://app.crepc.sk/?fn=detailBiblioForm&amp;sid=D2270EF957433A5E2F76E60F57")</f>
        <v>https://app.crepc.sk/?fn=detailBiblioForm&amp;sid=D2270EF957433A5E2F76E60F57</v>
      </c>
    </row>
    <row r="7753" spans="3:5" ht="45" x14ac:dyDescent="0.25">
      <c r="C7753" s="15">
        <v>435824</v>
      </c>
      <c r="D7753" s="4" t="s">
        <v>7757</v>
      </c>
      <c r="E7753" s="4" t="str">
        <f>HYPERLINK("https://app.crepc.sk/?fn=detailBiblioForm&amp;sid=0FFE5128E80DD4211C0FCC8394")</f>
        <v>https://app.crepc.sk/?fn=detailBiblioForm&amp;sid=0FFE5128E80DD4211C0FCC8394</v>
      </c>
    </row>
    <row r="7754" spans="3:5" ht="45" x14ac:dyDescent="0.25">
      <c r="C7754" s="15">
        <v>211238</v>
      </c>
      <c r="D7754" s="4" t="s">
        <v>7758</v>
      </c>
      <c r="E7754" s="4" t="str">
        <f>HYPERLINK("https://app.crepc.sk/?fn=detailBiblioForm&amp;sid=12D43A2BF2357AAE340D1CCE89")</f>
        <v>https://app.crepc.sk/?fn=detailBiblioForm&amp;sid=12D43A2BF2357AAE340D1CCE89</v>
      </c>
    </row>
    <row r="7755" spans="3:5" ht="45" x14ac:dyDescent="0.25">
      <c r="C7755" s="15">
        <v>213094</v>
      </c>
      <c r="D7755" s="4" t="s">
        <v>7759</v>
      </c>
      <c r="E7755" s="4" t="str">
        <f>HYPERLINK("https://app.crepc.sk/?fn=detailBiblioForm&amp;sid=08CCA24EEC3F6BB4703586760C")</f>
        <v>https://app.crepc.sk/?fn=detailBiblioForm&amp;sid=08CCA24EEC3F6BB4703586760C</v>
      </c>
    </row>
    <row r="7756" spans="3:5" ht="45" x14ac:dyDescent="0.25">
      <c r="C7756" s="15">
        <v>142399</v>
      </c>
      <c r="D7756" s="4" t="s">
        <v>7760</v>
      </c>
      <c r="E7756" s="4" t="str">
        <f>HYPERLINK("https://app.crepc.sk/?fn=detailBiblioForm&amp;sid=83712EB9BC21748F23923706BD")</f>
        <v>https://app.crepc.sk/?fn=detailBiblioForm&amp;sid=83712EB9BC21748F23923706BD</v>
      </c>
    </row>
    <row r="7757" spans="3:5" ht="45" x14ac:dyDescent="0.25">
      <c r="C7757" s="15">
        <v>212678</v>
      </c>
      <c r="D7757" s="4" t="s">
        <v>7761</v>
      </c>
      <c r="E7757" s="4" t="str">
        <f>HYPERLINK("https://app.crepc.sk/?fn=detailBiblioForm&amp;sid=98C1BC1B72D21E0930AF0A25E5")</f>
        <v>https://app.crepc.sk/?fn=detailBiblioForm&amp;sid=98C1BC1B72D21E0930AF0A25E5</v>
      </c>
    </row>
    <row r="7758" spans="3:5" ht="45" x14ac:dyDescent="0.25">
      <c r="C7758" s="15">
        <v>203485</v>
      </c>
      <c r="D7758" s="4" t="s">
        <v>7762</v>
      </c>
      <c r="E7758" s="4" t="str">
        <f>HYPERLINK("https://app.crepc.sk/?fn=detailBiblioForm&amp;sid=7BEB1638C0BCEFCF29F212B925")</f>
        <v>https://app.crepc.sk/?fn=detailBiblioForm&amp;sid=7BEB1638C0BCEFCF29F212B925</v>
      </c>
    </row>
    <row r="7759" spans="3:5" ht="45" x14ac:dyDescent="0.25">
      <c r="C7759" s="15">
        <v>103233</v>
      </c>
      <c r="D7759" s="4" t="s">
        <v>7763</v>
      </c>
      <c r="E7759" s="4" t="str">
        <f>HYPERLINK("https://app.crepc.sk/?fn=detailBiblioForm&amp;sid=26BAE0713B0B941B8CC14F3650")</f>
        <v>https://app.crepc.sk/?fn=detailBiblioForm&amp;sid=26BAE0713B0B941B8CC14F3650</v>
      </c>
    </row>
    <row r="7760" spans="3:5" ht="60" x14ac:dyDescent="0.25">
      <c r="C7760" s="15">
        <v>247355</v>
      </c>
      <c r="D7760" s="4" t="s">
        <v>7764</v>
      </c>
      <c r="E7760" s="4" t="str">
        <f>HYPERLINK("https://app.crepc.sk/?fn=detailBiblioForm&amp;sid=D914BD9F0400FF3A7310287E4B")</f>
        <v>https://app.crepc.sk/?fn=detailBiblioForm&amp;sid=D914BD9F0400FF3A7310287E4B</v>
      </c>
    </row>
    <row r="7761" spans="3:5" ht="45" x14ac:dyDescent="0.25">
      <c r="C7761" s="15">
        <v>201514</v>
      </c>
      <c r="D7761" s="4" t="s">
        <v>7765</v>
      </c>
      <c r="E7761" s="4" t="str">
        <f>HYPERLINK("https://app.crepc.sk/?fn=detailBiblioForm&amp;sid=C3E0BD8EE7867A05E8A45B1402")</f>
        <v>https://app.crepc.sk/?fn=detailBiblioForm&amp;sid=C3E0BD8EE7867A05E8A45B1402</v>
      </c>
    </row>
    <row r="7762" spans="3:5" ht="75" x14ac:dyDescent="0.25">
      <c r="C7762" s="15">
        <v>82697</v>
      </c>
      <c r="D7762" s="4" t="s">
        <v>7766</v>
      </c>
      <c r="E7762" s="4" t="str">
        <f>HYPERLINK("https://app.crepc.sk/?fn=detailBiblioForm&amp;sid=5A76C1856B535E23CCB34820")</f>
        <v>https://app.crepc.sk/?fn=detailBiblioForm&amp;sid=5A76C1856B535E23CCB34820</v>
      </c>
    </row>
    <row r="7763" spans="3:5" ht="45" x14ac:dyDescent="0.25">
      <c r="C7763" s="15">
        <v>124829</v>
      </c>
      <c r="D7763" s="4" t="s">
        <v>7767</v>
      </c>
      <c r="E7763" s="4" t="str">
        <f>HYPERLINK("https://app.crepc.sk/?fn=detailBiblioForm&amp;sid=DBBA30DD5E77A138683C840F51")</f>
        <v>https://app.crepc.sk/?fn=detailBiblioForm&amp;sid=DBBA30DD5E77A138683C840F51</v>
      </c>
    </row>
    <row r="7764" spans="3:5" ht="45" x14ac:dyDescent="0.25">
      <c r="C7764" s="15">
        <v>308333</v>
      </c>
      <c r="D7764" s="4" t="s">
        <v>7768</v>
      </c>
      <c r="E7764" s="4" t="str">
        <f>HYPERLINK("https://app.crepc.sk/?fn=detailBiblioForm&amp;sid=DDD6FF1D1BD7B36E766FA733CA")</f>
        <v>https://app.crepc.sk/?fn=detailBiblioForm&amp;sid=DDD6FF1D1BD7B36E766FA733CA</v>
      </c>
    </row>
    <row r="7765" spans="3:5" ht="45" x14ac:dyDescent="0.25">
      <c r="C7765" s="15">
        <v>101789</v>
      </c>
      <c r="D7765" s="4" t="s">
        <v>7769</v>
      </c>
      <c r="E7765" s="4" t="str">
        <f>HYPERLINK("https://app.crepc.sk/?fn=detailBiblioForm&amp;sid=D451BFA92DE77BAEDAD9E88587")</f>
        <v>https://app.crepc.sk/?fn=detailBiblioForm&amp;sid=D451BFA92DE77BAEDAD9E88587</v>
      </c>
    </row>
    <row r="7766" spans="3:5" ht="60" x14ac:dyDescent="0.25">
      <c r="C7766" s="15">
        <v>161931</v>
      </c>
      <c r="D7766" s="4" t="s">
        <v>7770</v>
      </c>
      <c r="E7766" s="4" t="str">
        <f>HYPERLINK("https://app.crepc.sk/?fn=detailBiblioForm&amp;sid=3BEC39B52C756B70CE0379B3D6")</f>
        <v>https://app.crepc.sk/?fn=detailBiblioForm&amp;sid=3BEC39B52C756B70CE0379B3D6</v>
      </c>
    </row>
    <row r="7767" spans="3:5" ht="45" x14ac:dyDescent="0.25">
      <c r="C7767" s="15">
        <v>57813</v>
      </c>
      <c r="D7767" s="4" t="s">
        <v>7771</v>
      </c>
      <c r="E7767" s="4" t="str">
        <f>HYPERLINK("https://app.crepc.sk/?fn=detailBiblioForm&amp;sid=6B17C2B31601C6BB791E0CA3")</f>
        <v>https://app.crepc.sk/?fn=detailBiblioForm&amp;sid=6B17C2B31601C6BB791E0CA3</v>
      </c>
    </row>
    <row r="7768" spans="3:5" ht="45" x14ac:dyDescent="0.25">
      <c r="C7768" s="15">
        <v>215259</v>
      </c>
      <c r="D7768" s="4" t="s">
        <v>7772</v>
      </c>
      <c r="E7768" s="4" t="str">
        <f>HYPERLINK("https://app.crepc.sk/?fn=detailBiblioForm&amp;sid=232B0374A242225DB209E0C308")</f>
        <v>https://app.crepc.sk/?fn=detailBiblioForm&amp;sid=232B0374A242225DB209E0C308</v>
      </c>
    </row>
    <row r="7769" spans="3:5" ht="45" x14ac:dyDescent="0.25">
      <c r="C7769" s="15">
        <v>134419</v>
      </c>
      <c r="D7769" s="4" t="s">
        <v>7773</v>
      </c>
      <c r="E7769" s="4" t="str">
        <f>HYPERLINK("https://app.crepc.sk/?fn=detailBiblioForm&amp;sid=591608704B394480C714B0D9E4")</f>
        <v>https://app.crepc.sk/?fn=detailBiblioForm&amp;sid=591608704B394480C714B0D9E4</v>
      </c>
    </row>
    <row r="7770" spans="3:5" ht="45" x14ac:dyDescent="0.25">
      <c r="C7770" s="15">
        <v>251170</v>
      </c>
      <c r="D7770" s="4" t="s">
        <v>7774</v>
      </c>
      <c r="E7770" s="4" t="str">
        <f>HYPERLINK("https://app.crepc.sk/?fn=detailBiblioForm&amp;sid=39F653ADC89B9C3284B9F67185")</f>
        <v>https://app.crepc.sk/?fn=detailBiblioForm&amp;sid=39F653ADC89B9C3284B9F67185</v>
      </c>
    </row>
    <row r="7771" spans="3:5" ht="45" x14ac:dyDescent="0.25">
      <c r="C7771" s="15">
        <v>430436</v>
      </c>
      <c r="D7771" s="4" t="s">
        <v>7775</v>
      </c>
      <c r="E7771" s="4" t="str">
        <f>HYPERLINK("https://app.crepc.sk/?fn=detailBiblioForm&amp;sid=56123830A8C00970BB04622E7E")</f>
        <v>https://app.crepc.sk/?fn=detailBiblioForm&amp;sid=56123830A8C00970BB04622E7E</v>
      </c>
    </row>
    <row r="7772" spans="3:5" ht="75" x14ac:dyDescent="0.25">
      <c r="C7772" s="15">
        <v>208245</v>
      </c>
      <c r="D7772" s="4" t="s">
        <v>7776</v>
      </c>
      <c r="E7772" s="4" t="str">
        <f>HYPERLINK("https://app.crepc.sk/?fn=detailBiblioForm&amp;sid=9AB3B7EDD72446F7CD40C323B2")</f>
        <v>https://app.crepc.sk/?fn=detailBiblioForm&amp;sid=9AB3B7EDD72446F7CD40C323B2</v>
      </c>
    </row>
    <row r="7773" spans="3:5" ht="45" x14ac:dyDescent="0.25">
      <c r="C7773" s="15">
        <v>179586</v>
      </c>
      <c r="D7773" s="4" t="s">
        <v>7777</v>
      </c>
      <c r="E7773" s="4" t="str">
        <f>HYPERLINK("https://app.crepc.sk/?fn=detailBiblioForm&amp;sid=D2CDA85DA56256F2783B8485A6")</f>
        <v>https://app.crepc.sk/?fn=detailBiblioForm&amp;sid=D2CDA85DA56256F2783B8485A6</v>
      </c>
    </row>
    <row r="7774" spans="3:5" ht="45" x14ac:dyDescent="0.25">
      <c r="C7774" s="15">
        <v>146593</v>
      </c>
      <c r="D7774" s="4" t="s">
        <v>7778</v>
      </c>
      <c r="E7774" s="4" t="str">
        <f>HYPERLINK("https://app.crepc.sk/?fn=detailBiblioForm&amp;sid=FB82D27E75BFB74B61EA34DB0F")</f>
        <v>https://app.crepc.sk/?fn=detailBiblioForm&amp;sid=FB82D27E75BFB74B61EA34DB0F</v>
      </c>
    </row>
    <row r="7775" spans="3:5" ht="45" x14ac:dyDescent="0.25">
      <c r="C7775" s="15">
        <v>223271</v>
      </c>
      <c r="D7775" s="4" t="s">
        <v>7779</v>
      </c>
      <c r="E7775" s="4" t="str">
        <f>HYPERLINK("https://app.crepc.sk/?fn=detailBiblioForm&amp;sid=A560E0A5BF5D2849BDC6E84DBE")</f>
        <v>https://app.crepc.sk/?fn=detailBiblioForm&amp;sid=A560E0A5BF5D2849BDC6E84DBE</v>
      </c>
    </row>
    <row r="7776" spans="3:5" ht="45" x14ac:dyDescent="0.25">
      <c r="C7776" s="15">
        <v>161736</v>
      </c>
      <c r="D7776" s="4" t="s">
        <v>7780</v>
      </c>
      <c r="E7776" s="4" t="str">
        <f>HYPERLINK("https://app.crepc.sk/?fn=detailBiblioForm&amp;sid=BCA102CB6C4CA54D4FE9C863D9")</f>
        <v>https://app.crepc.sk/?fn=detailBiblioForm&amp;sid=BCA102CB6C4CA54D4FE9C863D9</v>
      </c>
    </row>
    <row r="7777" spans="3:5" ht="45" x14ac:dyDescent="0.25">
      <c r="C7777" s="15">
        <v>181124</v>
      </c>
      <c r="D7777" s="4" t="s">
        <v>7781</v>
      </c>
      <c r="E7777" s="4" t="str">
        <f>HYPERLINK("https://app.crepc.sk/?fn=detailBiblioForm&amp;sid=D2270EF957433A5E2F70E60F57")</f>
        <v>https://app.crepc.sk/?fn=detailBiblioForm&amp;sid=D2270EF957433A5E2F70E60F57</v>
      </c>
    </row>
    <row r="7778" spans="3:5" ht="60" x14ac:dyDescent="0.25">
      <c r="C7778" s="15">
        <v>161562</v>
      </c>
      <c r="D7778" s="4" t="s">
        <v>7782</v>
      </c>
      <c r="E7778" s="4" t="str">
        <f>HYPERLINK("https://app.crepc.sk/?fn=detailBiblioForm&amp;sid=BB60B769A491B65143F153E40D")</f>
        <v>https://app.crepc.sk/?fn=detailBiblioForm&amp;sid=BB60B769A491B65143F153E40D</v>
      </c>
    </row>
    <row r="7779" spans="3:5" ht="60" x14ac:dyDescent="0.25">
      <c r="C7779" s="15">
        <v>154563</v>
      </c>
      <c r="D7779" s="4" t="s">
        <v>7783</v>
      </c>
      <c r="E7779" s="4" t="str">
        <f>HYPERLINK("https://app.crepc.sk/?fn=detailBiblioForm&amp;sid=7CD47704C688C3C83553859C4A")</f>
        <v>https://app.crepc.sk/?fn=detailBiblioForm&amp;sid=7CD47704C688C3C83553859C4A</v>
      </c>
    </row>
    <row r="7780" spans="3:5" ht="45" x14ac:dyDescent="0.25">
      <c r="C7780" s="15">
        <v>213093</v>
      </c>
      <c r="D7780" s="4" t="s">
        <v>7784</v>
      </c>
      <c r="E7780" s="4" t="str">
        <f>HYPERLINK("https://app.crepc.sk/?fn=detailBiblioForm&amp;sid=08CCA24EEC3F6BB4703286760C")</f>
        <v>https://app.crepc.sk/?fn=detailBiblioForm&amp;sid=08CCA24EEC3F6BB4703286760C</v>
      </c>
    </row>
    <row r="7781" spans="3:5" ht="60" x14ac:dyDescent="0.25">
      <c r="C7781" s="15">
        <v>235097</v>
      </c>
      <c r="D7781" s="4" t="s">
        <v>7785</v>
      </c>
      <c r="E7781" s="4" t="str">
        <f>HYPERLINK("https://app.crepc.sk/?fn=detailBiblioForm&amp;sid=1672AA2C7269BEB1462560D9C8")</f>
        <v>https://app.crepc.sk/?fn=detailBiblioForm&amp;sid=1672AA2C7269BEB1462560D9C8</v>
      </c>
    </row>
    <row r="7782" spans="3:5" ht="45" x14ac:dyDescent="0.25">
      <c r="C7782" s="15">
        <v>126361</v>
      </c>
      <c r="D7782" s="4" t="s">
        <v>7786</v>
      </c>
      <c r="E7782" s="4" t="str">
        <f>HYPERLINK("https://app.crepc.sk/?fn=detailBiblioForm&amp;sid=728DDAFCA0C23A4507F80D4373")</f>
        <v>https://app.crepc.sk/?fn=detailBiblioForm&amp;sid=728DDAFCA0C23A4507F80D4373</v>
      </c>
    </row>
    <row r="7783" spans="3:5" ht="45" x14ac:dyDescent="0.25">
      <c r="C7783" s="15">
        <v>224193</v>
      </c>
      <c r="D7783" s="4" t="s">
        <v>7787</v>
      </c>
      <c r="E7783" s="4" t="str">
        <f>HYPERLINK("https://app.crepc.sk/?fn=detailBiblioForm&amp;sid=B381758F4D9E20AC1306BD26E5")</f>
        <v>https://app.crepc.sk/?fn=detailBiblioForm&amp;sid=B381758F4D9E20AC1306BD26E5</v>
      </c>
    </row>
    <row r="7784" spans="3:5" ht="45" x14ac:dyDescent="0.25">
      <c r="C7784" s="15">
        <v>256084</v>
      </c>
      <c r="D7784" s="4" t="s">
        <v>7788</v>
      </c>
      <c r="E7784" s="4" t="str">
        <f>HYPERLINK("https://app.crepc.sk/?fn=detailBiblioForm&amp;sid=E732C8DDBD9775CBEAE0BC2898")</f>
        <v>https://app.crepc.sk/?fn=detailBiblioForm&amp;sid=E732C8DDBD9775CBEAE0BC2898</v>
      </c>
    </row>
    <row r="7785" spans="3:5" ht="45" x14ac:dyDescent="0.25">
      <c r="C7785" s="15">
        <v>256093</v>
      </c>
      <c r="D7785" s="4" t="s">
        <v>7789</v>
      </c>
      <c r="E7785" s="4" t="str">
        <f>HYPERLINK("https://app.crepc.sk/?fn=detailBiblioForm&amp;sid=E732C8DDBD9775CBEBE7BC2898")</f>
        <v>https://app.crepc.sk/?fn=detailBiblioForm&amp;sid=E732C8DDBD9775CBEBE7BC2898</v>
      </c>
    </row>
    <row r="7786" spans="3:5" ht="45" x14ac:dyDescent="0.25">
      <c r="C7786" s="15">
        <v>138731</v>
      </c>
      <c r="D7786" s="4" t="s">
        <v>7790</v>
      </c>
      <c r="E7786" s="4" t="str">
        <f>HYPERLINK("https://app.crepc.sk/?fn=detailBiblioForm&amp;sid=B05445C3B1156175C3C6E1ECCB")</f>
        <v>https://app.crepc.sk/?fn=detailBiblioForm&amp;sid=B05445C3B1156175C3C6E1ECCB</v>
      </c>
    </row>
    <row r="7787" spans="3:5" ht="45" x14ac:dyDescent="0.25">
      <c r="C7787" s="15">
        <v>151545</v>
      </c>
      <c r="D7787" s="4" t="s">
        <v>7791</v>
      </c>
      <c r="E7787" s="4" t="str">
        <f>HYPERLINK("https://app.crepc.sk/?fn=detailBiblioForm&amp;sid=F972C28947B4ECBEDE0273536A")</f>
        <v>https://app.crepc.sk/?fn=detailBiblioForm&amp;sid=F972C28947B4ECBEDE0273536A</v>
      </c>
    </row>
    <row r="7788" spans="3:5" ht="45" x14ac:dyDescent="0.25">
      <c r="C7788" s="15">
        <v>179585</v>
      </c>
      <c r="D7788" s="4" t="s">
        <v>7792</v>
      </c>
      <c r="E7788" s="4" t="str">
        <f>HYPERLINK("https://app.crepc.sk/?fn=detailBiblioForm&amp;sid=D2CDA85DA56256F278388485A6")</f>
        <v>https://app.crepc.sk/?fn=detailBiblioForm&amp;sid=D2CDA85DA56256F278388485A6</v>
      </c>
    </row>
    <row r="7789" spans="3:5" ht="45" x14ac:dyDescent="0.25">
      <c r="C7789" s="15">
        <v>312490</v>
      </c>
      <c r="D7789" s="4" t="s">
        <v>7793</v>
      </c>
      <c r="E7789" s="4" t="str">
        <f>HYPERLINK("https://app.crepc.sk/?fn=detailBiblioForm&amp;sid=29E831AA7AE2D19106E02E0FED")</f>
        <v>https://app.crepc.sk/?fn=detailBiblioForm&amp;sid=29E831AA7AE2D19106E02E0FED</v>
      </c>
    </row>
    <row r="7790" spans="3:5" ht="45" x14ac:dyDescent="0.25">
      <c r="C7790" s="15">
        <v>190425</v>
      </c>
      <c r="D7790" s="4" t="s">
        <v>7794</v>
      </c>
      <c r="E7790" s="4" t="str">
        <f>HYPERLINK("https://app.crepc.sk/?fn=detailBiblioForm&amp;sid=44C906722BA4054C5A163B52D0")</f>
        <v>https://app.crepc.sk/?fn=detailBiblioForm&amp;sid=44C906722BA4054C5A163B52D0</v>
      </c>
    </row>
    <row r="7791" spans="3:5" ht="45" x14ac:dyDescent="0.25">
      <c r="C7791" s="15">
        <v>149392</v>
      </c>
      <c r="D7791" s="4" t="s">
        <v>7795</v>
      </c>
      <c r="E7791" s="4" t="str">
        <f>HYPERLINK("https://app.crepc.sk/?fn=detailBiblioForm&amp;sid=D01AE3E6A036F3F6518F797264")</f>
        <v>https://app.crepc.sk/?fn=detailBiblioForm&amp;sid=D01AE3E6A036F3F6518F797264</v>
      </c>
    </row>
    <row r="7792" spans="3:5" ht="45" x14ac:dyDescent="0.25">
      <c r="C7792" s="15">
        <v>215270</v>
      </c>
      <c r="D7792" s="4" t="s">
        <v>7796</v>
      </c>
      <c r="E7792" s="4" t="str">
        <f>HYPERLINK("https://app.crepc.sk/?fn=detailBiblioForm&amp;sid=232B0374A242225DB000E0C308")</f>
        <v>https://app.crepc.sk/?fn=detailBiblioForm&amp;sid=232B0374A242225DB000E0C308</v>
      </c>
    </row>
    <row r="7793" spans="3:5" ht="45" x14ac:dyDescent="0.25">
      <c r="C7793" s="15">
        <v>63861</v>
      </c>
      <c r="D7793" s="4" t="s">
        <v>7797</v>
      </c>
      <c r="E7793" s="4" t="str">
        <f>HYPERLINK("https://app.crepc.sk/?fn=detailBiblioForm&amp;sid=EE2EEDCD1AAAC0D93EF036F2")</f>
        <v>https://app.crepc.sk/?fn=detailBiblioForm&amp;sid=EE2EEDCD1AAAC0D93EF036F2</v>
      </c>
    </row>
    <row r="7794" spans="3:5" ht="45" x14ac:dyDescent="0.25">
      <c r="C7794" s="15">
        <v>430437</v>
      </c>
      <c r="D7794" s="4" t="s">
        <v>7798</v>
      </c>
      <c r="E7794" s="4" t="str">
        <f>HYPERLINK("https://app.crepc.sk/?fn=detailBiblioForm&amp;sid=56123830A8C00970BB05622E7E")</f>
        <v>https://app.crepc.sk/?fn=detailBiblioForm&amp;sid=56123830A8C00970BB05622E7E</v>
      </c>
    </row>
    <row r="7795" spans="3:5" ht="45" x14ac:dyDescent="0.25">
      <c r="C7795" s="15">
        <v>251150</v>
      </c>
      <c r="D7795" s="4" t="s">
        <v>7799</v>
      </c>
      <c r="E7795" s="4" t="str">
        <f>HYPERLINK("https://app.crepc.sk/?fn=detailBiblioForm&amp;sid=39F653ADC89B9C3286B9F67185")</f>
        <v>https://app.crepc.sk/?fn=detailBiblioForm&amp;sid=39F653ADC89B9C3286B9F67185</v>
      </c>
    </row>
    <row r="7796" spans="3:5" ht="45" x14ac:dyDescent="0.25">
      <c r="C7796" s="15">
        <v>251152</v>
      </c>
      <c r="D7796" s="4" t="s">
        <v>7800</v>
      </c>
      <c r="E7796" s="4" t="str">
        <f>HYPERLINK("https://app.crepc.sk/?fn=detailBiblioForm&amp;sid=39F653ADC89B9C3286BBF67185")</f>
        <v>https://app.crepc.sk/?fn=detailBiblioForm&amp;sid=39F653ADC89B9C3286BBF67185</v>
      </c>
    </row>
    <row r="7797" spans="3:5" ht="45" x14ac:dyDescent="0.25">
      <c r="C7797" s="15">
        <v>196927</v>
      </c>
      <c r="D7797" s="4" t="s">
        <v>7801</v>
      </c>
      <c r="E7797" s="4" t="str">
        <f>HYPERLINK("https://app.crepc.sk/?fn=detailBiblioForm&amp;sid=FD2A61625DB31BB3545EFEE577")</f>
        <v>https://app.crepc.sk/?fn=detailBiblioForm&amp;sid=FD2A61625DB31BB3545EFEE577</v>
      </c>
    </row>
    <row r="7798" spans="3:5" ht="45" x14ac:dyDescent="0.25">
      <c r="C7798" s="15">
        <v>418777</v>
      </c>
      <c r="D7798" s="4" t="s">
        <v>7802</v>
      </c>
      <c r="E7798" s="4" t="str">
        <f>HYPERLINK("https://app.crepc.sk/?fn=detailBiblioForm&amp;sid=C11F168675CD936C5AFD820E0F")</f>
        <v>https://app.crepc.sk/?fn=detailBiblioForm&amp;sid=C11F168675CD936C5AFD820E0F</v>
      </c>
    </row>
    <row r="7799" spans="3:5" ht="45" x14ac:dyDescent="0.25">
      <c r="C7799" s="15">
        <v>122957</v>
      </c>
      <c r="D7799" s="4" t="s">
        <v>7803</v>
      </c>
      <c r="E7799" s="4" t="str">
        <f>HYPERLINK("https://app.crepc.sk/?fn=detailBiblioForm&amp;sid=3B2B0BBAA862FD0FCC488724C7")</f>
        <v>https://app.crepc.sk/?fn=detailBiblioForm&amp;sid=3B2B0BBAA862FD0FCC488724C7</v>
      </c>
    </row>
    <row r="7800" spans="3:5" ht="60" x14ac:dyDescent="0.25">
      <c r="C7800" s="15">
        <v>228455</v>
      </c>
      <c r="D7800" s="4" t="s">
        <v>7804</v>
      </c>
      <c r="E7800" s="4" t="str">
        <f>HYPERLINK("https://app.crepc.sk/?fn=detailBiblioForm&amp;sid=3CA1021186512FF63B85767FD4")</f>
        <v>https://app.crepc.sk/?fn=detailBiblioForm&amp;sid=3CA1021186512FF63B85767FD4</v>
      </c>
    </row>
    <row r="7801" spans="3:5" ht="45" x14ac:dyDescent="0.25">
      <c r="C7801" s="15">
        <v>73709</v>
      </c>
      <c r="D7801" s="4" t="s">
        <v>7805</v>
      </c>
      <c r="E7801" s="4" t="str">
        <f>HYPERLINK("https://app.crepc.sk/?fn=detailBiblioForm&amp;sid=5880598EDBBB2C0A9EA849F7")</f>
        <v>https://app.crepc.sk/?fn=detailBiblioForm&amp;sid=5880598EDBBB2C0A9EA849F7</v>
      </c>
    </row>
    <row r="7802" spans="3:5" ht="45" x14ac:dyDescent="0.25">
      <c r="C7802" s="15">
        <v>73712</v>
      </c>
      <c r="D7802" s="4" t="s">
        <v>7806</v>
      </c>
      <c r="E7802" s="4" t="str">
        <f>HYPERLINK("https://app.crepc.sk/?fn=detailBiblioForm&amp;sid=7EE03A166874B23D7F6C9C42")</f>
        <v>https://app.crepc.sk/?fn=detailBiblioForm&amp;sid=7EE03A166874B23D7F6C9C42</v>
      </c>
    </row>
    <row r="7803" spans="3:5" ht="45" x14ac:dyDescent="0.25">
      <c r="C7803" s="15">
        <v>215284</v>
      </c>
      <c r="D7803" s="4" t="s">
        <v>7807</v>
      </c>
      <c r="E7803" s="4" t="str">
        <f>HYPERLINK("https://app.crepc.sk/?fn=detailBiblioForm&amp;sid=232B0374A242225DBF04E0C308")</f>
        <v>https://app.crepc.sk/?fn=detailBiblioForm&amp;sid=232B0374A242225DBF04E0C308</v>
      </c>
    </row>
    <row r="7804" spans="3:5" ht="45" x14ac:dyDescent="0.25">
      <c r="C7804" s="15">
        <v>215283</v>
      </c>
      <c r="D7804" s="4" t="s">
        <v>7808</v>
      </c>
      <c r="E7804" s="4" t="str">
        <f>HYPERLINK("https://app.crepc.sk/?fn=detailBiblioForm&amp;sid=232B0374A242225DBF03E0C308")</f>
        <v>https://app.crepc.sk/?fn=detailBiblioForm&amp;sid=232B0374A242225DBF03E0C308</v>
      </c>
    </row>
    <row r="7805" spans="3:5" ht="45" x14ac:dyDescent="0.25">
      <c r="C7805" s="15">
        <v>215420</v>
      </c>
      <c r="D7805" s="4" t="s">
        <v>7809</v>
      </c>
      <c r="E7805" s="4" t="str">
        <f>HYPERLINK("https://app.crepc.sk/?fn=detailBiblioForm&amp;sid=F4218EA09CD1A9574A2C9ECBAC")</f>
        <v>https://app.crepc.sk/?fn=detailBiblioForm&amp;sid=F4218EA09CD1A9574A2C9ECBAC</v>
      </c>
    </row>
    <row r="7806" spans="3:5" ht="45" x14ac:dyDescent="0.25">
      <c r="C7806" s="15">
        <v>55821</v>
      </c>
      <c r="D7806" s="4" t="s">
        <v>7810</v>
      </c>
      <c r="E7806" s="4" t="str">
        <f>HYPERLINK("https://app.crepc.sk/?fn=detailBiblioForm&amp;sid=4D8E724B40AF33189D4B5794")</f>
        <v>https://app.crepc.sk/?fn=detailBiblioForm&amp;sid=4D8E724B40AF33189D4B5794</v>
      </c>
    </row>
    <row r="7807" spans="3:5" ht="90" x14ac:dyDescent="0.25">
      <c r="C7807" s="15">
        <v>228321</v>
      </c>
      <c r="D7807" s="4" t="s">
        <v>7811</v>
      </c>
      <c r="E7807" s="4" t="str">
        <f>HYPERLINK("https://app.crepc.sk/?fn=detailBiblioForm&amp;sid=9F0A74875938D9DB977D861961")</f>
        <v>https://app.crepc.sk/?fn=detailBiblioForm&amp;sid=9F0A74875938D9DB977D861961</v>
      </c>
    </row>
    <row r="7808" spans="3:5" ht="45" x14ac:dyDescent="0.25">
      <c r="C7808" s="15">
        <v>441483</v>
      </c>
      <c r="D7808" s="4" t="s">
        <v>7812</v>
      </c>
      <c r="E7808" s="4" t="str">
        <f>HYPERLINK("https://app.crepc.sk/?fn=detailBiblioForm&amp;sid=35A487982B485B4FC7083650B6")</f>
        <v>https://app.crepc.sk/?fn=detailBiblioForm&amp;sid=35A487982B485B4FC7083650B6</v>
      </c>
    </row>
    <row r="7809" spans="3:5" ht="45" x14ac:dyDescent="0.25">
      <c r="C7809" s="15">
        <v>100048</v>
      </c>
      <c r="D7809" s="4" t="s">
        <v>7813</v>
      </c>
      <c r="E7809" s="4" t="str">
        <f>HYPERLINK("https://app.crepc.sk/?fn=detailBiblioForm&amp;sid=8D3F7791082C9B6933DC80258C")</f>
        <v>https://app.crepc.sk/?fn=detailBiblioForm&amp;sid=8D3F7791082C9B6933DC80258C</v>
      </c>
    </row>
    <row r="7810" spans="3:5" ht="45" x14ac:dyDescent="0.25">
      <c r="C7810" s="15">
        <v>178765</v>
      </c>
      <c r="D7810" s="4" t="s">
        <v>7814</v>
      </c>
      <c r="E7810" s="4" t="str">
        <f>HYPERLINK("https://app.crepc.sk/?fn=detailBiblioForm&amp;sid=32866E47BC3455BDB2F416D8BD")</f>
        <v>https://app.crepc.sk/?fn=detailBiblioForm&amp;sid=32866E47BC3455BDB2F416D8BD</v>
      </c>
    </row>
    <row r="7811" spans="3:5" ht="60" x14ac:dyDescent="0.25">
      <c r="C7811" s="15">
        <v>76928</v>
      </c>
      <c r="D7811" s="4" t="s">
        <v>7815</v>
      </c>
      <c r="E7811" s="4" t="str">
        <f>HYPERLINK("https://app.crepc.sk/?fn=detailBiblioForm&amp;sid=DEFC1E7C5315E70419C5E88E")</f>
        <v>https://app.crepc.sk/?fn=detailBiblioForm&amp;sid=DEFC1E7C5315E70419C5E88E</v>
      </c>
    </row>
    <row r="7812" spans="3:5" ht="60" x14ac:dyDescent="0.25">
      <c r="C7812" s="15">
        <v>149196</v>
      </c>
      <c r="D7812" s="4" t="s">
        <v>7816</v>
      </c>
      <c r="E7812" s="4" t="str">
        <f>HYPERLINK("https://app.crepc.sk/?fn=detailBiblioForm&amp;sid=DAA396BB6B0B01134A4D686083")</f>
        <v>https://app.crepc.sk/?fn=detailBiblioForm&amp;sid=DAA396BB6B0B01134A4D686083</v>
      </c>
    </row>
    <row r="7813" spans="3:5" ht="45" x14ac:dyDescent="0.25">
      <c r="C7813" s="15">
        <v>195848</v>
      </c>
      <c r="D7813" s="4" t="s">
        <v>7817</v>
      </c>
      <c r="E7813" s="4" t="str">
        <f>HYPERLINK("https://app.crepc.sk/?fn=detailBiblioForm&amp;sid=8FFBB3FF7BCA024A65AA19D41B")</f>
        <v>https://app.crepc.sk/?fn=detailBiblioForm&amp;sid=8FFBB3FF7BCA024A65AA19D41B</v>
      </c>
    </row>
    <row r="7814" spans="3:5" ht="45" x14ac:dyDescent="0.25">
      <c r="C7814" s="15">
        <v>448236</v>
      </c>
      <c r="D7814" s="4" t="s">
        <v>7818</v>
      </c>
      <c r="E7814" s="4" t="str">
        <f>HYPERLINK("https://app.crepc.sk/?fn=detailBiblioForm&amp;sid=5BE501D611F83A9AA99A67DA3F")</f>
        <v>https://app.crepc.sk/?fn=detailBiblioForm&amp;sid=5BE501D611F83A9AA99A67DA3F</v>
      </c>
    </row>
    <row r="7815" spans="3:5" ht="45" x14ac:dyDescent="0.25">
      <c r="C7815" s="15">
        <v>181610</v>
      </c>
      <c r="D7815" s="4" t="s">
        <v>7819</v>
      </c>
      <c r="E7815" s="4" t="str">
        <f>HYPERLINK("https://app.crepc.sk/?fn=detailBiblioForm&amp;sid=F0082B7A009D1614B9C075AE99")</f>
        <v>https://app.crepc.sk/?fn=detailBiblioForm&amp;sid=F0082B7A009D1614B9C075AE99</v>
      </c>
    </row>
    <row r="7816" spans="3:5" ht="45" x14ac:dyDescent="0.25">
      <c r="C7816" s="15">
        <v>62256</v>
      </c>
      <c r="D7816" s="4" t="s">
        <v>7820</v>
      </c>
      <c r="E7816" s="4" t="str">
        <f>HYPERLINK("https://app.crepc.sk/?fn=detailBiblioForm&amp;sid=F04A42872EE3EF6B2CA06055")</f>
        <v>https://app.crepc.sk/?fn=detailBiblioForm&amp;sid=F04A42872EE3EF6B2CA06055</v>
      </c>
    </row>
    <row r="7817" spans="3:5" ht="45" x14ac:dyDescent="0.25">
      <c r="C7817" s="15">
        <v>62254</v>
      </c>
      <c r="D7817" s="4" t="s">
        <v>7821</v>
      </c>
      <c r="E7817" s="4" t="str">
        <f>HYPERLINK("https://app.crepc.sk/?fn=detailBiblioForm&amp;sid=F04A42872EE3EF6B2EA06055")</f>
        <v>https://app.crepc.sk/?fn=detailBiblioForm&amp;sid=F04A42872EE3EF6B2EA06055</v>
      </c>
    </row>
    <row r="7818" spans="3:5" ht="45" x14ac:dyDescent="0.25">
      <c r="C7818" s="15">
        <v>181114</v>
      </c>
      <c r="D7818" s="4" t="s">
        <v>7822</v>
      </c>
      <c r="E7818" s="4" t="str">
        <f>HYPERLINK("https://app.crepc.sk/?fn=detailBiblioForm&amp;sid=D2270EF957433A5E2C70E60F57")</f>
        <v>https://app.crepc.sk/?fn=detailBiblioForm&amp;sid=D2270EF957433A5E2C70E60F57</v>
      </c>
    </row>
    <row r="7819" spans="3:5" ht="60" x14ac:dyDescent="0.25">
      <c r="C7819" s="15">
        <v>153041</v>
      </c>
      <c r="D7819" s="4" t="s">
        <v>7823</v>
      </c>
      <c r="E7819" s="4" t="str">
        <f>HYPERLINK("https://app.crepc.sk/?fn=detailBiblioForm&amp;sid=E7FF18FD4FFD5019D9FB812AD9")</f>
        <v>https://app.crepc.sk/?fn=detailBiblioForm&amp;sid=E7FF18FD4FFD5019D9FB812AD9</v>
      </c>
    </row>
    <row r="7820" spans="3:5" ht="60" x14ac:dyDescent="0.25">
      <c r="C7820" s="15">
        <v>187043</v>
      </c>
      <c r="D7820" s="4" t="s">
        <v>7824</v>
      </c>
      <c r="E7820" s="4" t="str">
        <f>HYPERLINK("https://app.crepc.sk/?fn=detailBiblioForm&amp;sid=F3AF90715DF24108A3397BFE19")</f>
        <v>https://app.crepc.sk/?fn=detailBiblioForm&amp;sid=F3AF90715DF24108A3397BFE19</v>
      </c>
    </row>
    <row r="7821" spans="3:5" ht="45" x14ac:dyDescent="0.25">
      <c r="C7821" s="15">
        <v>120331</v>
      </c>
      <c r="D7821" s="4" t="s">
        <v>7825</v>
      </c>
      <c r="E7821" s="4" t="str">
        <f>HYPERLINK("https://app.crepc.sk/?fn=detailBiblioForm&amp;sid=7C8EC80C674BD33D47AC6DBADF")</f>
        <v>https://app.crepc.sk/?fn=detailBiblioForm&amp;sid=7C8EC80C674BD33D47AC6DBADF</v>
      </c>
    </row>
    <row r="7822" spans="3:5" ht="45" x14ac:dyDescent="0.25">
      <c r="C7822" s="15">
        <v>143027</v>
      </c>
      <c r="D7822" s="4" t="s">
        <v>7826</v>
      </c>
      <c r="E7822" s="4" t="str">
        <f>HYPERLINK("https://app.crepc.sk/?fn=detailBiblioForm&amp;sid=0EA7DBD32D42EAF6EFEB224B52")</f>
        <v>https://app.crepc.sk/?fn=detailBiblioForm&amp;sid=0EA7DBD32D42EAF6EFEB224B52</v>
      </c>
    </row>
    <row r="7823" spans="3:5" ht="45" x14ac:dyDescent="0.25">
      <c r="C7823" s="15">
        <v>428093</v>
      </c>
      <c r="D7823" s="4" t="s">
        <v>7827</v>
      </c>
      <c r="E7823" s="4" t="str">
        <f>HYPERLINK("https://app.crepc.sk/?fn=detailBiblioForm&amp;sid=DC270B2C97B7245C35A73D7DA2")</f>
        <v>https://app.crepc.sk/?fn=detailBiblioForm&amp;sid=DC270B2C97B7245C35A73D7DA2</v>
      </c>
    </row>
    <row r="7824" spans="3:5" ht="45" x14ac:dyDescent="0.25">
      <c r="C7824" s="15">
        <v>79681</v>
      </c>
      <c r="D7824" s="4" t="s">
        <v>7828</v>
      </c>
      <c r="E7824" s="4" t="str">
        <f>HYPERLINK("https://app.crepc.sk/?fn=detailBiblioForm&amp;sid=B4F7EF67BD848BED76EB1820")</f>
        <v>https://app.crepc.sk/?fn=detailBiblioForm&amp;sid=B4F7EF67BD848BED76EB1820</v>
      </c>
    </row>
    <row r="7825" spans="3:5" ht="45" x14ac:dyDescent="0.25">
      <c r="C7825" s="15">
        <v>448398</v>
      </c>
      <c r="D7825" s="4" t="s">
        <v>7829</v>
      </c>
      <c r="E7825" s="4" t="str">
        <f>HYPERLINK("https://app.crepc.sk/?fn=detailBiblioForm&amp;sid=F4F83FF99D02212E8E4465EA70")</f>
        <v>https://app.crepc.sk/?fn=detailBiblioForm&amp;sid=F4F83FF99D02212E8E4465EA70</v>
      </c>
    </row>
    <row r="7826" spans="3:5" ht="45" x14ac:dyDescent="0.25">
      <c r="C7826" s="15">
        <v>428036</v>
      </c>
      <c r="D7826" s="4" t="s">
        <v>7830</v>
      </c>
      <c r="E7826" s="4" t="str">
        <f>HYPERLINK("https://app.crepc.sk/?fn=detailBiblioForm&amp;sid=DC270B2C97B7245C3FA23D7DA2")</f>
        <v>https://app.crepc.sk/?fn=detailBiblioForm&amp;sid=DC270B2C97B7245C3FA23D7DA2</v>
      </c>
    </row>
    <row r="7827" spans="3:5" ht="45" x14ac:dyDescent="0.25">
      <c r="C7827" s="15">
        <v>310833</v>
      </c>
      <c r="D7827" s="4" t="s">
        <v>7831</v>
      </c>
      <c r="E7827" s="4" t="str">
        <f>HYPERLINK("https://app.crepc.sk/?fn=detailBiblioForm&amp;sid=AD34DD3FE2DEE04E70FC563787")</f>
        <v>https://app.crepc.sk/?fn=detailBiblioForm&amp;sid=AD34DD3FE2DEE04E70FC563787</v>
      </c>
    </row>
    <row r="7828" spans="3:5" ht="45" x14ac:dyDescent="0.25">
      <c r="C7828" s="15">
        <v>215279</v>
      </c>
      <c r="D7828" s="4" t="s">
        <v>7832</v>
      </c>
      <c r="E7828" s="4" t="str">
        <f>HYPERLINK("https://app.crepc.sk/?fn=detailBiblioForm&amp;sid=232B0374A242225DB009E0C308")</f>
        <v>https://app.crepc.sk/?fn=detailBiblioForm&amp;sid=232B0374A242225DB009E0C308</v>
      </c>
    </row>
    <row r="7829" spans="3:5" ht="75" x14ac:dyDescent="0.25">
      <c r="C7829" s="15">
        <v>150780</v>
      </c>
      <c r="D7829" s="4" t="s">
        <v>7833</v>
      </c>
      <c r="E7829" s="4" t="str">
        <f>HYPERLINK("https://app.crepc.sk/?fn=detailBiblioForm&amp;sid=4ABE047C0F04576E240E55E493")</f>
        <v>https://app.crepc.sk/?fn=detailBiblioForm&amp;sid=4ABE047C0F04576E240E55E493</v>
      </c>
    </row>
    <row r="7830" spans="3:5" ht="45" x14ac:dyDescent="0.25">
      <c r="C7830" s="15">
        <v>60235</v>
      </c>
      <c r="D7830" s="4" t="s">
        <v>7834</v>
      </c>
      <c r="E7830" s="4" t="str">
        <f>HYPERLINK("https://app.crepc.sk/?fn=detailBiblioForm&amp;sid=D55948F36C76534DAB02573F")</f>
        <v>https://app.crepc.sk/?fn=detailBiblioForm&amp;sid=D55948F36C76534DAB02573F</v>
      </c>
    </row>
    <row r="7831" spans="3:5" ht="60" x14ac:dyDescent="0.25">
      <c r="C7831" s="15">
        <v>119743</v>
      </c>
      <c r="D7831" s="4" t="s">
        <v>7835</v>
      </c>
      <c r="E7831" s="4" t="str">
        <f>HYPERLINK("https://app.crepc.sk/?fn=detailBiblioForm&amp;sid=B5D677CC38484FF0539E3AF3C2")</f>
        <v>https://app.crepc.sk/?fn=detailBiblioForm&amp;sid=B5D677CC38484FF0539E3AF3C2</v>
      </c>
    </row>
    <row r="7832" spans="3:5" ht="60" x14ac:dyDescent="0.25">
      <c r="C7832" s="15">
        <v>62642</v>
      </c>
      <c r="D7832" s="4" t="s">
        <v>7836</v>
      </c>
      <c r="E7832" s="4" t="str">
        <f>HYPERLINK("https://app.crepc.sk/?fn=detailBiblioForm&amp;sid=C43237EC0C28248E70AEA64A")</f>
        <v>https://app.crepc.sk/?fn=detailBiblioForm&amp;sid=C43237EC0C28248E70AEA64A</v>
      </c>
    </row>
    <row r="7833" spans="3:5" ht="45" x14ac:dyDescent="0.25">
      <c r="C7833" s="15">
        <v>70942</v>
      </c>
      <c r="D7833" s="4" t="s">
        <v>7837</v>
      </c>
      <c r="E7833" s="4" t="str">
        <f>HYPERLINK("https://app.crepc.sk/?fn=detailBiblioForm&amp;sid=8FB76D04C8D1ABD43A6DCE78")</f>
        <v>https://app.crepc.sk/?fn=detailBiblioForm&amp;sid=8FB76D04C8D1ABD43A6DCE78</v>
      </c>
    </row>
    <row r="7834" spans="3:5" ht="75" x14ac:dyDescent="0.25">
      <c r="C7834" s="15">
        <v>71318</v>
      </c>
      <c r="D7834" s="4" t="s">
        <v>7838</v>
      </c>
      <c r="E7834" s="4" t="str">
        <f>HYPERLINK("https://app.crepc.sk/?fn=detailBiblioForm&amp;sid=F998A4FD7FD221C817B9075A")</f>
        <v>https://app.crepc.sk/?fn=detailBiblioForm&amp;sid=F998A4FD7FD221C817B9075A</v>
      </c>
    </row>
    <row r="7835" spans="3:5" ht="45" x14ac:dyDescent="0.25">
      <c r="C7835" s="15">
        <v>304625</v>
      </c>
      <c r="D7835" s="4" t="s">
        <v>7839</v>
      </c>
      <c r="E7835" s="4" t="str">
        <f>HYPERLINK("https://app.crepc.sk/?fn=detailBiblioForm&amp;sid=C9884AA49470EF612ABC11B2CB")</f>
        <v>https://app.crepc.sk/?fn=detailBiblioForm&amp;sid=C9884AA49470EF612ABC11B2CB</v>
      </c>
    </row>
    <row r="7836" spans="3:5" ht="45" x14ac:dyDescent="0.25">
      <c r="C7836" s="15">
        <v>216451</v>
      </c>
      <c r="D7836" s="4" t="s">
        <v>7840</v>
      </c>
      <c r="E7836" s="4" t="str">
        <f>HYPERLINK("https://app.crepc.sk/?fn=detailBiblioForm&amp;sid=AA75CFA2C268976CA0A1A496EA")</f>
        <v>https://app.crepc.sk/?fn=detailBiblioForm&amp;sid=AA75CFA2C268976CA0A1A496EA</v>
      </c>
    </row>
    <row r="7837" spans="3:5" ht="75" x14ac:dyDescent="0.25">
      <c r="C7837" s="15">
        <v>175455</v>
      </c>
      <c r="D7837" s="4" t="s">
        <v>7841</v>
      </c>
      <c r="E7837" s="4" t="str">
        <f>HYPERLINK("https://app.crepc.sk/?fn=detailBiblioForm&amp;sid=5E8AE344A08831ABC88E03A46F")</f>
        <v>https://app.crepc.sk/?fn=detailBiblioForm&amp;sid=5E8AE344A08831ABC88E03A46F</v>
      </c>
    </row>
    <row r="7838" spans="3:5" ht="45" x14ac:dyDescent="0.25">
      <c r="C7838" s="15">
        <v>453580</v>
      </c>
      <c r="D7838" s="4" t="s">
        <v>7842</v>
      </c>
      <c r="E7838" s="4" t="str">
        <f>HYPERLINK("https://app.crepc.sk/?fn=detailBiblioForm&amp;sid=363E3362E176FDAD866BF4D970")</f>
        <v>https://app.crepc.sk/?fn=detailBiblioForm&amp;sid=363E3362E176FDAD866BF4D970</v>
      </c>
    </row>
    <row r="7839" spans="3:5" ht="45" x14ac:dyDescent="0.25">
      <c r="C7839" s="15">
        <v>59635</v>
      </c>
      <c r="D7839" s="4" t="s">
        <v>7843</v>
      </c>
      <c r="E7839" s="4" t="str">
        <f>HYPERLINK("https://app.crepc.sk/?fn=detailBiblioForm&amp;sid=B1CC340339AFB80C93CB0064")</f>
        <v>https://app.crepc.sk/?fn=detailBiblioForm&amp;sid=B1CC340339AFB80C93CB0064</v>
      </c>
    </row>
    <row r="7840" spans="3:5" ht="45" x14ac:dyDescent="0.25">
      <c r="C7840" s="15">
        <v>116809</v>
      </c>
      <c r="D7840" s="4" t="s">
        <v>7844</v>
      </c>
      <c r="E7840" s="4" t="str">
        <f>HYPERLINK("https://app.crepc.sk/?fn=detailBiblioForm&amp;sid=E72B30B2FBB5A43D8C82052574")</f>
        <v>https://app.crepc.sk/?fn=detailBiblioForm&amp;sid=E72B30B2FBB5A43D8C82052574</v>
      </c>
    </row>
    <row r="7841" spans="3:5" ht="45" x14ac:dyDescent="0.25">
      <c r="C7841" s="15">
        <v>100104</v>
      </c>
      <c r="D7841" s="4" t="s">
        <v>7845</v>
      </c>
      <c r="E7841" s="4" t="str">
        <f>HYPERLINK("https://app.crepc.sk/?fn=detailBiblioForm&amp;sid=5BFE66B123F0ED37A65B1F9F3C")</f>
        <v>https://app.crepc.sk/?fn=detailBiblioForm&amp;sid=5BFE66B123F0ED37A65B1F9F3C</v>
      </c>
    </row>
    <row r="7842" spans="3:5" ht="45" x14ac:dyDescent="0.25">
      <c r="C7842" s="15">
        <v>79211</v>
      </c>
      <c r="D7842" s="4" t="s">
        <v>7846</v>
      </c>
      <c r="E7842" s="4" t="str">
        <f>HYPERLINK("https://app.crepc.sk/?fn=detailBiblioForm&amp;sid=7F2B1409501C3468D29506A5")</f>
        <v>https://app.crepc.sk/?fn=detailBiblioForm&amp;sid=7F2B1409501C3468D29506A5</v>
      </c>
    </row>
    <row r="7843" spans="3:5" ht="45" x14ac:dyDescent="0.25">
      <c r="C7843" s="15">
        <v>196740</v>
      </c>
      <c r="D7843" s="4" t="s">
        <v>7847</v>
      </c>
      <c r="E7843" s="4" t="str">
        <f>HYPERLINK("https://app.crepc.sk/?fn=detailBiblioForm&amp;sid=959B0CD35FC03E1AE1CB263F38")</f>
        <v>https://app.crepc.sk/?fn=detailBiblioForm&amp;sid=959B0CD35FC03E1AE1CB263F38</v>
      </c>
    </row>
    <row r="7844" spans="3:5" ht="60" x14ac:dyDescent="0.25">
      <c r="C7844" s="15">
        <v>129821</v>
      </c>
      <c r="D7844" s="4" t="s">
        <v>7848</v>
      </c>
      <c r="E7844" s="4" t="str">
        <f>HYPERLINK("https://app.crepc.sk/?fn=detailBiblioForm&amp;sid=52338B61C0045FC8DB5854DEB2")</f>
        <v>https://app.crepc.sk/?fn=detailBiblioForm&amp;sid=52338B61C0045FC8DB5854DEB2</v>
      </c>
    </row>
    <row r="7845" spans="3:5" ht="60" x14ac:dyDescent="0.25">
      <c r="C7845" s="15">
        <v>310769</v>
      </c>
      <c r="D7845" s="4" t="s">
        <v>7849</v>
      </c>
      <c r="E7845" s="4" t="str">
        <f>HYPERLINK("https://app.crepc.sk/?fn=detailBiblioForm&amp;sid=BA568C50EF7A76E2D5FD14E589")</f>
        <v>https://app.crepc.sk/?fn=detailBiblioForm&amp;sid=BA568C50EF7A76E2D5FD14E589</v>
      </c>
    </row>
    <row r="7846" spans="3:5" ht="45" x14ac:dyDescent="0.25">
      <c r="C7846" s="15">
        <v>225431</v>
      </c>
      <c r="D7846" s="4" t="s">
        <v>7850</v>
      </c>
      <c r="E7846" s="4" t="str">
        <f>HYPERLINK("https://app.crepc.sk/?fn=detailBiblioForm&amp;sid=D044C6AD8D0F3136A2A8C7AD16")</f>
        <v>https://app.crepc.sk/?fn=detailBiblioForm&amp;sid=D044C6AD8D0F3136A2A8C7AD16</v>
      </c>
    </row>
    <row r="7847" spans="3:5" ht="45" x14ac:dyDescent="0.25">
      <c r="C7847" s="15">
        <v>80894</v>
      </c>
      <c r="D7847" s="4" t="s">
        <v>7851</v>
      </c>
      <c r="E7847" s="4" t="str">
        <f>HYPERLINK("https://app.crepc.sk/?fn=detailBiblioForm&amp;sid=FD74A137D07AF7CEE92A755E")</f>
        <v>https://app.crepc.sk/?fn=detailBiblioForm&amp;sid=FD74A137D07AF7CEE92A755E</v>
      </c>
    </row>
    <row r="7848" spans="3:5" ht="45" x14ac:dyDescent="0.25">
      <c r="C7848" s="15">
        <v>51873</v>
      </c>
      <c r="D7848" s="4" t="s">
        <v>7852</v>
      </c>
      <c r="E7848" s="4" t="str">
        <f>HYPERLINK("https://app.crepc.sk/?fn=detailBiblioForm&amp;sid=D5D698E870B5262BEF2533D6")</f>
        <v>https://app.crepc.sk/?fn=detailBiblioForm&amp;sid=D5D698E870B5262BEF2533D6</v>
      </c>
    </row>
    <row r="7849" spans="3:5" ht="45" x14ac:dyDescent="0.25">
      <c r="C7849" s="15">
        <v>186091</v>
      </c>
      <c r="D7849" s="4" t="s">
        <v>7853</v>
      </c>
      <c r="E7849" s="4" t="str">
        <f>HYPERLINK("https://app.crepc.sk/?fn=detailBiblioForm&amp;sid=12BF14ADF430A4F4B4F53AA239")</f>
        <v>https://app.crepc.sk/?fn=detailBiblioForm&amp;sid=12BF14ADF430A4F4B4F53AA239</v>
      </c>
    </row>
    <row r="7850" spans="3:5" ht="60" x14ac:dyDescent="0.25">
      <c r="C7850" s="15">
        <v>182536</v>
      </c>
      <c r="D7850" s="4" t="s">
        <v>7854</v>
      </c>
      <c r="E7850" s="4" t="str">
        <f>HYPERLINK("https://app.crepc.sk/?fn=detailBiblioForm&amp;sid=CC8450CBF10FC669827897D74A")</f>
        <v>https://app.crepc.sk/?fn=detailBiblioForm&amp;sid=CC8450CBF10FC669827897D74A</v>
      </c>
    </row>
    <row r="7851" spans="3:5" ht="45" x14ac:dyDescent="0.25">
      <c r="C7851" s="15">
        <v>174101</v>
      </c>
      <c r="D7851" s="4" t="s">
        <v>7855</v>
      </c>
      <c r="E7851" s="4" t="str">
        <f>HYPERLINK("https://app.crepc.sk/?fn=detailBiblioForm&amp;sid=D9F0BB0A8DA9926988A1F8C501")</f>
        <v>https://app.crepc.sk/?fn=detailBiblioForm&amp;sid=D9F0BB0A8DA9926988A1F8C501</v>
      </c>
    </row>
    <row r="7852" spans="3:5" ht="45" x14ac:dyDescent="0.25">
      <c r="C7852" s="15">
        <v>235063</v>
      </c>
      <c r="D7852" s="4" t="s">
        <v>7856</v>
      </c>
      <c r="E7852" s="4" t="str">
        <f>HYPERLINK("https://app.crepc.sk/?fn=detailBiblioForm&amp;sid=1672AA2C7269BEB1492160D9C8")</f>
        <v>https://app.crepc.sk/?fn=detailBiblioForm&amp;sid=1672AA2C7269BEB1492160D9C8</v>
      </c>
    </row>
    <row r="7853" spans="3:5" ht="45" x14ac:dyDescent="0.25">
      <c r="C7853" s="15">
        <v>182754</v>
      </c>
      <c r="D7853" s="4" t="s">
        <v>7857</v>
      </c>
      <c r="E7853" s="4" t="str">
        <f>HYPERLINK("https://app.crepc.sk/?fn=detailBiblioForm&amp;sid=C1EFC3B1039AA8EF92EE97B9B5")</f>
        <v>https://app.crepc.sk/?fn=detailBiblioForm&amp;sid=C1EFC3B1039AA8EF92EE97B9B5</v>
      </c>
    </row>
    <row r="7854" spans="3:5" ht="30" x14ac:dyDescent="0.25">
      <c r="C7854" s="15">
        <v>95286</v>
      </c>
      <c r="D7854" s="4" t="s">
        <v>7858</v>
      </c>
      <c r="E7854" s="4" t="str">
        <f>HYPERLINK("https://app.crepc.sk/?fn=detailBiblioForm&amp;sid=C1C0B16C23632D8C31E8E954")</f>
        <v>https://app.crepc.sk/?fn=detailBiblioForm&amp;sid=C1C0B16C23632D8C31E8E954</v>
      </c>
    </row>
    <row r="7855" spans="3:5" ht="45" x14ac:dyDescent="0.25">
      <c r="C7855" s="15">
        <v>55961</v>
      </c>
      <c r="D7855" s="4" t="s">
        <v>7859</v>
      </c>
      <c r="E7855" s="4" t="str">
        <f>HYPERLINK("https://app.crepc.sk/?fn=detailBiblioForm&amp;sid=172A04CD1984768024E1C707")</f>
        <v>https://app.crepc.sk/?fn=detailBiblioForm&amp;sid=172A04CD1984768024E1C707</v>
      </c>
    </row>
    <row r="7856" spans="3:5" ht="45" x14ac:dyDescent="0.25">
      <c r="C7856" s="15">
        <v>144197</v>
      </c>
      <c r="D7856" s="4" t="s">
        <v>7860</v>
      </c>
      <c r="E7856" s="4" t="str">
        <f>HYPERLINK("https://app.crepc.sk/?fn=detailBiblioForm&amp;sid=0C456E8F7F525ABD66FD27BA07")</f>
        <v>https://app.crepc.sk/?fn=detailBiblioForm&amp;sid=0C456E8F7F525ABD66FD27BA07</v>
      </c>
    </row>
    <row r="7857" spans="3:5" ht="45" x14ac:dyDescent="0.25">
      <c r="C7857" s="15">
        <v>250176</v>
      </c>
      <c r="D7857" s="4" t="s">
        <v>7861</v>
      </c>
      <c r="E7857" s="4" t="str">
        <f>HYPERLINK("https://app.crepc.sk/?fn=detailBiblioForm&amp;sid=C4B905D76DBB935F063FFE609A")</f>
        <v>https://app.crepc.sk/?fn=detailBiblioForm&amp;sid=C4B905D76DBB935F063FFE609A</v>
      </c>
    </row>
    <row r="7858" spans="3:5" ht="45" x14ac:dyDescent="0.25">
      <c r="C7858" s="15">
        <v>227826</v>
      </c>
      <c r="D7858" s="4" t="s">
        <v>7862</v>
      </c>
      <c r="E7858" s="4" t="str">
        <f>HYPERLINK("https://app.crepc.sk/?fn=detailBiblioForm&amp;sid=D57B83470BBFCEC225803FD33C")</f>
        <v>https://app.crepc.sk/?fn=detailBiblioForm&amp;sid=D57B83470BBFCEC225803FD33C</v>
      </c>
    </row>
    <row r="7859" spans="3:5" ht="45" x14ac:dyDescent="0.25">
      <c r="C7859" s="15">
        <v>55343</v>
      </c>
      <c r="D7859" s="4" t="s">
        <v>7863</v>
      </c>
      <c r="E7859" s="4" t="str">
        <f>HYPERLINK("https://app.crepc.sk/?fn=detailBiblioForm&amp;sid=91D33851F10D12AD00B5E56C")</f>
        <v>https://app.crepc.sk/?fn=detailBiblioForm&amp;sid=91D33851F10D12AD00B5E56C</v>
      </c>
    </row>
    <row r="7860" spans="3:5" ht="60" x14ac:dyDescent="0.25">
      <c r="C7860" s="15">
        <v>51158</v>
      </c>
      <c r="D7860" s="4" t="s">
        <v>7864</v>
      </c>
      <c r="E7860" s="4" t="str">
        <f>HYPERLINK("https://app.crepc.sk/?fn=detailBiblioForm&amp;sid=894B7B9B17E535619500280E")</f>
        <v>https://app.crepc.sk/?fn=detailBiblioForm&amp;sid=894B7B9B17E535619500280E</v>
      </c>
    </row>
    <row r="7861" spans="3:5" ht="45" x14ac:dyDescent="0.25">
      <c r="C7861" s="15">
        <v>421997</v>
      </c>
      <c r="D7861" s="4" t="s">
        <v>7865</v>
      </c>
      <c r="E7861" s="4" t="str">
        <f>HYPERLINK("https://app.crepc.sk/?fn=detailBiblioForm&amp;sid=AEE9BA5F6DFDBEA1A41E7D3CF1")</f>
        <v>https://app.crepc.sk/?fn=detailBiblioForm&amp;sid=AEE9BA5F6DFDBEA1A41E7D3CF1</v>
      </c>
    </row>
    <row r="7862" spans="3:5" ht="45" x14ac:dyDescent="0.25">
      <c r="C7862" s="15">
        <v>80922</v>
      </c>
      <c r="D7862" s="4" t="s">
        <v>7866</v>
      </c>
      <c r="E7862" s="4" t="str">
        <f>HYPERLINK("https://app.crepc.sk/?fn=detailBiblioForm&amp;sid=BF6747541D1E3B2607E84D09")</f>
        <v>https://app.crepc.sk/?fn=detailBiblioForm&amp;sid=BF6747541D1E3B2607E84D09</v>
      </c>
    </row>
    <row r="7863" spans="3:5" ht="60" x14ac:dyDescent="0.25">
      <c r="C7863" s="15">
        <v>82523</v>
      </c>
      <c r="D7863" s="4" t="s">
        <v>7867</v>
      </c>
      <c r="E7863" s="4" t="str">
        <f>HYPERLINK("https://app.crepc.sk/?fn=detailBiblioForm&amp;sid=1BA703EB408D702C53731B23")</f>
        <v>https://app.crepc.sk/?fn=detailBiblioForm&amp;sid=1BA703EB408D702C53731B23</v>
      </c>
    </row>
    <row r="7864" spans="3:5" ht="45" x14ac:dyDescent="0.25">
      <c r="C7864" s="15">
        <v>142270</v>
      </c>
      <c r="D7864" s="4" t="s">
        <v>7868</v>
      </c>
      <c r="E7864" s="4" t="str">
        <f>HYPERLINK("https://app.crepc.sk/?fn=detailBiblioForm&amp;sid=1C7524EE209F6A36FCFBFC51B3")</f>
        <v>https://app.crepc.sk/?fn=detailBiblioForm&amp;sid=1C7524EE209F6A36FCFBFC51B3</v>
      </c>
    </row>
    <row r="7865" spans="3:5" ht="45" x14ac:dyDescent="0.25">
      <c r="C7865" s="15">
        <v>60671</v>
      </c>
      <c r="D7865" s="4" t="s">
        <v>7869</v>
      </c>
      <c r="E7865" s="4" t="str">
        <f>HYPERLINK("https://app.crepc.sk/?fn=detailBiblioForm&amp;sid=CED4C9076F172FE91DB8BB88")</f>
        <v>https://app.crepc.sk/?fn=detailBiblioForm&amp;sid=CED4C9076F172FE91DB8BB88</v>
      </c>
    </row>
    <row r="7866" spans="3:5" ht="45" x14ac:dyDescent="0.25">
      <c r="C7866" s="15">
        <v>228809</v>
      </c>
      <c r="D7866" s="4" t="s">
        <v>7870</v>
      </c>
      <c r="E7866" s="4" t="str">
        <f>HYPERLINK("https://app.crepc.sk/?fn=detailBiblioForm&amp;sid=5076D04024979CB5CF56C115B4")</f>
        <v>https://app.crepc.sk/?fn=detailBiblioForm&amp;sid=5076D04024979CB5CF56C115B4</v>
      </c>
    </row>
    <row r="7867" spans="3:5" ht="45" x14ac:dyDescent="0.25">
      <c r="C7867" s="15">
        <v>215243</v>
      </c>
      <c r="D7867" s="4" t="s">
        <v>7871</v>
      </c>
      <c r="E7867" s="4" t="str">
        <f>HYPERLINK("https://app.crepc.sk/?fn=detailBiblioForm&amp;sid=232B0374A242225DB303E0C308")</f>
        <v>https://app.crepc.sk/?fn=detailBiblioForm&amp;sid=232B0374A242225DB303E0C308</v>
      </c>
    </row>
    <row r="7868" spans="3:5" ht="45" x14ac:dyDescent="0.25">
      <c r="C7868" s="15">
        <v>181126</v>
      </c>
      <c r="D7868" s="4" t="s">
        <v>7872</v>
      </c>
      <c r="E7868" s="4" t="str">
        <f>HYPERLINK("https://app.crepc.sk/?fn=detailBiblioForm&amp;sid=D2270EF957433A5E2F72E60F57")</f>
        <v>https://app.crepc.sk/?fn=detailBiblioForm&amp;sid=D2270EF957433A5E2F72E60F57</v>
      </c>
    </row>
    <row r="7869" spans="3:5" ht="45" x14ac:dyDescent="0.25">
      <c r="C7869" s="15">
        <v>80880</v>
      </c>
      <c r="D7869" s="4" t="s">
        <v>7873</v>
      </c>
      <c r="E7869" s="4" t="str">
        <f>HYPERLINK("https://app.crepc.sk/?fn=detailBiblioForm&amp;sid=E0AC60054F32B734264CC1B0")</f>
        <v>https://app.crepc.sk/?fn=detailBiblioForm&amp;sid=E0AC60054F32B734264CC1B0</v>
      </c>
    </row>
    <row r="7870" spans="3:5" ht="45" x14ac:dyDescent="0.25">
      <c r="C7870" s="15">
        <v>80758</v>
      </c>
      <c r="D7870" s="4" t="s">
        <v>7874</v>
      </c>
      <c r="E7870" s="4" t="str">
        <f>HYPERLINK("https://app.crepc.sk/?fn=detailBiblioForm&amp;sid=A7023342D4DE158034F8402C")</f>
        <v>https://app.crepc.sk/?fn=detailBiblioForm&amp;sid=A7023342D4DE158034F8402C</v>
      </c>
    </row>
    <row r="7871" spans="3:5" ht="60" x14ac:dyDescent="0.25">
      <c r="C7871" s="15">
        <v>150628</v>
      </c>
      <c r="D7871" s="4" t="s">
        <v>7875</v>
      </c>
      <c r="E7871" s="4" t="str">
        <f>HYPERLINK("https://app.crepc.sk/?fn=detailBiblioForm&amp;sid=E06C6FAF64E52D017E40EB472B")</f>
        <v>https://app.crepc.sk/?fn=detailBiblioForm&amp;sid=E06C6FAF64E52D017E40EB472B</v>
      </c>
    </row>
    <row r="7872" spans="3:5" ht="45" x14ac:dyDescent="0.25">
      <c r="C7872" s="15">
        <v>161765</v>
      </c>
      <c r="D7872" s="4" t="s">
        <v>7876</v>
      </c>
      <c r="E7872" s="4" t="str">
        <f>HYPERLINK("https://app.crepc.sk/?fn=detailBiblioForm&amp;sid=BCA102CB6C4CA54D4AEAC863D9")</f>
        <v>https://app.crepc.sk/?fn=detailBiblioForm&amp;sid=BCA102CB6C4CA54D4AEAC863D9</v>
      </c>
    </row>
    <row r="7873" spans="3:5" ht="45" x14ac:dyDescent="0.25">
      <c r="C7873" s="15">
        <v>175906</v>
      </c>
      <c r="D7873" s="4" t="s">
        <v>7877</v>
      </c>
      <c r="E7873" s="4" t="str">
        <f>HYPERLINK("https://app.crepc.sk/?fn=detailBiblioForm&amp;sid=4AD13E03A40DD9FCB8391074EC")</f>
        <v>https://app.crepc.sk/?fn=detailBiblioForm&amp;sid=4AD13E03A40DD9FCB8391074EC</v>
      </c>
    </row>
    <row r="7874" spans="3:5" ht="45" x14ac:dyDescent="0.25">
      <c r="C7874" s="15">
        <v>117792</v>
      </c>
      <c r="D7874" s="4" t="s">
        <v>7878</v>
      </c>
      <c r="E7874" s="4" t="str">
        <f>HYPERLINK("https://app.crepc.sk/?fn=detailBiblioForm&amp;sid=8232CE64E2D3AEDD0ADB584CA5")</f>
        <v>https://app.crepc.sk/?fn=detailBiblioForm&amp;sid=8232CE64E2D3AEDD0ADB584CA5</v>
      </c>
    </row>
    <row r="7875" spans="3:5" ht="60" x14ac:dyDescent="0.25">
      <c r="C7875" s="15">
        <v>106682</v>
      </c>
      <c r="D7875" s="4" t="s">
        <v>7879</v>
      </c>
      <c r="E7875" s="4" t="str">
        <f>HYPERLINK("https://app.crepc.sk/?fn=detailBiblioForm&amp;sid=A06A45AC7F1E51E6114A9D03D8")</f>
        <v>https://app.crepc.sk/?fn=detailBiblioForm&amp;sid=A06A45AC7F1E51E6114A9D03D8</v>
      </c>
    </row>
    <row r="7876" spans="3:5" ht="60" x14ac:dyDescent="0.25">
      <c r="C7876" s="15">
        <v>190152</v>
      </c>
      <c r="D7876" s="4" t="s">
        <v>7880</v>
      </c>
      <c r="E7876" s="4" t="str">
        <f>HYPERLINK("https://app.crepc.sk/?fn=detailBiblioForm&amp;sid=91A8077BCD3DC838EE796AA292")</f>
        <v>https://app.crepc.sk/?fn=detailBiblioForm&amp;sid=91A8077BCD3DC838EE796AA292</v>
      </c>
    </row>
    <row r="7877" spans="3:5" ht="45" x14ac:dyDescent="0.25">
      <c r="C7877" s="15">
        <v>215253</v>
      </c>
      <c r="D7877" s="4" t="s">
        <v>7881</v>
      </c>
      <c r="E7877" s="4" t="str">
        <f>HYPERLINK("https://app.crepc.sk/?fn=detailBiblioForm&amp;sid=232B0374A242225DB203E0C308")</f>
        <v>https://app.crepc.sk/?fn=detailBiblioForm&amp;sid=232B0374A242225DB203E0C308</v>
      </c>
    </row>
    <row r="7878" spans="3:5" ht="45" x14ac:dyDescent="0.25">
      <c r="C7878" s="15">
        <v>235133</v>
      </c>
      <c r="D7878" s="4" t="s">
        <v>7882</v>
      </c>
      <c r="E7878" s="4" t="str">
        <f>HYPERLINK("https://app.crepc.sk/?fn=detailBiblioForm&amp;sid=7CC85D9BBAA5768308F0919818")</f>
        <v>https://app.crepc.sk/?fn=detailBiblioForm&amp;sid=7CC85D9BBAA5768308F0919818</v>
      </c>
    </row>
    <row r="7879" spans="3:5" ht="45" x14ac:dyDescent="0.25">
      <c r="C7879" s="15">
        <v>153761</v>
      </c>
      <c r="D7879" s="4" t="s">
        <v>7883</v>
      </c>
      <c r="E7879" s="4" t="str">
        <f>HYPERLINK("https://app.crepc.sk/?fn=detailBiblioForm&amp;sid=85D30AFD358849054D9CD2583A")</f>
        <v>https://app.crepc.sk/?fn=detailBiblioForm&amp;sid=85D30AFD358849054D9CD2583A</v>
      </c>
    </row>
    <row r="7880" spans="3:5" ht="45" x14ac:dyDescent="0.25">
      <c r="C7880" s="15">
        <v>85091</v>
      </c>
      <c r="D7880" s="4" t="s">
        <v>7884</v>
      </c>
      <c r="E7880" s="4" t="str">
        <f>HYPERLINK("https://app.crepc.sk/?fn=detailBiblioForm&amp;sid=DCB3707E7811B2B3BA7A60EB")</f>
        <v>https://app.crepc.sk/?fn=detailBiblioForm&amp;sid=DCB3707E7811B2B3BA7A60EB</v>
      </c>
    </row>
    <row r="7881" spans="3:5" ht="45" x14ac:dyDescent="0.25">
      <c r="C7881" s="15">
        <v>442474</v>
      </c>
      <c r="D7881" s="4" t="s">
        <v>7885</v>
      </c>
      <c r="E7881" s="4" t="str">
        <f>HYPERLINK("https://app.crepc.sk/?fn=detailBiblioForm&amp;sid=71E4C87088576A56E72B049C2E")</f>
        <v>https://app.crepc.sk/?fn=detailBiblioForm&amp;sid=71E4C87088576A56E72B049C2E</v>
      </c>
    </row>
    <row r="7882" spans="3:5" ht="90" x14ac:dyDescent="0.25">
      <c r="C7882" s="15">
        <v>207395</v>
      </c>
      <c r="D7882" s="4" t="s">
        <v>7886</v>
      </c>
      <c r="E7882" s="4" t="str">
        <f>HYPERLINK("https://app.crepc.sk/?fn=detailBiblioForm&amp;sid=A0CC9C9400D9B3C077FA2036F4")</f>
        <v>https://app.crepc.sk/?fn=detailBiblioForm&amp;sid=A0CC9C9400D9B3C077FA2036F4</v>
      </c>
    </row>
    <row r="7883" spans="3:5" ht="45" x14ac:dyDescent="0.25">
      <c r="C7883" s="15">
        <v>100090</v>
      </c>
      <c r="D7883" s="4" t="s">
        <v>7887</v>
      </c>
      <c r="E7883" s="4" t="str">
        <f>HYPERLINK("https://app.crepc.sk/?fn=detailBiblioForm&amp;sid=8D3F7791082C9B693ED480258C")</f>
        <v>https://app.crepc.sk/?fn=detailBiblioForm&amp;sid=8D3F7791082C9B693ED480258C</v>
      </c>
    </row>
    <row r="7884" spans="3:5" ht="60" x14ac:dyDescent="0.25">
      <c r="C7884" s="15">
        <v>420139</v>
      </c>
      <c r="D7884" s="4" t="s">
        <v>7888</v>
      </c>
      <c r="E7884" s="4" t="str">
        <f>HYPERLINK("https://app.crepc.sk/?fn=detailBiblioForm&amp;sid=5D2DBF2AC28D3B0759E6421D14")</f>
        <v>https://app.crepc.sk/?fn=detailBiblioForm&amp;sid=5D2DBF2AC28D3B0759E6421D14</v>
      </c>
    </row>
    <row r="7885" spans="3:5" ht="45" x14ac:dyDescent="0.25">
      <c r="C7885" s="15">
        <v>161729</v>
      </c>
      <c r="D7885" s="4" t="s">
        <v>7889</v>
      </c>
      <c r="E7885" s="4" t="str">
        <f>HYPERLINK("https://app.crepc.sk/?fn=detailBiblioForm&amp;sid=BCA102CB6C4CA54D4EE6C863D9")</f>
        <v>https://app.crepc.sk/?fn=detailBiblioForm&amp;sid=BCA102CB6C4CA54D4EE6C863D9</v>
      </c>
    </row>
    <row r="7886" spans="3:5" ht="45" x14ac:dyDescent="0.25">
      <c r="C7886" s="15">
        <v>211290</v>
      </c>
      <c r="D7886" s="4" t="s">
        <v>7890</v>
      </c>
      <c r="E7886" s="4" t="str">
        <f>HYPERLINK("https://app.crepc.sk/?fn=detailBiblioForm&amp;sid=12D43A2BF2357AAE3E051CCE89")</f>
        <v>https://app.crepc.sk/?fn=detailBiblioForm&amp;sid=12D43A2BF2357AAE3E051CCE89</v>
      </c>
    </row>
    <row r="7887" spans="3:5" ht="45" x14ac:dyDescent="0.25">
      <c r="C7887" s="15">
        <v>213134</v>
      </c>
      <c r="D7887" s="4" t="s">
        <v>7891</v>
      </c>
      <c r="E7887" s="4" t="str">
        <f>HYPERLINK("https://app.crepc.sk/?fn=detailBiblioForm&amp;sid=135C93AC0B2CE4567FFFF252A0")</f>
        <v>https://app.crepc.sk/?fn=detailBiblioForm&amp;sid=135C93AC0B2CE4567FFFF252A0</v>
      </c>
    </row>
    <row r="7888" spans="3:5" ht="45" x14ac:dyDescent="0.25">
      <c r="C7888" s="15">
        <v>133688</v>
      </c>
      <c r="D7888" s="4" t="s">
        <v>7892</v>
      </c>
      <c r="E7888" s="4" t="str">
        <f>HYPERLINK("https://app.crepc.sk/?fn=detailBiblioForm&amp;sid=843FECD318613D3B1FE4A125F3")</f>
        <v>https://app.crepc.sk/?fn=detailBiblioForm&amp;sid=843FECD318613D3B1FE4A125F3</v>
      </c>
    </row>
    <row r="7889" spans="3:5" ht="60" x14ac:dyDescent="0.25">
      <c r="C7889" s="15">
        <v>129012</v>
      </c>
      <c r="D7889" s="4" t="s">
        <v>7893</v>
      </c>
      <c r="E7889" s="4" t="str">
        <f>HYPERLINK("https://app.crepc.sk/?fn=detailBiblioForm&amp;sid=8ED2C2B0C8CAA517FB686E93E7")</f>
        <v>https://app.crepc.sk/?fn=detailBiblioForm&amp;sid=8ED2C2B0C8CAA517FB686E93E7</v>
      </c>
    </row>
    <row r="7890" spans="3:5" ht="45" x14ac:dyDescent="0.25">
      <c r="C7890" s="15">
        <v>100865</v>
      </c>
      <c r="D7890" s="4" t="s">
        <v>7894</v>
      </c>
      <c r="E7890" s="4" t="str">
        <f>HYPERLINK("https://app.crepc.sk/?fn=detailBiblioForm&amp;sid=C2DCC5E65C22781D3C64D860DE")</f>
        <v>https://app.crepc.sk/?fn=detailBiblioForm&amp;sid=C2DCC5E65C22781D3C64D860DE</v>
      </c>
    </row>
    <row r="7891" spans="3:5" ht="60" x14ac:dyDescent="0.25">
      <c r="C7891" s="15">
        <v>68985</v>
      </c>
      <c r="D7891" s="4" t="s">
        <v>7895</v>
      </c>
      <c r="E7891" s="4" t="str">
        <f>HYPERLINK("https://app.crepc.sk/?fn=detailBiblioForm&amp;sid=BF7D2F7C89B4A1BB940168AD")</f>
        <v>https://app.crepc.sk/?fn=detailBiblioForm&amp;sid=BF7D2F7C89B4A1BB940168AD</v>
      </c>
    </row>
    <row r="7892" spans="3:5" ht="60" x14ac:dyDescent="0.25">
      <c r="C7892" s="15">
        <v>80487</v>
      </c>
      <c r="D7892" s="4" t="s">
        <v>7896</v>
      </c>
      <c r="E7892" s="4" t="str">
        <f>HYPERLINK("https://app.crepc.sk/?fn=detailBiblioForm&amp;sid=6241949C9C010869F5811A06")</f>
        <v>https://app.crepc.sk/?fn=detailBiblioForm&amp;sid=6241949C9C010869F5811A06</v>
      </c>
    </row>
    <row r="7893" spans="3:5" ht="60" x14ac:dyDescent="0.25">
      <c r="C7893" s="15">
        <v>251988</v>
      </c>
      <c r="D7893" s="4" t="s">
        <v>7897</v>
      </c>
      <c r="E7893" s="4" t="str">
        <f>HYPERLINK("https://app.crepc.sk/?fn=detailBiblioForm&amp;sid=58BE50AAF33655A10315B158A7")</f>
        <v>https://app.crepc.sk/?fn=detailBiblioForm&amp;sid=58BE50AAF33655A10315B158A7</v>
      </c>
    </row>
    <row r="7894" spans="3:5" ht="45" x14ac:dyDescent="0.25">
      <c r="C7894" s="15">
        <v>223272</v>
      </c>
      <c r="D7894" s="4" t="s">
        <v>7898</v>
      </c>
      <c r="E7894" s="4" t="str">
        <f>HYPERLINK("https://app.crepc.sk/?fn=detailBiblioForm&amp;sid=A560E0A5BF5D2849BDC5E84DBE")</f>
        <v>https://app.crepc.sk/?fn=detailBiblioForm&amp;sid=A560E0A5BF5D2849BDC5E84DBE</v>
      </c>
    </row>
    <row r="7895" spans="3:5" ht="45" x14ac:dyDescent="0.25">
      <c r="C7895" s="15">
        <v>80905</v>
      </c>
      <c r="D7895" s="4" t="s">
        <v>7899</v>
      </c>
      <c r="E7895" s="4" t="str">
        <f>HYPERLINK("https://app.crepc.sk/?fn=detailBiblioForm&amp;sid=0DB5664C7E142A9DE9EAFF13")</f>
        <v>https://app.crepc.sk/?fn=detailBiblioForm&amp;sid=0DB5664C7E142A9DE9EAFF13</v>
      </c>
    </row>
    <row r="7896" spans="3:5" ht="45" x14ac:dyDescent="0.25">
      <c r="C7896" s="15">
        <v>100106</v>
      </c>
      <c r="D7896" s="4" t="s">
        <v>7900</v>
      </c>
      <c r="E7896" s="4" t="str">
        <f>HYPERLINK("https://app.crepc.sk/?fn=detailBiblioForm&amp;sid=5BFE66B123F0ED37A6591F9F3C")</f>
        <v>https://app.crepc.sk/?fn=detailBiblioForm&amp;sid=5BFE66B123F0ED37A6591F9F3C</v>
      </c>
    </row>
    <row r="7897" spans="3:5" ht="45" x14ac:dyDescent="0.25">
      <c r="C7897" s="15">
        <v>183863</v>
      </c>
      <c r="D7897" s="4" t="s">
        <v>7901</v>
      </c>
      <c r="E7897" s="4" t="str">
        <f>HYPERLINK("https://app.crepc.sk/?fn=detailBiblioForm&amp;sid=E9A819C3F6DCFD1BCCC7B8F136")</f>
        <v>https://app.crepc.sk/?fn=detailBiblioForm&amp;sid=E9A819C3F6DCFD1BCCC7B8F136</v>
      </c>
    </row>
    <row r="7898" spans="3:5" ht="45" x14ac:dyDescent="0.25">
      <c r="C7898" s="15">
        <v>215093</v>
      </c>
      <c r="D7898" s="4" t="s">
        <v>7902</v>
      </c>
      <c r="E7898" s="4" t="str">
        <f>HYPERLINK("https://app.crepc.sk/?fn=detailBiblioForm&amp;sid=C4807EF2F858620C0FEC30175A")</f>
        <v>https://app.crepc.sk/?fn=detailBiblioForm&amp;sid=C4807EF2F858620C0FEC30175A</v>
      </c>
    </row>
    <row r="7899" spans="3:5" ht="45" x14ac:dyDescent="0.25">
      <c r="C7899" s="15">
        <v>208805</v>
      </c>
      <c r="D7899" s="4" t="s">
        <v>7903</v>
      </c>
      <c r="E7899" s="4" t="str">
        <f>HYPERLINK("https://app.crepc.sk/?fn=detailBiblioForm&amp;sid=8709A00DECECE1CBA04345B0F2")</f>
        <v>https://app.crepc.sk/?fn=detailBiblioForm&amp;sid=8709A00DECECE1CBA04345B0F2</v>
      </c>
    </row>
    <row r="7900" spans="3:5" ht="45" x14ac:dyDescent="0.25">
      <c r="C7900" s="15">
        <v>209130</v>
      </c>
      <c r="D7900" s="4" t="s">
        <v>7904</v>
      </c>
      <c r="E7900" s="4" t="str">
        <f>HYPERLINK("https://app.crepc.sk/?fn=detailBiblioForm&amp;sid=CEB008BA03D41FE3DE4346E343")</f>
        <v>https://app.crepc.sk/?fn=detailBiblioForm&amp;sid=CEB008BA03D41FE3DE4346E343</v>
      </c>
    </row>
    <row r="7901" spans="3:5" ht="45" x14ac:dyDescent="0.25">
      <c r="C7901" s="15">
        <v>100040</v>
      </c>
      <c r="D7901" s="4" t="s">
        <v>7905</v>
      </c>
      <c r="E7901" s="4" t="str">
        <f>HYPERLINK("https://app.crepc.sk/?fn=detailBiblioForm&amp;sid=8D3F7791082C9B6933D480258C")</f>
        <v>https://app.crepc.sk/?fn=detailBiblioForm&amp;sid=8D3F7791082C9B6933D480258C</v>
      </c>
    </row>
    <row r="7902" spans="3:5" ht="45" x14ac:dyDescent="0.25">
      <c r="C7902" s="15">
        <v>181111</v>
      </c>
      <c r="D7902" s="4" t="s">
        <v>7906</v>
      </c>
      <c r="E7902" s="4" t="str">
        <f>HYPERLINK("https://app.crepc.sk/?fn=detailBiblioForm&amp;sid=D2270EF957433A5E2C75E60F57")</f>
        <v>https://app.crepc.sk/?fn=detailBiblioForm&amp;sid=D2270EF957433A5E2C75E60F57</v>
      </c>
    </row>
    <row r="7903" spans="3:5" ht="45" x14ac:dyDescent="0.25">
      <c r="C7903" s="15">
        <v>309449</v>
      </c>
      <c r="D7903" s="4" t="s">
        <v>7907</v>
      </c>
      <c r="E7903" s="4" t="str">
        <f>HYPERLINK("https://app.crepc.sk/?fn=detailBiblioForm&amp;sid=A4BE3C27DBDCF4079E538786D9")</f>
        <v>https://app.crepc.sk/?fn=detailBiblioForm&amp;sid=A4BE3C27DBDCF4079E538786D9</v>
      </c>
    </row>
    <row r="7904" spans="3:5" ht="45" x14ac:dyDescent="0.25">
      <c r="C7904" s="15">
        <v>80856</v>
      </c>
      <c r="D7904" s="4" t="s">
        <v>7908</v>
      </c>
      <c r="E7904" s="4" t="str">
        <f>HYPERLINK("https://app.crepc.sk/?fn=detailBiblioForm&amp;sid=E2FF28C6FE5B0CFE977F0284")</f>
        <v>https://app.crepc.sk/?fn=detailBiblioForm&amp;sid=E2FF28C6FE5B0CFE977F0284</v>
      </c>
    </row>
    <row r="7905" spans="3:5" ht="60" x14ac:dyDescent="0.25">
      <c r="C7905" s="15">
        <v>256868</v>
      </c>
      <c r="D7905" s="4" t="s">
        <v>7909</v>
      </c>
      <c r="E7905" s="4" t="str">
        <f>HYPERLINK("https://app.crepc.sk/?fn=detailBiblioForm&amp;sid=BD7337747C6A52DEE786008575")</f>
        <v>https://app.crepc.sk/?fn=detailBiblioForm&amp;sid=BD7337747C6A52DEE786008575</v>
      </c>
    </row>
    <row r="7906" spans="3:5" ht="60" x14ac:dyDescent="0.25">
      <c r="C7906" s="15">
        <v>71323</v>
      </c>
      <c r="D7906" s="4" t="s">
        <v>7910</v>
      </c>
      <c r="E7906" s="4" t="str">
        <f>HYPERLINK("https://app.crepc.sk/?fn=detailBiblioForm&amp;sid=80D4D72553BDF7B804F5E454")</f>
        <v>https://app.crepc.sk/?fn=detailBiblioForm&amp;sid=80D4D72553BDF7B804F5E454</v>
      </c>
    </row>
    <row r="7907" spans="3:5" ht="45" x14ac:dyDescent="0.25">
      <c r="C7907" s="15">
        <v>215241</v>
      </c>
      <c r="D7907" s="4" t="s">
        <v>7911</v>
      </c>
      <c r="E7907" s="4" t="str">
        <f>HYPERLINK("https://app.crepc.sk/?fn=detailBiblioForm&amp;sid=232B0374A242225DB301E0C308")</f>
        <v>https://app.crepc.sk/?fn=detailBiblioForm&amp;sid=232B0374A242225DB301E0C308</v>
      </c>
    </row>
    <row r="7908" spans="3:5" ht="45" x14ac:dyDescent="0.25">
      <c r="C7908" s="15">
        <v>215276</v>
      </c>
      <c r="D7908" s="4" t="s">
        <v>7912</v>
      </c>
      <c r="E7908" s="4" t="str">
        <f>HYPERLINK("https://app.crepc.sk/?fn=detailBiblioForm&amp;sid=232B0374A242225DB006E0C308")</f>
        <v>https://app.crepc.sk/?fn=detailBiblioForm&amp;sid=232B0374A242225DB006E0C308</v>
      </c>
    </row>
    <row r="7909" spans="3:5" ht="45" x14ac:dyDescent="0.25">
      <c r="C7909" s="15">
        <v>200109</v>
      </c>
      <c r="D7909" s="4" t="s">
        <v>7913</v>
      </c>
      <c r="E7909" s="4" t="str">
        <f>HYPERLINK("https://app.crepc.sk/?fn=detailBiblioForm&amp;sid=9097805B3BD10337EC6859D914")</f>
        <v>https://app.crepc.sk/?fn=detailBiblioForm&amp;sid=9097805B3BD10337EC6859D914</v>
      </c>
    </row>
    <row r="7910" spans="3:5" ht="45" x14ac:dyDescent="0.25">
      <c r="C7910" s="15">
        <v>122599</v>
      </c>
      <c r="D7910" s="4" t="s">
        <v>7914</v>
      </c>
      <c r="E7910" s="4" t="str">
        <f>HYPERLINK("https://app.crepc.sk/?fn=detailBiblioForm&amp;sid=6C0594DA955AD34A4976C5FCEF")</f>
        <v>https://app.crepc.sk/?fn=detailBiblioForm&amp;sid=6C0594DA955AD34A4976C5FCEF</v>
      </c>
    </row>
    <row r="7911" spans="3:5" ht="45" x14ac:dyDescent="0.25">
      <c r="C7911" s="15">
        <v>80479</v>
      </c>
      <c r="D7911" s="4" t="s">
        <v>7915</v>
      </c>
      <c r="E7911" s="4" t="str">
        <f>HYPERLINK("https://app.crepc.sk/?fn=detailBiblioForm&amp;sid=83BD17D2F0EE7DDDB5AD7462")</f>
        <v>https://app.crepc.sk/?fn=detailBiblioForm&amp;sid=83BD17D2F0EE7DDDB5AD7462</v>
      </c>
    </row>
    <row r="7912" spans="3:5" ht="45" x14ac:dyDescent="0.25">
      <c r="C7912" s="15">
        <v>223696</v>
      </c>
      <c r="D7912" s="4" t="s">
        <v>7916</v>
      </c>
      <c r="E7912" s="4" t="str">
        <f>HYPERLINK("https://app.crepc.sk/?fn=detailBiblioForm&amp;sid=B5E7C3A8B966861A8B175D896E")</f>
        <v>https://app.crepc.sk/?fn=detailBiblioForm&amp;sid=B5E7C3A8B966861A8B175D896E</v>
      </c>
    </row>
    <row r="7913" spans="3:5" ht="45" x14ac:dyDescent="0.25">
      <c r="C7913" s="15">
        <v>161742</v>
      </c>
      <c r="D7913" s="4" t="s">
        <v>7917</v>
      </c>
      <c r="E7913" s="4" t="str">
        <f>HYPERLINK("https://app.crepc.sk/?fn=detailBiblioForm&amp;sid=BCA102CB6C4CA54D48EDC863D9")</f>
        <v>https://app.crepc.sk/?fn=detailBiblioForm&amp;sid=BCA102CB6C4CA54D48EDC863D9</v>
      </c>
    </row>
    <row r="7914" spans="3:5" ht="75" x14ac:dyDescent="0.25">
      <c r="C7914" s="15">
        <v>217963</v>
      </c>
      <c r="D7914" s="4" t="s">
        <v>7918</v>
      </c>
      <c r="E7914" s="4" t="str">
        <f>HYPERLINK("https://app.crepc.sk/?fn=detailBiblioForm&amp;sid=9E759344E92A27851CE3C915AD")</f>
        <v>https://app.crepc.sk/?fn=detailBiblioForm&amp;sid=9E759344E92A27851CE3C915AD</v>
      </c>
    </row>
    <row r="7915" spans="3:5" ht="60" x14ac:dyDescent="0.25">
      <c r="C7915" s="15">
        <v>133495</v>
      </c>
      <c r="D7915" s="4" t="s">
        <v>7919</v>
      </c>
      <c r="E7915" s="4" t="str">
        <f>HYPERLINK("https://app.crepc.sk/?fn=detailBiblioForm&amp;sid=062C1ED5E40068C51ED07EA354")</f>
        <v>https://app.crepc.sk/?fn=detailBiblioForm&amp;sid=062C1ED5E40068C51ED07EA354</v>
      </c>
    </row>
    <row r="7916" spans="3:5" ht="45" x14ac:dyDescent="0.25">
      <c r="C7916" s="15">
        <v>55504</v>
      </c>
      <c r="D7916" s="4" t="s">
        <v>7920</v>
      </c>
      <c r="E7916" s="4" t="str">
        <f>HYPERLINK("https://app.crepc.sk/?fn=detailBiblioForm&amp;sid=A344302DE9CF39D44C91C356")</f>
        <v>https://app.crepc.sk/?fn=detailBiblioForm&amp;sid=A344302DE9CF39D44C91C356</v>
      </c>
    </row>
    <row r="7917" spans="3:5" ht="45" x14ac:dyDescent="0.25">
      <c r="C7917" s="15">
        <v>210128</v>
      </c>
      <c r="D7917" s="4" t="s">
        <v>7921</v>
      </c>
      <c r="E7917" s="4" t="str">
        <f>HYPERLINK("https://app.crepc.sk/?fn=detailBiblioForm&amp;sid=5DB4E0B08DFCD519644CB528AC")</f>
        <v>https://app.crepc.sk/?fn=detailBiblioForm&amp;sid=5DB4E0B08DFCD519644CB528AC</v>
      </c>
    </row>
    <row r="7918" spans="3:5" ht="45" x14ac:dyDescent="0.25">
      <c r="C7918" s="15">
        <v>149137</v>
      </c>
      <c r="D7918" s="4" t="s">
        <v>7922</v>
      </c>
      <c r="E7918" s="4" t="str">
        <f>HYPERLINK("https://app.crepc.sk/?fn=detailBiblioForm&amp;sid=DAA396BB6B0B0113404C686083")</f>
        <v>https://app.crepc.sk/?fn=detailBiblioForm&amp;sid=DAA396BB6B0B0113404C686083</v>
      </c>
    </row>
    <row r="7919" spans="3:5" ht="45" x14ac:dyDescent="0.25">
      <c r="C7919" s="15">
        <v>242633</v>
      </c>
      <c r="D7919" s="4" t="s">
        <v>7923</v>
      </c>
      <c r="E7919" s="4" t="str">
        <f>HYPERLINK("https://app.crepc.sk/?fn=detailBiblioForm&amp;sid=CE6529EB7E48EC34B50431F51B")</f>
        <v>https://app.crepc.sk/?fn=detailBiblioForm&amp;sid=CE6529EB7E48EC34B50431F51B</v>
      </c>
    </row>
    <row r="7920" spans="3:5" ht="60" x14ac:dyDescent="0.25">
      <c r="C7920" s="15">
        <v>244644</v>
      </c>
      <c r="D7920" s="4" t="s">
        <v>7924</v>
      </c>
      <c r="E7920" s="4" t="str">
        <f>HYPERLINK("https://app.crepc.sk/?fn=detailBiblioForm&amp;sid=5693C4557D2BC9900DB4BAE0E3")</f>
        <v>https://app.crepc.sk/?fn=detailBiblioForm&amp;sid=5693C4557D2BC9900DB4BAE0E3</v>
      </c>
    </row>
    <row r="7921" spans="3:5" ht="45" x14ac:dyDescent="0.25">
      <c r="C7921" s="15">
        <v>248840</v>
      </c>
      <c r="D7921" s="4" t="s">
        <v>7925</v>
      </c>
      <c r="E7921" s="4" t="str">
        <f>HYPERLINK("https://app.crepc.sk/?fn=detailBiblioForm&amp;sid=5228D5716807430FBC19401FCD")</f>
        <v>https://app.crepc.sk/?fn=detailBiblioForm&amp;sid=5228D5716807430FBC19401FCD</v>
      </c>
    </row>
    <row r="7922" spans="3:5" ht="45" x14ac:dyDescent="0.25">
      <c r="C7922" s="15">
        <v>181129</v>
      </c>
      <c r="D7922" s="4" t="s">
        <v>7926</v>
      </c>
      <c r="E7922" s="4" t="str">
        <f>HYPERLINK("https://app.crepc.sk/?fn=detailBiblioForm&amp;sid=D2270EF957433A5E2F7DE60F57")</f>
        <v>https://app.crepc.sk/?fn=detailBiblioForm&amp;sid=D2270EF957433A5E2F7DE60F57</v>
      </c>
    </row>
    <row r="7923" spans="3:5" ht="45" x14ac:dyDescent="0.25">
      <c r="C7923" s="15">
        <v>191083</v>
      </c>
      <c r="D7923" s="4" t="s">
        <v>7927</v>
      </c>
      <c r="E7923" s="4" t="str">
        <f>HYPERLINK("https://app.crepc.sk/?fn=detailBiblioForm&amp;sid=E46EC5C652959FE81192738D9A")</f>
        <v>https://app.crepc.sk/?fn=detailBiblioForm&amp;sid=E46EC5C652959FE81192738D9A</v>
      </c>
    </row>
    <row r="7924" spans="3:5" ht="45" x14ac:dyDescent="0.25">
      <c r="C7924" s="15">
        <v>227830</v>
      </c>
      <c r="D7924" s="4" t="s">
        <v>7928</v>
      </c>
      <c r="E7924" s="4" t="str">
        <f>HYPERLINK("https://app.crepc.sk/?fn=detailBiblioForm&amp;sid=D57B83470BBFCEC224863FD33C")</f>
        <v>https://app.crepc.sk/?fn=detailBiblioForm&amp;sid=D57B83470BBFCEC224863FD33C</v>
      </c>
    </row>
    <row r="7925" spans="3:5" ht="45" x14ac:dyDescent="0.25">
      <c r="C7925" s="15">
        <v>251181</v>
      </c>
      <c r="D7925" s="4" t="s">
        <v>7929</v>
      </c>
      <c r="E7925" s="4" t="str">
        <f>HYPERLINK("https://app.crepc.sk/?fn=detailBiblioForm&amp;sid=39F653ADC89B9C328BB8F67185")</f>
        <v>https://app.crepc.sk/?fn=detailBiblioForm&amp;sid=39F653ADC89B9C328BB8F67185</v>
      </c>
    </row>
    <row r="7926" spans="3:5" ht="45" x14ac:dyDescent="0.25">
      <c r="C7926" s="15">
        <v>417463</v>
      </c>
      <c r="D7926" s="4" t="s">
        <v>7930</v>
      </c>
      <c r="E7926" s="4" t="str">
        <f>HYPERLINK("https://app.crepc.sk/?fn=detailBiblioForm&amp;sid=769B6BB77E764C86F77F48591B")</f>
        <v>https://app.crepc.sk/?fn=detailBiblioForm&amp;sid=769B6BB77E764C86F77F48591B</v>
      </c>
    </row>
    <row r="7927" spans="3:5" ht="45" x14ac:dyDescent="0.25">
      <c r="C7927" s="15">
        <v>76929</v>
      </c>
      <c r="D7927" s="4" t="s">
        <v>7931</v>
      </c>
      <c r="E7927" s="4" t="str">
        <f>HYPERLINK("https://app.crepc.sk/?fn=detailBiblioForm&amp;sid=DEFC1E7C5315E70418C5E88E")</f>
        <v>https://app.crepc.sk/?fn=detailBiblioForm&amp;sid=DEFC1E7C5315E70418C5E88E</v>
      </c>
    </row>
    <row r="7928" spans="3:5" ht="45" x14ac:dyDescent="0.25">
      <c r="C7928" s="15">
        <v>221462</v>
      </c>
      <c r="D7928" s="4" t="s">
        <v>7932</v>
      </c>
      <c r="E7928" s="4" t="str">
        <f>HYPERLINK("https://app.crepc.sk/?fn=detailBiblioForm&amp;sid=BDE1989955220D35EDF44F9FC4")</f>
        <v>https://app.crepc.sk/?fn=detailBiblioForm&amp;sid=BDE1989955220D35EDF44F9FC4</v>
      </c>
    </row>
    <row r="7929" spans="3:5" ht="45" x14ac:dyDescent="0.25">
      <c r="C7929" s="15">
        <v>95284</v>
      </c>
      <c r="D7929" s="4" t="s">
        <v>7933</v>
      </c>
      <c r="E7929" s="4" t="str">
        <f>HYPERLINK("https://app.crepc.sk/?fn=detailBiblioForm&amp;sid=C1C0B16C23632D8C33E8E954")</f>
        <v>https://app.crepc.sk/?fn=detailBiblioForm&amp;sid=C1C0B16C23632D8C33E8E954</v>
      </c>
    </row>
    <row r="7930" spans="3:5" ht="60" x14ac:dyDescent="0.25">
      <c r="C7930" s="15">
        <v>306263</v>
      </c>
      <c r="D7930" s="4" t="s">
        <v>7934</v>
      </c>
      <c r="E7930" s="4" t="str">
        <f>HYPERLINK("https://app.crepc.sk/?fn=detailBiblioForm&amp;sid=2BC820A3AFEB8539D2B0A78DDC")</f>
        <v>https://app.crepc.sk/?fn=detailBiblioForm&amp;sid=2BC820A3AFEB8539D2B0A78DDC</v>
      </c>
    </row>
    <row r="7931" spans="3:5" ht="45" x14ac:dyDescent="0.25">
      <c r="C7931" s="15">
        <v>116363</v>
      </c>
      <c r="D7931" s="4" t="s">
        <v>7935</v>
      </c>
      <c r="E7931" s="4" t="str">
        <f>HYPERLINK("https://app.crepc.sk/?fn=detailBiblioForm&amp;sid=1002ED0DF2340BB2297802508D")</f>
        <v>https://app.crepc.sk/?fn=detailBiblioForm&amp;sid=1002ED0DF2340BB2297802508D</v>
      </c>
    </row>
    <row r="7932" spans="3:5" ht="45" x14ac:dyDescent="0.25">
      <c r="C7932" s="15">
        <v>231947</v>
      </c>
      <c r="D7932" s="4" t="s">
        <v>7936</v>
      </c>
      <c r="E7932" s="4" t="str">
        <f>HYPERLINK("https://app.crepc.sk/?fn=detailBiblioForm&amp;sid=59491F0E5D5E9D78DFD352D43D")</f>
        <v>https://app.crepc.sk/?fn=detailBiblioForm&amp;sid=59491F0E5D5E9D78DFD352D43D</v>
      </c>
    </row>
    <row r="7933" spans="3:5" ht="60" x14ac:dyDescent="0.25">
      <c r="C7933" s="15">
        <v>251145</v>
      </c>
      <c r="D7933" s="4" t="s">
        <v>7937</v>
      </c>
      <c r="E7933" s="4" t="str">
        <f>HYPERLINK("https://app.crepc.sk/?fn=detailBiblioForm&amp;sid=39F653ADC89B9C3287BCF67185")</f>
        <v>https://app.crepc.sk/?fn=detailBiblioForm&amp;sid=39F653ADC89B9C3287BCF67185</v>
      </c>
    </row>
    <row r="7934" spans="3:5" ht="45" x14ac:dyDescent="0.25">
      <c r="C7934" s="15">
        <v>314018</v>
      </c>
      <c r="D7934" s="4" t="s">
        <v>7938</v>
      </c>
      <c r="E7934" s="4" t="str">
        <f>HYPERLINK("https://app.crepc.sk/?fn=detailBiblioForm&amp;sid=52CF6327BC03DBAB5D1B815F18")</f>
        <v>https://app.crepc.sk/?fn=detailBiblioForm&amp;sid=52CF6327BC03DBAB5D1B815F18</v>
      </c>
    </row>
    <row r="7935" spans="3:5" ht="45" x14ac:dyDescent="0.25">
      <c r="C7935" s="15">
        <v>176707</v>
      </c>
      <c r="D7935" s="4" t="s">
        <v>7939</v>
      </c>
      <c r="E7935" s="4" t="str">
        <f>HYPERLINK("https://app.crepc.sk/?fn=detailBiblioForm&amp;sid=74611393D427AF19D4B4BE02B6")</f>
        <v>https://app.crepc.sk/?fn=detailBiblioForm&amp;sid=74611393D427AF19D4B4BE02B6</v>
      </c>
    </row>
    <row r="7936" spans="3:5" ht="45" x14ac:dyDescent="0.25">
      <c r="C7936" s="15">
        <v>60436</v>
      </c>
      <c r="D7936" s="4" t="s">
        <v>7940</v>
      </c>
      <c r="E7936" s="4" t="str">
        <f>HYPERLINK("https://app.crepc.sk/?fn=detailBiblioForm&amp;sid=56C82A2AF030F7DBC0F86775")</f>
        <v>https://app.crepc.sk/?fn=detailBiblioForm&amp;sid=56C82A2AF030F7DBC0F86775</v>
      </c>
    </row>
    <row r="7937" spans="3:5" ht="45" x14ac:dyDescent="0.25">
      <c r="C7937" s="15">
        <v>309532</v>
      </c>
      <c r="D7937" s="4" t="s">
        <v>7941</v>
      </c>
      <c r="E7937" s="4" t="str">
        <f>HYPERLINK("https://app.crepc.sk/?fn=detailBiblioForm&amp;sid=409B0A664F24F32E95C38B9622")</f>
        <v>https://app.crepc.sk/?fn=detailBiblioForm&amp;sid=409B0A664F24F32E95C38B9622</v>
      </c>
    </row>
    <row r="7938" spans="3:5" ht="45" x14ac:dyDescent="0.25">
      <c r="C7938" s="15">
        <v>416843</v>
      </c>
      <c r="D7938" s="4" t="s">
        <v>7942</v>
      </c>
      <c r="E7938" s="4" t="str">
        <f>HYPERLINK("https://app.crepc.sk/?fn=detailBiblioForm&amp;sid=81C370C9A5C9A6522ECA2E8C71")</f>
        <v>https://app.crepc.sk/?fn=detailBiblioForm&amp;sid=81C370C9A5C9A6522ECA2E8C71</v>
      </c>
    </row>
    <row r="7939" spans="3:5" ht="45" x14ac:dyDescent="0.25">
      <c r="C7939" s="15">
        <v>86802</v>
      </c>
      <c r="D7939" s="4" t="s">
        <v>7943</v>
      </c>
      <c r="E7939" s="4" t="str">
        <f>HYPERLINK("https://app.crepc.sk/?fn=detailBiblioForm&amp;sid=3C67DACEB708CE8AED53177A")</f>
        <v>https://app.crepc.sk/?fn=detailBiblioForm&amp;sid=3C67DACEB708CE8AED53177A</v>
      </c>
    </row>
    <row r="7940" spans="3:5" ht="45" x14ac:dyDescent="0.25">
      <c r="C7940" s="15">
        <v>52974</v>
      </c>
      <c r="D7940" s="4" t="s">
        <v>7944</v>
      </c>
      <c r="E7940" s="4" t="str">
        <f>HYPERLINK("https://app.crepc.sk/?fn=detailBiblioForm&amp;sid=155A1CC61A0340FB587F42DB")</f>
        <v>https://app.crepc.sk/?fn=detailBiblioForm&amp;sid=155A1CC61A0340FB587F42DB</v>
      </c>
    </row>
    <row r="7941" spans="3:5" ht="45" x14ac:dyDescent="0.25">
      <c r="C7941" s="15">
        <v>85094</v>
      </c>
      <c r="D7941" s="4" t="s">
        <v>7945</v>
      </c>
      <c r="E7941" s="4" t="str">
        <f>HYPERLINK("https://app.crepc.sk/?fn=detailBiblioForm&amp;sid=DCB3707E7811B2B3BF7A60EB")</f>
        <v>https://app.crepc.sk/?fn=detailBiblioForm&amp;sid=DCB3707E7811B2B3BF7A60EB</v>
      </c>
    </row>
    <row r="7942" spans="3:5" ht="45" x14ac:dyDescent="0.25">
      <c r="C7942" s="15">
        <v>313503</v>
      </c>
      <c r="D7942" s="4" t="s">
        <v>7946</v>
      </c>
      <c r="E7942" s="4" t="str">
        <f>HYPERLINK("https://app.crepc.sk/?fn=detailBiblioForm&amp;sid=84C2C2F763AF22E2C9000E9486")</f>
        <v>https://app.crepc.sk/?fn=detailBiblioForm&amp;sid=84C2C2F763AF22E2C9000E9486</v>
      </c>
    </row>
    <row r="7943" spans="3:5" ht="45" x14ac:dyDescent="0.25">
      <c r="C7943" s="15">
        <v>251156</v>
      </c>
      <c r="D7943" s="4" t="s">
        <v>7947</v>
      </c>
      <c r="E7943" s="4" t="str">
        <f>HYPERLINK("https://app.crepc.sk/?fn=detailBiblioForm&amp;sid=39F653ADC89B9C3286BFF67185")</f>
        <v>https://app.crepc.sk/?fn=detailBiblioForm&amp;sid=39F653ADC89B9C3286BFF67185</v>
      </c>
    </row>
    <row r="7944" spans="3:5" ht="45" x14ac:dyDescent="0.25">
      <c r="C7944" s="15">
        <v>91837</v>
      </c>
      <c r="D7944" s="4" t="s">
        <v>7948</v>
      </c>
      <c r="E7944" s="4" t="str">
        <f>HYPERLINK("https://app.crepc.sk/?fn=detailBiblioForm&amp;sid=6990BD55B8DC2AEDED0278CF")</f>
        <v>https://app.crepc.sk/?fn=detailBiblioForm&amp;sid=6990BD55B8DC2AEDED0278CF</v>
      </c>
    </row>
    <row r="7945" spans="3:5" ht="60" x14ac:dyDescent="0.25">
      <c r="C7945" s="15">
        <v>161756</v>
      </c>
      <c r="D7945" s="4" t="s">
        <v>7949</v>
      </c>
      <c r="E7945" s="4" t="str">
        <f>HYPERLINK("https://app.crepc.sk/?fn=detailBiblioForm&amp;sid=BCA102CB6C4CA54D49E9C863D9")</f>
        <v>https://app.crepc.sk/?fn=detailBiblioForm&amp;sid=BCA102CB6C4CA54D49E9C863D9</v>
      </c>
    </row>
    <row r="7946" spans="3:5" ht="45" x14ac:dyDescent="0.25">
      <c r="C7946" s="15">
        <v>254106</v>
      </c>
      <c r="D7946" s="4" t="s">
        <v>7950</v>
      </c>
      <c r="E7946" s="4" t="str">
        <f>HYPERLINK("https://app.crepc.sk/?fn=detailBiblioForm&amp;sid=5626D67ABF6ED4EEC9665A2CB8")</f>
        <v>https://app.crepc.sk/?fn=detailBiblioForm&amp;sid=5626D67ABF6ED4EEC9665A2CB8</v>
      </c>
    </row>
    <row r="7947" spans="3:5" ht="45" x14ac:dyDescent="0.25">
      <c r="C7947" s="15">
        <v>55168</v>
      </c>
      <c r="D7947" s="4" t="s">
        <v>7951</v>
      </c>
      <c r="E7947" s="4" t="str">
        <f>HYPERLINK("https://app.crepc.sk/?fn=detailBiblioForm&amp;sid=8C4CABD2F3087A362A13E5DE")</f>
        <v>https://app.crepc.sk/?fn=detailBiblioForm&amp;sid=8C4CABD2F3087A362A13E5DE</v>
      </c>
    </row>
    <row r="7948" spans="3:5" ht="45" x14ac:dyDescent="0.25">
      <c r="C7948" s="15">
        <v>255650</v>
      </c>
      <c r="D7948" s="4" t="s">
        <v>7952</v>
      </c>
      <c r="E7948" s="4" t="str">
        <f>HYPERLINK("https://app.crepc.sk/?fn=detailBiblioForm&amp;sid=EE7AC10E01D02473FAB6919967")</f>
        <v>https://app.crepc.sk/?fn=detailBiblioForm&amp;sid=EE7AC10E01D02473FAB6919967</v>
      </c>
    </row>
    <row r="7949" spans="3:5" ht="45" x14ac:dyDescent="0.25">
      <c r="C7949" s="15">
        <v>255654</v>
      </c>
      <c r="D7949" s="4" t="s">
        <v>7953</v>
      </c>
      <c r="E7949" s="4" t="str">
        <f>HYPERLINK("https://app.crepc.sk/?fn=detailBiblioForm&amp;sid=EE7AC10E01D02473FAB2919967")</f>
        <v>https://app.crepc.sk/?fn=detailBiblioForm&amp;sid=EE7AC10E01D02473FAB2919967</v>
      </c>
    </row>
    <row r="7950" spans="3:5" ht="45" x14ac:dyDescent="0.25">
      <c r="C7950" s="15">
        <v>191084</v>
      </c>
      <c r="D7950" s="4" t="s">
        <v>7954</v>
      </c>
      <c r="E7950" s="4" t="str">
        <f>HYPERLINK("https://app.crepc.sk/?fn=detailBiblioForm&amp;sid=E46EC5C652959FE81195738D9A")</f>
        <v>https://app.crepc.sk/?fn=detailBiblioForm&amp;sid=E46EC5C652959FE81195738D9A</v>
      </c>
    </row>
    <row r="7951" spans="3:5" ht="45" x14ac:dyDescent="0.25">
      <c r="C7951" s="15">
        <v>181125</v>
      </c>
      <c r="D7951" s="4" t="s">
        <v>7955</v>
      </c>
      <c r="E7951" s="4" t="str">
        <f>HYPERLINK("https://app.crepc.sk/?fn=detailBiblioForm&amp;sid=D2270EF957433A5E2F71E60F57")</f>
        <v>https://app.crepc.sk/?fn=detailBiblioForm&amp;sid=D2270EF957433A5E2F71E60F57</v>
      </c>
    </row>
    <row r="7952" spans="3:5" ht="60" x14ac:dyDescent="0.25">
      <c r="C7952" s="15">
        <v>306260</v>
      </c>
      <c r="D7952" s="4" t="s">
        <v>7956</v>
      </c>
      <c r="E7952" s="4" t="str">
        <f>HYPERLINK("https://app.crepc.sk/?fn=detailBiblioForm&amp;sid=2BC820A3AFEB8539D2B3A78DDC")</f>
        <v>https://app.crepc.sk/?fn=detailBiblioForm&amp;sid=2BC820A3AFEB8539D2B3A78DDC</v>
      </c>
    </row>
    <row r="7953" spans="3:5" ht="45" x14ac:dyDescent="0.25">
      <c r="C7953" s="15">
        <v>95291</v>
      </c>
      <c r="D7953" s="4" t="s">
        <v>7957</v>
      </c>
      <c r="E7953" s="4" t="str">
        <f>HYPERLINK("https://app.crepc.sk/?fn=detailBiblioForm&amp;sid=236DA1634580DDA7D70A39DE")</f>
        <v>https://app.crepc.sk/?fn=detailBiblioForm&amp;sid=236DA1634580DDA7D70A39DE</v>
      </c>
    </row>
    <row r="7954" spans="3:5" ht="45" x14ac:dyDescent="0.25">
      <c r="C7954" s="15">
        <v>187323</v>
      </c>
      <c r="D7954" s="4" t="s">
        <v>7958</v>
      </c>
      <c r="E7954" s="4" t="str">
        <f>HYPERLINK("https://app.crepc.sk/?fn=detailBiblioForm&amp;sid=BA75C2D62745AD5724EEFA88C3")</f>
        <v>https://app.crepc.sk/?fn=detailBiblioForm&amp;sid=BA75C2D62745AD5724EEFA88C3</v>
      </c>
    </row>
    <row r="7955" spans="3:5" ht="60" x14ac:dyDescent="0.25">
      <c r="C7955" s="15">
        <v>181185</v>
      </c>
      <c r="D7955" s="4" t="s">
        <v>7959</v>
      </c>
      <c r="E7955" s="4" t="str">
        <f>HYPERLINK("https://app.crepc.sk/?fn=detailBiblioForm&amp;sid=D2270EF957433A5E2571E60F57")</f>
        <v>https://app.crepc.sk/?fn=detailBiblioForm&amp;sid=D2270EF957433A5E2571E60F57</v>
      </c>
    </row>
    <row r="7956" spans="3:5" ht="75" x14ac:dyDescent="0.25">
      <c r="C7956" s="15">
        <v>227376</v>
      </c>
      <c r="D7956" s="4" t="s">
        <v>7960</v>
      </c>
      <c r="E7956" s="4" t="str">
        <f>HYPERLINK("https://app.crepc.sk/?fn=detailBiblioForm&amp;sid=6CA30878C8FDE196A41A0AE199")</f>
        <v>https://app.crepc.sk/?fn=detailBiblioForm&amp;sid=6CA30878C8FDE196A41A0AE199</v>
      </c>
    </row>
    <row r="7957" spans="3:5" ht="60" x14ac:dyDescent="0.25">
      <c r="C7957" s="15">
        <v>69089</v>
      </c>
      <c r="D7957" s="4" t="s">
        <v>7961</v>
      </c>
      <c r="E7957" s="4" t="str">
        <f>HYPERLINK("https://app.crepc.sk/?fn=detailBiblioForm&amp;sid=AF7043D0A08B267A06C515E9")</f>
        <v>https://app.crepc.sk/?fn=detailBiblioForm&amp;sid=AF7043D0A08B267A06C515E9</v>
      </c>
    </row>
    <row r="7958" spans="3:5" ht="45" x14ac:dyDescent="0.25">
      <c r="C7958" s="15">
        <v>211293</v>
      </c>
      <c r="D7958" s="4" t="s">
        <v>7962</v>
      </c>
      <c r="E7958" s="4" t="str">
        <f>HYPERLINK("https://app.crepc.sk/?fn=detailBiblioForm&amp;sid=12D43A2BF2357AAE3E061CCE89")</f>
        <v>https://app.crepc.sk/?fn=detailBiblioForm&amp;sid=12D43A2BF2357AAE3E061CCE89</v>
      </c>
    </row>
    <row r="7959" spans="3:5" ht="45" x14ac:dyDescent="0.25">
      <c r="C7959" s="15">
        <v>219986</v>
      </c>
      <c r="D7959" s="4" t="s">
        <v>7963</v>
      </c>
      <c r="E7959" s="4" t="str">
        <f>HYPERLINK("https://app.crepc.sk/?fn=detailBiblioForm&amp;sid=D5517070ED837145B2D61EDD78")</f>
        <v>https://app.crepc.sk/?fn=detailBiblioForm&amp;sid=D5517070ED837145B2D61EDD78</v>
      </c>
    </row>
    <row r="7960" spans="3:5" ht="45" x14ac:dyDescent="0.25">
      <c r="C7960" s="15">
        <v>60648</v>
      </c>
      <c r="D7960" s="4" t="s">
        <v>7964</v>
      </c>
      <c r="E7960" s="4" t="str">
        <f>HYPERLINK("https://app.crepc.sk/?fn=detailBiblioForm&amp;sid=91CC5BF8099685B4A93D6095")</f>
        <v>https://app.crepc.sk/?fn=detailBiblioForm&amp;sid=91CC5BF8099685B4A93D6095</v>
      </c>
    </row>
    <row r="7961" spans="3:5" ht="45" x14ac:dyDescent="0.25">
      <c r="C7961" s="15">
        <v>55162</v>
      </c>
      <c r="D7961" s="4" t="s">
        <v>7965</v>
      </c>
      <c r="E7961" s="4" t="str">
        <f>HYPERLINK("https://app.crepc.sk/?fn=detailBiblioForm&amp;sid=8C4CABD2F3087A362013E5DE")</f>
        <v>https://app.crepc.sk/?fn=detailBiblioForm&amp;sid=8C4CABD2F3087A362013E5DE</v>
      </c>
    </row>
    <row r="7962" spans="3:5" ht="45" x14ac:dyDescent="0.25">
      <c r="C7962" s="15">
        <v>183519</v>
      </c>
      <c r="D7962" s="4" t="s">
        <v>7966</v>
      </c>
      <c r="E7962" s="4" t="str">
        <f>HYPERLINK("https://app.crepc.sk/?fn=detailBiblioForm&amp;sid=B6792D53D67A57D8E3A7A8192A")</f>
        <v>https://app.crepc.sk/?fn=detailBiblioForm&amp;sid=B6792D53D67A57D8E3A7A8192A</v>
      </c>
    </row>
    <row r="7963" spans="3:5" ht="45" x14ac:dyDescent="0.25">
      <c r="C7963" s="15">
        <v>306258</v>
      </c>
      <c r="D7963" s="4" t="s">
        <v>7967</v>
      </c>
      <c r="E7963" s="4" t="str">
        <f>HYPERLINK("https://app.crepc.sk/?fn=detailBiblioForm&amp;sid=2BC820A3AFEB8539D1BBA78DDC")</f>
        <v>https://app.crepc.sk/?fn=detailBiblioForm&amp;sid=2BC820A3AFEB8539D1BBA78DDC</v>
      </c>
    </row>
    <row r="7964" spans="3:5" ht="45" x14ac:dyDescent="0.25">
      <c r="C7964" s="15">
        <v>206757</v>
      </c>
      <c r="D7964" s="4" t="s">
        <v>7968</v>
      </c>
      <c r="E7964" s="4" t="str">
        <f>HYPERLINK("https://app.crepc.sk/?fn=detailBiblioForm&amp;sid=DF29B71B83315C12369A6F6198")</f>
        <v>https://app.crepc.sk/?fn=detailBiblioForm&amp;sid=DF29B71B83315C12369A6F6198</v>
      </c>
    </row>
    <row r="7965" spans="3:5" ht="45" x14ac:dyDescent="0.25">
      <c r="C7965" s="15">
        <v>202538</v>
      </c>
      <c r="D7965" s="4" t="s">
        <v>7969</v>
      </c>
      <c r="E7965" s="4" t="str">
        <f>HYPERLINK("https://app.crepc.sk/?fn=detailBiblioForm&amp;sid=3036734F2764D6FCC63DD36630")</f>
        <v>https://app.crepc.sk/?fn=detailBiblioForm&amp;sid=3036734F2764D6FCC63DD36630</v>
      </c>
    </row>
    <row r="7966" spans="3:5" ht="60" x14ac:dyDescent="0.25">
      <c r="C7966" s="15">
        <v>79341</v>
      </c>
      <c r="D7966" s="4" t="s">
        <v>7970</v>
      </c>
      <c r="E7966" s="4" t="str">
        <f>HYPERLINK("https://app.crepc.sk/?fn=detailBiblioForm&amp;sid=D57FE3658C55FADAE1CFAFFC")</f>
        <v>https://app.crepc.sk/?fn=detailBiblioForm&amp;sid=D57FE3658C55FADAE1CFAFFC</v>
      </c>
    </row>
    <row r="7967" spans="3:5" ht="60" x14ac:dyDescent="0.25">
      <c r="C7967" s="15">
        <v>176702</v>
      </c>
      <c r="D7967" s="4" t="s">
        <v>7971</v>
      </c>
      <c r="E7967" s="4" t="str">
        <f>HYPERLINK("https://app.crepc.sk/?fn=detailBiblioForm&amp;sid=74611393D427AF19D4B1BE02B6")</f>
        <v>https://app.crepc.sk/?fn=detailBiblioForm&amp;sid=74611393D427AF19D4B1BE02B6</v>
      </c>
    </row>
    <row r="7968" spans="3:5" ht="90" x14ac:dyDescent="0.25">
      <c r="C7968" s="15">
        <v>312278</v>
      </c>
      <c r="D7968" s="4" t="s">
        <v>7972</v>
      </c>
      <c r="E7968" s="4" t="str">
        <f>HYPERLINK("https://app.crepc.sk/?fn=detailBiblioForm&amp;sid=710241CBC6D4101CBE9D85ADCA")</f>
        <v>https://app.crepc.sk/?fn=detailBiblioForm&amp;sid=710241CBC6D4101CBE9D85ADCA</v>
      </c>
    </row>
    <row r="7969" spans="1:5" ht="60" x14ac:dyDescent="0.25">
      <c r="C7969" s="15">
        <v>80491</v>
      </c>
      <c r="D7969" s="4" t="s">
        <v>7973</v>
      </c>
      <c r="E7969" s="4" t="str">
        <f>HYPERLINK("https://app.crepc.sk/?fn=detailBiblioForm&amp;sid=2618B694FE496B102943FAFE")</f>
        <v>https://app.crepc.sk/?fn=detailBiblioForm&amp;sid=2618B694FE496B102943FAFE</v>
      </c>
    </row>
    <row r="7970" spans="1:5" ht="45" x14ac:dyDescent="0.25">
      <c r="C7970" s="15">
        <v>226055</v>
      </c>
      <c r="D7970" s="4" t="s">
        <v>7974</v>
      </c>
      <c r="E7970" s="4" t="str">
        <f>HYPERLINK("https://app.crepc.sk/?fn=detailBiblioForm&amp;sid=7241E0F0A68FF7150C5FAE2810")</f>
        <v>https://app.crepc.sk/?fn=detailBiblioForm&amp;sid=7241E0F0A68FF7150C5FAE2810</v>
      </c>
    </row>
    <row r="7971" spans="1:5" ht="60" x14ac:dyDescent="0.25">
      <c r="C7971" s="15">
        <v>174570</v>
      </c>
      <c r="D7971" s="4" t="s">
        <v>7975</v>
      </c>
      <c r="E7971" s="4" t="str">
        <f>HYPERLINK("https://app.crepc.sk/?fn=detailBiblioForm&amp;sid=72A4E145D65F5DA0B14F551D33")</f>
        <v>https://app.crepc.sk/?fn=detailBiblioForm&amp;sid=72A4E145D65F5DA0B14F551D33</v>
      </c>
    </row>
    <row r="7972" spans="1:5" ht="45" x14ac:dyDescent="0.25">
      <c r="C7972" s="15">
        <v>63862</v>
      </c>
      <c r="D7972" s="4" t="s">
        <v>7976</v>
      </c>
      <c r="E7972" s="4" t="str">
        <f>HYPERLINK("https://app.crepc.sk/?fn=detailBiblioForm&amp;sid=EE2EEDCD1AAAC0D93DF036F2")</f>
        <v>https://app.crepc.sk/?fn=detailBiblioForm&amp;sid=EE2EEDCD1AAAC0D93DF036F2</v>
      </c>
    </row>
    <row r="7973" spans="1:5" ht="45" x14ac:dyDescent="0.25">
      <c r="C7973" s="15">
        <v>82682</v>
      </c>
      <c r="D7973" s="4" t="s">
        <v>7977</v>
      </c>
      <c r="E7973" s="4" t="str">
        <f>HYPERLINK("https://app.crepc.sk/?fn=detailBiblioForm&amp;sid=2066B91B7A759EBDB4FC4B73")</f>
        <v>https://app.crepc.sk/?fn=detailBiblioForm&amp;sid=2066B91B7A759EBDB4FC4B73</v>
      </c>
    </row>
    <row r="7974" spans="1:5" ht="45" x14ac:dyDescent="0.25">
      <c r="C7974" s="15">
        <v>118999</v>
      </c>
      <c r="D7974" s="4" t="s">
        <v>7978</v>
      </c>
      <c r="E7974" s="4" t="str">
        <f>HYPERLINK("https://app.crepc.sk/?fn=detailBiblioForm&amp;sid=40DAA8F9ABC010BB4E38D26456")</f>
        <v>https://app.crepc.sk/?fn=detailBiblioForm&amp;sid=40DAA8F9ABC010BB4E38D26456</v>
      </c>
    </row>
    <row r="7975" spans="1:5" ht="45" x14ac:dyDescent="0.25">
      <c r="C7975" s="15">
        <v>309899</v>
      </c>
      <c r="D7975" s="4" t="s">
        <v>7979</v>
      </c>
      <c r="E7975" s="4" t="str">
        <f>HYPERLINK("https://app.crepc.sk/?fn=detailBiblioForm&amp;sid=0CAC617D75594C49B74B5C6EC4")</f>
        <v>https://app.crepc.sk/?fn=detailBiblioForm&amp;sid=0CAC617D75594C49B74B5C6EC4</v>
      </c>
    </row>
    <row r="7976" spans="1:5" ht="60" x14ac:dyDescent="0.25">
      <c r="C7976" s="15">
        <v>54965</v>
      </c>
      <c r="D7976" s="4" t="s">
        <v>7980</v>
      </c>
      <c r="E7976" s="4" t="str">
        <f>HYPERLINK("https://app.crepc.sk/?fn=detailBiblioForm&amp;sid=411CD7593FD707E5B12CF899")</f>
        <v>https://app.crepc.sk/?fn=detailBiblioForm&amp;sid=411CD7593FD707E5B12CF899</v>
      </c>
    </row>
    <row r="7977" spans="1:5" ht="45" x14ac:dyDescent="0.25">
      <c r="C7977" s="15">
        <v>181117</v>
      </c>
      <c r="D7977" s="4" t="s">
        <v>7981</v>
      </c>
      <c r="E7977" s="4" t="str">
        <f>HYPERLINK("https://app.crepc.sk/?fn=detailBiblioForm&amp;sid=D2270EF957433A5E2C73E60F57")</f>
        <v>https://app.crepc.sk/?fn=detailBiblioForm&amp;sid=D2270EF957433A5E2C73E60F57</v>
      </c>
    </row>
    <row r="7978" spans="1:5" ht="45" x14ac:dyDescent="0.25">
      <c r="C7978" s="15">
        <v>51166</v>
      </c>
      <c r="D7978" s="4" t="s">
        <v>7982</v>
      </c>
      <c r="E7978" s="4" t="str">
        <f>HYPERLINK("https://app.crepc.sk/?fn=detailBiblioForm&amp;sid=884D2D1501E161447FCEEDDE")</f>
        <v>https://app.crepc.sk/?fn=detailBiblioForm&amp;sid=884D2D1501E161447FCEEDDE</v>
      </c>
    </row>
    <row r="7979" spans="1:5" ht="45" x14ac:dyDescent="0.25">
      <c r="C7979" s="15">
        <v>53395</v>
      </c>
      <c r="D7979" s="4" t="s">
        <v>7983</v>
      </c>
      <c r="E7979" s="4" t="str">
        <f>HYPERLINK("https://app.crepc.sk/?fn=detailBiblioForm&amp;sid=3A8AEED6364CF483FFFD538C")</f>
        <v>https://app.crepc.sk/?fn=detailBiblioForm&amp;sid=3A8AEED6364CF483FFFD538C</v>
      </c>
    </row>
    <row r="7980" spans="1:5" ht="45" x14ac:dyDescent="0.25">
      <c r="C7980" s="15">
        <v>187322</v>
      </c>
      <c r="D7980" s="4" t="s">
        <v>7984</v>
      </c>
      <c r="E7980" s="4" t="str">
        <f>HYPERLINK("https://app.crepc.sk/?fn=detailBiblioForm&amp;sid=BA75C2D62745AD5724EFFA88C3")</f>
        <v>https://app.crepc.sk/?fn=detailBiblioForm&amp;sid=BA75C2D62745AD5724EFFA88C3</v>
      </c>
    </row>
    <row r="7981" spans="1:5" ht="45" x14ac:dyDescent="0.25">
      <c r="C7981" s="15">
        <v>427685</v>
      </c>
      <c r="D7981" s="4" t="s">
        <v>7985</v>
      </c>
      <c r="E7981" s="4" t="str">
        <f>HYPERLINK("https://app.crepc.sk/?fn=detailBiblioForm&amp;sid=0FAF893153EE6C29F75C7E32D2")</f>
        <v>https://app.crepc.sk/?fn=detailBiblioForm&amp;sid=0FAF893153EE6C29F75C7E32D2</v>
      </c>
    </row>
    <row r="7982" spans="1:5" ht="60" x14ac:dyDescent="0.25">
      <c r="C7982" s="15">
        <v>179242</v>
      </c>
      <c r="D7982" s="4" t="s">
        <v>7986</v>
      </c>
      <c r="E7982" s="4" t="str">
        <f>HYPERLINK("https://app.crepc.sk/?fn=detailBiblioForm&amp;sid=4B1C4D75B6D4960DF9A569EC63")</f>
        <v>https://app.crepc.sk/?fn=detailBiblioForm&amp;sid=4B1C4D75B6D4960DF9A569EC63</v>
      </c>
    </row>
    <row r="7983" spans="1:5" ht="30" x14ac:dyDescent="0.25">
      <c r="A7983" s="4" t="s">
        <v>7987</v>
      </c>
      <c r="B7983" s="15">
        <v>3</v>
      </c>
    </row>
    <row r="7984" spans="1:5" ht="75" x14ac:dyDescent="0.25">
      <c r="C7984" s="15">
        <v>142180</v>
      </c>
      <c r="D7984" s="4" t="s">
        <v>7988</v>
      </c>
      <c r="E7984" s="4" t="str">
        <f>HYPERLINK("https://app.crepc.sk/?fn=detailBiblioForm&amp;sid=C2BA1884BE52548484909A5F46")</f>
        <v>https://app.crepc.sk/?fn=detailBiblioForm&amp;sid=C2BA1884BE52548484909A5F46</v>
      </c>
    </row>
    <row r="7985" spans="1:5" ht="60" x14ac:dyDescent="0.25">
      <c r="C7985" s="15">
        <v>103994</v>
      </c>
      <c r="D7985" s="4" t="s">
        <v>7989</v>
      </c>
      <c r="E7985" s="4" t="str">
        <f>HYPERLINK("https://app.crepc.sk/?fn=detailBiblioForm&amp;sid=706B7159B114D32C9CB1F084BE")</f>
        <v>https://app.crepc.sk/?fn=detailBiblioForm&amp;sid=706B7159B114D32C9CB1F084BE</v>
      </c>
    </row>
    <row r="7986" spans="1:5" ht="75" x14ac:dyDescent="0.25">
      <c r="C7986" s="15">
        <v>181820</v>
      </c>
      <c r="D7986" s="4" t="s">
        <v>7990</v>
      </c>
      <c r="E7986" s="4" t="str">
        <f>HYPERLINK("https://app.crepc.sk/?fn=detailBiblioForm&amp;sid=2AE6DDBEFC900DBBA05AC42A90")</f>
        <v>https://app.crepc.sk/?fn=detailBiblioForm&amp;sid=2AE6DDBEFC900DBBA05AC42A90</v>
      </c>
    </row>
    <row r="7987" spans="1:5" ht="30" x14ac:dyDescent="0.25">
      <c r="A7987" s="4" t="s">
        <v>7991</v>
      </c>
      <c r="B7987" s="15">
        <v>6</v>
      </c>
    </row>
    <row r="7988" spans="1:5" ht="90" x14ac:dyDescent="0.25">
      <c r="C7988" s="15">
        <v>421192</v>
      </c>
      <c r="D7988" s="4" t="s">
        <v>7992</v>
      </c>
      <c r="E7988" s="4" t="str">
        <f>HYPERLINK("https://app.crepc.sk/?fn=detailBiblioForm&amp;sid=2309F398A92FFEE7F60A746638")</f>
        <v>https://app.crepc.sk/?fn=detailBiblioForm&amp;sid=2309F398A92FFEE7F60A746638</v>
      </c>
    </row>
    <row r="7989" spans="1:5" ht="75" x14ac:dyDescent="0.25">
      <c r="C7989" s="15">
        <v>125556</v>
      </c>
      <c r="D7989" s="4" t="s">
        <v>7993</v>
      </c>
      <c r="E7989" s="4" t="str">
        <f>HYPERLINK("https://app.crepc.sk/?fn=detailBiblioForm&amp;sid=25B95477D9A3B8EFBCA3D0642C")</f>
        <v>https://app.crepc.sk/?fn=detailBiblioForm&amp;sid=25B95477D9A3B8EFBCA3D0642C</v>
      </c>
    </row>
    <row r="7990" spans="1:5" ht="75" x14ac:dyDescent="0.25">
      <c r="C7990" s="15">
        <v>104118</v>
      </c>
      <c r="D7990" s="4" t="s">
        <v>7994</v>
      </c>
      <c r="E7990" s="4" t="str">
        <f>HYPERLINK("https://app.crepc.sk/?fn=detailBiblioForm&amp;sid=74DC020A23E61A16437D8012A3")</f>
        <v>https://app.crepc.sk/?fn=detailBiblioForm&amp;sid=74DC020A23E61A16437D8012A3</v>
      </c>
    </row>
    <row r="7991" spans="1:5" ht="90" x14ac:dyDescent="0.25">
      <c r="C7991" s="15">
        <v>165318</v>
      </c>
      <c r="D7991" s="4" t="s">
        <v>7995</v>
      </c>
      <c r="E7991" s="4" t="str">
        <f>HYPERLINK("https://app.crepc.sk/?fn=detailBiblioForm&amp;sid=FD287398550734C84BBF7AADA0")</f>
        <v>https://app.crepc.sk/?fn=detailBiblioForm&amp;sid=FD287398550734C84BBF7AADA0</v>
      </c>
    </row>
    <row r="7992" spans="1:5" ht="60" x14ac:dyDescent="0.25">
      <c r="C7992" s="15">
        <v>104124</v>
      </c>
      <c r="D7992" s="4" t="s">
        <v>7996</v>
      </c>
      <c r="E7992" s="4" t="str">
        <f>HYPERLINK("https://app.crepc.sk/?fn=detailBiblioForm&amp;sid=74DC020A23E61A1640718012A3")</f>
        <v>https://app.crepc.sk/?fn=detailBiblioForm&amp;sid=74DC020A23E61A1640718012A3</v>
      </c>
    </row>
    <row r="7993" spans="1:5" ht="60" x14ac:dyDescent="0.25">
      <c r="C7993" s="15">
        <v>169011</v>
      </c>
      <c r="D7993" s="4" t="s">
        <v>7997</v>
      </c>
      <c r="E7993" s="4" t="str">
        <f>HYPERLINK("https://app.crepc.sk/?fn=detailBiblioForm&amp;sid=ECC3D3F0B3159C4F3116821461")</f>
        <v>https://app.crepc.sk/?fn=detailBiblioForm&amp;sid=ECC3D3F0B3159C4F3116821461</v>
      </c>
    </row>
    <row r="7994" spans="1:5" ht="30" x14ac:dyDescent="0.25">
      <c r="A7994" s="4" t="s">
        <v>7998</v>
      </c>
      <c r="B7994" s="15">
        <v>25</v>
      </c>
    </row>
    <row r="7995" spans="1:5" ht="60" x14ac:dyDescent="0.25">
      <c r="C7995" s="15">
        <v>148765</v>
      </c>
      <c r="D7995" s="4" t="s">
        <v>7999</v>
      </c>
      <c r="E7995" s="4" t="str">
        <f>HYPERLINK("https://app.crepc.sk/?fn=detailBiblioForm&amp;sid=03D0BDF1F4ACE5DDE928D01F34")</f>
        <v>https://app.crepc.sk/?fn=detailBiblioForm&amp;sid=03D0BDF1F4ACE5DDE928D01F34</v>
      </c>
    </row>
    <row r="7996" spans="1:5" ht="45" x14ac:dyDescent="0.25">
      <c r="C7996" s="15">
        <v>162397</v>
      </c>
      <c r="D7996" s="4" t="s">
        <v>8000</v>
      </c>
      <c r="E7996" s="4" t="str">
        <f>HYPERLINK("https://app.crepc.sk/?fn=detailBiblioForm&amp;sid=5379D0B7E3C25FE39D36D05CA5")</f>
        <v>https://app.crepc.sk/?fn=detailBiblioForm&amp;sid=5379D0B7E3C25FE39D36D05CA5</v>
      </c>
    </row>
    <row r="7997" spans="1:5" ht="60" x14ac:dyDescent="0.25">
      <c r="C7997" s="15">
        <v>87950</v>
      </c>
      <c r="D7997" s="4" t="s">
        <v>8001</v>
      </c>
      <c r="E7997" s="4" t="str">
        <f>HYPERLINK("https://app.crepc.sk/?fn=detailBiblioForm&amp;sid=10F68F5ACD4BEA2F7D8BB681")</f>
        <v>https://app.crepc.sk/?fn=detailBiblioForm&amp;sid=10F68F5ACD4BEA2F7D8BB681</v>
      </c>
    </row>
    <row r="7998" spans="1:5" ht="75" x14ac:dyDescent="0.25">
      <c r="C7998" s="15">
        <v>215696</v>
      </c>
      <c r="D7998" s="4" t="s">
        <v>8002</v>
      </c>
      <c r="E7998" s="4" t="str">
        <f>HYPERLINK("https://app.crepc.sk/?fn=detailBiblioForm&amp;sid=71C258F70EEA1E8C31F80ED63E")</f>
        <v>https://app.crepc.sk/?fn=detailBiblioForm&amp;sid=71C258F70EEA1E8C31F80ED63E</v>
      </c>
    </row>
    <row r="7999" spans="1:5" ht="75" x14ac:dyDescent="0.25">
      <c r="C7999" s="15">
        <v>452639</v>
      </c>
      <c r="D7999" s="4" t="s">
        <v>8003</v>
      </c>
      <c r="E7999" s="4" t="str">
        <f>HYPERLINK("https://app.crepc.sk/?fn=detailBiblioForm&amp;sid=BFF17292256AB5EFF8C34A0D1B")</f>
        <v>https://app.crepc.sk/?fn=detailBiblioForm&amp;sid=BFF17292256AB5EFF8C34A0D1B</v>
      </c>
    </row>
    <row r="8000" spans="1:5" ht="45" x14ac:dyDescent="0.25">
      <c r="C8000" s="15">
        <v>97511</v>
      </c>
      <c r="D8000" s="4" t="s">
        <v>8004</v>
      </c>
      <c r="E8000" s="4" t="str">
        <f>HYPERLINK("https://app.crepc.sk/?fn=detailBiblioForm&amp;sid=BD6AF28E1E7C4FD63E542284")</f>
        <v>https://app.crepc.sk/?fn=detailBiblioForm&amp;sid=BD6AF28E1E7C4FD63E542284</v>
      </c>
    </row>
    <row r="8001" spans="3:5" ht="45" x14ac:dyDescent="0.25">
      <c r="C8001" s="15">
        <v>162065</v>
      </c>
      <c r="D8001" s="4" t="s">
        <v>8005</v>
      </c>
      <c r="E8001" s="4" t="str">
        <f>HYPERLINK("https://app.crepc.sk/?fn=detailBiblioForm&amp;sid=64F3CCE308D9C9BF43EF842526")</f>
        <v>https://app.crepc.sk/?fn=detailBiblioForm&amp;sid=64F3CCE308D9C9BF43EF842526</v>
      </c>
    </row>
    <row r="8002" spans="3:5" ht="45" x14ac:dyDescent="0.25">
      <c r="C8002" s="15">
        <v>422659</v>
      </c>
      <c r="D8002" s="4" t="s">
        <v>8006</v>
      </c>
      <c r="E8002" s="4" t="str">
        <f>HYPERLINK("https://app.crepc.sk/?fn=detailBiblioForm&amp;sid=595C10E24534013616847F4B15")</f>
        <v>https://app.crepc.sk/?fn=detailBiblioForm&amp;sid=595C10E24534013616847F4B15</v>
      </c>
    </row>
    <row r="8003" spans="3:5" ht="45" x14ac:dyDescent="0.25">
      <c r="C8003" s="15">
        <v>309221</v>
      </c>
      <c r="D8003" s="4" t="s">
        <v>8007</v>
      </c>
      <c r="E8003" s="4" t="str">
        <f>HYPERLINK("https://app.crepc.sk/?fn=detailBiblioForm&amp;sid=40BD072F73D8B14F680874681D")</f>
        <v>https://app.crepc.sk/?fn=detailBiblioForm&amp;sid=40BD072F73D8B14F680874681D</v>
      </c>
    </row>
    <row r="8004" spans="3:5" ht="60" x14ac:dyDescent="0.25">
      <c r="C8004" s="15">
        <v>232466</v>
      </c>
      <c r="D8004" s="4" t="s">
        <v>8008</v>
      </c>
      <c r="E8004" s="4" t="str">
        <f>HYPERLINK("https://app.crepc.sk/?fn=detailBiblioForm&amp;sid=1DC25C603E41A09F1760E2CF10")</f>
        <v>https://app.crepc.sk/?fn=detailBiblioForm&amp;sid=1DC25C603E41A09F1760E2CF10</v>
      </c>
    </row>
    <row r="8005" spans="3:5" ht="60" x14ac:dyDescent="0.25">
      <c r="C8005" s="15">
        <v>427265</v>
      </c>
      <c r="D8005" s="4" t="s">
        <v>8009</v>
      </c>
      <c r="E8005" s="4" t="str">
        <f>HYPERLINK("https://app.crepc.sk/?fn=detailBiblioForm&amp;sid=CEF47F8A1CD49D570F04E7C4D4")</f>
        <v>https://app.crepc.sk/?fn=detailBiblioForm&amp;sid=CEF47F8A1CD49D570F04E7C4D4</v>
      </c>
    </row>
    <row r="8006" spans="3:5" ht="45" x14ac:dyDescent="0.25">
      <c r="C8006" s="15">
        <v>78620</v>
      </c>
      <c r="D8006" s="4" t="s">
        <v>8010</v>
      </c>
      <c r="E8006" s="4" t="str">
        <f>HYPERLINK("https://app.crepc.sk/?fn=detailBiblioForm&amp;sid=A3575A2CBECB1ACBD791CDE9")</f>
        <v>https://app.crepc.sk/?fn=detailBiblioForm&amp;sid=A3575A2CBECB1ACBD791CDE9</v>
      </c>
    </row>
    <row r="8007" spans="3:5" ht="45" x14ac:dyDescent="0.25">
      <c r="C8007" s="15">
        <v>441465</v>
      </c>
      <c r="D8007" s="4" t="s">
        <v>8011</v>
      </c>
      <c r="E8007" s="4" t="str">
        <f>HYPERLINK("https://app.crepc.sk/?fn=detailBiblioForm&amp;sid=35A487982B485B4FC90E3650B6")</f>
        <v>https://app.crepc.sk/?fn=detailBiblioForm&amp;sid=35A487982B485B4FC90E3650B6</v>
      </c>
    </row>
    <row r="8008" spans="3:5" ht="60" x14ac:dyDescent="0.25">
      <c r="C8008" s="15">
        <v>150788</v>
      </c>
      <c r="D8008" s="4" t="s">
        <v>8012</v>
      </c>
      <c r="E8008" s="4" t="str">
        <f>HYPERLINK("https://app.crepc.sk/?fn=detailBiblioForm&amp;sid=4ABE047C0F04576E240655E493")</f>
        <v>https://app.crepc.sk/?fn=detailBiblioForm&amp;sid=4ABE047C0F04576E240655E493</v>
      </c>
    </row>
    <row r="8009" spans="3:5" ht="90" x14ac:dyDescent="0.25">
      <c r="C8009" s="15">
        <v>427972</v>
      </c>
      <c r="D8009" s="4" t="s">
        <v>8013</v>
      </c>
      <c r="E8009" s="4" t="str">
        <f>HYPERLINK("https://app.crepc.sk/?fn=detailBiblioForm&amp;sid=8C33B2022A85A58E8CB884D0D1")</f>
        <v>https://app.crepc.sk/?fn=detailBiblioForm&amp;sid=8C33B2022A85A58E8CB884D0D1</v>
      </c>
    </row>
    <row r="8010" spans="3:5" ht="45" x14ac:dyDescent="0.25">
      <c r="C8010" s="15">
        <v>245953</v>
      </c>
      <c r="D8010" s="4" t="s">
        <v>8014</v>
      </c>
      <c r="E8010" s="4" t="str">
        <f>HYPERLINK("https://app.crepc.sk/?fn=detailBiblioForm&amp;sid=B4074A4D7573537BC273B46E05")</f>
        <v>https://app.crepc.sk/?fn=detailBiblioForm&amp;sid=B4074A4D7573537BC273B46E05</v>
      </c>
    </row>
    <row r="8011" spans="3:5" ht="45" x14ac:dyDescent="0.25">
      <c r="C8011" s="15">
        <v>179240</v>
      </c>
      <c r="D8011" s="4" t="s">
        <v>8015</v>
      </c>
      <c r="E8011" s="4" t="str">
        <f>HYPERLINK("https://app.crepc.sk/?fn=detailBiblioForm&amp;sid=4B1C4D75B6D4960DF9A769EC63")</f>
        <v>https://app.crepc.sk/?fn=detailBiblioForm&amp;sid=4B1C4D75B6D4960DF9A769EC63</v>
      </c>
    </row>
    <row r="8012" spans="3:5" ht="45" x14ac:dyDescent="0.25">
      <c r="C8012" s="15">
        <v>161883</v>
      </c>
      <c r="D8012" s="4" t="s">
        <v>8016</v>
      </c>
      <c r="E8012" s="4" t="str">
        <f>HYPERLINK("https://app.crepc.sk/?fn=detailBiblioForm&amp;sid=9F8942B94996237AA3FE74E07C")</f>
        <v>https://app.crepc.sk/?fn=detailBiblioForm&amp;sid=9F8942B94996237AA3FE74E07C</v>
      </c>
    </row>
    <row r="8013" spans="3:5" ht="60" x14ac:dyDescent="0.25">
      <c r="C8013" s="15">
        <v>189792</v>
      </c>
      <c r="D8013" s="4" t="s">
        <v>8017</v>
      </c>
      <c r="E8013" s="4" t="str">
        <f>HYPERLINK("https://app.crepc.sk/?fn=detailBiblioForm&amp;sid=ECD7BDABE461DD05C737FD20C5")</f>
        <v>https://app.crepc.sk/?fn=detailBiblioForm&amp;sid=ECD7BDABE461DD05C737FD20C5</v>
      </c>
    </row>
    <row r="8014" spans="3:5" ht="75" x14ac:dyDescent="0.25">
      <c r="C8014" s="15">
        <v>216732</v>
      </c>
      <c r="D8014" s="4" t="s">
        <v>8018</v>
      </c>
      <c r="E8014" s="4" t="str">
        <f>HYPERLINK("https://app.crepc.sk/?fn=detailBiblioForm&amp;sid=73B630D0391B7B04C9C133631C")</f>
        <v>https://app.crepc.sk/?fn=detailBiblioForm&amp;sid=73B630D0391B7B04C9C133631C</v>
      </c>
    </row>
    <row r="8015" spans="3:5" ht="60" x14ac:dyDescent="0.25">
      <c r="C8015" s="15">
        <v>431362</v>
      </c>
      <c r="D8015" s="4" t="s">
        <v>8019</v>
      </c>
      <c r="E8015" s="4" t="str">
        <f>HYPERLINK("https://app.crepc.sk/?fn=detailBiblioForm&amp;sid=3B4E0D23E18AC9251951CCD577")</f>
        <v>https://app.crepc.sk/?fn=detailBiblioForm&amp;sid=3B4E0D23E18AC9251951CCD577</v>
      </c>
    </row>
    <row r="8016" spans="3:5" ht="60" x14ac:dyDescent="0.25">
      <c r="C8016" s="15">
        <v>189805</v>
      </c>
      <c r="D8016" s="4" t="s">
        <v>8020</v>
      </c>
      <c r="E8016" s="4" t="str">
        <f>HYPERLINK("https://app.crepc.sk/?fn=detailBiblioForm&amp;sid=70D560FC111767F5326113F988")</f>
        <v>https://app.crepc.sk/?fn=detailBiblioForm&amp;sid=70D560FC111767F5326113F988</v>
      </c>
    </row>
    <row r="8017" spans="1:5" ht="90" x14ac:dyDescent="0.25">
      <c r="C8017" s="15">
        <v>425301</v>
      </c>
      <c r="D8017" s="4" t="s">
        <v>8021</v>
      </c>
      <c r="E8017" s="4" t="str">
        <f>HYPERLINK("https://app.crepc.sk/?fn=detailBiblioForm&amp;sid=F4CF49A2A14F2431BB585C7223")</f>
        <v>https://app.crepc.sk/?fn=detailBiblioForm&amp;sid=F4CF49A2A14F2431BB585C7223</v>
      </c>
    </row>
    <row r="8018" spans="1:5" ht="45" x14ac:dyDescent="0.25">
      <c r="C8018" s="15">
        <v>422657</v>
      </c>
      <c r="D8018" s="4" t="s">
        <v>8022</v>
      </c>
      <c r="E8018" s="4" t="str">
        <f>HYPERLINK("https://app.crepc.sk/?fn=detailBiblioForm&amp;sid=595C10E245340136168A7F4B15")</f>
        <v>https://app.crepc.sk/?fn=detailBiblioForm&amp;sid=595C10E245340136168A7F4B15</v>
      </c>
    </row>
    <row r="8019" spans="1:5" ht="75" x14ac:dyDescent="0.25">
      <c r="C8019" s="15">
        <v>88157</v>
      </c>
      <c r="D8019" s="4" t="s">
        <v>8023</v>
      </c>
      <c r="E8019" s="4" t="str">
        <f>HYPERLINK("https://app.crepc.sk/?fn=detailBiblioForm&amp;sid=0D08B79B7130B65C188F92E6")</f>
        <v>https://app.crepc.sk/?fn=detailBiblioForm&amp;sid=0D08B79B7130B65C188F92E6</v>
      </c>
    </row>
    <row r="8020" spans="1:5" ht="30" x14ac:dyDescent="0.25">
      <c r="A8020" s="4" t="s">
        <v>8024</v>
      </c>
      <c r="B8020" s="15">
        <v>67</v>
      </c>
    </row>
    <row r="8021" spans="1:5" ht="45" x14ac:dyDescent="0.25">
      <c r="C8021" s="15">
        <v>448245</v>
      </c>
      <c r="D8021" s="4" t="s">
        <v>8025</v>
      </c>
      <c r="E8021" s="4" t="str">
        <f>HYPERLINK("https://app.crepc.sk/?fn=detailBiblioForm&amp;sid=5BE501D611F83A9AAE9967DA3F")</f>
        <v>https://app.crepc.sk/?fn=detailBiblioForm&amp;sid=5BE501D611F83A9AAE9967DA3F</v>
      </c>
    </row>
    <row r="8022" spans="1:5" ht="60" x14ac:dyDescent="0.25">
      <c r="C8022" s="15">
        <v>202283</v>
      </c>
      <c r="D8022" s="4" t="s">
        <v>8026</v>
      </c>
      <c r="E8022" s="4" t="str">
        <f>HYPERLINK("https://app.crepc.sk/?fn=detailBiblioForm&amp;sid=328A0EA2F0FAB7AE8C6B93E35A")</f>
        <v>https://app.crepc.sk/?fn=detailBiblioForm&amp;sid=328A0EA2F0FAB7AE8C6B93E35A</v>
      </c>
    </row>
    <row r="8023" spans="1:5" ht="90" x14ac:dyDescent="0.25">
      <c r="C8023" s="15">
        <v>86343</v>
      </c>
      <c r="D8023" s="4" t="s">
        <v>8027</v>
      </c>
      <c r="E8023" s="4" t="str">
        <f>HYPERLINK("https://app.crepc.sk/?fn=detailBiblioForm&amp;sid=1CC27CEB55EBF38C23E3D1D5")</f>
        <v>https://app.crepc.sk/?fn=detailBiblioForm&amp;sid=1CC27CEB55EBF38C23E3D1D5</v>
      </c>
    </row>
    <row r="8024" spans="1:5" ht="45" x14ac:dyDescent="0.25">
      <c r="C8024" s="15">
        <v>167236</v>
      </c>
      <c r="D8024" s="4" t="s">
        <v>8028</v>
      </c>
      <c r="E8024" s="4" t="str">
        <f>HYPERLINK("https://app.crepc.sk/?fn=detailBiblioForm&amp;sid=D028D1829C892C28C023C3551B")</f>
        <v>https://app.crepc.sk/?fn=detailBiblioForm&amp;sid=D028D1829C892C28C023C3551B</v>
      </c>
    </row>
    <row r="8025" spans="1:5" ht="45" x14ac:dyDescent="0.25">
      <c r="C8025" s="15">
        <v>179672</v>
      </c>
      <c r="D8025" s="4" t="s">
        <v>8029</v>
      </c>
      <c r="E8025" s="4" t="str">
        <f>HYPERLINK("https://app.crepc.sk/?fn=detailBiblioForm&amp;sid=E800E35B75A4A8F9300A2F3FB2")</f>
        <v>https://app.crepc.sk/?fn=detailBiblioForm&amp;sid=E800E35B75A4A8F9300A2F3FB2</v>
      </c>
    </row>
    <row r="8026" spans="1:5" ht="75" x14ac:dyDescent="0.25">
      <c r="C8026" s="15">
        <v>436048</v>
      </c>
      <c r="D8026" s="4" t="s">
        <v>8030</v>
      </c>
      <c r="E8026" s="4" t="str">
        <f>HYPERLINK("https://app.crepc.sk/?fn=detailBiblioForm&amp;sid=0D8840D8555AF42F408A6A8F01")</f>
        <v>https://app.crepc.sk/?fn=detailBiblioForm&amp;sid=0D8840D8555AF42F408A6A8F01</v>
      </c>
    </row>
    <row r="8027" spans="1:5" ht="75" x14ac:dyDescent="0.25">
      <c r="C8027" s="15">
        <v>215638</v>
      </c>
      <c r="D8027" s="4" t="s">
        <v>8031</v>
      </c>
      <c r="E8027" s="4" t="str">
        <f>HYPERLINK("https://app.crepc.sk/?fn=detailBiblioForm&amp;sid=71C258F70EEA1E8C3BF60ED63E")</f>
        <v>https://app.crepc.sk/?fn=detailBiblioForm&amp;sid=71C258F70EEA1E8C3BF60ED63E</v>
      </c>
    </row>
    <row r="8028" spans="1:5" ht="60" x14ac:dyDescent="0.25">
      <c r="C8028" s="15">
        <v>202613</v>
      </c>
      <c r="D8028" s="4" t="s">
        <v>8032</v>
      </c>
      <c r="E8028" s="4" t="str">
        <f>HYPERLINK("https://app.crepc.sk/?fn=detailBiblioForm&amp;sid=6582E9157E9F23E9F31942D9C2")</f>
        <v>https://app.crepc.sk/?fn=detailBiblioForm&amp;sid=6582E9157E9F23E9F31942D9C2</v>
      </c>
    </row>
    <row r="8029" spans="1:5" ht="45" x14ac:dyDescent="0.25">
      <c r="C8029" s="15">
        <v>310644</v>
      </c>
      <c r="D8029" s="4" t="s">
        <v>8033</v>
      </c>
      <c r="E8029" s="4" t="str">
        <f>HYPERLINK("https://app.crepc.sk/?fn=detailBiblioForm&amp;sid=1650EFDC8A2C2619D887A1BCCD")</f>
        <v>https://app.crepc.sk/?fn=detailBiblioForm&amp;sid=1650EFDC8A2C2619D887A1BCCD</v>
      </c>
    </row>
    <row r="8030" spans="1:5" ht="75" x14ac:dyDescent="0.25">
      <c r="C8030" s="15">
        <v>162398</v>
      </c>
      <c r="D8030" s="4" t="s">
        <v>8034</v>
      </c>
      <c r="E8030" s="4" t="str">
        <f>HYPERLINK("https://app.crepc.sk/?fn=detailBiblioForm&amp;sid=5379D0B7E3C25FE39D39D05CA5")</f>
        <v>https://app.crepc.sk/?fn=detailBiblioForm&amp;sid=5379D0B7E3C25FE39D39D05CA5</v>
      </c>
    </row>
    <row r="8031" spans="1:5" ht="45" x14ac:dyDescent="0.25">
      <c r="C8031" s="15">
        <v>161860</v>
      </c>
      <c r="D8031" s="4" t="s">
        <v>8035</v>
      </c>
      <c r="E8031" s="4" t="str">
        <f>HYPERLINK("https://app.crepc.sk/?fn=detailBiblioForm&amp;sid=9F8942B94996237AADFD74E07C")</f>
        <v>https://app.crepc.sk/?fn=detailBiblioForm&amp;sid=9F8942B94996237AADFD74E07C</v>
      </c>
    </row>
    <row r="8032" spans="1:5" ht="75" x14ac:dyDescent="0.25">
      <c r="C8032" s="15">
        <v>150427</v>
      </c>
      <c r="D8032" s="4" t="s">
        <v>8036</v>
      </c>
      <c r="E8032" s="4" t="str">
        <f>HYPERLINK("https://app.crepc.sk/?fn=detailBiblioForm&amp;sid=EA5F7181B6B238EB540B060746")</f>
        <v>https://app.crepc.sk/?fn=detailBiblioForm&amp;sid=EA5F7181B6B238EB540B060746</v>
      </c>
    </row>
    <row r="8033" spans="3:5" ht="75" x14ac:dyDescent="0.25">
      <c r="C8033" s="15">
        <v>438671</v>
      </c>
      <c r="D8033" s="4" t="s">
        <v>8037</v>
      </c>
      <c r="E8033" s="4" t="str">
        <f>HYPERLINK("https://app.crepc.sk/?fn=detailBiblioForm&amp;sid=C10B51E9E3EF1B1316A9E0F7D6")</f>
        <v>https://app.crepc.sk/?fn=detailBiblioForm&amp;sid=C10B51E9E3EF1B1316A9E0F7D6</v>
      </c>
    </row>
    <row r="8034" spans="3:5" ht="60" x14ac:dyDescent="0.25">
      <c r="C8034" s="15">
        <v>170224</v>
      </c>
      <c r="D8034" s="4" t="s">
        <v>8038</v>
      </c>
      <c r="E8034" s="4" t="str">
        <f>HYPERLINK("https://app.crepc.sk/?fn=detailBiblioForm&amp;sid=1CB25EF4639541CD29C9D9150E")</f>
        <v>https://app.crepc.sk/?fn=detailBiblioForm&amp;sid=1CB25EF4639541CD29C9D9150E</v>
      </c>
    </row>
    <row r="8035" spans="3:5" ht="45" x14ac:dyDescent="0.25">
      <c r="C8035" s="15">
        <v>167244</v>
      </c>
      <c r="D8035" s="4" t="s">
        <v>8039</v>
      </c>
      <c r="E8035" s="4" t="str">
        <f>HYPERLINK("https://app.crepc.sk/?fn=detailBiblioForm&amp;sid=D028D1829C892C28C721C3551B")</f>
        <v>https://app.crepc.sk/?fn=detailBiblioForm&amp;sid=D028D1829C892C28C721C3551B</v>
      </c>
    </row>
    <row r="8036" spans="3:5" ht="45" x14ac:dyDescent="0.25">
      <c r="C8036" s="15">
        <v>445112</v>
      </c>
      <c r="D8036" s="4" t="s">
        <v>8040</v>
      </c>
      <c r="E8036" s="4" t="str">
        <f>HYPERLINK("https://app.crepc.sk/?fn=detailBiblioForm&amp;sid=0899011EB907D11070B0E7DCE6")</f>
        <v>https://app.crepc.sk/?fn=detailBiblioForm&amp;sid=0899011EB907D11070B0E7DCE6</v>
      </c>
    </row>
    <row r="8037" spans="3:5" ht="75" x14ac:dyDescent="0.25">
      <c r="C8037" s="15">
        <v>97954</v>
      </c>
      <c r="D8037" s="4" t="s">
        <v>8041</v>
      </c>
      <c r="E8037" s="4" t="str">
        <f>HYPERLINK("https://app.crepc.sk/?fn=detailBiblioForm&amp;sid=7B25650F66CC48EADAC3BC5A")</f>
        <v>https://app.crepc.sk/?fn=detailBiblioForm&amp;sid=7B25650F66CC48EADAC3BC5A</v>
      </c>
    </row>
    <row r="8038" spans="3:5" ht="45" x14ac:dyDescent="0.25">
      <c r="C8038" s="15">
        <v>189906</v>
      </c>
      <c r="D8038" s="4" t="s">
        <v>8042</v>
      </c>
      <c r="E8038" s="4" t="str">
        <f>HYPERLINK("https://app.crepc.sk/?fn=detailBiblioForm&amp;sid=363BD46AAC15F7F45A76367834")</f>
        <v>https://app.crepc.sk/?fn=detailBiblioForm&amp;sid=363BD46AAC15F7F45A76367834</v>
      </c>
    </row>
    <row r="8039" spans="3:5" ht="45" x14ac:dyDescent="0.25">
      <c r="C8039" s="15">
        <v>189907</v>
      </c>
      <c r="D8039" s="4" t="s">
        <v>8043</v>
      </c>
      <c r="E8039" s="4" t="str">
        <f>HYPERLINK("https://app.crepc.sk/?fn=detailBiblioForm&amp;sid=363BD46AAC15F7F45A77367834")</f>
        <v>https://app.crepc.sk/?fn=detailBiblioForm&amp;sid=363BD46AAC15F7F45A77367834</v>
      </c>
    </row>
    <row r="8040" spans="3:5" ht="45" x14ac:dyDescent="0.25">
      <c r="C8040" s="15">
        <v>226032</v>
      </c>
      <c r="D8040" s="4" t="s">
        <v>8044</v>
      </c>
      <c r="E8040" s="4" t="str">
        <f>HYPERLINK("https://app.crepc.sk/?fn=detailBiblioForm&amp;sid=7241E0F0A68FF7150A58AE2810")</f>
        <v>https://app.crepc.sk/?fn=detailBiblioForm&amp;sid=7241E0F0A68FF7150A58AE2810</v>
      </c>
    </row>
    <row r="8041" spans="3:5" ht="75" x14ac:dyDescent="0.25">
      <c r="C8041" s="15">
        <v>438664</v>
      </c>
      <c r="D8041" s="4" t="s">
        <v>8045</v>
      </c>
      <c r="E8041" s="4" t="str">
        <f>HYPERLINK("https://app.crepc.sk/?fn=detailBiblioForm&amp;sid=C10B51E9E3EF1B1317ACE0F7D6")</f>
        <v>https://app.crepc.sk/?fn=detailBiblioForm&amp;sid=C10B51E9E3EF1B1317ACE0F7D6</v>
      </c>
    </row>
    <row r="8042" spans="3:5" ht="90" x14ac:dyDescent="0.25">
      <c r="C8042" s="15">
        <v>98866</v>
      </c>
      <c r="D8042" s="4" t="s">
        <v>8046</v>
      </c>
      <c r="E8042" s="4" t="str">
        <f>HYPERLINK("https://app.crepc.sk/?fn=detailBiblioForm&amp;sid=6FA31503045DC20C3AD71ECA")</f>
        <v>https://app.crepc.sk/?fn=detailBiblioForm&amp;sid=6FA31503045DC20C3AD71ECA</v>
      </c>
    </row>
    <row r="8043" spans="3:5" ht="75" x14ac:dyDescent="0.25">
      <c r="C8043" s="15">
        <v>84838</v>
      </c>
      <c r="D8043" s="4" t="s">
        <v>8047</v>
      </c>
      <c r="E8043" s="4" t="str">
        <f>HYPERLINK("https://app.crepc.sk/?fn=detailBiblioForm&amp;sid=110BCC5964BDC70A1967CA0E")</f>
        <v>https://app.crepc.sk/?fn=detailBiblioForm&amp;sid=110BCC5964BDC70A1967CA0E</v>
      </c>
    </row>
    <row r="8044" spans="3:5" ht="75" x14ac:dyDescent="0.25">
      <c r="C8044" s="15">
        <v>240872</v>
      </c>
      <c r="D8044" s="4" t="s">
        <v>8048</v>
      </c>
      <c r="E8044" s="4" t="str">
        <f>HYPERLINK("https://app.crepc.sk/?fn=detailBiblioForm&amp;sid=5B016660862A0AA5430722D6A0")</f>
        <v>https://app.crepc.sk/?fn=detailBiblioForm&amp;sid=5B016660862A0AA5430722D6A0</v>
      </c>
    </row>
    <row r="8045" spans="3:5" ht="60" x14ac:dyDescent="0.25">
      <c r="C8045" s="15">
        <v>170219</v>
      </c>
      <c r="D8045" s="4" t="s">
        <v>8049</v>
      </c>
      <c r="E8045" s="4" t="str">
        <f>HYPERLINK("https://app.crepc.sk/?fn=detailBiblioForm&amp;sid=1CB25EF4639541CD2AC4D9150E")</f>
        <v>https://app.crepc.sk/?fn=detailBiblioForm&amp;sid=1CB25EF4639541CD2AC4D9150E</v>
      </c>
    </row>
    <row r="8046" spans="3:5" ht="45" x14ac:dyDescent="0.25">
      <c r="C8046" s="15">
        <v>191216</v>
      </c>
      <c r="D8046" s="4" t="s">
        <v>8050</v>
      </c>
      <c r="E8046" s="4" t="str">
        <f>HYPERLINK("https://app.crepc.sk/?fn=detailBiblioForm&amp;sid=BB22CF228AD80F334822F1E3D6")</f>
        <v>https://app.crepc.sk/?fn=detailBiblioForm&amp;sid=BB22CF228AD80F334822F1E3D6</v>
      </c>
    </row>
    <row r="8047" spans="3:5" ht="75" x14ac:dyDescent="0.25">
      <c r="C8047" s="15">
        <v>227387</v>
      </c>
      <c r="D8047" s="4" t="s">
        <v>8051</v>
      </c>
      <c r="E8047" s="4" t="str">
        <f>HYPERLINK("https://app.crepc.sk/?fn=detailBiblioForm&amp;sid=6CA30878C8FDE196AB1B0AE199")</f>
        <v>https://app.crepc.sk/?fn=detailBiblioForm&amp;sid=6CA30878C8FDE196AB1B0AE199</v>
      </c>
    </row>
    <row r="8048" spans="3:5" ht="75" x14ac:dyDescent="0.25">
      <c r="C8048" s="15">
        <v>106829</v>
      </c>
      <c r="D8048" s="4" t="s">
        <v>8052</v>
      </c>
      <c r="E8048" s="4" t="str">
        <f>HYPERLINK("https://app.crepc.sk/?fn=detailBiblioForm&amp;sid=ACA353D1F8B027A5CB2EB8775D")</f>
        <v>https://app.crepc.sk/?fn=detailBiblioForm&amp;sid=ACA353D1F8B027A5CB2EB8775D</v>
      </c>
    </row>
    <row r="8049" spans="3:5" ht="60" x14ac:dyDescent="0.25">
      <c r="C8049" s="15">
        <v>79774</v>
      </c>
      <c r="D8049" s="4" t="s">
        <v>8053</v>
      </c>
      <c r="E8049" s="4" t="str">
        <f>HYPERLINK("https://app.crepc.sk/?fn=detailBiblioForm&amp;sid=9C7193CD4A27020CA9C56426")</f>
        <v>https://app.crepc.sk/?fn=detailBiblioForm&amp;sid=9C7193CD4A27020CA9C56426</v>
      </c>
    </row>
    <row r="8050" spans="3:5" ht="45" x14ac:dyDescent="0.25">
      <c r="C8050" s="15">
        <v>98201</v>
      </c>
      <c r="D8050" s="4" t="s">
        <v>8054</v>
      </c>
      <c r="E8050" s="4" t="str">
        <f>HYPERLINK("https://app.crepc.sk/?fn=detailBiblioForm&amp;sid=FD337D5940BA29B49C6843B7")</f>
        <v>https://app.crepc.sk/?fn=detailBiblioForm&amp;sid=FD337D5940BA29B49C6843B7</v>
      </c>
    </row>
    <row r="8051" spans="3:5" ht="60" x14ac:dyDescent="0.25">
      <c r="C8051" s="15">
        <v>82710</v>
      </c>
      <c r="D8051" s="4" t="s">
        <v>8055</v>
      </c>
      <c r="E8051" s="4" t="str">
        <f>HYPERLINK("https://app.crepc.sk/?fn=detailBiblioForm&amp;sid=28CD4A1B8569C02AAF7404FE")</f>
        <v>https://app.crepc.sk/?fn=detailBiblioForm&amp;sid=28CD4A1B8569C02AAF7404FE</v>
      </c>
    </row>
    <row r="8052" spans="3:5" ht="75" x14ac:dyDescent="0.25">
      <c r="C8052" s="15">
        <v>55832</v>
      </c>
      <c r="D8052" s="4" t="s">
        <v>8056</v>
      </c>
      <c r="E8052" s="4" t="str">
        <f>HYPERLINK("https://app.crepc.sk/?fn=detailBiblioForm&amp;sid=86998B6BFD6DC25B6AFB6433")</f>
        <v>https://app.crepc.sk/?fn=detailBiblioForm&amp;sid=86998B6BFD6DC25B6AFB6433</v>
      </c>
    </row>
    <row r="8053" spans="3:5" ht="60" x14ac:dyDescent="0.25">
      <c r="C8053" s="15">
        <v>184374</v>
      </c>
      <c r="D8053" s="4" t="s">
        <v>8057</v>
      </c>
      <c r="E8053" s="4" t="str">
        <f>HYPERLINK("https://app.crepc.sk/?fn=detailBiblioForm&amp;sid=F29B441F8EC4F8FBF232DE11B3")</f>
        <v>https://app.crepc.sk/?fn=detailBiblioForm&amp;sid=F29B441F8EC4F8FBF232DE11B3</v>
      </c>
    </row>
    <row r="8054" spans="3:5" ht="60" x14ac:dyDescent="0.25">
      <c r="C8054" s="15">
        <v>182331</v>
      </c>
      <c r="D8054" s="4" t="s">
        <v>8058</v>
      </c>
      <c r="E8054" s="4" t="str">
        <f>HYPERLINK("https://app.crepc.sk/?fn=detailBiblioForm&amp;sid=53EEEDF946F250FB428C45B5AD")</f>
        <v>https://app.crepc.sk/?fn=detailBiblioForm&amp;sid=53EEEDF946F250FB428C45B5AD</v>
      </c>
    </row>
    <row r="8055" spans="3:5" ht="60" x14ac:dyDescent="0.25">
      <c r="C8055" s="15">
        <v>214917</v>
      </c>
      <c r="D8055" s="4" t="s">
        <v>8059</v>
      </c>
      <c r="E8055" s="4" t="str">
        <f>HYPERLINK("https://app.crepc.sk/?fn=detailBiblioForm&amp;sid=4B134B232C8D218149F86DD966")</f>
        <v>https://app.crepc.sk/?fn=detailBiblioForm&amp;sid=4B134B232C8D218149F86DD966</v>
      </c>
    </row>
    <row r="8056" spans="3:5" ht="60" x14ac:dyDescent="0.25">
      <c r="C8056" s="15">
        <v>97952</v>
      </c>
      <c r="D8056" s="4" t="s">
        <v>8060</v>
      </c>
      <c r="E8056" s="4" t="str">
        <f>HYPERLINK("https://app.crepc.sk/?fn=detailBiblioForm&amp;sid=7B25650F66CC48EADCC3BC5A")</f>
        <v>https://app.crepc.sk/?fn=detailBiblioForm&amp;sid=7B25650F66CC48EADCC3BC5A</v>
      </c>
    </row>
    <row r="8057" spans="3:5" ht="45" x14ac:dyDescent="0.25">
      <c r="C8057" s="15">
        <v>441865</v>
      </c>
      <c r="D8057" s="4" t="s">
        <v>8061</v>
      </c>
      <c r="E8057" s="4" t="str">
        <f>HYPERLINK("https://app.crepc.sk/?fn=detailBiblioForm&amp;sid=AE470135EEA362314FDFB5CD43")</f>
        <v>https://app.crepc.sk/?fn=detailBiblioForm&amp;sid=AE470135EEA362314FDFB5CD43</v>
      </c>
    </row>
    <row r="8058" spans="3:5" ht="45" x14ac:dyDescent="0.25">
      <c r="C8058" s="15">
        <v>246953</v>
      </c>
      <c r="D8058" s="4" t="s">
        <v>8062</v>
      </c>
      <c r="E8058" s="4" t="str">
        <f>HYPERLINK("https://app.crepc.sk/?fn=detailBiblioForm&amp;sid=513EA57B92CAC7225A37972BAF")</f>
        <v>https://app.crepc.sk/?fn=detailBiblioForm&amp;sid=513EA57B92CAC7225A37972BAF</v>
      </c>
    </row>
    <row r="8059" spans="3:5" ht="60" x14ac:dyDescent="0.25">
      <c r="C8059" s="15">
        <v>170208</v>
      </c>
      <c r="D8059" s="4" t="s">
        <v>8063</v>
      </c>
      <c r="E8059" s="4" t="str">
        <f>HYPERLINK("https://app.crepc.sk/?fn=detailBiblioForm&amp;sid=1CB25EF4639541CD2BC5D9150E")</f>
        <v>https://app.crepc.sk/?fn=detailBiblioForm&amp;sid=1CB25EF4639541CD2BC5D9150E</v>
      </c>
    </row>
    <row r="8060" spans="3:5" ht="60" x14ac:dyDescent="0.25">
      <c r="C8060" s="15">
        <v>209958</v>
      </c>
      <c r="D8060" s="4" t="s">
        <v>8064</v>
      </c>
      <c r="E8060" s="4" t="str">
        <f>HYPERLINK("https://app.crepc.sk/?fn=detailBiblioForm&amp;sid=D8D02EEB6AC17E0F20FD1AD22F")</f>
        <v>https://app.crepc.sk/?fn=detailBiblioForm&amp;sid=D8D02EEB6AC17E0F20FD1AD22F</v>
      </c>
    </row>
    <row r="8061" spans="3:5" ht="45" x14ac:dyDescent="0.25">
      <c r="C8061" s="15">
        <v>189909</v>
      </c>
      <c r="D8061" s="4" t="s">
        <v>8065</v>
      </c>
      <c r="E8061" s="4" t="str">
        <f>HYPERLINK("https://app.crepc.sk/?fn=detailBiblioForm&amp;sid=363BD46AAC15F7F45A79367834")</f>
        <v>https://app.crepc.sk/?fn=detailBiblioForm&amp;sid=363BD46AAC15F7F45A79367834</v>
      </c>
    </row>
    <row r="8062" spans="3:5" ht="45" x14ac:dyDescent="0.25">
      <c r="C8062" s="15">
        <v>175453</v>
      </c>
      <c r="D8062" s="4" t="s">
        <v>8066</v>
      </c>
      <c r="E8062" s="4" t="str">
        <f>HYPERLINK("https://app.crepc.sk/?fn=detailBiblioForm&amp;sid=5E8AE344A08831ABC88803A46F")</f>
        <v>https://app.crepc.sk/?fn=detailBiblioForm&amp;sid=5E8AE344A08831ABC88803A46F</v>
      </c>
    </row>
    <row r="8063" spans="3:5" ht="90" x14ac:dyDescent="0.25">
      <c r="C8063" s="15">
        <v>127693</v>
      </c>
      <c r="D8063" s="4" t="s">
        <v>8067</v>
      </c>
      <c r="E8063" s="4" t="str">
        <f>HYPERLINK("https://app.crepc.sk/?fn=detailBiblioForm&amp;sid=A61021784F381E68CE0CE78699")</f>
        <v>https://app.crepc.sk/?fn=detailBiblioForm&amp;sid=A61021784F381E68CE0CE78699</v>
      </c>
    </row>
    <row r="8064" spans="3:5" ht="45" x14ac:dyDescent="0.25">
      <c r="C8064" s="15">
        <v>153920</v>
      </c>
      <c r="D8064" s="4" t="s">
        <v>8068</v>
      </c>
      <c r="E8064" s="4" t="str">
        <f>HYPERLINK("https://app.crepc.sk/?fn=detailBiblioForm&amp;sid=F91B27064E1B8768257A4CEFF1")</f>
        <v>https://app.crepc.sk/?fn=detailBiblioForm&amp;sid=F91B27064E1B8768257A4CEFF1</v>
      </c>
    </row>
    <row r="8065" spans="3:5" ht="90" x14ac:dyDescent="0.25">
      <c r="C8065" s="15">
        <v>211594</v>
      </c>
      <c r="D8065" s="4" t="s">
        <v>8069</v>
      </c>
      <c r="E8065" s="4" t="str">
        <f>HYPERLINK("https://app.crepc.sk/?fn=detailBiblioForm&amp;sid=D6132714D64CD717DC872C425E")</f>
        <v>https://app.crepc.sk/?fn=detailBiblioForm&amp;sid=D6132714D64CD717DC872C425E</v>
      </c>
    </row>
    <row r="8066" spans="3:5" ht="105" x14ac:dyDescent="0.25">
      <c r="C8066" s="15">
        <v>222992</v>
      </c>
      <c r="D8066" s="4" t="s">
        <v>8070</v>
      </c>
      <c r="E8066" s="4" t="str">
        <f>HYPERLINK("https://app.crepc.sk/?fn=detailBiblioForm&amp;sid=3EB214094647B864FF54E070FE")</f>
        <v>https://app.crepc.sk/?fn=detailBiblioForm&amp;sid=3EB214094647B864FF54E070FE</v>
      </c>
    </row>
    <row r="8067" spans="3:5" ht="75" x14ac:dyDescent="0.25">
      <c r="C8067" s="15">
        <v>218627</v>
      </c>
      <c r="D8067" s="4" t="s">
        <v>8071</v>
      </c>
      <c r="E8067" s="4" t="str">
        <f>HYPERLINK("https://app.crepc.sk/?fn=detailBiblioForm&amp;sid=74446F55A9349C991BD30AA1D3")</f>
        <v>https://app.crepc.sk/?fn=detailBiblioForm&amp;sid=74446F55A9349C991BD30AA1D3</v>
      </c>
    </row>
    <row r="8068" spans="3:5" ht="45" x14ac:dyDescent="0.25">
      <c r="C8068" s="15">
        <v>195170</v>
      </c>
      <c r="D8068" s="4" t="s">
        <v>8072</v>
      </c>
      <c r="E8068" s="4" t="str">
        <f>HYPERLINK("https://app.crepc.sk/?fn=detailBiblioForm&amp;sid=2AEBF607EAD1F9A01089225A25")</f>
        <v>https://app.crepc.sk/?fn=detailBiblioForm&amp;sid=2AEBF607EAD1F9A01089225A25</v>
      </c>
    </row>
    <row r="8069" spans="3:5" ht="75" x14ac:dyDescent="0.25">
      <c r="C8069" s="15">
        <v>119491</v>
      </c>
      <c r="D8069" s="4" t="s">
        <v>8073</v>
      </c>
      <c r="E8069" s="4" t="str">
        <f>HYPERLINK("https://app.crepc.sk/?fn=detailBiblioForm&amp;sid=F36B9AAD60772977FE524FEDDA")</f>
        <v>https://app.crepc.sk/?fn=detailBiblioForm&amp;sid=F36B9AAD60772977FE524FEDDA</v>
      </c>
    </row>
    <row r="8070" spans="3:5" ht="75" x14ac:dyDescent="0.25">
      <c r="C8070" s="15">
        <v>206509</v>
      </c>
      <c r="D8070" s="4" t="s">
        <v>8074</v>
      </c>
      <c r="E8070" s="4" t="str">
        <f>HYPERLINK("https://app.crepc.sk/?fn=detailBiblioForm&amp;sid=B40681A0D6A7C80C3AE19B741B")</f>
        <v>https://app.crepc.sk/?fn=detailBiblioForm&amp;sid=B40681A0D6A7C80C3AE19B741B</v>
      </c>
    </row>
    <row r="8071" spans="3:5" ht="60" x14ac:dyDescent="0.25">
      <c r="C8071" s="15">
        <v>98214</v>
      </c>
      <c r="D8071" s="4" t="s">
        <v>8075</v>
      </c>
      <c r="E8071" s="4" t="str">
        <f>HYPERLINK("https://app.crepc.sk/?fn=detailBiblioForm&amp;sid=D368EDEC04DA62B8C0225FA0")</f>
        <v>https://app.crepc.sk/?fn=detailBiblioForm&amp;sid=D368EDEC04DA62B8C0225FA0</v>
      </c>
    </row>
    <row r="8072" spans="3:5" ht="75" x14ac:dyDescent="0.25">
      <c r="C8072" s="15">
        <v>229852</v>
      </c>
      <c r="D8072" s="4" t="s">
        <v>8076</v>
      </c>
      <c r="E8072" s="4" t="str">
        <f>HYPERLINK("https://app.crepc.sk/?fn=detailBiblioForm&amp;sid=3EB293E291071F59830289FBD2")</f>
        <v>https://app.crepc.sk/?fn=detailBiblioForm&amp;sid=3EB293E291071F59830289FBD2</v>
      </c>
    </row>
    <row r="8073" spans="3:5" ht="60" x14ac:dyDescent="0.25">
      <c r="C8073" s="15">
        <v>98212</v>
      </c>
      <c r="D8073" s="4" t="s">
        <v>8077</v>
      </c>
      <c r="E8073" s="4" t="str">
        <f>HYPERLINK("https://app.crepc.sk/?fn=detailBiblioForm&amp;sid=D368EDEC04DA62B8C6225FA0")</f>
        <v>https://app.crepc.sk/?fn=detailBiblioForm&amp;sid=D368EDEC04DA62B8C6225FA0</v>
      </c>
    </row>
    <row r="8074" spans="3:5" ht="90" x14ac:dyDescent="0.25">
      <c r="C8074" s="15">
        <v>231165</v>
      </c>
      <c r="D8074" s="4" t="s">
        <v>8078</v>
      </c>
      <c r="E8074" s="4" t="str">
        <f>HYPERLINK("https://app.crepc.sk/?fn=detailBiblioForm&amp;sid=56CD08603B3B2762513C40977B")</f>
        <v>https://app.crepc.sk/?fn=detailBiblioForm&amp;sid=56CD08603B3B2762513C40977B</v>
      </c>
    </row>
    <row r="8075" spans="3:5" ht="45" x14ac:dyDescent="0.25">
      <c r="C8075" s="15">
        <v>161849</v>
      </c>
      <c r="D8075" s="4" t="s">
        <v>8079</v>
      </c>
      <c r="E8075" s="4" t="str">
        <f>HYPERLINK("https://app.crepc.sk/?fn=detailBiblioForm&amp;sid=9F8942B94996237AAFF474E07C")</f>
        <v>https://app.crepc.sk/?fn=detailBiblioForm&amp;sid=9F8942B94996237AAFF474E07C</v>
      </c>
    </row>
    <row r="8076" spans="3:5" ht="45" x14ac:dyDescent="0.25">
      <c r="C8076" s="15">
        <v>83058</v>
      </c>
      <c r="D8076" s="4" t="s">
        <v>8080</v>
      </c>
      <c r="E8076" s="4" t="str">
        <f>HYPERLINK("https://app.crepc.sk/?fn=detailBiblioForm&amp;sid=D1A802A65074FC9DE61C2E2E")</f>
        <v>https://app.crepc.sk/?fn=detailBiblioForm&amp;sid=D1A802A65074FC9DE61C2E2E</v>
      </c>
    </row>
    <row r="8077" spans="3:5" ht="60" x14ac:dyDescent="0.25">
      <c r="C8077" s="15">
        <v>168814</v>
      </c>
      <c r="D8077" s="4" t="s">
        <v>8081</v>
      </c>
      <c r="E8077" s="4" t="str">
        <f>HYPERLINK("https://app.crepc.sk/?fn=detailBiblioForm&amp;sid=F11302A7F0B47C6D294775769D")</f>
        <v>https://app.crepc.sk/?fn=detailBiblioForm&amp;sid=F11302A7F0B47C6D294775769D</v>
      </c>
    </row>
    <row r="8078" spans="3:5" ht="75" x14ac:dyDescent="0.25">
      <c r="C8078" s="15">
        <v>174115</v>
      </c>
      <c r="D8078" s="4" t="s">
        <v>8082</v>
      </c>
      <c r="E8078" s="4" t="str">
        <f>HYPERLINK("https://app.crepc.sk/?fn=detailBiblioForm&amp;sid=D9F0BB0A8DA9926989A5F8C501")</f>
        <v>https://app.crepc.sk/?fn=detailBiblioForm&amp;sid=D9F0BB0A8DA9926989A5F8C501</v>
      </c>
    </row>
    <row r="8079" spans="3:5" ht="45" x14ac:dyDescent="0.25">
      <c r="C8079" s="15">
        <v>161967</v>
      </c>
      <c r="D8079" s="4" t="s">
        <v>8083</v>
      </c>
      <c r="E8079" s="4" t="str">
        <f>HYPERLINK("https://app.crepc.sk/?fn=detailBiblioForm&amp;sid=3BEC39B52C756B70CB0579B3D6")</f>
        <v>https://app.crepc.sk/?fn=detailBiblioForm&amp;sid=3BEC39B52C756B70CB0579B3D6</v>
      </c>
    </row>
    <row r="8080" spans="3:5" ht="105" x14ac:dyDescent="0.25">
      <c r="C8080" s="15">
        <v>158704</v>
      </c>
      <c r="D8080" s="4" t="s">
        <v>8084</v>
      </c>
      <c r="E8080" s="4" t="str">
        <f>HYPERLINK("https://app.crepc.sk/?fn=detailBiblioForm&amp;sid=789C37423FE7D9CF484311F536")</f>
        <v>https://app.crepc.sk/?fn=detailBiblioForm&amp;sid=789C37423FE7D9CF484311F536</v>
      </c>
    </row>
    <row r="8081" spans="1:5" ht="90" x14ac:dyDescent="0.25">
      <c r="C8081" s="15">
        <v>223379</v>
      </c>
      <c r="D8081" s="4" t="s">
        <v>8085</v>
      </c>
      <c r="E8081" s="4" t="str">
        <f>HYPERLINK("https://app.crepc.sk/?fn=detailBiblioForm&amp;sid=2A013C86CB599495C22DA03776")</f>
        <v>https://app.crepc.sk/?fn=detailBiblioForm&amp;sid=2A013C86CB599495C22DA03776</v>
      </c>
    </row>
    <row r="8082" spans="1:5" ht="45" x14ac:dyDescent="0.25">
      <c r="C8082" s="15">
        <v>246952</v>
      </c>
      <c r="D8082" s="4" t="s">
        <v>8086</v>
      </c>
      <c r="E8082" s="4" t="str">
        <f>HYPERLINK("https://app.crepc.sk/?fn=detailBiblioForm&amp;sid=513EA57B92CAC7225A36972BAF")</f>
        <v>https://app.crepc.sk/?fn=detailBiblioForm&amp;sid=513EA57B92CAC7225A36972BAF</v>
      </c>
    </row>
    <row r="8083" spans="1:5" ht="90" x14ac:dyDescent="0.25">
      <c r="C8083" s="15">
        <v>127696</v>
      </c>
      <c r="D8083" s="4" t="s">
        <v>8087</v>
      </c>
      <c r="E8083" s="4" t="str">
        <f>HYPERLINK("https://app.crepc.sk/?fn=detailBiblioForm&amp;sid=A61021784F381E68CE09E78699")</f>
        <v>https://app.crepc.sk/?fn=detailBiblioForm&amp;sid=A61021784F381E68CE09E78699</v>
      </c>
    </row>
    <row r="8084" spans="1:5" ht="75" x14ac:dyDescent="0.25">
      <c r="C8084" s="15">
        <v>227388</v>
      </c>
      <c r="D8084" s="4" t="s">
        <v>8088</v>
      </c>
      <c r="E8084" s="4" t="str">
        <f>HYPERLINK("https://app.crepc.sk/?fn=detailBiblioForm&amp;sid=6CA30878C8FDE196AB140AE199")</f>
        <v>https://app.crepc.sk/?fn=detailBiblioForm&amp;sid=6CA30878C8FDE196AB140AE199</v>
      </c>
    </row>
    <row r="8085" spans="1:5" ht="60" x14ac:dyDescent="0.25">
      <c r="C8085" s="15">
        <v>70648</v>
      </c>
      <c r="D8085" s="4" t="s">
        <v>8089</v>
      </c>
      <c r="E8085" s="4" t="str">
        <f>HYPERLINK("https://app.crepc.sk/?fn=detailBiblioForm&amp;sid=6E38B49D40DD84183EF1AD92")</f>
        <v>https://app.crepc.sk/?fn=detailBiblioForm&amp;sid=6E38B49D40DD84183EF1AD92</v>
      </c>
    </row>
    <row r="8086" spans="1:5" ht="60" x14ac:dyDescent="0.25">
      <c r="C8086" s="15">
        <v>119787</v>
      </c>
      <c r="D8086" s="4" t="s">
        <v>8090</v>
      </c>
      <c r="E8086" s="4" t="str">
        <f>HYPERLINK("https://app.crepc.sk/?fn=detailBiblioForm&amp;sid=B5D677CC38484FF05F9A3AF3C2")</f>
        <v>https://app.crepc.sk/?fn=detailBiblioForm&amp;sid=B5D677CC38484FF05F9A3AF3C2</v>
      </c>
    </row>
    <row r="8087" spans="1:5" ht="60" x14ac:dyDescent="0.25">
      <c r="C8087" s="15">
        <v>174114</v>
      </c>
      <c r="D8087" s="4" t="s">
        <v>8091</v>
      </c>
      <c r="E8087" s="4" t="str">
        <f>HYPERLINK("https://app.crepc.sk/?fn=detailBiblioForm&amp;sid=D9F0BB0A8DA9926989A4F8C501")</f>
        <v>https://app.crepc.sk/?fn=detailBiblioForm&amp;sid=D9F0BB0A8DA9926989A4F8C501</v>
      </c>
    </row>
    <row r="8088" spans="1:5" ht="30" x14ac:dyDescent="0.25">
      <c r="A8088" s="4" t="s">
        <v>8092</v>
      </c>
      <c r="B8088" s="15">
        <v>14</v>
      </c>
    </row>
    <row r="8089" spans="1:5" ht="75" x14ac:dyDescent="0.25">
      <c r="C8089" s="15">
        <v>130751</v>
      </c>
      <c r="D8089" s="4" t="s">
        <v>8093</v>
      </c>
      <c r="E8089" s="4" t="str">
        <f>HYPERLINK("https://app.crepc.sk/?fn=detailBiblioForm&amp;sid=3113E0813724FF863A7717A861")</f>
        <v>https://app.crepc.sk/?fn=detailBiblioForm&amp;sid=3113E0813724FF863A7717A861</v>
      </c>
    </row>
    <row r="8090" spans="1:5" ht="75" x14ac:dyDescent="0.25">
      <c r="C8090" s="15">
        <v>442582</v>
      </c>
      <c r="D8090" s="4" t="s">
        <v>8094</v>
      </c>
      <c r="E8090" s="4" t="str">
        <f>HYPERLINK("https://app.crepc.sk/?fn=detailBiblioForm&amp;sid=A9CFFDCBD31163D91EAEFD67B2")</f>
        <v>https://app.crepc.sk/?fn=detailBiblioForm&amp;sid=A9CFFDCBD31163D91EAEFD67B2</v>
      </c>
    </row>
    <row r="8091" spans="1:5" ht="90" x14ac:dyDescent="0.25">
      <c r="C8091" s="15">
        <v>147540</v>
      </c>
      <c r="D8091" s="4" t="s">
        <v>8095</v>
      </c>
      <c r="E8091" s="4" t="str">
        <f>HYPERLINK("https://app.crepc.sk/?fn=detailBiblioForm&amp;sid=427371B0090519B80042BF379E")</f>
        <v>https://app.crepc.sk/?fn=detailBiblioForm&amp;sid=427371B0090519B80042BF379E</v>
      </c>
    </row>
    <row r="8092" spans="1:5" ht="75" x14ac:dyDescent="0.25">
      <c r="C8092" s="15">
        <v>442588</v>
      </c>
      <c r="D8092" s="4" t="s">
        <v>8096</v>
      </c>
      <c r="E8092" s="4" t="str">
        <f>HYPERLINK("https://app.crepc.sk/?fn=detailBiblioForm&amp;sid=A9CFFDCBD31163D91EA4FD67B2")</f>
        <v>https://app.crepc.sk/?fn=detailBiblioForm&amp;sid=A9CFFDCBD31163D91EA4FD67B2</v>
      </c>
    </row>
    <row r="8093" spans="1:5" ht="60" x14ac:dyDescent="0.25">
      <c r="C8093" s="15">
        <v>127982</v>
      </c>
      <c r="D8093" s="4" t="s">
        <v>8097</v>
      </c>
      <c r="E8093" s="4" t="str">
        <f>HYPERLINK("https://app.crepc.sk/?fn=detailBiblioForm&amp;sid=24C6E28F89ED84B9256759EEF1")</f>
        <v>https://app.crepc.sk/?fn=detailBiblioForm&amp;sid=24C6E28F89ED84B9256759EEF1</v>
      </c>
    </row>
    <row r="8094" spans="1:5" ht="75" x14ac:dyDescent="0.25">
      <c r="C8094" s="15">
        <v>68336</v>
      </c>
      <c r="D8094" s="4" t="s">
        <v>8098</v>
      </c>
      <c r="E8094" s="4" t="str">
        <f>HYPERLINK("https://app.crepc.sk/?fn=detailBiblioForm&amp;sid=722920F7DB20B1BF6DA1BFCF")</f>
        <v>https://app.crepc.sk/?fn=detailBiblioForm&amp;sid=722920F7DB20B1BF6DA1BFCF</v>
      </c>
    </row>
    <row r="8095" spans="1:5" ht="60" x14ac:dyDescent="0.25">
      <c r="C8095" s="15">
        <v>450457</v>
      </c>
      <c r="D8095" s="4" t="s">
        <v>8099</v>
      </c>
      <c r="E8095" s="4" t="str">
        <f>HYPERLINK("https://app.crepc.sk/?fn=detailBiblioForm&amp;sid=5CE5487D4325501C09EA60C9E2")</f>
        <v>https://app.crepc.sk/?fn=detailBiblioForm&amp;sid=5CE5487D4325501C09EA60C9E2</v>
      </c>
    </row>
    <row r="8096" spans="1:5" ht="105" x14ac:dyDescent="0.25">
      <c r="C8096" s="15">
        <v>442586</v>
      </c>
      <c r="D8096" s="4" t="s">
        <v>8100</v>
      </c>
      <c r="E8096" s="4" t="str">
        <f>HYPERLINK("https://app.crepc.sk/?fn=detailBiblioForm&amp;sid=A9CFFDCBD31163D91EAAFD67B2")</f>
        <v>https://app.crepc.sk/?fn=detailBiblioForm&amp;sid=A9CFFDCBD31163D91EAAFD67B2</v>
      </c>
    </row>
    <row r="8097" spans="1:5" ht="75" x14ac:dyDescent="0.25">
      <c r="C8097" s="15">
        <v>86228</v>
      </c>
      <c r="D8097" s="4" t="s">
        <v>8101</v>
      </c>
      <c r="E8097" s="4" t="str">
        <f>HYPERLINK("https://app.crepc.sk/?fn=detailBiblioForm&amp;sid=4E86AFF1650D90388A0A6528")</f>
        <v>https://app.crepc.sk/?fn=detailBiblioForm&amp;sid=4E86AFF1650D90388A0A6528</v>
      </c>
    </row>
    <row r="8098" spans="1:5" ht="105" x14ac:dyDescent="0.25">
      <c r="C8098" s="15">
        <v>86211</v>
      </c>
      <c r="D8098" s="4" t="s">
        <v>8102</v>
      </c>
      <c r="E8098" s="4" t="str">
        <f>HYPERLINK("https://app.crepc.sk/?fn=detailBiblioForm&amp;sid=F999703C507CD50DA21DB3CE")</f>
        <v>https://app.crepc.sk/?fn=detailBiblioForm&amp;sid=F999703C507CD50DA21DB3CE</v>
      </c>
    </row>
    <row r="8099" spans="1:5" ht="90" x14ac:dyDescent="0.25">
      <c r="C8099" s="15">
        <v>192664</v>
      </c>
      <c r="D8099" s="4" t="s">
        <v>8103</v>
      </c>
      <c r="E8099" s="4" t="str">
        <f>HYPERLINK("https://app.crepc.sk/?fn=detailBiblioForm&amp;sid=FE69C64C5EA43A291AB60605C7")</f>
        <v>https://app.crepc.sk/?fn=detailBiblioForm&amp;sid=FE69C64C5EA43A291AB60605C7</v>
      </c>
    </row>
    <row r="8100" spans="1:5" ht="105" x14ac:dyDescent="0.25">
      <c r="C8100" s="15">
        <v>70675</v>
      </c>
      <c r="D8100" s="4" t="s">
        <v>8104</v>
      </c>
      <c r="E8100" s="4" t="str">
        <f>HYPERLINK("https://app.crepc.sk/?fn=detailBiblioForm&amp;sid=41C4C1F4880435D047941A6F")</f>
        <v>https://app.crepc.sk/?fn=detailBiblioForm&amp;sid=41C4C1F4880435D047941A6F</v>
      </c>
    </row>
    <row r="8101" spans="1:5" ht="75" x14ac:dyDescent="0.25">
      <c r="C8101" s="15">
        <v>248117</v>
      </c>
      <c r="D8101" s="4" t="s">
        <v>8105</v>
      </c>
      <c r="E8101" s="4" t="str">
        <f>HYPERLINK("https://app.crepc.sk/?fn=detailBiblioForm&amp;sid=3A587326D2DFC387D4AE29044D")</f>
        <v>https://app.crepc.sk/?fn=detailBiblioForm&amp;sid=3A587326D2DFC387D4AE29044D</v>
      </c>
    </row>
    <row r="8102" spans="1:5" ht="105" x14ac:dyDescent="0.25">
      <c r="C8102" s="15">
        <v>192648</v>
      </c>
      <c r="D8102" s="4" t="s">
        <v>8106</v>
      </c>
      <c r="E8102" s="4" t="str">
        <f>HYPERLINK("https://app.crepc.sk/?fn=detailBiblioForm&amp;sid=FE69C64C5EA43A2918BA0605C7")</f>
        <v>https://app.crepc.sk/?fn=detailBiblioForm&amp;sid=FE69C64C5EA43A2918BA0605C7</v>
      </c>
    </row>
    <row r="8103" spans="1:5" ht="30" x14ac:dyDescent="0.25">
      <c r="A8103" s="4" t="s">
        <v>8107</v>
      </c>
      <c r="B8103" s="15">
        <v>6</v>
      </c>
    </row>
    <row r="8104" spans="1:5" ht="90" x14ac:dyDescent="0.25">
      <c r="C8104" s="15">
        <v>124841</v>
      </c>
      <c r="D8104" s="4" t="s">
        <v>8108</v>
      </c>
      <c r="E8104" s="4" t="str">
        <f>HYPERLINK("https://app.crepc.sk/?fn=detailBiblioForm&amp;sid=DBBA30DD5E77A1386E34840F51")</f>
        <v>https://app.crepc.sk/?fn=detailBiblioForm&amp;sid=DBBA30DD5E77A1386E34840F51</v>
      </c>
    </row>
    <row r="8105" spans="1:5" ht="75" x14ac:dyDescent="0.25">
      <c r="C8105" s="15">
        <v>167185</v>
      </c>
      <c r="D8105" s="4" t="s">
        <v>8109</v>
      </c>
      <c r="E8105" s="4" t="str">
        <f>HYPERLINK("https://app.crepc.sk/?fn=detailBiblioForm&amp;sid=780C5DA7522A72A294F59DC9C0")</f>
        <v>https://app.crepc.sk/?fn=detailBiblioForm&amp;sid=780C5DA7522A72A294F59DC9C0</v>
      </c>
    </row>
    <row r="8106" spans="1:5" ht="60" x14ac:dyDescent="0.25">
      <c r="C8106" s="15">
        <v>424773</v>
      </c>
      <c r="D8106" s="4" t="s">
        <v>8110</v>
      </c>
      <c r="E8106" s="4" t="str">
        <f>HYPERLINK("https://app.crepc.sk/?fn=detailBiblioForm&amp;sid=43F9B6408AF690528A432D677C")</f>
        <v>https://app.crepc.sk/?fn=detailBiblioForm&amp;sid=43F9B6408AF690528A432D677C</v>
      </c>
    </row>
    <row r="8107" spans="1:5" ht="75" x14ac:dyDescent="0.25">
      <c r="C8107" s="15">
        <v>153466</v>
      </c>
      <c r="D8107" s="4" t="s">
        <v>8111</v>
      </c>
      <c r="E8107" s="4" t="str">
        <f>HYPERLINK("https://app.crepc.sk/?fn=detailBiblioForm&amp;sid=4A2276349E30FD2CA462200172")</f>
        <v>https://app.crepc.sk/?fn=detailBiblioForm&amp;sid=4A2276349E30FD2CA462200172</v>
      </c>
    </row>
    <row r="8108" spans="1:5" ht="75" x14ac:dyDescent="0.25">
      <c r="C8108" s="15">
        <v>124836</v>
      </c>
      <c r="D8108" s="4" t="s">
        <v>8112</v>
      </c>
      <c r="E8108" s="4" t="str">
        <f>HYPERLINK("https://app.crepc.sk/?fn=detailBiblioForm&amp;sid=DBBA30DD5E77A1386933840F51")</f>
        <v>https://app.crepc.sk/?fn=detailBiblioForm&amp;sid=DBBA30DD5E77A1386933840F51</v>
      </c>
    </row>
    <row r="8109" spans="1:5" ht="60" x14ac:dyDescent="0.25">
      <c r="C8109" s="15">
        <v>312211</v>
      </c>
      <c r="D8109" s="4" t="s">
        <v>8113</v>
      </c>
      <c r="E8109" s="4" t="str">
        <f>HYPERLINK("https://app.crepc.sk/?fn=detailBiblioForm&amp;sid=710241CBC6D4101CB89485ADCA")</f>
        <v>https://app.crepc.sk/?fn=detailBiblioForm&amp;sid=710241CBC6D4101CB89485ADCA</v>
      </c>
    </row>
    <row r="8110" spans="1:5" ht="45" x14ac:dyDescent="0.25">
      <c r="A8110" s="4" t="s">
        <v>8114</v>
      </c>
      <c r="B8110" s="15">
        <v>3</v>
      </c>
    </row>
    <row r="8111" spans="1:5" ht="45" x14ac:dyDescent="0.25">
      <c r="C8111" s="15">
        <v>105029</v>
      </c>
      <c r="D8111" s="4" t="s">
        <v>8115</v>
      </c>
      <c r="E8111" s="4" t="str">
        <f>HYPERLINK("https://app.crepc.sk/?fn=detailBiblioForm&amp;sid=C2EB937682BD74C1B78F796E32")</f>
        <v>https://app.crepc.sk/?fn=detailBiblioForm&amp;sid=C2EB937682BD74C1B78F796E32</v>
      </c>
    </row>
    <row r="8112" spans="1:5" ht="75" x14ac:dyDescent="0.25">
      <c r="C8112" s="15">
        <v>125658</v>
      </c>
      <c r="D8112" s="4" t="s">
        <v>8116</v>
      </c>
      <c r="E8112" s="4" t="str">
        <f>HYPERLINK("https://app.crepc.sk/?fn=detailBiblioForm&amp;sid=107B16852C902CE8986E95D686")</f>
        <v>https://app.crepc.sk/?fn=detailBiblioForm&amp;sid=107B16852C902CE8986E95D686</v>
      </c>
    </row>
    <row r="8113" spans="1:5" ht="45" x14ac:dyDescent="0.25">
      <c r="C8113" s="15">
        <v>443362</v>
      </c>
      <c r="D8113" s="4" t="s">
        <v>8117</v>
      </c>
      <c r="E8113" s="4" t="str">
        <f>HYPERLINK("https://app.crepc.sk/?fn=detailBiblioForm&amp;sid=813BEF7E26ADB522AAC4ACA00D")</f>
        <v>https://app.crepc.sk/?fn=detailBiblioForm&amp;sid=813BEF7E26ADB522AAC4ACA00D</v>
      </c>
    </row>
    <row r="8114" spans="1:5" ht="45" x14ac:dyDescent="0.25">
      <c r="A8114" s="4" t="s">
        <v>8118</v>
      </c>
      <c r="B8114" s="15">
        <v>26</v>
      </c>
    </row>
    <row r="8115" spans="1:5" ht="45" x14ac:dyDescent="0.25">
      <c r="C8115" s="15">
        <v>79136</v>
      </c>
      <c r="D8115" s="4" t="s">
        <v>8119</v>
      </c>
      <c r="E8115" s="4" t="str">
        <f>HYPERLINK("https://app.crepc.sk/?fn=detailBiblioForm&amp;sid=36CFAD9CF24C059C30E86FE7")</f>
        <v>https://app.crepc.sk/?fn=detailBiblioForm&amp;sid=36CFAD9CF24C059C30E86FE7</v>
      </c>
    </row>
    <row r="8116" spans="1:5" ht="45" x14ac:dyDescent="0.25">
      <c r="C8116" s="15">
        <v>424473</v>
      </c>
      <c r="D8116" s="4" t="s">
        <v>8120</v>
      </c>
      <c r="E8116" s="4" t="str">
        <f>HYPERLINK("https://app.crepc.sk/?fn=detailBiblioForm&amp;sid=40A350F05C48D697D82947D983")</f>
        <v>https://app.crepc.sk/?fn=detailBiblioForm&amp;sid=40A350F05C48D697D82947D983</v>
      </c>
    </row>
    <row r="8117" spans="1:5" ht="45" x14ac:dyDescent="0.25">
      <c r="C8117" s="15">
        <v>60318</v>
      </c>
      <c r="D8117" s="4" t="s">
        <v>8121</v>
      </c>
      <c r="E8117" s="4" t="str">
        <f>HYPERLINK("https://app.crepc.sk/?fn=detailBiblioForm&amp;sid=2004A9F1CCFB3410FD767B87")</f>
        <v>https://app.crepc.sk/?fn=detailBiblioForm&amp;sid=2004A9F1CCFB3410FD767B87</v>
      </c>
    </row>
    <row r="8118" spans="1:5" ht="30" x14ac:dyDescent="0.25">
      <c r="C8118" s="15">
        <v>60323</v>
      </c>
      <c r="D8118" s="4" t="s">
        <v>8122</v>
      </c>
      <c r="E8118" s="4" t="str">
        <f>HYPERLINK("https://app.crepc.sk/?fn=detailBiblioForm&amp;sid=ACE658DFA6BEEB418EF8C4FF")</f>
        <v>https://app.crepc.sk/?fn=detailBiblioForm&amp;sid=ACE658DFA6BEEB418EF8C4FF</v>
      </c>
    </row>
    <row r="8119" spans="1:5" ht="45" x14ac:dyDescent="0.25">
      <c r="C8119" s="15">
        <v>433059</v>
      </c>
      <c r="D8119" s="4" t="s">
        <v>8123</v>
      </c>
      <c r="E8119" s="4" t="str">
        <f>HYPERLINK("https://app.crepc.sk/?fn=detailBiblioForm&amp;sid=E89D8E9D2AEBAD46E604EF7675")</f>
        <v>https://app.crepc.sk/?fn=detailBiblioForm&amp;sid=E89D8E9D2AEBAD46E604EF7675</v>
      </c>
    </row>
    <row r="8120" spans="1:5" ht="45" x14ac:dyDescent="0.25">
      <c r="C8120" s="15">
        <v>126211</v>
      </c>
      <c r="D8120" s="4" t="s">
        <v>8124</v>
      </c>
      <c r="E8120" s="4" t="str">
        <f>HYPERLINK("https://app.crepc.sk/?fn=detailBiblioForm&amp;sid=8099C97397A4BA66AA3AE49D92")</f>
        <v>https://app.crepc.sk/?fn=detailBiblioForm&amp;sid=8099C97397A4BA66AA3AE49D92</v>
      </c>
    </row>
    <row r="8121" spans="1:5" ht="45" x14ac:dyDescent="0.25">
      <c r="C8121" s="15">
        <v>146000</v>
      </c>
      <c r="D8121" s="4" t="s">
        <v>8125</v>
      </c>
      <c r="E8121" s="4" t="str">
        <f>HYPERLINK("https://app.crepc.sk/?fn=detailBiblioForm&amp;sid=6F91D8ED6CD6362D902F31705F")</f>
        <v>https://app.crepc.sk/?fn=detailBiblioForm&amp;sid=6F91D8ED6CD6362D902F31705F</v>
      </c>
    </row>
    <row r="8122" spans="1:5" ht="45" x14ac:dyDescent="0.25">
      <c r="C8122" s="15">
        <v>106067</v>
      </c>
      <c r="D8122" s="4" t="s">
        <v>8126</v>
      </c>
      <c r="E8122" s="4" t="str">
        <f>HYPERLINK("https://app.crepc.sk/?fn=detailBiblioForm&amp;sid=07EF298E455E7FC50998D1B4B2")</f>
        <v>https://app.crepc.sk/?fn=detailBiblioForm&amp;sid=07EF298E455E7FC50998D1B4B2</v>
      </c>
    </row>
    <row r="8123" spans="1:5" ht="45" x14ac:dyDescent="0.25">
      <c r="C8123" s="15">
        <v>118140</v>
      </c>
      <c r="D8123" s="4" t="s">
        <v>8127</v>
      </c>
      <c r="E8123" s="4" t="str">
        <f>HYPERLINK("https://app.crepc.sk/?fn=detailBiblioForm&amp;sid=F5F9E12263A2DE48700B1B6A59")</f>
        <v>https://app.crepc.sk/?fn=detailBiblioForm&amp;sid=F5F9E12263A2DE48700B1B6A59</v>
      </c>
    </row>
    <row r="8124" spans="1:5" ht="45" x14ac:dyDescent="0.25">
      <c r="C8124" s="15">
        <v>146245</v>
      </c>
      <c r="D8124" s="4" t="s">
        <v>8128</v>
      </c>
      <c r="E8124" s="4" t="str">
        <f>HYPERLINK("https://app.crepc.sk/?fn=detailBiblioForm&amp;sid=0847CB681108BF2ACE675F0E3C")</f>
        <v>https://app.crepc.sk/?fn=detailBiblioForm&amp;sid=0847CB681108BF2ACE675F0E3C</v>
      </c>
    </row>
    <row r="8125" spans="1:5" ht="45" x14ac:dyDescent="0.25">
      <c r="C8125" s="15">
        <v>180965</v>
      </c>
      <c r="D8125" s="4" t="s">
        <v>8129</v>
      </c>
      <c r="E8125" s="4" t="str">
        <f>HYPERLINK("https://app.crepc.sk/?fn=detailBiblioForm&amp;sid=69CB3773D22D595AC084835F18")</f>
        <v>https://app.crepc.sk/?fn=detailBiblioForm&amp;sid=69CB3773D22D595AC084835F18</v>
      </c>
    </row>
    <row r="8126" spans="1:5" ht="45" x14ac:dyDescent="0.25">
      <c r="C8126" s="15">
        <v>181041</v>
      </c>
      <c r="D8126" s="4" t="s">
        <v>8130</v>
      </c>
      <c r="E8126" s="4" t="str">
        <f>HYPERLINK("https://app.crepc.sk/?fn=detailBiblioForm&amp;sid=641DE671020428D56F4D0CFE7E")</f>
        <v>https://app.crepc.sk/?fn=detailBiblioForm&amp;sid=641DE671020428D56F4D0CFE7E</v>
      </c>
    </row>
    <row r="8127" spans="1:5" ht="45" x14ac:dyDescent="0.25">
      <c r="C8127" s="15">
        <v>218418</v>
      </c>
      <c r="D8127" s="4" t="s">
        <v>8131</v>
      </c>
      <c r="E8127" s="4" t="str">
        <f>HYPERLINK("https://app.crepc.sk/?fn=detailBiblioForm&amp;sid=BFE5C12B22C0C935CBE23853B1")</f>
        <v>https://app.crepc.sk/?fn=detailBiblioForm&amp;sid=BFE5C12B22C0C935CBE23853B1</v>
      </c>
    </row>
    <row r="8128" spans="1:5" ht="30" x14ac:dyDescent="0.25">
      <c r="C8128" s="15">
        <v>97535</v>
      </c>
      <c r="D8128" s="4" t="s">
        <v>8132</v>
      </c>
      <c r="E8128" s="4" t="str">
        <f>HYPERLINK("https://app.crepc.sk/?fn=detailBiblioForm&amp;sid=057E6E723D4374EE21A4A0B6")</f>
        <v>https://app.crepc.sk/?fn=detailBiblioForm&amp;sid=057E6E723D4374EE21A4A0B6</v>
      </c>
    </row>
    <row r="8129" spans="1:5" ht="60" x14ac:dyDescent="0.25">
      <c r="C8129" s="15">
        <v>181101</v>
      </c>
      <c r="D8129" s="4" t="s">
        <v>8133</v>
      </c>
      <c r="E8129" s="4" t="str">
        <f>HYPERLINK("https://app.crepc.sk/?fn=detailBiblioForm&amp;sid=D2270EF957433A5E2D75E60F57")</f>
        <v>https://app.crepc.sk/?fn=detailBiblioForm&amp;sid=D2270EF957433A5E2D75E60F57</v>
      </c>
    </row>
    <row r="8130" spans="1:5" ht="45" x14ac:dyDescent="0.25">
      <c r="C8130" s="15">
        <v>143070</v>
      </c>
      <c r="D8130" s="4" t="s">
        <v>8134</v>
      </c>
      <c r="E8130" s="4" t="str">
        <f>HYPERLINK("https://app.crepc.sk/?fn=detailBiblioForm&amp;sid=0EA7DBD32D42EAF6EAEC224B52")</f>
        <v>https://app.crepc.sk/?fn=detailBiblioForm&amp;sid=0EA7DBD32D42EAF6EAEC224B52</v>
      </c>
    </row>
    <row r="8131" spans="1:5" ht="45" x14ac:dyDescent="0.25">
      <c r="C8131" s="15">
        <v>431261</v>
      </c>
      <c r="D8131" s="4" t="s">
        <v>8135</v>
      </c>
      <c r="E8131" s="4" t="str">
        <f>HYPERLINK("https://app.crepc.sk/?fn=detailBiblioForm&amp;sid=2EFD0E802C0D5BD55A9941F823")</f>
        <v>https://app.crepc.sk/?fn=detailBiblioForm&amp;sid=2EFD0E802C0D5BD55A9941F823</v>
      </c>
    </row>
    <row r="8132" spans="1:5" ht="60" x14ac:dyDescent="0.25">
      <c r="C8132" s="15">
        <v>78874</v>
      </c>
      <c r="D8132" s="4" t="s">
        <v>8136</v>
      </c>
      <c r="E8132" s="4" t="str">
        <f>HYPERLINK("https://app.crepc.sk/?fn=detailBiblioForm&amp;sid=FEABCA51A89E3C3A4B6F4653")</f>
        <v>https://app.crepc.sk/?fn=detailBiblioForm&amp;sid=FEABCA51A89E3C3A4B6F4653</v>
      </c>
    </row>
    <row r="8133" spans="1:5" ht="45" x14ac:dyDescent="0.25">
      <c r="C8133" s="15">
        <v>127128</v>
      </c>
      <c r="D8133" s="4" t="s">
        <v>8137</v>
      </c>
      <c r="E8133" s="4" t="str">
        <f>HYPERLINK("https://app.crepc.sk/?fn=detailBiblioForm&amp;sid=06A19284842164CC020BF5DEFB")</f>
        <v>https://app.crepc.sk/?fn=detailBiblioForm&amp;sid=06A19284842164CC020BF5DEFB</v>
      </c>
    </row>
    <row r="8134" spans="1:5" ht="45" x14ac:dyDescent="0.25">
      <c r="C8134" s="15">
        <v>84836</v>
      </c>
      <c r="D8134" s="4" t="s">
        <v>8138</v>
      </c>
      <c r="E8134" s="4" t="str">
        <f>HYPERLINK("https://app.crepc.sk/?fn=detailBiblioForm&amp;sid=110BCC5964BDC70A1767CA0E")</f>
        <v>https://app.crepc.sk/?fn=detailBiblioForm&amp;sid=110BCC5964BDC70A1767CA0E</v>
      </c>
    </row>
    <row r="8135" spans="1:5" ht="45" x14ac:dyDescent="0.25">
      <c r="C8135" s="15">
        <v>182043</v>
      </c>
      <c r="D8135" s="4" t="s">
        <v>8139</v>
      </c>
      <c r="E8135" s="4" t="str">
        <f>HYPERLINK("https://app.crepc.sk/?fn=detailBiblioForm&amp;sid=AA0D9432EF6DE826CE1377590B")</f>
        <v>https://app.crepc.sk/?fn=detailBiblioForm&amp;sid=AA0D9432EF6DE826CE1377590B</v>
      </c>
    </row>
    <row r="8136" spans="1:5" ht="45" x14ac:dyDescent="0.25">
      <c r="C8136" s="15">
        <v>54795</v>
      </c>
      <c r="D8136" s="4" t="s">
        <v>8140</v>
      </c>
      <c r="E8136" s="4" t="str">
        <f>HYPERLINK("https://app.crepc.sk/?fn=detailBiblioForm&amp;sid=8CB21BA561EC609C9333B161")</f>
        <v>https://app.crepc.sk/?fn=detailBiblioForm&amp;sid=8CB21BA561EC609C9333B161</v>
      </c>
    </row>
    <row r="8137" spans="1:5" ht="45" x14ac:dyDescent="0.25">
      <c r="C8137" s="15">
        <v>121885</v>
      </c>
      <c r="D8137" s="4" t="s">
        <v>8141</v>
      </c>
      <c r="E8137" s="4" t="str">
        <f>HYPERLINK("https://app.crepc.sk/?fn=detailBiblioForm&amp;sid=FB227A2458B7F9F418622D5E19")</f>
        <v>https://app.crepc.sk/?fn=detailBiblioForm&amp;sid=FB227A2458B7F9F418622D5E19</v>
      </c>
    </row>
    <row r="8138" spans="1:5" ht="60" x14ac:dyDescent="0.25">
      <c r="C8138" s="15">
        <v>173001</v>
      </c>
      <c r="D8138" s="4" t="s">
        <v>8142</v>
      </c>
      <c r="E8138" s="4" t="str">
        <f>HYPERLINK("https://app.crepc.sk/?fn=detailBiblioForm&amp;sid=DD4AECDD61273E16F83A9290AB")</f>
        <v>https://app.crepc.sk/?fn=detailBiblioForm&amp;sid=DD4AECDD61273E16F83A9290AB</v>
      </c>
    </row>
    <row r="8139" spans="1:5" ht="45" x14ac:dyDescent="0.25">
      <c r="C8139" s="15">
        <v>199296</v>
      </c>
      <c r="D8139" s="4" t="s">
        <v>8143</v>
      </c>
      <c r="E8139" s="4" t="str">
        <f>HYPERLINK("https://app.crepc.sk/?fn=detailBiblioForm&amp;sid=E50BF82524D57FEC311EB3F12B")</f>
        <v>https://app.crepc.sk/?fn=detailBiblioForm&amp;sid=E50BF82524D57FEC311EB3F12B</v>
      </c>
    </row>
    <row r="8140" spans="1:5" ht="45" x14ac:dyDescent="0.25">
      <c r="C8140" s="15">
        <v>317223</v>
      </c>
      <c r="D8140" s="4" t="s">
        <v>8144</v>
      </c>
      <c r="E8140" s="4" t="str">
        <f>HYPERLINK("https://app.crepc.sk/?fn=detailBiblioForm&amp;sid=04AFAD578F60ADA0F15D3128C9")</f>
        <v>https://app.crepc.sk/?fn=detailBiblioForm&amp;sid=04AFAD578F60ADA0F15D3128C9</v>
      </c>
    </row>
    <row r="8141" spans="1:5" ht="45" x14ac:dyDescent="0.25">
      <c r="A8141" s="4" t="s">
        <v>8145</v>
      </c>
      <c r="B8141" s="15">
        <v>1</v>
      </c>
    </row>
    <row r="8142" spans="1:5" ht="45" x14ac:dyDescent="0.25">
      <c r="C8142" s="15">
        <v>162385</v>
      </c>
      <c r="D8142" s="4" t="s">
        <v>8146</v>
      </c>
      <c r="E8142" s="4" t="str">
        <f>HYPERLINK("https://app.crepc.sk/?fn=detailBiblioForm&amp;sid=5379D0B7E3C25FE39C34D05CA5")</f>
        <v>https://app.crepc.sk/?fn=detailBiblioForm&amp;sid=5379D0B7E3C25FE39C34D05CA5</v>
      </c>
    </row>
    <row r="8143" spans="1:5" ht="30" x14ac:dyDescent="0.25">
      <c r="A8143" s="4" t="s">
        <v>8147</v>
      </c>
      <c r="B8143" s="15">
        <v>1</v>
      </c>
    </row>
    <row r="8144" spans="1:5" ht="75" x14ac:dyDescent="0.25">
      <c r="C8144" s="15">
        <v>194308</v>
      </c>
      <c r="D8144" s="4" t="s">
        <v>8148</v>
      </c>
      <c r="E8144" s="4" t="str">
        <f>HYPERLINK("https://app.crepc.sk/?fn=detailBiblioForm&amp;sid=81992416CA72F8A64ED6843BD5")</f>
        <v>https://app.crepc.sk/?fn=detailBiblioForm&amp;sid=81992416CA72F8A64ED6843BD5</v>
      </c>
    </row>
    <row r="8145" spans="1:5" ht="30" x14ac:dyDescent="0.25">
      <c r="A8145" s="4" t="s">
        <v>8149</v>
      </c>
      <c r="B8145" s="15">
        <v>8</v>
      </c>
    </row>
    <row r="8146" spans="1:5" ht="45" x14ac:dyDescent="0.25">
      <c r="C8146" s="15">
        <v>181049</v>
      </c>
      <c r="D8146" s="4" t="s">
        <v>8150</v>
      </c>
      <c r="E8146" s="4" t="str">
        <f>HYPERLINK("https://app.crepc.sk/?fn=detailBiblioForm&amp;sid=641DE671020428D56F450CFE7E")</f>
        <v>https://app.crepc.sk/?fn=detailBiblioForm&amp;sid=641DE671020428D56F450CFE7E</v>
      </c>
    </row>
    <row r="8147" spans="1:5" ht="45" x14ac:dyDescent="0.25">
      <c r="C8147" s="15">
        <v>436126</v>
      </c>
      <c r="D8147" s="4" t="s">
        <v>8151</v>
      </c>
      <c r="E8147" s="4" t="str">
        <f>HYPERLINK("https://app.crepc.sk/?fn=detailBiblioForm&amp;sid=F8B0ADCB0E369D199F9EF069F9")</f>
        <v>https://app.crepc.sk/?fn=detailBiblioForm&amp;sid=F8B0ADCB0E369D199F9EF069F9</v>
      </c>
    </row>
    <row r="8148" spans="1:5" ht="60" x14ac:dyDescent="0.25">
      <c r="C8148" s="15">
        <v>436108</v>
      </c>
      <c r="D8148" s="4" t="s">
        <v>8152</v>
      </c>
      <c r="E8148" s="4" t="str">
        <f>HYPERLINK("https://app.crepc.sk/?fn=detailBiblioForm&amp;sid=F8B0ADCB0E369D199D90F069F9")</f>
        <v>https://app.crepc.sk/?fn=detailBiblioForm&amp;sid=F8B0ADCB0E369D199D90F069F9</v>
      </c>
    </row>
    <row r="8149" spans="1:5" ht="60" x14ac:dyDescent="0.25">
      <c r="C8149" s="15">
        <v>436113</v>
      </c>
      <c r="D8149" s="4" t="s">
        <v>8153</v>
      </c>
      <c r="E8149" s="4" t="str">
        <f>HYPERLINK("https://app.crepc.sk/?fn=detailBiblioForm&amp;sid=F8B0ADCB0E369D199C9BF069F9")</f>
        <v>https://app.crepc.sk/?fn=detailBiblioForm&amp;sid=F8B0ADCB0E369D199C9BF069F9</v>
      </c>
    </row>
    <row r="8150" spans="1:5" ht="60" x14ac:dyDescent="0.25">
      <c r="C8150" s="15">
        <v>155577</v>
      </c>
      <c r="D8150" s="4" t="s">
        <v>8154</v>
      </c>
      <c r="E8150" s="4" t="str">
        <f>HYPERLINK("https://app.crepc.sk/?fn=detailBiblioForm&amp;sid=C5CEB0A71A9E9E69821513A9DA")</f>
        <v>https://app.crepc.sk/?fn=detailBiblioForm&amp;sid=C5CEB0A71A9E9E69821513A9DA</v>
      </c>
    </row>
    <row r="8151" spans="1:5" ht="60" x14ac:dyDescent="0.25">
      <c r="C8151" s="15">
        <v>316588</v>
      </c>
      <c r="D8151" s="4" t="s">
        <v>8155</v>
      </c>
      <c r="E8151" s="4" t="str">
        <f>HYPERLINK("https://app.crepc.sk/?fn=detailBiblioForm&amp;sid=9D4AF248C528C4A4671CFB02AD")</f>
        <v>https://app.crepc.sk/?fn=detailBiblioForm&amp;sid=9D4AF248C528C4A4671CFB02AD</v>
      </c>
    </row>
    <row r="8152" spans="1:5" ht="45" x14ac:dyDescent="0.25">
      <c r="C8152" s="15">
        <v>436116</v>
      </c>
      <c r="D8152" s="4" t="s">
        <v>8156</v>
      </c>
      <c r="E8152" s="4" t="str">
        <f>HYPERLINK("https://app.crepc.sk/?fn=detailBiblioForm&amp;sid=F8B0ADCB0E369D199C9EF069F9")</f>
        <v>https://app.crepc.sk/?fn=detailBiblioForm&amp;sid=F8B0ADCB0E369D199C9EF069F9</v>
      </c>
    </row>
    <row r="8153" spans="1:5" ht="45" x14ac:dyDescent="0.25">
      <c r="C8153" s="15">
        <v>436095</v>
      </c>
      <c r="D8153" s="4" t="s">
        <v>8157</v>
      </c>
      <c r="E8153" s="4" t="str">
        <f>HYPERLINK("https://app.crepc.sk/?fn=detailBiblioForm&amp;sid=0D8840D8555AF42F4D876A8F01")</f>
        <v>https://app.crepc.sk/?fn=detailBiblioForm&amp;sid=0D8840D8555AF42F4D876A8F01</v>
      </c>
    </row>
    <row r="8154" spans="1:5" ht="30" x14ac:dyDescent="0.25">
      <c r="A8154" s="4" t="s">
        <v>8158</v>
      </c>
      <c r="B8154" s="15">
        <v>19</v>
      </c>
    </row>
    <row r="8155" spans="1:5" ht="60" x14ac:dyDescent="0.25">
      <c r="C8155" s="15">
        <v>120338</v>
      </c>
      <c r="D8155" s="4" t="s">
        <v>8159</v>
      </c>
      <c r="E8155" s="4" t="str">
        <f>HYPERLINK("https://app.crepc.sk/?fn=detailBiblioForm&amp;sid=7C8EC80C674BD33D47A56DBADF")</f>
        <v>https://app.crepc.sk/?fn=detailBiblioForm&amp;sid=7C8EC80C674BD33D47A56DBADF</v>
      </c>
    </row>
    <row r="8156" spans="1:5" ht="45" x14ac:dyDescent="0.25">
      <c r="C8156" s="15">
        <v>436107</v>
      </c>
      <c r="D8156" s="4" t="s">
        <v>8160</v>
      </c>
      <c r="E8156" s="4" t="str">
        <f>HYPERLINK("https://app.crepc.sk/?fn=detailBiblioForm&amp;sid=F8B0ADCB0E369D199D9FF069F9")</f>
        <v>https://app.crepc.sk/?fn=detailBiblioForm&amp;sid=F8B0ADCB0E369D199D9FF069F9</v>
      </c>
    </row>
    <row r="8157" spans="1:5" ht="45" x14ac:dyDescent="0.25">
      <c r="C8157" s="15">
        <v>455052</v>
      </c>
      <c r="D8157" s="4" t="s">
        <v>8161</v>
      </c>
      <c r="E8157" s="4" t="str">
        <f>HYPERLINK("https://app.crepc.sk/?fn=detailBiblioForm&amp;sid=562995EB7BC3596D00F835721D")</f>
        <v>https://app.crepc.sk/?fn=detailBiblioForm&amp;sid=562995EB7BC3596D00F835721D</v>
      </c>
    </row>
    <row r="8158" spans="1:5" ht="45" x14ac:dyDescent="0.25">
      <c r="C8158" s="15">
        <v>57850</v>
      </c>
      <c r="D8158" s="4" t="s">
        <v>8162</v>
      </c>
      <c r="E8158" s="4" t="str">
        <f>HYPERLINK("https://app.crepc.sk/?fn=detailBiblioForm&amp;sid=81D9224CD8329CCC16CC70D7")</f>
        <v>https://app.crepc.sk/?fn=detailBiblioForm&amp;sid=81D9224CD8329CCC16CC70D7</v>
      </c>
    </row>
    <row r="8159" spans="1:5" ht="45" x14ac:dyDescent="0.25">
      <c r="C8159" s="15">
        <v>229262</v>
      </c>
      <c r="D8159" s="4" t="s">
        <v>8163</v>
      </c>
      <c r="E8159" s="4" t="str">
        <f>HYPERLINK("https://app.crepc.sk/?fn=detailBiblioForm&amp;sid=AB455D64EDF69F772DF5569A20")</f>
        <v>https://app.crepc.sk/?fn=detailBiblioForm&amp;sid=AB455D64EDF69F772DF5569A20</v>
      </c>
    </row>
    <row r="8160" spans="1:5" ht="60" x14ac:dyDescent="0.25">
      <c r="C8160" s="15">
        <v>454350</v>
      </c>
      <c r="D8160" s="4" t="s">
        <v>8164</v>
      </c>
      <c r="E8160" s="4" t="str">
        <f>HYPERLINK("https://app.crepc.sk/?fn=detailBiblioForm&amp;sid=B6B3AD17BFB2B9980EA6DFD0C1")</f>
        <v>https://app.crepc.sk/?fn=detailBiblioForm&amp;sid=B6B3AD17BFB2B9980EA6DFD0C1</v>
      </c>
    </row>
    <row r="8161" spans="1:5" ht="45" x14ac:dyDescent="0.25">
      <c r="C8161" s="15">
        <v>167228</v>
      </c>
      <c r="D8161" s="4" t="s">
        <v>8165</v>
      </c>
      <c r="E8161" s="4" t="str">
        <f>HYPERLINK("https://app.crepc.sk/?fn=detailBiblioForm&amp;sid=D028D1829C892C28C12DC3551B")</f>
        <v>https://app.crepc.sk/?fn=detailBiblioForm&amp;sid=D028D1829C892C28C12DC3551B</v>
      </c>
    </row>
    <row r="8162" spans="1:5" ht="45" x14ac:dyDescent="0.25">
      <c r="C8162" s="15">
        <v>453626</v>
      </c>
      <c r="D8162" s="4" t="s">
        <v>8166</v>
      </c>
      <c r="E8162" s="4" t="str">
        <f>HYPERLINK("https://app.crepc.sk/?fn=detailBiblioForm&amp;sid=137952DF015BC625DD32D8D3CA")</f>
        <v>https://app.crepc.sk/?fn=detailBiblioForm&amp;sid=137952DF015BC625DD32D8D3CA</v>
      </c>
    </row>
    <row r="8163" spans="1:5" ht="45" x14ac:dyDescent="0.25">
      <c r="C8163" s="15">
        <v>424655</v>
      </c>
      <c r="D8163" s="4" t="s">
        <v>8167</v>
      </c>
      <c r="E8163" s="4" t="str">
        <f>HYPERLINK("https://app.crepc.sk/?fn=detailBiblioForm&amp;sid=CC1B3F91A32071DE4CD1F9FB02")</f>
        <v>https://app.crepc.sk/?fn=detailBiblioForm&amp;sid=CC1B3F91A32071DE4CD1F9FB02</v>
      </c>
    </row>
    <row r="8164" spans="1:5" ht="45" x14ac:dyDescent="0.25">
      <c r="C8164" s="15">
        <v>111582</v>
      </c>
      <c r="D8164" s="4" t="s">
        <v>8168</v>
      </c>
      <c r="E8164" s="4" t="str">
        <f>HYPERLINK("https://app.crepc.sk/?fn=detailBiblioForm&amp;sid=2C59A918B2DCB0BD70F32F71B2")</f>
        <v>https://app.crepc.sk/?fn=detailBiblioForm&amp;sid=2C59A918B2DCB0BD70F32F71B2</v>
      </c>
    </row>
    <row r="8165" spans="1:5" ht="45" x14ac:dyDescent="0.25">
      <c r="C8165" s="15">
        <v>304626</v>
      </c>
      <c r="D8165" s="4" t="s">
        <v>8169</v>
      </c>
      <c r="E8165" s="4" t="str">
        <f>HYPERLINK("https://app.crepc.sk/?fn=detailBiblioForm&amp;sid=C9884AA49470EF612ABF11B2CB")</f>
        <v>https://app.crepc.sk/?fn=detailBiblioForm&amp;sid=C9884AA49470EF612ABF11B2CB</v>
      </c>
    </row>
    <row r="8166" spans="1:5" ht="45" x14ac:dyDescent="0.25">
      <c r="C8166" s="15">
        <v>82731</v>
      </c>
      <c r="D8166" s="4" t="s">
        <v>8170</v>
      </c>
      <c r="E8166" s="4" t="str">
        <f>HYPERLINK("https://app.crepc.sk/?fn=detailBiblioForm&amp;sid=2AB89A27F58F76211D89BB94")</f>
        <v>https://app.crepc.sk/?fn=detailBiblioForm&amp;sid=2AB89A27F58F76211D89BB94</v>
      </c>
    </row>
    <row r="8167" spans="1:5" ht="45" x14ac:dyDescent="0.25">
      <c r="C8167" s="15">
        <v>208802</v>
      </c>
      <c r="D8167" s="4" t="s">
        <v>8171</v>
      </c>
      <c r="E8167" s="4" t="str">
        <f>HYPERLINK("https://app.crepc.sk/?fn=detailBiblioForm&amp;sid=8709A00DECECE1CBA04445B0F2")</f>
        <v>https://app.crepc.sk/?fn=detailBiblioForm&amp;sid=8709A00DECECE1CBA04445B0F2</v>
      </c>
    </row>
    <row r="8168" spans="1:5" ht="45" x14ac:dyDescent="0.25">
      <c r="C8168" s="15">
        <v>70305</v>
      </c>
      <c r="D8168" s="4" t="s">
        <v>8172</v>
      </c>
      <c r="E8168" s="4" t="str">
        <f>HYPERLINK("https://app.crepc.sk/?fn=detailBiblioForm&amp;sid=189DCAC06E68907EE1E17916")</f>
        <v>https://app.crepc.sk/?fn=detailBiblioForm&amp;sid=189DCAC06E68907EE1E17916</v>
      </c>
    </row>
    <row r="8169" spans="1:5" ht="45" x14ac:dyDescent="0.25">
      <c r="C8169" s="15">
        <v>436100</v>
      </c>
      <c r="D8169" s="4" t="s">
        <v>8173</v>
      </c>
      <c r="E8169" s="4" t="str">
        <f>HYPERLINK("https://app.crepc.sk/?fn=detailBiblioForm&amp;sid=F8B0ADCB0E369D199D98F069F9")</f>
        <v>https://app.crepc.sk/?fn=detailBiblioForm&amp;sid=F8B0ADCB0E369D199D98F069F9</v>
      </c>
    </row>
    <row r="8170" spans="1:5" ht="45" x14ac:dyDescent="0.25">
      <c r="C8170" s="15">
        <v>55957</v>
      </c>
      <c r="D8170" s="4" t="s">
        <v>8174</v>
      </c>
      <c r="E8170" s="4" t="str">
        <f>HYPERLINK("https://app.crepc.sk/?fn=detailBiblioForm&amp;sid=F52090AFBC2F38AB840E0338")</f>
        <v>https://app.crepc.sk/?fn=detailBiblioForm&amp;sid=F52090AFBC2F38AB840E0338</v>
      </c>
    </row>
    <row r="8171" spans="1:5" ht="45" x14ac:dyDescent="0.25">
      <c r="C8171" s="15">
        <v>79216</v>
      </c>
      <c r="D8171" s="4" t="s">
        <v>8175</v>
      </c>
      <c r="E8171" s="4" t="str">
        <f>HYPERLINK("https://app.crepc.sk/?fn=detailBiblioForm&amp;sid=7F2B1409501C3468D59506A5")</f>
        <v>https://app.crepc.sk/?fn=detailBiblioForm&amp;sid=7F2B1409501C3468D59506A5</v>
      </c>
    </row>
    <row r="8172" spans="1:5" ht="45" x14ac:dyDescent="0.25">
      <c r="C8172" s="15">
        <v>436110</v>
      </c>
      <c r="D8172" s="4" t="s">
        <v>8176</v>
      </c>
      <c r="E8172" s="4" t="str">
        <f>HYPERLINK("https://app.crepc.sk/?fn=detailBiblioForm&amp;sid=F8B0ADCB0E369D199C98F069F9")</f>
        <v>https://app.crepc.sk/?fn=detailBiblioForm&amp;sid=F8B0ADCB0E369D199C98F069F9</v>
      </c>
    </row>
    <row r="8173" spans="1:5" ht="45" x14ac:dyDescent="0.25">
      <c r="C8173" s="15">
        <v>82715</v>
      </c>
      <c r="D8173" s="4" t="s">
        <v>8177</v>
      </c>
      <c r="E8173" s="4" t="str">
        <f>HYPERLINK("https://app.crepc.sk/?fn=detailBiblioForm&amp;sid=28CD4A1B8569C02AAA7404FE")</f>
        <v>https://app.crepc.sk/?fn=detailBiblioForm&amp;sid=28CD4A1B8569C02AAA7404FE</v>
      </c>
    </row>
    <row r="8174" spans="1:5" ht="45" x14ac:dyDescent="0.25">
      <c r="A8174" s="4" t="s">
        <v>8178</v>
      </c>
      <c r="B8174" s="15">
        <v>1</v>
      </c>
    </row>
    <row r="8175" spans="1:5" ht="45" x14ac:dyDescent="0.25">
      <c r="C8175" s="15">
        <v>167483</v>
      </c>
      <c r="D8175" s="4" t="s">
        <v>8179</v>
      </c>
      <c r="E8175" s="4" t="str">
        <f>HYPERLINK("https://app.crepc.sk/?fn=detailBiblioForm&amp;sid=5C1288C836E60822DCE4CB6202")</f>
        <v>https://app.crepc.sk/?fn=detailBiblioForm&amp;sid=5C1288C836E60822DCE4CB6202</v>
      </c>
    </row>
    <row r="8176" spans="1:5" ht="45" x14ac:dyDescent="0.25">
      <c r="A8176" s="4" t="s">
        <v>8180</v>
      </c>
      <c r="B8176" s="15">
        <v>5</v>
      </c>
    </row>
    <row r="8177" spans="1:5" ht="45" x14ac:dyDescent="0.25">
      <c r="C8177" s="15">
        <v>145077</v>
      </c>
      <c r="D8177" s="4" t="s">
        <v>8181</v>
      </c>
      <c r="E8177" s="4" t="str">
        <f>HYPERLINK("https://app.crepc.sk/?fn=detailBiblioForm&amp;sid=A067BA41CFE566E7B2857B2D76")</f>
        <v>https://app.crepc.sk/?fn=detailBiblioForm&amp;sid=A067BA41CFE566E7B2857B2D76</v>
      </c>
    </row>
    <row r="8178" spans="1:5" ht="60" x14ac:dyDescent="0.25">
      <c r="C8178" s="15">
        <v>154519</v>
      </c>
      <c r="D8178" s="4" t="s">
        <v>8182</v>
      </c>
      <c r="E8178" s="4" t="str">
        <f>HYPERLINK("https://app.crepc.sk/?fn=detailBiblioForm&amp;sid=7CD47704C688C3C83259859C4A")</f>
        <v>https://app.crepc.sk/?fn=detailBiblioForm&amp;sid=7CD47704C688C3C83259859C4A</v>
      </c>
    </row>
    <row r="8179" spans="1:5" ht="45" x14ac:dyDescent="0.25">
      <c r="C8179" s="15">
        <v>145073</v>
      </c>
      <c r="D8179" s="4" t="s">
        <v>8183</v>
      </c>
      <c r="E8179" s="4" t="str">
        <f>HYPERLINK("https://app.crepc.sk/?fn=detailBiblioForm&amp;sid=A067BA41CFE566E7B2817B2D76")</f>
        <v>https://app.crepc.sk/?fn=detailBiblioForm&amp;sid=A067BA41CFE566E7B2817B2D76</v>
      </c>
    </row>
    <row r="8180" spans="1:5" ht="45" x14ac:dyDescent="0.25">
      <c r="C8180" s="15">
        <v>84833</v>
      </c>
      <c r="D8180" s="4" t="s">
        <v>8184</v>
      </c>
      <c r="E8180" s="4" t="str">
        <f>HYPERLINK("https://app.crepc.sk/?fn=detailBiblioForm&amp;sid=110BCC5964BDC70A1267CA0E")</f>
        <v>https://app.crepc.sk/?fn=detailBiblioForm&amp;sid=110BCC5964BDC70A1267CA0E</v>
      </c>
    </row>
    <row r="8181" spans="1:5" ht="45" x14ac:dyDescent="0.25">
      <c r="C8181" s="15">
        <v>145076</v>
      </c>
      <c r="D8181" s="4" t="s">
        <v>8185</v>
      </c>
      <c r="E8181" s="4" t="str">
        <f>HYPERLINK("https://app.crepc.sk/?fn=detailBiblioForm&amp;sid=A067BA41CFE566E7B2847B2D76")</f>
        <v>https://app.crepc.sk/?fn=detailBiblioForm&amp;sid=A067BA41CFE566E7B2847B2D76</v>
      </c>
    </row>
    <row r="8182" spans="1:5" ht="30" x14ac:dyDescent="0.25">
      <c r="A8182" s="4" t="s">
        <v>8186</v>
      </c>
      <c r="B8182" s="15">
        <v>1</v>
      </c>
    </row>
    <row r="8183" spans="1:5" ht="45" x14ac:dyDescent="0.25">
      <c r="C8183" s="15">
        <v>222818</v>
      </c>
      <c r="D8183" s="4" t="s">
        <v>8187</v>
      </c>
      <c r="E8183" s="4" t="str">
        <f>HYPERLINK("https://app.crepc.sk/?fn=detailBiblioForm&amp;sid=4EEF90BDD7F9C5024DE18C04B9")</f>
        <v>https://app.crepc.sk/?fn=detailBiblioForm&amp;sid=4EEF90BDD7F9C5024DE18C04B9</v>
      </c>
    </row>
    <row r="8184" spans="1:5" x14ac:dyDescent="0.25">
      <c r="A8184" s="4" t="s">
        <v>8188</v>
      </c>
      <c r="B8184" s="15">
        <v>13</v>
      </c>
    </row>
    <row r="8185" spans="1:5" ht="45" x14ac:dyDescent="0.25">
      <c r="C8185" s="15">
        <v>453074</v>
      </c>
      <c r="D8185" s="4" t="s">
        <v>8189</v>
      </c>
      <c r="E8185" s="4" t="str">
        <f>HYPERLINK("https://app.crepc.sk/?fn=detailBiblioForm&amp;sid=90B576D58506C04E51C1820491")</f>
        <v>https://app.crepc.sk/?fn=detailBiblioForm&amp;sid=90B576D58506C04E51C1820491</v>
      </c>
    </row>
    <row r="8186" spans="1:5" ht="45" x14ac:dyDescent="0.25">
      <c r="C8186" s="15">
        <v>244703</v>
      </c>
      <c r="D8186" s="4" t="s">
        <v>8190</v>
      </c>
      <c r="E8186" s="4" t="str">
        <f>HYPERLINK("https://app.crepc.sk/?fn=detailBiblioForm&amp;sid=C5430B75513C4E7F20FCE1F354")</f>
        <v>https://app.crepc.sk/?fn=detailBiblioForm&amp;sid=C5430B75513C4E7F20FCE1F354</v>
      </c>
    </row>
    <row r="8187" spans="1:5" ht="45" x14ac:dyDescent="0.25">
      <c r="C8187" s="15">
        <v>442307</v>
      </c>
      <c r="D8187" s="4" t="s">
        <v>8191</v>
      </c>
      <c r="E8187" s="4" t="str">
        <f>HYPERLINK("https://app.crepc.sk/?fn=detailBiblioForm&amp;sid=F661DE2421DD595D54CA62841D")</f>
        <v>https://app.crepc.sk/?fn=detailBiblioForm&amp;sid=F661DE2421DD595D54CA62841D</v>
      </c>
    </row>
    <row r="8188" spans="1:5" ht="45" x14ac:dyDescent="0.25">
      <c r="C8188" s="15">
        <v>118507</v>
      </c>
      <c r="D8188" s="4" t="s">
        <v>8192</v>
      </c>
      <c r="E8188" s="4" t="str">
        <f>HYPERLINK("https://app.crepc.sk/?fn=detailBiblioForm&amp;sid=5E5121F04DA708F8C3C478AA89")</f>
        <v>https://app.crepc.sk/?fn=detailBiblioForm&amp;sid=5E5121F04DA708F8C3C478AA89</v>
      </c>
    </row>
    <row r="8189" spans="1:5" ht="45" x14ac:dyDescent="0.25">
      <c r="C8189" s="15">
        <v>191332</v>
      </c>
      <c r="D8189" s="4" t="s">
        <v>8193</v>
      </c>
      <c r="E8189" s="4" t="str">
        <f>HYPERLINK("https://app.crepc.sk/?fn=detailBiblioForm&amp;sid=36AF35A93DA567BB075DC89854")</f>
        <v>https://app.crepc.sk/?fn=detailBiblioForm&amp;sid=36AF35A93DA567BB075DC89854</v>
      </c>
    </row>
    <row r="8190" spans="1:5" ht="45" x14ac:dyDescent="0.25">
      <c r="C8190" s="15">
        <v>117886</v>
      </c>
      <c r="D8190" s="4" t="s">
        <v>8194</v>
      </c>
      <c r="E8190" s="4" t="str">
        <f>HYPERLINK("https://app.crepc.sk/?fn=detailBiblioForm&amp;sid=CABE63230C4296FD106F41B36E")</f>
        <v>https://app.crepc.sk/?fn=detailBiblioForm&amp;sid=CABE63230C4296FD106F41B36E</v>
      </c>
    </row>
    <row r="8191" spans="1:5" ht="45" x14ac:dyDescent="0.25">
      <c r="C8191" s="15">
        <v>441855</v>
      </c>
      <c r="D8191" s="4" t="s">
        <v>8195</v>
      </c>
      <c r="E8191" s="4" t="str">
        <f>HYPERLINK("https://app.crepc.sk/?fn=detailBiblioForm&amp;sid=AE470135EEA362314CDFB5CD43")</f>
        <v>https://app.crepc.sk/?fn=detailBiblioForm&amp;sid=AE470135EEA362314CDFB5CD43</v>
      </c>
    </row>
    <row r="8192" spans="1:5" ht="45" x14ac:dyDescent="0.25">
      <c r="C8192" s="15">
        <v>179248</v>
      </c>
      <c r="D8192" s="4" t="s">
        <v>8196</v>
      </c>
      <c r="E8192" s="4" t="str">
        <f>HYPERLINK("https://app.crepc.sk/?fn=detailBiblioForm&amp;sid=4B1C4D75B6D4960DF9AF69EC63")</f>
        <v>https://app.crepc.sk/?fn=detailBiblioForm&amp;sid=4B1C4D75B6D4960DF9AF69EC63</v>
      </c>
    </row>
    <row r="8193" spans="1:5" ht="45" x14ac:dyDescent="0.25">
      <c r="C8193" s="15">
        <v>257028</v>
      </c>
      <c r="D8193" s="4" t="s">
        <v>8197</v>
      </c>
      <c r="E8193" s="4" t="str">
        <f>HYPERLINK("https://app.crepc.sk/?fn=detailBiblioForm&amp;sid=C7ED7FF9E36E0CD4153341A151")</f>
        <v>https://app.crepc.sk/?fn=detailBiblioForm&amp;sid=C7ED7FF9E36E0CD4153341A151</v>
      </c>
    </row>
    <row r="8194" spans="1:5" ht="45" x14ac:dyDescent="0.25">
      <c r="C8194" s="15">
        <v>444690</v>
      </c>
      <c r="D8194" s="4" t="s">
        <v>8198</v>
      </c>
      <c r="E8194" s="4" t="str">
        <f>HYPERLINK("https://app.crepc.sk/?fn=detailBiblioForm&amp;sid=A022A41D6D193BB220EF2A8B60")</f>
        <v>https://app.crepc.sk/?fn=detailBiblioForm&amp;sid=A022A41D6D193BB220EF2A8B60</v>
      </c>
    </row>
    <row r="8195" spans="1:5" ht="45" x14ac:dyDescent="0.25">
      <c r="C8195" s="15">
        <v>415813</v>
      </c>
      <c r="D8195" s="4" t="s">
        <v>8199</v>
      </c>
      <c r="E8195" s="4" t="str">
        <f>HYPERLINK("https://app.crepc.sk/?fn=detailBiblioForm&amp;sid=891DCCC3F171D8A714BDE1DB34")</f>
        <v>https://app.crepc.sk/?fn=detailBiblioForm&amp;sid=891DCCC3F171D8A714BDE1DB34</v>
      </c>
    </row>
    <row r="8196" spans="1:5" ht="30" x14ac:dyDescent="0.25">
      <c r="C8196" s="15">
        <v>51274</v>
      </c>
      <c r="D8196" s="4" t="s">
        <v>8200</v>
      </c>
      <c r="E8196" s="4" t="str">
        <f>HYPERLINK("https://app.crepc.sk/?fn=detailBiblioForm&amp;sid=AB90D1484F35CB78639503B3")</f>
        <v>https://app.crepc.sk/?fn=detailBiblioForm&amp;sid=AB90D1484F35CB78639503B3</v>
      </c>
    </row>
    <row r="8197" spans="1:5" ht="45" x14ac:dyDescent="0.25">
      <c r="C8197" s="15">
        <v>95271</v>
      </c>
      <c r="D8197" s="4" t="s">
        <v>8201</v>
      </c>
      <c r="E8197" s="4" t="str">
        <f>HYPERLINK("https://app.crepc.sk/?fn=detailBiblioForm&amp;sid=CC67E2912590917568CB24E0")</f>
        <v>https://app.crepc.sk/?fn=detailBiblioForm&amp;sid=CC67E2912590917568CB24E0</v>
      </c>
    </row>
    <row r="8198" spans="1:5" x14ac:dyDescent="0.25">
      <c r="A8198" s="4" t="s">
        <v>8202</v>
      </c>
      <c r="B8198" s="15">
        <v>1</v>
      </c>
    </row>
    <row r="8199" spans="1:5" ht="45" x14ac:dyDescent="0.25">
      <c r="C8199" s="15">
        <v>88147</v>
      </c>
      <c r="D8199" s="4" t="s">
        <v>8203</v>
      </c>
      <c r="E8199" s="4" t="str">
        <f>HYPERLINK("https://app.crepc.sk/?fn=detailBiblioForm&amp;sid=44F7E76B8AF9964BCD419F63")</f>
        <v>https://app.crepc.sk/?fn=detailBiblioForm&amp;sid=44F7E76B8AF9964BCD419F63</v>
      </c>
    </row>
    <row r="8200" spans="1:5" x14ac:dyDescent="0.25">
      <c r="A8200" s="4" t="s">
        <v>8204</v>
      </c>
      <c r="B8200" s="15">
        <v>12</v>
      </c>
    </row>
    <row r="8201" spans="1:5" ht="45" x14ac:dyDescent="0.25">
      <c r="C8201" s="15">
        <v>136034</v>
      </c>
      <c r="D8201" s="4" t="s">
        <v>8205</v>
      </c>
      <c r="E8201" s="4" t="str">
        <f>HYPERLINK("https://app.crepc.sk/?fn=detailBiblioForm&amp;sid=FF3F620FA7CAEDC5791FCB9CA6")</f>
        <v>https://app.crepc.sk/?fn=detailBiblioForm&amp;sid=FF3F620FA7CAEDC5791FCB9CA6</v>
      </c>
    </row>
    <row r="8202" spans="1:5" ht="45" x14ac:dyDescent="0.25">
      <c r="C8202" s="15">
        <v>86866</v>
      </c>
      <c r="D8202" s="4" t="s">
        <v>8206</v>
      </c>
      <c r="E8202" s="4" t="str">
        <f>HYPERLINK("https://app.crepc.sk/?fn=detailBiblioForm&amp;sid=EF896F5CAA621E5980881BD5")</f>
        <v>https://app.crepc.sk/?fn=detailBiblioForm&amp;sid=EF896F5CAA621E5980881BD5</v>
      </c>
    </row>
    <row r="8203" spans="1:5" ht="30" x14ac:dyDescent="0.25">
      <c r="C8203" s="15">
        <v>76931</v>
      </c>
      <c r="D8203" s="4" t="s">
        <v>8207</v>
      </c>
      <c r="E8203" s="4" t="str">
        <f>HYPERLINK("https://app.crepc.sk/?fn=detailBiblioForm&amp;sid=6F80B7485FF0C60EB689C541")</f>
        <v>https://app.crepc.sk/?fn=detailBiblioForm&amp;sid=6F80B7485FF0C60EB689C541</v>
      </c>
    </row>
    <row r="8204" spans="1:5" ht="45" x14ac:dyDescent="0.25">
      <c r="C8204" s="15">
        <v>71013</v>
      </c>
      <c r="D8204" s="4" t="s">
        <v>1417</v>
      </c>
      <c r="E8204" s="4" t="str">
        <f>HYPERLINK("https://app.crepc.sk/?fn=detailBiblioForm&amp;sid=945411CC2C2E7EC9A1A65081")</f>
        <v>https://app.crepc.sk/?fn=detailBiblioForm&amp;sid=945411CC2C2E7EC9A1A65081</v>
      </c>
    </row>
    <row r="8205" spans="1:5" ht="45" x14ac:dyDescent="0.25">
      <c r="C8205" s="15">
        <v>174090</v>
      </c>
      <c r="D8205" s="4" t="s">
        <v>8208</v>
      </c>
      <c r="E8205" s="4" t="str">
        <f>HYPERLINK("https://app.crepc.sk/?fn=detailBiblioForm&amp;sid=2990E1F3D3E255467085594FF3")</f>
        <v>https://app.crepc.sk/?fn=detailBiblioForm&amp;sid=2990E1F3D3E255467085594FF3</v>
      </c>
    </row>
    <row r="8206" spans="1:5" ht="45" x14ac:dyDescent="0.25">
      <c r="C8206" s="15">
        <v>241136</v>
      </c>
      <c r="D8206" s="4" t="s">
        <v>8209</v>
      </c>
      <c r="E8206" s="4" t="str">
        <f>HYPERLINK("https://app.crepc.sk/?fn=detailBiblioForm&amp;sid=65CC8B494803E9B1E7FB404186")</f>
        <v>https://app.crepc.sk/?fn=detailBiblioForm&amp;sid=65CC8B494803E9B1E7FB404186</v>
      </c>
    </row>
    <row r="8207" spans="1:5" ht="45" x14ac:dyDescent="0.25">
      <c r="C8207" s="15">
        <v>79324</v>
      </c>
      <c r="D8207" s="4" t="s">
        <v>8210</v>
      </c>
      <c r="E8207" s="4" t="str">
        <f>HYPERLINK("https://app.crepc.sk/?fn=detailBiblioForm&amp;sid=DB293A075C61E3F7B5FE776A")</f>
        <v>https://app.crepc.sk/?fn=detailBiblioForm&amp;sid=DB293A075C61E3F7B5FE776A</v>
      </c>
    </row>
    <row r="8208" spans="1:5" ht="45" x14ac:dyDescent="0.25">
      <c r="C8208" s="15">
        <v>162295</v>
      </c>
      <c r="D8208" s="4" t="s">
        <v>8211</v>
      </c>
      <c r="E8208" s="4" t="str">
        <f>HYPERLINK("https://app.crepc.sk/?fn=detailBiblioForm&amp;sid=064839694A055E9D1808D03241")</f>
        <v>https://app.crepc.sk/?fn=detailBiblioForm&amp;sid=064839694A055E9D1808D03241</v>
      </c>
    </row>
    <row r="8209" spans="1:5" ht="60" x14ac:dyDescent="0.25">
      <c r="C8209" s="15">
        <v>456743</v>
      </c>
      <c r="D8209" s="4" t="s">
        <v>8212</v>
      </c>
      <c r="E8209" s="4" t="str">
        <f>HYPERLINK("https://app.crepc.sk/?fn=detailBiblioForm&amp;sid=49D6817027AE2D8BB248CB9CEF")</f>
        <v>https://app.crepc.sk/?fn=detailBiblioForm&amp;sid=49D6817027AE2D8BB248CB9CEF</v>
      </c>
    </row>
    <row r="8210" spans="1:5" ht="60" x14ac:dyDescent="0.25">
      <c r="C8210" s="15">
        <v>456777</v>
      </c>
      <c r="D8210" s="4" t="s">
        <v>8213</v>
      </c>
      <c r="E8210" s="4" t="str">
        <f>HYPERLINK("https://app.crepc.sk/?fn=detailBiblioForm&amp;sid=49D6817027AE2D8BB14CCB9CEF")</f>
        <v>https://app.crepc.sk/?fn=detailBiblioForm&amp;sid=49D6817027AE2D8BB14CCB9CEF</v>
      </c>
    </row>
    <row r="8211" spans="1:5" ht="45" x14ac:dyDescent="0.25">
      <c r="C8211" s="15">
        <v>122177</v>
      </c>
      <c r="D8211" s="4" t="s">
        <v>8214</v>
      </c>
      <c r="E8211" s="4" t="str">
        <f>HYPERLINK("https://app.crepc.sk/?fn=detailBiblioForm&amp;sid=72C84F3CCF0D479C0A856D4DA1")</f>
        <v>https://app.crepc.sk/?fn=detailBiblioForm&amp;sid=72C84F3CCF0D479C0A856D4DA1</v>
      </c>
    </row>
    <row r="8212" spans="1:5" ht="45" x14ac:dyDescent="0.25">
      <c r="C8212" s="15">
        <v>207497</v>
      </c>
      <c r="D8212" s="4" t="s">
        <v>8215</v>
      </c>
      <c r="E8212" s="4" t="str">
        <f>HYPERLINK("https://app.crepc.sk/?fn=detailBiblioForm&amp;sid=710E036344B29395B28046F5C5")</f>
        <v>https://app.crepc.sk/?fn=detailBiblioForm&amp;sid=710E036344B29395B28046F5C5</v>
      </c>
    </row>
    <row r="8213" spans="1:5" x14ac:dyDescent="0.25">
      <c r="A8213" s="4" t="s">
        <v>8216</v>
      </c>
      <c r="B8213" s="15">
        <v>393</v>
      </c>
    </row>
    <row r="8214" spans="1:5" ht="60" x14ac:dyDescent="0.25">
      <c r="C8214" s="15">
        <v>175535</v>
      </c>
      <c r="D8214" s="4" t="s">
        <v>8217</v>
      </c>
      <c r="E8214" s="4" t="str">
        <f>HYPERLINK("https://app.crepc.sk/?fn=detailBiblioForm&amp;sid=83298E4B591633891D89B6AF32")</f>
        <v>https://app.crepc.sk/?fn=detailBiblioForm&amp;sid=83298E4B591633891D89B6AF32</v>
      </c>
    </row>
    <row r="8215" spans="1:5" ht="60" x14ac:dyDescent="0.25">
      <c r="C8215" s="15">
        <v>56486</v>
      </c>
      <c r="D8215" s="4" t="s">
        <v>8218</v>
      </c>
      <c r="E8215" s="4" t="str">
        <f>HYPERLINK("https://app.crepc.sk/?fn=detailBiblioForm&amp;sid=56A4B0A7170CE102707B0CB4")</f>
        <v>https://app.crepc.sk/?fn=detailBiblioForm&amp;sid=56A4B0A7170CE102707B0CB4</v>
      </c>
    </row>
    <row r="8216" spans="1:5" ht="60" x14ac:dyDescent="0.25">
      <c r="C8216" s="15">
        <v>147412</v>
      </c>
      <c r="D8216" s="4" t="s">
        <v>8219</v>
      </c>
      <c r="E8216" s="4" t="str">
        <f>HYPERLINK("https://app.crepc.sk/?fn=detailBiblioForm&amp;sid=CAF43C23BCEFEBA4BCCF70AAAC")</f>
        <v>https://app.crepc.sk/?fn=detailBiblioForm&amp;sid=CAF43C23BCEFEBA4BCCF70AAAC</v>
      </c>
    </row>
    <row r="8217" spans="1:5" ht="60" x14ac:dyDescent="0.25">
      <c r="C8217" s="15">
        <v>416608</v>
      </c>
      <c r="D8217" s="4" t="s">
        <v>8220</v>
      </c>
      <c r="E8217" s="4" t="str">
        <f>HYPERLINK("https://app.crepc.sk/?fn=detailBiblioForm&amp;sid=B6526AA191AAC983442885990B")</f>
        <v>https://app.crepc.sk/?fn=detailBiblioForm&amp;sid=B6526AA191AAC983442885990B</v>
      </c>
    </row>
    <row r="8218" spans="1:5" ht="45" x14ac:dyDescent="0.25">
      <c r="C8218" s="15">
        <v>245957</v>
      </c>
      <c r="D8218" s="4" t="s">
        <v>8221</v>
      </c>
      <c r="E8218" s="4" t="str">
        <f>HYPERLINK("https://app.crepc.sk/?fn=detailBiblioForm&amp;sid=B4074A4D7573537BC277B46E05")</f>
        <v>https://app.crepc.sk/?fn=detailBiblioForm&amp;sid=B4074A4D7573537BC277B46E05</v>
      </c>
    </row>
    <row r="8219" spans="1:5" ht="60" x14ac:dyDescent="0.25">
      <c r="C8219" s="15">
        <v>114662</v>
      </c>
      <c r="D8219" s="4" t="s">
        <v>8222</v>
      </c>
      <c r="E8219" s="4" t="str">
        <f>HYPERLINK("https://app.crepc.sk/?fn=detailBiblioForm&amp;sid=70CEA5B2AD3CBF0367B852444D")</f>
        <v>https://app.crepc.sk/?fn=detailBiblioForm&amp;sid=70CEA5B2AD3CBF0367B852444D</v>
      </c>
    </row>
    <row r="8220" spans="1:5" ht="75" x14ac:dyDescent="0.25">
      <c r="C8220" s="15">
        <v>199888</v>
      </c>
      <c r="D8220" s="4" t="s">
        <v>8223</v>
      </c>
      <c r="E8220" s="4" t="str">
        <f>HYPERLINK("https://app.crepc.sk/?fn=detailBiblioForm&amp;sid=3B3B756FD79A5CBEF34F4FAA97")</f>
        <v>https://app.crepc.sk/?fn=detailBiblioForm&amp;sid=3B3B756FD79A5CBEF34F4FAA97</v>
      </c>
    </row>
    <row r="8221" spans="1:5" ht="60" x14ac:dyDescent="0.25">
      <c r="C8221" s="15">
        <v>424745</v>
      </c>
      <c r="D8221" s="4" t="s">
        <v>8224</v>
      </c>
      <c r="E8221" s="4" t="str">
        <f>HYPERLINK("https://app.crepc.sk/?fn=detailBiblioForm&amp;sid=43F9B6408AF6905289452D677C")</f>
        <v>https://app.crepc.sk/?fn=detailBiblioForm&amp;sid=43F9B6408AF6905289452D677C</v>
      </c>
    </row>
    <row r="8222" spans="1:5" ht="60" x14ac:dyDescent="0.25">
      <c r="C8222" s="15">
        <v>134678</v>
      </c>
      <c r="D8222" s="4" t="s">
        <v>8225</v>
      </c>
      <c r="E8222" s="4" t="str">
        <f>HYPERLINK("https://app.crepc.sk/?fn=detailBiblioForm&amp;sid=40957296805ED9E9B009A5E171")</f>
        <v>https://app.crepc.sk/?fn=detailBiblioForm&amp;sid=40957296805ED9E9B009A5E171</v>
      </c>
    </row>
    <row r="8223" spans="1:5" ht="60" x14ac:dyDescent="0.25">
      <c r="C8223" s="15">
        <v>80755</v>
      </c>
      <c r="D8223" s="4" t="s">
        <v>8226</v>
      </c>
      <c r="E8223" s="4" t="str">
        <f>HYPERLINK("https://app.crepc.sk/?fn=detailBiblioForm&amp;sid=A7023342D4DE158039F8402C")</f>
        <v>https://app.crepc.sk/?fn=detailBiblioForm&amp;sid=A7023342D4DE158039F8402C</v>
      </c>
    </row>
    <row r="8224" spans="1:5" ht="75" x14ac:dyDescent="0.25">
      <c r="C8224" s="15">
        <v>183204</v>
      </c>
      <c r="D8224" s="4" t="s">
        <v>8227</v>
      </c>
      <c r="E8224" s="4" t="str">
        <f>HYPERLINK("https://app.crepc.sk/?fn=detailBiblioForm&amp;sid=98506E6D5B5CDF25328EE743E8")</f>
        <v>https://app.crepc.sk/?fn=detailBiblioForm&amp;sid=98506E6D5B5CDF25328EE743E8</v>
      </c>
    </row>
    <row r="8225" spans="3:5" ht="75" x14ac:dyDescent="0.25">
      <c r="C8225" s="15">
        <v>436276</v>
      </c>
      <c r="D8225" s="4" t="s">
        <v>8228</v>
      </c>
      <c r="E8225" s="4" t="str">
        <f>HYPERLINK("https://app.crepc.sk/?fn=detailBiblioForm&amp;sid=6EEFAFF0D512B2777A3344AD22")</f>
        <v>https://app.crepc.sk/?fn=detailBiblioForm&amp;sid=6EEFAFF0D512B2777A3344AD22</v>
      </c>
    </row>
    <row r="8226" spans="3:5" ht="45" x14ac:dyDescent="0.25">
      <c r="C8226" s="15">
        <v>186906</v>
      </c>
      <c r="D8226" s="4" t="s">
        <v>8229</v>
      </c>
      <c r="E8226" s="4" t="str">
        <f>HYPERLINK("https://app.crepc.sk/?fn=detailBiblioForm&amp;sid=9EB7DDC054CB7EBFE374B5FCE5")</f>
        <v>https://app.crepc.sk/?fn=detailBiblioForm&amp;sid=9EB7DDC054CB7EBFE374B5FCE5</v>
      </c>
    </row>
    <row r="8227" spans="3:5" ht="90" x14ac:dyDescent="0.25">
      <c r="C8227" s="15">
        <v>67658</v>
      </c>
      <c r="D8227" s="4" t="s">
        <v>8230</v>
      </c>
      <c r="E8227" s="4" t="str">
        <f>HYPERLINK("https://app.crepc.sk/?fn=detailBiblioForm&amp;sid=58B572D2EAD2FF3A77E789AF")</f>
        <v>https://app.crepc.sk/?fn=detailBiblioForm&amp;sid=58B572D2EAD2FF3A77E789AF</v>
      </c>
    </row>
    <row r="8228" spans="3:5" ht="60" x14ac:dyDescent="0.25">
      <c r="C8228" s="15">
        <v>51494</v>
      </c>
      <c r="D8228" s="4" t="s">
        <v>8231</v>
      </c>
      <c r="E8228" s="4" t="str">
        <f>HYPERLINK("https://app.crepc.sk/?fn=detailBiblioForm&amp;sid=623D962DA51AD83EB66943BC")</f>
        <v>https://app.crepc.sk/?fn=detailBiblioForm&amp;sid=623D962DA51AD83EB66943BC</v>
      </c>
    </row>
    <row r="8229" spans="3:5" ht="75" x14ac:dyDescent="0.25">
      <c r="C8229" s="15">
        <v>195994</v>
      </c>
      <c r="D8229" s="4" t="s">
        <v>8232</v>
      </c>
      <c r="E8229" s="4" t="str">
        <f>HYPERLINK("https://app.crepc.sk/?fn=detailBiblioForm&amp;sid=D0FFB1787B7ACE98B654689ACF")</f>
        <v>https://app.crepc.sk/?fn=detailBiblioForm&amp;sid=D0FFB1787B7ACE98B654689ACF</v>
      </c>
    </row>
    <row r="8230" spans="3:5" ht="75" x14ac:dyDescent="0.25">
      <c r="C8230" s="15">
        <v>65736</v>
      </c>
      <c r="D8230" s="4" t="s">
        <v>8233</v>
      </c>
      <c r="E8230" s="4" t="str">
        <f>HYPERLINK("https://app.crepc.sk/?fn=detailBiblioForm&amp;sid=C3C9A612AD450A1762606653")</f>
        <v>https://app.crepc.sk/?fn=detailBiblioForm&amp;sid=C3C9A612AD450A1762606653</v>
      </c>
    </row>
    <row r="8231" spans="3:5" ht="75" x14ac:dyDescent="0.25">
      <c r="C8231" s="15">
        <v>162216</v>
      </c>
      <c r="D8231" s="4" t="s">
        <v>8234</v>
      </c>
      <c r="E8231" s="4" t="str">
        <f>HYPERLINK("https://app.crepc.sk/?fn=detailBiblioForm&amp;sid=064839694A055E9D100BD03241")</f>
        <v>https://app.crepc.sk/?fn=detailBiblioForm&amp;sid=064839694A055E9D100BD03241</v>
      </c>
    </row>
    <row r="8232" spans="3:5" ht="45" x14ac:dyDescent="0.25">
      <c r="C8232" s="15">
        <v>245956</v>
      </c>
      <c r="D8232" s="4" t="s">
        <v>8235</v>
      </c>
      <c r="E8232" s="4" t="str">
        <f>HYPERLINK("https://app.crepc.sk/?fn=detailBiblioForm&amp;sid=B4074A4D7573537BC276B46E05")</f>
        <v>https://app.crepc.sk/?fn=detailBiblioForm&amp;sid=B4074A4D7573537BC276B46E05</v>
      </c>
    </row>
    <row r="8233" spans="3:5" ht="90" x14ac:dyDescent="0.25">
      <c r="C8233" s="15">
        <v>191924</v>
      </c>
      <c r="D8233" s="4" t="s">
        <v>8236</v>
      </c>
      <c r="E8233" s="4" t="str">
        <f>HYPERLINK("https://app.crepc.sk/?fn=detailBiblioForm&amp;sid=6E4E4629F1EF9E5E37307EBF27")</f>
        <v>https://app.crepc.sk/?fn=detailBiblioForm&amp;sid=6E4E4629F1EF9E5E37307EBF27</v>
      </c>
    </row>
    <row r="8234" spans="3:5" ht="45" x14ac:dyDescent="0.25">
      <c r="C8234" s="15">
        <v>173050</v>
      </c>
      <c r="D8234" s="4" t="s">
        <v>8237</v>
      </c>
      <c r="E8234" s="4" t="str">
        <f>HYPERLINK("https://app.crepc.sk/?fn=detailBiblioForm&amp;sid=DD4AECDD61273E16FD3B9290AB")</f>
        <v>https://app.crepc.sk/?fn=detailBiblioForm&amp;sid=DD4AECDD61273E16FD3B9290AB</v>
      </c>
    </row>
    <row r="8235" spans="3:5" ht="75" x14ac:dyDescent="0.25">
      <c r="C8235" s="15">
        <v>125925</v>
      </c>
      <c r="D8235" s="4" t="s">
        <v>8238</v>
      </c>
      <c r="E8235" s="4" t="str">
        <f>HYPERLINK("https://app.crepc.sk/?fn=detailBiblioForm&amp;sid=CAA13C70E4379491E18E8A0CB9")</f>
        <v>https://app.crepc.sk/?fn=detailBiblioForm&amp;sid=CAA13C70E4379491E18E8A0CB9</v>
      </c>
    </row>
    <row r="8236" spans="3:5" ht="90" x14ac:dyDescent="0.25">
      <c r="C8236" s="15">
        <v>56829</v>
      </c>
      <c r="D8236" s="4" t="s">
        <v>8239</v>
      </c>
      <c r="E8236" s="4" t="str">
        <f>HYPERLINK("https://app.crepc.sk/?fn=detailBiblioForm&amp;sid=3AD95FC2F12E987D19C498F1")</f>
        <v>https://app.crepc.sk/?fn=detailBiblioForm&amp;sid=3AD95FC2F12E987D19C498F1</v>
      </c>
    </row>
    <row r="8237" spans="3:5" ht="60" x14ac:dyDescent="0.25">
      <c r="C8237" s="15">
        <v>122283</v>
      </c>
      <c r="D8237" s="4" t="s">
        <v>8240</v>
      </c>
      <c r="E8237" s="4" t="str">
        <f>HYPERLINK("https://app.crepc.sk/?fn=detailBiblioForm&amp;sid=7ECB8D2670C8FCA5B9D8BB440D")</f>
        <v>https://app.crepc.sk/?fn=detailBiblioForm&amp;sid=7ECB8D2670C8FCA5B9D8BB440D</v>
      </c>
    </row>
    <row r="8238" spans="3:5" ht="45" x14ac:dyDescent="0.25">
      <c r="C8238" s="15">
        <v>123218</v>
      </c>
      <c r="D8238" s="4" t="s">
        <v>8241</v>
      </c>
      <c r="E8238" s="4" t="str">
        <f>HYPERLINK("https://app.crepc.sk/?fn=detailBiblioForm&amp;sid=84A6561E00D8E3617D23A633F8")</f>
        <v>https://app.crepc.sk/?fn=detailBiblioForm&amp;sid=84A6561E00D8E3617D23A633F8</v>
      </c>
    </row>
    <row r="8239" spans="3:5" ht="75" x14ac:dyDescent="0.25">
      <c r="C8239" s="15">
        <v>117894</v>
      </c>
      <c r="D8239" s="4" t="s">
        <v>8242</v>
      </c>
      <c r="E8239" s="4" t="str">
        <f>HYPERLINK("https://app.crepc.sk/?fn=detailBiblioForm&amp;sid=CABE63230C4296FD116D41B36E")</f>
        <v>https://app.crepc.sk/?fn=detailBiblioForm&amp;sid=CABE63230C4296FD116D41B36E</v>
      </c>
    </row>
    <row r="8240" spans="3:5" ht="45" x14ac:dyDescent="0.25">
      <c r="C8240" s="15">
        <v>184498</v>
      </c>
      <c r="D8240" s="4" t="s">
        <v>8243</v>
      </c>
      <c r="E8240" s="4" t="str">
        <f>HYPERLINK("https://app.crepc.sk/?fn=detailBiblioForm&amp;sid=5B88818DBAA6B04CD70AE4FCBA")</f>
        <v>https://app.crepc.sk/?fn=detailBiblioForm&amp;sid=5B88818DBAA6B04CD70AE4FCBA</v>
      </c>
    </row>
    <row r="8241" spans="3:5" ht="120" x14ac:dyDescent="0.25">
      <c r="C8241" s="15">
        <v>98226</v>
      </c>
      <c r="D8241" s="4" t="s">
        <v>8244</v>
      </c>
      <c r="E8241" s="4" t="str">
        <f>HYPERLINK("https://app.crepc.sk/?fn=detailBiblioForm&amp;sid=27F6BDE663A41E1CCC680603")</f>
        <v>https://app.crepc.sk/?fn=detailBiblioForm&amp;sid=27F6BDE663A41E1CCC680603</v>
      </c>
    </row>
    <row r="8242" spans="3:5" ht="60" x14ac:dyDescent="0.25">
      <c r="C8242" s="15">
        <v>121757</v>
      </c>
      <c r="D8242" s="4" t="s">
        <v>8245</v>
      </c>
      <c r="E8242" s="4" t="str">
        <f>HYPERLINK("https://app.crepc.sk/?fn=detailBiblioForm&amp;sid=9BA729332E6B4AD3A28F6A8CAB")</f>
        <v>https://app.crepc.sk/?fn=detailBiblioForm&amp;sid=9BA729332E6B4AD3A28F6A8CAB</v>
      </c>
    </row>
    <row r="8243" spans="3:5" ht="45" x14ac:dyDescent="0.25">
      <c r="C8243" s="15">
        <v>305809</v>
      </c>
      <c r="D8243" s="4" t="s">
        <v>8246</v>
      </c>
      <c r="E8243" s="4" t="str">
        <f>HYPERLINK("https://app.crepc.sk/?fn=detailBiblioForm&amp;sid=4FAEBD38B72F227D003CB62942")</f>
        <v>https://app.crepc.sk/?fn=detailBiblioForm&amp;sid=4FAEBD38B72F227D003CB62942</v>
      </c>
    </row>
    <row r="8244" spans="3:5" ht="75" x14ac:dyDescent="0.25">
      <c r="C8244" s="15">
        <v>95274</v>
      </c>
      <c r="D8244" s="4" t="s">
        <v>8247</v>
      </c>
      <c r="E8244" s="4" t="str">
        <f>HYPERLINK("https://app.crepc.sk/?fn=detailBiblioForm&amp;sid=CC67E291259091756DCB24E0")</f>
        <v>https://app.crepc.sk/?fn=detailBiblioForm&amp;sid=CC67E291259091756DCB24E0</v>
      </c>
    </row>
    <row r="8245" spans="3:5" ht="90" x14ac:dyDescent="0.25">
      <c r="C8245" s="15">
        <v>105710</v>
      </c>
      <c r="D8245" s="4" t="s">
        <v>8248</v>
      </c>
      <c r="E8245" s="4" t="str">
        <f>HYPERLINK("https://app.crepc.sk/?fn=detailBiblioForm&amp;sid=8BCE8CAA360877AE7B4734C6D3")</f>
        <v>https://app.crepc.sk/?fn=detailBiblioForm&amp;sid=8BCE8CAA360877AE7B4734C6D3</v>
      </c>
    </row>
    <row r="8246" spans="3:5" ht="90" x14ac:dyDescent="0.25">
      <c r="C8246" s="15">
        <v>162229</v>
      </c>
      <c r="D8246" s="4" t="s">
        <v>8249</v>
      </c>
      <c r="E8246" s="4" t="str">
        <f>HYPERLINK("https://app.crepc.sk/?fn=detailBiblioForm&amp;sid=064839694A055E9D1304D03241")</f>
        <v>https://app.crepc.sk/?fn=detailBiblioForm&amp;sid=064839694A055E9D1304D03241</v>
      </c>
    </row>
    <row r="8247" spans="3:5" ht="75" x14ac:dyDescent="0.25">
      <c r="C8247" s="15">
        <v>126911</v>
      </c>
      <c r="D8247" s="4" t="s">
        <v>8250</v>
      </c>
      <c r="E8247" s="4" t="str">
        <f>HYPERLINK("https://app.crepc.sk/?fn=detailBiblioForm&amp;sid=0D77803B6B9621F08661B73F55")</f>
        <v>https://app.crepc.sk/?fn=detailBiblioForm&amp;sid=0D77803B6B9621F08661B73F55</v>
      </c>
    </row>
    <row r="8248" spans="3:5" ht="60" x14ac:dyDescent="0.25">
      <c r="C8248" s="15">
        <v>70684</v>
      </c>
      <c r="D8248" s="4" t="s">
        <v>8251</v>
      </c>
      <c r="E8248" s="4" t="str">
        <f>HYPERLINK("https://app.crepc.sk/?fn=detailBiblioForm&amp;sid=185751044D86D0EE06040B2E")</f>
        <v>https://app.crepc.sk/?fn=detailBiblioForm&amp;sid=185751044D86D0EE06040B2E</v>
      </c>
    </row>
    <row r="8249" spans="3:5" ht="75" x14ac:dyDescent="0.25">
      <c r="C8249" s="15">
        <v>248830</v>
      </c>
      <c r="D8249" s="4" t="s">
        <v>8252</v>
      </c>
      <c r="E8249" s="4" t="str">
        <f>HYPERLINK("https://app.crepc.sk/?fn=detailBiblioForm&amp;sid=5228D5716807430FBB19401FCD")</f>
        <v>https://app.crepc.sk/?fn=detailBiblioForm&amp;sid=5228D5716807430FBB19401FCD</v>
      </c>
    </row>
    <row r="8250" spans="3:5" ht="60" x14ac:dyDescent="0.25">
      <c r="C8250" s="15">
        <v>59775</v>
      </c>
      <c r="D8250" s="4" t="s">
        <v>8253</v>
      </c>
      <c r="E8250" s="4" t="str">
        <f>HYPERLINK("https://app.crepc.sk/?fn=detailBiblioForm&amp;sid=8043AE51333D5B331824AF0B")</f>
        <v>https://app.crepc.sk/?fn=detailBiblioForm&amp;sid=8043AE51333D5B331824AF0B</v>
      </c>
    </row>
    <row r="8251" spans="3:5" ht="45" x14ac:dyDescent="0.25">
      <c r="C8251" s="15">
        <v>100791</v>
      </c>
      <c r="D8251" s="4" t="s">
        <v>8254</v>
      </c>
      <c r="E8251" s="4" t="str">
        <f>HYPERLINK("https://app.crepc.sk/?fn=detailBiblioForm&amp;sid=183355140A0C93010CF217331B")</f>
        <v>https://app.crepc.sk/?fn=detailBiblioForm&amp;sid=183355140A0C93010CF217331B</v>
      </c>
    </row>
    <row r="8252" spans="3:5" ht="75" x14ac:dyDescent="0.25">
      <c r="C8252" s="15">
        <v>167479</v>
      </c>
      <c r="D8252" s="4" t="s">
        <v>8255</v>
      </c>
      <c r="E8252" s="4" t="str">
        <f>HYPERLINK("https://app.crepc.sk/?fn=detailBiblioForm&amp;sid=5C1288C836E60822D3EECB6202")</f>
        <v>https://app.crepc.sk/?fn=detailBiblioForm&amp;sid=5C1288C836E60822D3EECB6202</v>
      </c>
    </row>
    <row r="8253" spans="3:5" ht="120" x14ac:dyDescent="0.25">
      <c r="C8253" s="15">
        <v>239776</v>
      </c>
      <c r="D8253" s="4" t="s">
        <v>8256</v>
      </c>
      <c r="E8253" s="4" t="str">
        <f>HYPERLINK("https://app.crepc.sk/?fn=detailBiblioForm&amp;sid=A4F1A10991D589A5F0B474EC38")</f>
        <v>https://app.crepc.sk/?fn=detailBiblioForm&amp;sid=A4F1A10991D589A5F0B474EC38</v>
      </c>
    </row>
    <row r="8254" spans="3:5" ht="135" x14ac:dyDescent="0.25">
      <c r="C8254" s="15">
        <v>255645</v>
      </c>
      <c r="D8254" s="4" t="s">
        <v>8257</v>
      </c>
      <c r="E8254" s="4" t="str">
        <f>HYPERLINK("https://app.crepc.sk/?fn=detailBiblioForm&amp;sid=EE7AC10E01D02473FBB3919967")</f>
        <v>https://app.crepc.sk/?fn=detailBiblioForm&amp;sid=EE7AC10E01D02473FBB3919967</v>
      </c>
    </row>
    <row r="8255" spans="3:5" ht="60" x14ac:dyDescent="0.25">
      <c r="C8255" s="15">
        <v>430432</v>
      </c>
      <c r="D8255" s="4" t="s">
        <v>8258</v>
      </c>
      <c r="E8255" s="4" t="str">
        <f>HYPERLINK("https://app.crepc.sk/?fn=detailBiblioForm&amp;sid=56123830A8C00970BB00622E7E")</f>
        <v>https://app.crepc.sk/?fn=detailBiblioForm&amp;sid=56123830A8C00970BB00622E7E</v>
      </c>
    </row>
    <row r="8256" spans="3:5" ht="105" x14ac:dyDescent="0.25">
      <c r="C8256" s="15">
        <v>434849</v>
      </c>
      <c r="D8256" s="4" t="s">
        <v>8259</v>
      </c>
      <c r="E8256" s="4" t="str">
        <f>HYPERLINK("https://app.crepc.sk/?fn=detailBiblioForm&amp;sid=D5F2004AA41892611CC53B7DED")</f>
        <v>https://app.crepc.sk/?fn=detailBiblioForm&amp;sid=D5F2004AA41892611CC53B7DED</v>
      </c>
    </row>
    <row r="8257" spans="3:5" ht="75" x14ac:dyDescent="0.25">
      <c r="C8257" s="15">
        <v>424657</v>
      </c>
      <c r="D8257" s="4" t="s">
        <v>8260</v>
      </c>
      <c r="E8257" s="4" t="str">
        <f>HYPERLINK("https://app.crepc.sk/?fn=detailBiblioForm&amp;sid=CC1B3F91A32071DE4CD3F9FB02")</f>
        <v>https://app.crepc.sk/?fn=detailBiblioForm&amp;sid=CC1B3F91A32071DE4CD3F9FB02</v>
      </c>
    </row>
    <row r="8258" spans="3:5" ht="75" x14ac:dyDescent="0.25">
      <c r="C8258" s="15">
        <v>163090</v>
      </c>
      <c r="D8258" s="4" t="s">
        <v>8261</v>
      </c>
      <c r="E8258" s="4" t="str">
        <f>HYPERLINK("https://app.crepc.sk/?fn=detailBiblioForm&amp;sid=50FE609ECAA3CD9EE9C801F139")</f>
        <v>https://app.crepc.sk/?fn=detailBiblioForm&amp;sid=50FE609ECAA3CD9EE9C801F139</v>
      </c>
    </row>
    <row r="8259" spans="3:5" ht="60" x14ac:dyDescent="0.25">
      <c r="C8259" s="15">
        <v>248524</v>
      </c>
      <c r="D8259" s="4" t="s">
        <v>8262</v>
      </c>
      <c r="E8259" s="4" t="str">
        <f>HYPERLINK("https://app.crepc.sk/?fn=detailBiblioForm&amp;sid=3173F3EBFDDB76EF41D864397B")</f>
        <v>https://app.crepc.sk/?fn=detailBiblioForm&amp;sid=3173F3EBFDDB76EF41D864397B</v>
      </c>
    </row>
    <row r="8260" spans="3:5" ht="90" x14ac:dyDescent="0.25">
      <c r="C8260" s="15">
        <v>112408</v>
      </c>
      <c r="D8260" s="4" t="s">
        <v>8263</v>
      </c>
      <c r="E8260" s="4" t="str">
        <f>HYPERLINK("https://app.crepc.sk/?fn=detailBiblioForm&amp;sid=6B00E789183A492A9647B14C71")</f>
        <v>https://app.crepc.sk/?fn=detailBiblioForm&amp;sid=6B00E789183A492A9647B14C71</v>
      </c>
    </row>
    <row r="8261" spans="3:5" ht="75" x14ac:dyDescent="0.25">
      <c r="C8261" s="15">
        <v>71373</v>
      </c>
      <c r="D8261" s="4" t="s">
        <v>8264</v>
      </c>
      <c r="E8261" s="4" t="str">
        <f>HYPERLINK("https://app.crepc.sk/?fn=detailBiblioForm&amp;sid=BBCFF9EEEED362461F4EA21D")</f>
        <v>https://app.crepc.sk/?fn=detailBiblioForm&amp;sid=BBCFF9EEEED362461F4EA21D</v>
      </c>
    </row>
    <row r="8262" spans="3:5" ht="45" x14ac:dyDescent="0.25">
      <c r="C8262" s="15">
        <v>418246</v>
      </c>
      <c r="D8262" s="4" t="s">
        <v>8265</v>
      </c>
      <c r="E8262" s="4" t="str">
        <f>HYPERLINK("https://app.crepc.sk/?fn=detailBiblioForm&amp;sid=F984F674FC714E1356A1F2CC1B")</f>
        <v>https://app.crepc.sk/?fn=detailBiblioForm&amp;sid=F984F674FC714E1356A1F2CC1B</v>
      </c>
    </row>
    <row r="8263" spans="3:5" ht="75" x14ac:dyDescent="0.25">
      <c r="C8263" s="15">
        <v>247520</v>
      </c>
      <c r="D8263" s="4" t="s">
        <v>8266</v>
      </c>
      <c r="E8263" s="4" t="str">
        <f>HYPERLINK("https://app.crepc.sk/?fn=detailBiblioForm&amp;sid=2C6BFF773E4A2445FE3D0BC3DC")</f>
        <v>https://app.crepc.sk/?fn=detailBiblioForm&amp;sid=2C6BFF773E4A2445FE3D0BC3DC</v>
      </c>
    </row>
    <row r="8264" spans="3:5" ht="45" x14ac:dyDescent="0.25">
      <c r="C8264" s="15">
        <v>176719</v>
      </c>
      <c r="D8264" s="4" t="s">
        <v>8267</v>
      </c>
      <c r="E8264" s="4" t="str">
        <f>HYPERLINK("https://app.crepc.sk/?fn=detailBiblioForm&amp;sid=74611393D427AF19D5BABE02B6")</f>
        <v>https://app.crepc.sk/?fn=detailBiblioForm&amp;sid=74611393D427AF19D5BABE02B6</v>
      </c>
    </row>
    <row r="8265" spans="3:5" ht="60" x14ac:dyDescent="0.25">
      <c r="C8265" s="15">
        <v>115643</v>
      </c>
      <c r="D8265" s="4" t="s">
        <v>8268</v>
      </c>
      <c r="E8265" s="4" t="str">
        <f>HYPERLINK("https://app.crepc.sk/?fn=detailBiblioForm&amp;sid=8B887CD3FF777E5050B77BD084")</f>
        <v>https://app.crepc.sk/?fn=detailBiblioForm&amp;sid=8B887CD3FF777E5050B77BD084</v>
      </c>
    </row>
    <row r="8266" spans="3:5" ht="60" x14ac:dyDescent="0.25">
      <c r="C8266" s="15">
        <v>180780</v>
      </c>
      <c r="D8266" s="4" t="s">
        <v>8269</v>
      </c>
      <c r="E8266" s="4" t="str">
        <f>HYPERLINK("https://app.crepc.sk/?fn=detailBiblioForm&amp;sid=46F337D26E70386BC6350607C3")</f>
        <v>https://app.crepc.sk/?fn=detailBiblioForm&amp;sid=46F337D26E70386BC6350607C3</v>
      </c>
    </row>
    <row r="8267" spans="3:5" ht="45" x14ac:dyDescent="0.25">
      <c r="C8267" s="15">
        <v>416748</v>
      </c>
      <c r="D8267" s="4" t="s">
        <v>8270</v>
      </c>
      <c r="E8267" s="4" t="str">
        <f>HYPERLINK("https://app.crepc.sk/?fn=detailBiblioForm&amp;sid=FFF02B87E998ACF2F12756DEC9")</f>
        <v>https://app.crepc.sk/?fn=detailBiblioForm&amp;sid=FFF02B87E998ACF2F12756DEC9</v>
      </c>
    </row>
    <row r="8268" spans="3:5" ht="60" x14ac:dyDescent="0.25">
      <c r="C8268" s="15">
        <v>80753</v>
      </c>
      <c r="D8268" s="4" t="s">
        <v>8271</v>
      </c>
      <c r="E8268" s="4" t="str">
        <f>HYPERLINK("https://app.crepc.sk/?fn=detailBiblioForm&amp;sid=A7023342D4DE15803FF8402C")</f>
        <v>https://app.crepc.sk/?fn=detailBiblioForm&amp;sid=A7023342D4DE15803FF8402C</v>
      </c>
    </row>
    <row r="8269" spans="3:5" ht="75" x14ac:dyDescent="0.25">
      <c r="C8269" s="15">
        <v>162234</v>
      </c>
      <c r="D8269" s="4" t="s">
        <v>8272</v>
      </c>
      <c r="E8269" s="4" t="str">
        <f>HYPERLINK("https://app.crepc.sk/?fn=detailBiblioForm&amp;sid=064839694A055E9D1209D03241")</f>
        <v>https://app.crepc.sk/?fn=detailBiblioForm&amp;sid=064839694A055E9D1209D03241</v>
      </c>
    </row>
    <row r="8270" spans="3:5" ht="60" x14ac:dyDescent="0.25">
      <c r="C8270" s="15">
        <v>118362</v>
      </c>
      <c r="D8270" s="4" t="s">
        <v>8273</v>
      </c>
      <c r="E8270" s="4" t="str">
        <f>HYPERLINK("https://app.crepc.sk/?fn=detailBiblioForm&amp;sid=3870AE6E467F35C67FE87D6BA7")</f>
        <v>https://app.crepc.sk/?fn=detailBiblioForm&amp;sid=3870AE6E467F35C67FE87D6BA7</v>
      </c>
    </row>
    <row r="8271" spans="3:5" ht="60" x14ac:dyDescent="0.25">
      <c r="C8271" s="15">
        <v>237745</v>
      </c>
      <c r="D8271" s="4" t="s">
        <v>8274</v>
      </c>
      <c r="E8271" s="4" t="str">
        <f>HYPERLINK("https://app.crepc.sk/?fn=detailBiblioForm&amp;sid=4C6BDB30C4C7A00C8D695ECA8F")</f>
        <v>https://app.crepc.sk/?fn=detailBiblioForm&amp;sid=4C6BDB30C4C7A00C8D695ECA8F</v>
      </c>
    </row>
    <row r="8272" spans="3:5" ht="75" x14ac:dyDescent="0.25">
      <c r="C8272" s="15">
        <v>457242</v>
      </c>
      <c r="D8272" s="4" t="s">
        <v>8275</v>
      </c>
      <c r="E8272" s="4" t="str">
        <f>HYPERLINK("https://app.crepc.sk/?fn=detailBiblioForm&amp;sid=A3FD0E4E43B8895664C6AEF09F")</f>
        <v>https://app.crepc.sk/?fn=detailBiblioForm&amp;sid=A3FD0E4E43B8895664C6AEF09F</v>
      </c>
    </row>
    <row r="8273" spans="3:5" ht="135" x14ac:dyDescent="0.25">
      <c r="C8273" s="15">
        <v>203466</v>
      </c>
      <c r="D8273" s="4" t="s">
        <v>8276</v>
      </c>
      <c r="E8273" s="4" t="str">
        <f>HYPERLINK("https://app.crepc.sk/?fn=detailBiblioForm&amp;sid=7BEB1638C0BCEFCF27F112B925")</f>
        <v>https://app.crepc.sk/?fn=detailBiblioForm&amp;sid=7BEB1638C0BCEFCF27F112B925</v>
      </c>
    </row>
    <row r="8274" spans="3:5" ht="75" x14ac:dyDescent="0.25">
      <c r="C8274" s="15">
        <v>56107</v>
      </c>
      <c r="D8274" s="4" t="s">
        <v>8277</v>
      </c>
      <c r="E8274" s="4" t="str">
        <f>HYPERLINK("https://app.crepc.sk/?fn=detailBiblioForm&amp;sid=81F4612D71467162887CED87")</f>
        <v>https://app.crepc.sk/?fn=detailBiblioForm&amp;sid=81F4612D71467162887CED87</v>
      </c>
    </row>
    <row r="8275" spans="3:5" ht="75" x14ac:dyDescent="0.25">
      <c r="C8275" s="15">
        <v>201498</v>
      </c>
      <c r="D8275" s="4" t="s">
        <v>8278</v>
      </c>
      <c r="E8275" s="4" t="str">
        <f>HYPERLINK("https://app.crepc.sk/?fn=detailBiblioForm&amp;sid=062284928B3559D18CECA47051")</f>
        <v>https://app.crepc.sk/?fn=detailBiblioForm&amp;sid=062284928B3559D18CECA47051</v>
      </c>
    </row>
    <row r="8276" spans="3:5" ht="90" x14ac:dyDescent="0.25">
      <c r="C8276" s="15">
        <v>162258</v>
      </c>
      <c r="D8276" s="4" t="s">
        <v>8279</v>
      </c>
      <c r="E8276" s="4" t="str">
        <f>HYPERLINK("https://app.crepc.sk/?fn=detailBiblioForm&amp;sid=064839694A055E9D1405D03241")</f>
        <v>https://app.crepc.sk/?fn=detailBiblioForm&amp;sid=064839694A055E9D1405D03241</v>
      </c>
    </row>
    <row r="8277" spans="3:5" ht="90" x14ac:dyDescent="0.25">
      <c r="C8277" s="15">
        <v>155615</v>
      </c>
      <c r="D8277" s="4" t="s">
        <v>8280</v>
      </c>
      <c r="E8277" s="4" t="str">
        <f>HYPERLINK("https://app.crepc.sk/?fn=detailBiblioForm&amp;sid=7328D144CEBBA0B746897B02FC")</f>
        <v>https://app.crepc.sk/?fn=detailBiblioForm&amp;sid=7328D144CEBBA0B746897B02FC</v>
      </c>
    </row>
    <row r="8278" spans="3:5" ht="75" x14ac:dyDescent="0.25">
      <c r="C8278" s="15">
        <v>162205</v>
      </c>
      <c r="D8278" s="4" t="s">
        <v>8281</v>
      </c>
      <c r="E8278" s="4" t="str">
        <f>HYPERLINK("https://app.crepc.sk/?fn=detailBiblioForm&amp;sid=064839694A055E9D1108D03241")</f>
        <v>https://app.crepc.sk/?fn=detailBiblioForm&amp;sid=064839694A055E9D1108D03241</v>
      </c>
    </row>
    <row r="8279" spans="3:5" ht="90" x14ac:dyDescent="0.25">
      <c r="C8279" s="15">
        <v>240879</v>
      </c>
      <c r="D8279" s="4" t="s">
        <v>8282</v>
      </c>
      <c r="E8279" s="4" t="str">
        <f>HYPERLINK("https://app.crepc.sk/?fn=detailBiblioForm&amp;sid=5B016660862A0AA5430C22D6A0")</f>
        <v>https://app.crepc.sk/?fn=detailBiblioForm&amp;sid=5B016660862A0AA5430C22D6A0</v>
      </c>
    </row>
    <row r="8280" spans="3:5" ht="90" x14ac:dyDescent="0.25">
      <c r="C8280" s="15">
        <v>140197</v>
      </c>
      <c r="D8280" s="4" t="s">
        <v>8283</v>
      </c>
      <c r="E8280" s="4" t="str">
        <f>HYPERLINK("https://app.crepc.sk/?fn=detailBiblioForm&amp;sid=17899838D38E4BD15F18EAAA4C")</f>
        <v>https://app.crepc.sk/?fn=detailBiblioForm&amp;sid=17899838D38E4BD15F18EAAA4C</v>
      </c>
    </row>
    <row r="8281" spans="3:5" ht="45" x14ac:dyDescent="0.25">
      <c r="C8281" s="15">
        <v>225419</v>
      </c>
      <c r="D8281" s="4" t="s">
        <v>8284</v>
      </c>
      <c r="E8281" s="4" t="str">
        <f>HYPERLINK("https://app.crepc.sk/?fn=detailBiblioForm&amp;sid=D044C6AD8D0F3136A0A0C7AD16")</f>
        <v>https://app.crepc.sk/?fn=detailBiblioForm&amp;sid=D044C6AD8D0F3136A0A0C7AD16</v>
      </c>
    </row>
    <row r="8282" spans="3:5" ht="60" x14ac:dyDescent="0.25">
      <c r="C8282" s="15">
        <v>98260</v>
      </c>
      <c r="D8282" s="4" t="s">
        <v>8285</v>
      </c>
      <c r="E8282" s="4" t="str">
        <f>HYPERLINK("https://app.crepc.sk/?fn=detailBiblioForm&amp;sid=BBDB470D2B86C4AFE8EB81E7")</f>
        <v>https://app.crepc.sk/?fn=detailBiblioForm&amp;sid=BBDB470D2B86C4AFE8EB81E7</v>
      </c>
    </row>
    <row r="8283" spans="3:5" ht="60" x14ac:dyDescent="0.25">
      <c r="C8283" s="15">
        <v>167425</v>
      </c>
      <c r="D8283" s="4" t="s">
        <v>8286</v>
      </c>
      <c r="E8283" s="4" t="str">
        <f>HYPERLINK("https://app.crepc.sk/?fn=detailBiblioForm&amp;sid=5C1288C836E60822D6E2CB6202")</f>
        <v>https://app.crepc.sk/?fn=detailBiblioForm&amp;sid=5C1288C836E60822D6E2CB6202</v>
      </c>
    </row>
    <row r="8284" spans="3:5" ht="60" x14ac:dyDescent="0.25">
      <c r="C8284" s="15">
        <v>113133</v>
      </c>
      <c r="D8284" s="4" t="s">
        <v>8287</v>
      </c>
      <c r="E8284" s="4" t="str">
        <f>HYPERLINK("https://app.crepc.sk/?fn=detailBiblioForm&amp;sid=28D7D04BB59530D2563BE335C2")</f>
        <v>https://app.crepc.sk/?fn=detailBiblioForm&amp;sid=28D7D04BB59530D2563BE335C2</v>
      </c>
    </row>
    <row r="8285" spans="3:5" ht="45" x14ac:dyDescent="0.25">
      <c r="C8285" s="15">
        <v>203494</v>
      </c>
      <c r="D8285" s="4" t="s">
        <v>8288</v>
      </c>
      <c r="E8285" s="4" t="str">
        <f>HYPERLINK("https://app.crepc.sk/?fn=detailBiblioForm&amp;sid=7BEB1638C0BCEFCF28F312B925")</f>
        <v>https://app.crepc.sk/?fn=detailBiblioForm&amp;sid=7BEB1638C0BCEFCF28F312B925</v>
      </c>
    </row>
    <row r="8286" spans="3:5" ht="90" x14ac:dyDescent="0.25">
      <c r="C8286" s="15">
        <v>432168</v>
      </c>
      <c r="D8286" s="4" t="s">
        <v>8289</v>
      </c>
      <c r="E8286" s="4" t="str">
        <f>HYPERLINK("https://app.crepc.sk/?fn=detailBiblioForm&amp;sid=36F9E267D0DFCA06F497599993")</f>
        <v>https://app.crepc.sk/?fn=detailBiblioForm&amp;sid=36F9E267D0DFCA06F497599993</v>
      </c>
    </row>
    <row r="8287" spans="3:5" ht="75" x14ac:dyDescent="0.25">
      <c r="C8287" s="15">
        <v>56825</v>
      </c>
      <c r="D8287" s="4" t="s">
        <v>8290</v>
      </c>
      <c r="E8287" s="4" t="str">
        <f>HYPERLINK("https://app.crepc.sk/?fn=detailBiblioForm&amp;sid=3AD95FC2F12E987D15C498F1")</f>
        <v>https://app.crepc.sk/?fn=detailBiblioForm&amp;sid=3AD95FC2F12E987D15C498F1</v>
      </c>
    </row>
    <row r="8288" spans="3:5" ht="90" x14ac:dyDescent="0.25">
      <c r="C8288" s="15">
        <v>68053</v>
      </c>
      <c r="D8288" s="4" t="s">
        <v>8291</v>
      </c>
      <c r="E8288" s="4" t="str">
        <f>HYPERLINK("https://app.crepc.sk/?fn=detailBiblioForm&amp;sid=A9169FCFAEADC9045B9AECF2")</f>
        <v>https://app.crepc.sk/?fn=detailBiblioForm&amp;sid=A9169FCFAEADC9045B9AECF2</v>
      </c>
    </row>
    <row r="8289" spans="3:5" ht="60" x14ac:dyDescent="0.25">
      <c r="C8289" s="15">
        <v>55493</v>
      </c>
      <c r="D8289" s="4" t="s">
        <v>8292</v>
      </c>
      <c r="E8289" s="4" t="str">
        <f>HYPERLINK("https://app.crepc.sk/?fn=detailBiblioForm&amp;sid=65D21B8B29DCC669D3921813")</f>
        <v>https://app.crepc.sk/?fn=detailBiblioForm&amp;sid=65D21B8B29DCC669D3921813</v>
      </c>
    </row>
    <row r="8290" spans="3:5" ht="45" x14ac:dyDescent="0.25">
      <c r="C8290" s="15">
        <v>447961</v>
      </c>
      <c r="D8290" s="4" t="s">
        <v>8293</v>
      </c>
      <c r="E8290" s="4" t="str">
        <f>HYPERLINK("https://app.crepc.sk/?fn=detailBiblioForm&amp;sid=1B50CC9371C3E7A0E419A75DC9")</f>
        <v>https://app.crepc.sk/?fn=detailBiblioForm&amp;sid=1B50CC9371C3E7A0E419A75DC9</v>
      </c>
    </row>
    <row r="8291" spans="3:5" ht="90" x14ac:dyDescent="0.25">
      <c r="C8291" s="15">
        <v>200176</v>
      </c>
      <c r="D8291" s="4" t="s">
        <v>8294</v>
      </c>
      <c r="E8291" s="4" t="str">
        <f>HYPERLINK("https://app.crepc.sk/?fn=detailBiblioForm&amp;sid=9097805B3BD10337EB6759D914")</f>
        <v>https://app.crepc.sk/?fn=detailBiblioForm&amp;sid=9097805B3BD10337EB6759D914</v>
      </c>
    </row>
    <row r="8292" spans="3:5" ht="75" x14ac:dyDescent="0.25">
      <c r="C8292" s="15">
        <v>240873</v>
      </c>
      <c r="D8292" s="4" t="s">
        <v>8295</v>
      </c>
      <c r="E8292" s="4" t="str">
        <f>HYPERLINK("https://app.crepc.sk/?fn=detailBiblioForm&amp;sid=5B016660862A0AA5430622D6A0")</f>
        <v>https://app.crepc.sk/?fn=detailBiblioForm&amp;sid=5B016660862A0AA5430622D6A0</v>
      </c>
    </row>
    <row r="8293" spans="3:5" ht="90" x14ac:dyDescent="0.25">
      <c r="C8293" s="15">
        <v>77935</v>
      </c>
      <c r="D8293" s="4" t="s">
        <v>8296</v>
      </c>
      <c r="E8293" s="4" t="str">
        <f>HYPERLINK("https://app.crepc.sk/?fn=detailBiblioForm&amp;sid=12E5475B02920ECB05BD672D")</f>
        <v>https://app.crepc.sk/?fn=detailBiblioForm&amp;sid=12E5475B02920ECB05BD672D</v>
      </c>
    </row>
    <row r="8294" spans="3:5" ht="45" x14ac:dyDescent="0.25">
      <c r="C8294" s="15">
        <v>416407</v>
      </c>
      <c r="D8294" s="4" t="s">
        <v>8297</v>
      </c>
      <c r="E8294" s="4" t="str">
        <f>HYPERLINK("https://app.crepc.sk/?fn=detailBiblioForm&amp;sid=50715014699C2E430910098FF9")</f>
        <v>https://app.crepc.sk/?fn=detailBiblioForm&amp;sid=50715014699C2E430910098FF9</v>
      </c>
    </row>
    <row r="8295" spans="3:5" ht="45" x14ac:dyDescent="0.25">
      <c r="C8295" s="15">
        <v>416445</v>
      </c>
      <c r="D8295" s="4" t="s">
        <v>8298</v>
      </c>
      <c r="E8295" s="4" t="str">
        <f>HYPERLINK("https://app.crepc.sk/?fn=detailBiblioForm&amp;sid=50715014699C2E430D12098FF9")</f>
        <v>https://app.crepc.sk/?fn=detailBiblioForm&amp;sid=50715014699C2E430D12098FF9</v>
      </c>
    </row>
    <row r="8296" spans="3:5" ht="45" x14ac:dyDescent="0.25">
      <c r="C8296" s="15">
        <v>416472</v>
      </c>
      <c r="D8296" s="4" t="s">
        <v>8299</v>
      </c>
      <c r="E8296" s="4" t="str">
        <f>HYPERLINK("https://app.crepc.sk/?fn=detailBiblioForm&amp;sid=50715014699C2E430E15098FF9")</f>
        <v>https://app.crepc.sk/?fn=detailBiblioForm&amp;sid=50715014699C2E430E15098FF9</v>
      </c>
    </row>
    <row r="8297" spans="3:5" ht="75" x14ac:dyDescent="0.25">
      <c r="C8297" s="15">
        <v>62723</v>
      </c>
      <c r="D8297" s="4" t="s">
        <v>8300</v>
      </c>
      <c r="E8297" s="4" t="str">
        <f>HYPERLINK("https://app.crepc.sk/?fn=detailBiblioForm&amp;sid=29AD044DEB98E52177340D76")</f>
        <v>https://app.crepc.sk/?fn=detailBiblioForm&amp;sid=29AD044DEB98E52177340D76</v>
      </c>
    </row>
    <row r="8298" spans="3:5" ht="105" x14ac:dyDescent="0.25">
      <c r="C8298" s="15">
        <v>145798</v>
      </c>
      <c r="D8298" s="4" t="s">
        <v>8301</v>
      </c>
      <c r="E8298" s="4" t="str">
        <f>HYPERLINK("https://app.crepc.sk/?fn=detailBiblioForm&amp;sid=0278C0DD79B92F655B540D3573")</f>
        <v>https://app.crepc.sk/?fn=detailBiblioForm&amp;sid=0278C0DD79B92F655B540D3573</v>
      </c>
    </row>
    <row r="8299" spans="3:5" ht="60" x14ac:dyDescent="0.25">
      <c r="C8299" s="15">
        <v>317938</v>
      </c>
      <c r="D8299" s="4" t="s">
        <v>8302</v>
      </c>
      <c r="E8299" s="4" t="str">
        <f>HYPERLINK("https://app.crepc.sk/?fn=detailBiblioForm&amp;sid=E0B41A029D812A2AD02897A17A")</f>
        <v>https://app.crepc.sk/?fn=detailBiblioForm&amp;sid=E0B41A029D812A2AD02897A17A</v>
      </c>
    </row>
    <row r="8300" spans="3:5" ht="75" x14ac:dyDescent="0.25">
      <c r="C8300" s="15">
        <v>133797</v>
      </c>
      <c r="D8300" s="4" t="s">
        <v>8303</v>
      </c>
      <c r="E8300" s="4" t="str">
        <f>HYPERLINK("https://app.crepc.sk/?fn=detailBiblioForm&amp;sid=CB55A48AE268F42C0FE3A2B091")</f>
        <v>https://app.crepc.sk/?fn=detailBiblioForm&amp;sid=CB55A48AE268F42C0FE3A2B091</v>
      </c>
    </row>
    <row r="8301" spans="3:5" ht="75" x14ac:dyDescent="0.25">
      <c r="C8301" s="15">
        <v>79051</v>
      </c>
      <c r="D8301" s="4" t="s">
        <v>8304</v>
      </c>
      <c r="E8301" s="4" t="str">
        <f>HYPERLINK("https://app.crepc.sk/?fn=detailBiblioForm&amp;sid=AB5F96A5DC7C5668A2904E8D")</f>
        <v>https://app.crepc.sk/?fn=detailBiblioForm&amp;sid=AB5F96A5DC7C5668A2904E8D</v>
      </c>
    </row>
    <row r="8302" spans="3:5" ht="90" x14ac:dyDescent="0.25">
      <c r="C8302" s="15">
        <v>60251</v>
      </c>
      <c r="D8302" s="4" t="s">
        <v>8305</v>
      </c>
      <c r="E8302" s="4" t="str">
        <f>HYPERLINK("https://app.crepc.sk/?fn=detailBiblioForm&amp;sid=D794125F480E8161CAFC2E28")</f>
        <v>https://app.crepc.sk/?fn=detailBiblioForm&amp;sid=D794125F480E8161CAFC2E28</v>
      </c>
    </row>
    <row r="8303" spans="3:5" ht="60" x14ac:dyDescent="0.25">
      <c r="C8303" s="15">
        <v>248597</v>
      </c>
      <c r="D8303" s="4" t="s">
        <v>8306</v>
      </c>
      <c r="E8303" s="4" t="str">
        <f>HYPERLINK("https://app.crepc.sk/?fn=detailBiblioForm&amp;sid=3173F3EBFDDB76EF4ADB64397B")</f>
        <v>https://app.crepc.sk/?fn=detailBiblioForm&amp;sid=3173F3EBFDDB76EF4ADB64397B</v>
      </c>
    </row>
    <row r="8304" spans="3:5" ht="90" x14ac:dyDescent="0.25">
      <c r="C8304" s="15">
        <v>183727</v>
      </c>
      <c r="D8304" s="4" t="s">
        <v>8307</v>
      </c>
      <c r="E8304" s="4" t="str">
        <f>HYPERLINK("https://app.crepc.sk/?fn=detailBiblioForm&amp;sid=8DA5F85D14F67EBBA8DB8BC081")</f>
        <v>https://app.crepc.sk/?fn=detailBiblioForm&amp;sid=8DA5F85D14F67EBBA8DB8BC081</v>
      </c>
    </row>
    <row r="8305" spans="3:5" ht="75" x14ac:dyDescent="0.25">
      <c r="C8305" s="15">
        <v>85920</v>
      </c>
      <c r="D8305" s="4" t="s">
        <v>8308</v>
      </c>
      <c r="E8305" s="4" t="str">
        <f>HYPERLINK("https://app.crepc.sk/?fn=detailBiblioForm&amp;sid=E2F3F5D750E826BD0C92B252")</f>
        <v>https://app.crepc.sk/?fn=detailBiblioForm&amp;sid=E2F3F5D750E826BD0C92B252</v>
      </c>
    </row>
    <row r="8306" spans="3:5" ht="60" x14ac:dyDescent="0.25">
      <c r="C8306" s="15">
        <v>98934</v>
      </c>
      <c r="D8306" s="4" t="s">
        <v>8309</v>
      </c>
      <c r="E8306" s="4" t="str">
        <f>HYPERLINK("https://app.crepc.sk/?fn=detailBiblioForm&amp;sid=8A19C7F9CE171CB65234DFDA")</f>
        <v>https://app.crepc.sk/?fn=detailBiblioForm&amp;sid=8A19C7F9CE171CB65234DFDA</v>
      </c>
    </row>
    <row r="8307" spans="3:5" ht="60" x14ac:dyDescent="0.25">
      <c r="C8307" s="15">
        <v>424687</v>
      </c>
      <c r="D8307" s="4" t="s">
        <v>8310</v>
      </c>
      <c r="E8307" s="4" t="str">
        <f>HYPERLINK("https://app.crepc.sk/?fn=detailBiblioForm&amp;sid=CC1B3F91A32071DE41D3F9FB02")</f>
        <v>https://app.crepc.sk/?fn=detailBiblioForm&amp;sid=CC1B3F91A32071DE41D3F9FB02</v>
      </c>
    </row>
    <row r="8308" spans="3:5" ht="60" x14ac:dyDescent="0.25">
      <c r="C8308" s="15">
        <v>132631</v>
      </c>
      <c r="D8308" s="4" t="s">
        <v>8311</v>
      </c>
      <c r="E8308" s="4" t="str">
        <f>HYPERLINK("https://app.crepc.sk/?fn=detailBiblioForm&amp;sid=45946F80BD0ADF83350F7F64E5")</f>
        <v>https://app.crepc.sk/?fn=detailBiblioForm&amp;sid=45946F80BD0ADF83350F7F64E5</v>
      </c>
    </row>
    <row r="8309" spans="3:5" ht="60" x14ac:dyDescent="0.25">
      <c r="C8309" s="15">
        <v>416467</v>
      </c>
      <c r="D8309" s="4" t="s">
        <v>8312</v>
      </c>
      <c r="E8309" s="4" t="str">
        <f>HYPERLINK("https://app.crepc.sk/?fn=detailBiblioForm&amp;sid=50715014699C2E430F10098FF9")</f>
        <v>https://app.crepc.sk/?fn=detailBiblioForm&amp;sid=50715014699C2E430F10098FF9</v>
      </c>
    </row>
    <row r="8310" spans="3:5" ht="45" x14ac:dyDescent="0.25">
      <c r="C8310" s="15">
        <v>183220</v>
      </c>
      <c r="D8310" s="4" t="s">
        <v>8313</v>
      </c>
      <c r="E8310" s="4" t="str">
        <f>HYPERLINK("https://app.crepc.sk/?fn=detailBiblioForm&amp;sid=98506E6D5B5CDF25308AE743E8")</f>
        <v>https://app.crepc.sk/?fn=detailBiblioForm&amp;sid=98506E6D5B5CDF25308AE743E8</v>
      </c>
    </row>
    <row r="8311" spans="3:5" ht="90" x14ac:dyDescent="0.25">
      <c r="C8311" s="15">
        <v>226343</v>
      </c>
      <c r="D8311" s="4" t="s">
        <v>8314</v>
      </c>
      <c r="E8311" s="4" t="str">
        <f>HYPERLINK("https://app.crepc.sk/?fn=detailBiblioForm&amp;sid=C41BF80AB1B114D6B46D142BFB")</f>
        <v>https://app.crepc.sk/?fn=detailBiblioForm&amp;sid=C41BF80AB1B114D6B46D142BFB</v>
      </c>
    </row>
    <row r="8312" spans="3:5" ht="75" x14ac:dyDescent="0.25">
      <c r="C8312" s="15">
        <v>84829</v>
      </c>
      <c r="D8312" s="4" t="s">
        <v>8315</v>
      </c>
      <c r="E8312" s="4" t="str">
        <f>HYPERLINK("https://app.crepc.sk/?fn=detailBiblioForm&amp;sid=C1A7CE7528D0F736BE395C51")</f>
        <v>https://app.crepc.sk/?fn=detailBiblioForm&amp;sid=C1A7CE7528D0F736BE395C51</v>
      </c>
    </row>
    <row r="8313" spans="3:5" ht="75" x14ac:dyDescent="0.25">
      <c r="C8313" s="15">
        <v>104202</v>
      </c>
      <c r="D8313" s="4" t="s">
        <v>8316</v>
      </c>
      <c r="E8313" s="4" t="str">
        <f>HYPERLINK("https://app.crepc.sk/?fn=detailBiblioForm&amp;sid=6E72E145B6DED42F4DC188103F")</f>
        <v>https://app.crepc.sk/?fn=detailBiblioForm&amp;sid=6E72E145B6DED42F4DC188103F</v>
      </c>
    </row>
    <row r="8314" spans="3:5" ht="60" x14ac:dyDescent="0.25">
      <c r="C8314" s="15">
        <v>436204</v>
      </c>
      <c r="D8314" s="4" t="s">
        <v>8317</v>
      </c>
      <c r="E8314" s="4" t="str">
        <f>HYPERLINK("https://app.crepc.sk/?fn=detailBiblioForm&amp;sid=6EEFAFF0D512B2777D3144AD22")</f>
        <v>https://app.crepc.sk/?fn=detailBiblioForm&amp;sid=6EEFAFF0D512B2777D3144AD22</v>
      </c>
    </row>
    <row r="8315" spans="3:5" ht="90" x14ac:dyDescent="0.25">
      <c r="C8315" s="15">
        <v>73895</v>
      </c>
      <c r="D8315" s="4" t="s">
        <v>8318</v>
      </c>
      <c r="E8315" s="4" t="str">
        <f>HYPERLINK("https://app.crepc.sk/?fn=detailBiblioForm&amp;sid=DC51AFA51253A59DDCAB6465")</f>
        <v>https://app.crepc.sk/?fn=detailBiblioForm&amp;sid=DC51AFA51253A59DDCAB6465</v>
      </c>
    </row>
    <row r="8316" spans="3:5" ht="90" x14ac:dyDescent="0.25">
      <c r="C8316" s="15">
        <v>433514</v>
      </c>
      <c r="D8316" s="4" t="s">
        <v>8319</v>
      </c>
      <c r="E8316" s="4" t="str">
        <f>HYPERLINK("https://app.crepc.sk/?fn=detailBiblioForm&amp;sid=5E59D5E80B28192E7D9C24E873")</f>
        <v>https://app.crepc.sk/?fn=detailBiblioForm&amp;sid=5E59D5E80B28192E7D9C24E873</v>
      </c>
    </row>
    <row r="8317" spans="3:5" ht="45" x14ac:dyDescent="0.25">
      <c r="C8317" s="15">
        <v>246451</v>
      </c>
      <c r="D8317" s="4" t="s">
        <v>8320</v>
      </c>
      <c r="E8317" s="4" t="str">
        <f>HYPERLINK("https://app.crepc.sk/?fn=detailBiblioForm&amp;sid=C23082FBDA4977C5BC7F22A713")</f>
        <v>https://app.crepc.sk/?fn=detailBiblioForm&amp;sid=C23082FBDA4977C5BC7F22A713</v>
      </c>
    </row>
    <row r="8318" spans="3:5" ht="90" x14ac:dyDescent="0.25">
      <c r="C8318" s="15">
        <v>147418</v>
      </c>
      <c r="D8318" s="4" t="s">
        <v>8321</v>
      </c>
      <c r="E8318" s="4" t="str">
        <f>HYPERLINK("https://app.crepc.sk/?fn=detailBiblioForm&amp;sid=CAF43C23BCEFEBA4BCC570AAAC")</f>
        <v>https://app.crepc.sk/?fn=detailBiblioForm&amp;sid=CAF43C23BCEFEBA4BCC570AAAC</v>
      </c>
    </row>
    <row r="8319" spans="3:5" ht="105" x14ac:dyDescent="0.25">
      <c r="C8319" s="15">
        <v>198969</v>
      </c>
      <c r="D8319" s="4" t="s">
        <v>8322</v>
      </c>
      <c r="E8319" s="4" t="str">
        <f>HYPERLINK("https://app.crepc.sk/?fn=detailBiblioForm&amp;sid=72F616B01DF8DEC0484DA0C4CB")</f>
        <v>https://app.crepc.sk/?fn=detailBiblioForm&amp;sid=72F616B01DF8DEC0484DA0C4CB</v>
      </c>
    </row>
    <row r="8320" spans="3:5" ht="90" x14ac:dyDescent="0.25">
      <c r="C8320" s="15">
        <v>142526</v>
      </c>
      <c r="D8320" s="4" t="s">
        <v>8323</v>
      </c>
      <c r="E8320" s="4" t="str">
        <f>HYPERLINK("https://app.crepc.sk/?fn=detailBiblioForm&amp;sid=367CD704F5D5570C72E099C82C")</f>
        <v>https://app.crepc.sk/?fn=detailBiblioForm&amp;sid=367CD704F5D5570C72E099C82C</v>
      </c>
    </row>
    <row r="8321" spans="3:5" ht="105" x14ac:dyDescent="0.25">
      <c r="C8321" s="15">
        <v>456684</v>
      </c>
      <c r="D8321" s="4" t="s">
        <v>8324</v>
      </c>
      <c r="E8321" s="4" t="str">
        <f>HYPERLINK("https://app.crepc.sk/?fn=detailBiblioForm&amp;sid=D84386D5E978135361BF51E2D5")</f>
        <v>https://app.crepc.sk/?fn=detailBiblioForm&amp;sid=D84386D5E978135361BF51E2D5</v>
      </c>
    </row>
    <row r="8322" spans="3:5" ht="60" x14ac:dyDescent="0.25">
      <c r="C8322" s="15">
        <v>84823</v>
      </c>
      <c r="D8322" s="4" t="s">
        <v>8325</v>
      </c>
      <c r="E8322" s="4" t="str">
        <f>HYPERLINK("https://app.crepc.sk/?fn=detailBiblioForm&amp;sid=C1A7CE7528D0F736B4395C51")</f>
        <v>https://app.crepc.sk/?fn=detailBiblioForm&amp;sid=C1A7CE7528D0F736B4395C51</v>
      </c>
    </row>
    <row r="8323" spans="3:5" ht="45" x14ac:dyDescent="0.25">
      <c r="C8323" s="15">
        <v>184887</v>
      </c>
      <c r="D8323" s="4" t="s">
        <v>8326</v>
      </c>
      <c r="E8323" s="4" t="str">
        <f>HYPERLINK("https://app.crepc.sk/?fn=detailBiblioForm&amp;sid=27E63CCD114FFEB6D0D3D8EE90")</f>
        <v>https://app.crepc.sk/?fn=detailBiblioForm&amp;sid=27E63CCD114FFEB6D0D3D8EE90</v>
      </c>
    </row>
    <row r="8324" spans="3:5" ht="75" x14ac:dyDescent="0.25">
      <c r="C8324" s="15">
        <v>309231</v>
      </c>
      <c r="D8324" s="4" t="s">
        <v>8327</v>
      </c>
      <c r="E8324" s="4" t="str">
        <f>HYPERLINK("https://app.crepc.sk/?fn=detailBiblioForm&amp;sid=40BD072F73D8B14F690874681D")</f>
        <v>https://app.crepc.sk/?fn=detailBiblioForm&amp;sid=40BD072F73D8B14F690874681D</v>
      </c>
    </row>
    <row r="8325" spans="3:5" ht="75" x14ac:dyDescent="0.25">
      <c r="C8325" s="15">
        <v>115653</v>
      </c>
      <c r="D8325" s="4" t="s">
        <v>8328</v>
      </c>
      <c r="E8325" s="4" t="str">
        <f>HYPERLINK("https://app.crepc.sk/?fn=detailBiblioForm&amp;sid=8B887CD3FF777E5051B77BD084")</f>
        <v>https://app.crepc.sk/?fn=detailBiblioForm&amp;sid=8B887CD3FF777E5051B77BD084</v>
      </c>
    </row>
    <row r="8326" spans="3:5" ht="75" x14ac:dyDescent="0.25">
      <c r="C8326" s="15">
        <v>199881</v>
      </c>
      <c r="D8326" s="4" t="s">
        <v>8329</v>
      </c>
      <c r="E8326" s="4" t="str">
        <f>HYPERLINK("https://app.crepc.sk/?fn=detailBiblioForm&amp;sid=3B3B756FD79A5CBEF3464FAA97")</f>
        <v>https://app.crepc.sk/?fn=detailBiblioForm&amp;sid=3B3B756FD79A5CBEF3464FAA97</v>
      </c>
    </row>
    <row r="8327" spans="3:5" ht="75" x14ac:dyDescent="0.25">
      <c r="C8327" s="15">
        <v>57957</v>
      </c>
      <c r="D8327" s="4" t="s">
        <v>8330</v>
      </c>
      <c r="E8327" s="4" t="str">
        <f>HYPERLINK("https://app.crepc.sk/?fn=detailBiblioForm&amp;sid=201E08846A48D10420BB2949")</f>
        <v>https://app.crepc.sk/?fn=detailBiblioForm&amp;sid=201E08846A48D10420BB2949</v>
      </c>
    </row>
    <row r="8328" spans="3:5" ht="45" x14ac:dyDescent="0.25">
      <c r="C8328" s="15">
        <v>172960</v>
      </c>
      <c r="D8328" s="4" t="s">
        <v>8331</v>
      </c>
      <c r="E8328" s="4" t="str">
        <f>HYPERLINK("https://app.crepc.sk/?fn=detailBiblioForm&amp;sid=D6903242A3B61C7D21C980C097")</f>
        <v>https://app.crepc.sk/?fn=detailBiblioForm&amp;sid=D6903242A3B61C7D21C980C097</v>
      </c>
    </row>
    <row r="8329" spans="3:5" ht="75" x14ac:dyDescent="0.25">
      <c r="C8329" s="15">
        <v>416248</v>
      </c>
      <c r="D8329" s="4" t="s">
        <v>8332</v>
      </c>
      <c r="E8329" s="4" t="str">
        <f>HYPERLINK("https://app.crepc.sk/?fn=detailBiblioForm&amp;sid=10FB906A240B782B2C3E00BB97")</f>
        <v>https://app.crepc.sk/?fn=detailBiblioForm&amp;sid=10FB906A240B782B2C3E00BB97</v>
      </c>
    </row>
    <row r="8330" spans="3:5" ht="90" x14ac:dyDescent="0.25">
      <c r="C8330" s="15">
        <v>454862</v>
      </c>
      <c r="D8330" s="4" t="s">
        <v>8333</v>
      </c>
      <c r="E8330" s="4" t="str">
        <f>HYPERLINK("https://app.crepc.sk/?fn=detailBiblioForm&amp;sid=EB22BF7B5897B82102A49B474E")</f>
        <v>https://app.crepc.sk/?fn=detailBiblioForm&amp;sid=EB22BF7B5897B82102A49B474E</v>
      </c>
    </row>
    <row r="8331" spans="3:5" ht="75" x14ac:dyDescent="0.25">
      <c r="C8331" s="15">
        <v>435127</v>
      </c>
      <c r="D8331" s="4" t="s">
        <v>8334</v>
      </c>
      <c r="E8331" s="4" t="str">
        <f>HYPERLINK("https://app.crepc.sk/?fn=detailBiblioForm&amp;sid=AD8868FB556EBD592D3DBB48EF")</f>
        <v>https://app.crepc.sk/?fn=detailBiblioForm&amp;sid=AD8868FB556EBD592D3DBB48EF</v>
      </c>
    </row>
    <row r="8332" spans="3:5" ht="60" x14ac:dyDescent="0.25">
      <c r="C8332" s="15">
        <v>79328</v>
      </c>
      <c r="D8332" s="4" t="s">
        <v>8335</v>
      </c>
      <c r="E8332" s="4" t="str">
        <f>HYPERLINK("https://app.crepc.sk/?fn=detailBiblioForm&amp;sid=DB293A075C61E3F7B9FE776A")</f>
        <v>https://app.crepc.sk/?fn=detailBiblioForm&amp;sid=DB293A075C61E3F7B9FE776A</v>
      </c>
    </row>
    <row r="8333" spans="3:5" ht="105" x14ac:dyDescent="0.25">
      <c r="C8333" s="15">
        <v>162212</v>
      </c>
      <c r="D8333" s="4" t="s">
        <v>8336</v>
      </c>
      <c r="E8333" s="4" t="str">
        <f>HYPERLINK("https://app.crepc.sk/?fn=detailBiblioForm&amp;sid=064839694A055E9D100FD03241")</f>
        <v>https://app.crepc.sk/?fn=detailBiblioForm&amp;sid=064839694A055E9D100FD03241</v>
      </c>
    </row>
    <row r="8334" spans="3:5" ht="90" x14ac:dyDescent="0.25">
      <c r="C8334" s="15">
        <v>120399</v>
      </c>
      <c r="D8334" s="4" t="s">
        <v>8337</v>
      </c>
      <c r="E8334" s="4" t="str">
        <f>HYPERLINK("https://app.crepc.sk/?fn=detailBiblioForm&amp;sid=7C8EC80C674BD33D4DA46DBADF")</f>
        <v>https://app.crepc.sk/?fn=detailBiblioForm&amp;sid=7C8EC80C674BD33D4DA46DBADF</v>
      </c>
    </row>
    <row r="8335" spans="3:5" ht="45" x14ac:dyDescent="0.25">
      <c r="C8335" s="15">
        <v>179398</v>
      </c>
      <c r="D8335" s="4" t="s">
        <v>8338</v>
      </c>
      <c r="E8335" s="4" t="str">
        <f>HYPERLINK("https://app.crepc.sk/?fn=detailBiblioForm&amp;sid=F21271D19E376096CF0C1E1176")</f>
        <v>https://app.crepc.sk/?fn=detailBiblioForm&amp;sid=F21271D19E376096CF0C1E1176</v>
      </c>
    </row>
    <row r="8336" spans="3:5" ht="75" x14ac:dyDescent="0.25">
      <c r="C8336" s="15">
        <v>180652</v>
      </c>
      <c r="D8336" s="4" t="s">
        <v>8339</v>
      </c>
      <c r="E8336" s="4" t="str">
        <f>HYPERLINK("https://app.crepc.sk/?fn=detailBiblioForm&amp;sid=6B977D197BBEDDBAD67AD8DAE5")</f>
        <v>https://app.crepc.sk/?fn=detailBiblioForm&amp;sid=6B977D197BBEDDBAD67AD8DAE5</v>
      </c>
    </row>
    <row r="8337" spans="3:5" ht="75" x14ac:dyDescent="0.25">
      <c r="C8337" s="15">
        <v>183755</v>
      </c>
      <c r="D8337" s="4" t="s">
        <v>8340</v>
      </c>
      <c r="E8337" s="4" t="str">
        <f>HYPERLINK("https://app.crepc.sk/?fn=detailBiblioForm&amp;sid=8DA5F85D14F67EBBAFD98BC081")</f>
        <v>https://app.crepc.sk/?fn=detailBiblioForm&amp;sid=8DA5F85D14F67EBBAFD98BC081</v>
      </c>
    </row>
    <row r="8338" spans="3:5" ht="90" x14ac:dyDescent="0.25">
      <c r="C8338" s="15">
        <v>245955</v>
      </c>
      <c r="D8338" s="4" t="s">
        <v>8341</v>
      </c>
      <c r="E8338" s="4" t="str">
        <f>HYPERLINK("https://app.crepc.sk/?fn=detailBiblioForm&amp;sid=B4074A4D7573537BC275B46E05")</f>
        <v>https://app.crepc.sk/?fn=detailBiblioForm&amp;sid=B4074A4D7573537BC275B46E05</v>
      </c>
    </row>
    <row r="8339" spans="3:5" ht="45" x14ac:dyDescent="0.25">
      <c r="C8339" s="15">
        <v>100867</v>
      </c>
      <c r="D8339" s="4" t="s">
        <v>8342</v>
      </c>
      <c r="E8339" s="4" t="str">
        <f>HYPERLINK("https://app.crepc.sk/?fn=detailBiblioForm&amp;sid=C2DCC5E65C22781D3C66D860DE")</f>
        <v>https://app.crepc.sk/?fn=detailBiblioForm&amp;sid=C2DCC5E65C22781D3C66D860DE</v>
      </c>
    </row>
    <row r="8340" spans="3:5" ht="90" x14ac:dyDescent="0.25">
      <c r="C8340" s="15">
        <v>247517</v>
      </c>
      <c r="D8340" s="4" t="s">
        <v>8343</v>
      </c>
      <c r="E8340" s="4" t="str">
        <f>HYPERLINK("https://app.crepc.sk/?fn=detailBiblioForm&amp;sid=2C6BFF773E4A2445FD3A0BC3DC")</f>
        <v>https://app.crepc.sk/?fn=detailBiblioForm&amp;sid=2C6BFF773E4A2445FD3A0BC3DC</v>
      </c>
    </row>
    <row r="8341" spans="3:5" ht="75" x14ac:dyDescent="0.25">
      <c r="C8341" s="15">
        <v>188091</v>
      </c>
      <c r="D8341" s="4" t="s">
        <v>8344</v>
      </c>
      <c r="E8341" s="4" t="str">
        <f>HYPERLINK("https://app.crepc.sk/?fn=detailBiblioForm&amp;sid=A79B29EB5917D5016DE07633EB")</f>
        <v>https://app.crepc.sk/?fn=detailBiblioForm&amp;sid=A79B29EB5917D5016DE07633EB</v>
      </c>
    </row>
    <row r="8342" spans="3:5" ht="75" x14ac:dyDescent="0.25">
      <c r="C8342" s="15">
        <v>438118</v>
      </c>
      <c r="D8342" s="4" t="s">
        <v>8345</v>
      </c>
      <c r="E8342" s="4" t="str">
        <f>HYPERLINK("https://app.crepc.sk/?fn=detailBiblioForm&amp;sid=19C10991FDD13194C19A4DFDE8")</f>
        <v>https://app.crepc.sk/?fn=detailBiblioForm&amp;sid=19C10991FDD13194C19A4DFDE8</v>
      </c>
    </row>
    <row r="8343" spans="3:5" ht="105" x14ac:dyDescent="0.25">
      <c r="C8343" s="15">
        <v>51664</v>
      </c>
      <c r="D8343" s="4" t="s">
        <v>8346</v>
      </c>
      <c r="E8343" s="4" t="str">
        <f>HYPERLINK("https://app.crepc.sk/?fn=detailBiblioForm&amp;sid=E76DA794FCD7791BEED263F9")</f>
        <v>https://app.crepc.sk/?fn=detailBiblioForm&amp;sid=E76DA794FCD7791BEED263F9</v>
      </c>
    </row>
    <row r="8344" spans="3:5" ht="90" x14ac:dyDescent="0.25">
      <c r="C8344" s="15">
        <v>430115</v>
      </c>
      <c r="D8344" s="4" t="s">
        <v>8347</v>
      </c>
      <c r="E8344" s="4" t="str">
        <f>HYPERLINK("https://app.crepc.sk/?fn=detailBiblioForm&amp;sid=D59FFB823ACFE7C7BA8AA00097")</f>
        <v>https://app.crepc.sk/?fn=detailBiblioForm&amp;sid=D59FFB823ACFE7C7BA8AA00097</v>
      </c>
    </row>
    <row r="8345" spans="3:5" ht="105" x14ac:dyDescent="0.25">
      <c r="C8345" s="15">
        <v>194323</v>
      </c>
      <c r="D8345" s="4" t="s">
        <v>8348</v>
      </c>
      <c r="E8345" s="4" t="str">
        <f>HYPERLINK("https://app.crepc.sk/?fn=detailBiblioForm&amp;sid=81992416CA72F8A64CDD843BD5")</f>
        <v>https://app.crepc.sk/?fn=detailBiblioForm&amp;sid=81992416CA72F8A64CDD843BD5</v>
      </c>
    </row>
    <row r="8346" spans="3:5" ht="45" x14ac:dyDescent="0.25">
      <c r="C8346" s="15">
        <v>98240</v>
      </c>
      <c r="D8346" s="4" t="s">
        <v>8349</v>
      </c>
      <c r="E8346" s="4" t="str">
        <f>HYPERLINK("https://app.crepc.sk/?fn=detailBiblioForm&amp;sid=5B50FB7D0D78375054BFC0B8")</f>
        <v>https://app.crepc.sk/?fn=detailBiblioForm&amp;sid=5B50FB7D0D78375054BFC0B8</v>
      </c>
    </row>
    <row r="8347" spans="3:5" ht="60" x14ac:dyDescent="0.25">
      <c r="C8347" s="15">
        <v>256322</v>
      </c>
      <c r="D8347" s="4" t="s">
        <v>8350</v>
      </c>
      <c r="E8347" s="4" t="str">
        <f>HYPERLINK("https://app.crepc.sk/?fn=detailBiblioForm&amp;sid=53338FE5898FBD3D2E9D6AFB9B")</f>
        <v>https://app.crepc.sk/?fn=detailBiblioForm&amp;sid=53338FE5898FBD3D2E9D6AFB9B</v>
      </c>
    </row>
    <row r="8348" spans="3:5" ht="45" x14ac:dyDescent="0.25">
      <c r="C8348" s="15">
        <v>419321</v>
      </c>
      <c r="D8348" s="4" t="s">
        <v>8351</v>
      </c>
      <c r="E8348" s="4" t="str">
        <f>HYPERLINK("https://app.crepc.sk/?fn=detailBiblioForm&amp;sid=D0B86A6C889D400A9FB166C23A")</f>
        <v>https://app.crepc.sk/?fn=detailBiblioForm&amp;sid=D0B86A6C889D400A9FB166C23A</v>
      </c>
    </row>
    <row r="8349" spans="3:5" ht="60" x14ac:dyDescent="0.25">
      <c r="C8349" s="15">
        <v>121886</v>
      </c>
      <c r="D8349" s="4" t="s">
        <v>8352</v>
      </c>
      <c r="E8349" s="4" t="str">
        <f>HYPERLINK("https://app.crepc.sk/?fn=detailBiblioForm&amp;sid=FB227A2458B7F9F418612D5E19")</f>
        <v>https://app.crepc.sk/?fn=detailBiblioForm&amp;sid=FB227A2458B7F9F418612D5E19</v>
      </c>
    </row>
    <row r="8350" spans="3:5" ht="60" x14ac:dyDescent="0.25">
      <c r="C8350" s="15">
        <v>428131</v>
      </c>
      <c r="D8350" s="4" t="s">
        <v>8353</v>
      </c>
      <c r="E8350" s="4" t="str">
        <f>HYPERLINK("https://app.crepc.sk/?fn=detailBiblioForm&amp;sid=DCDDD0C427F279D0921943A078")</f>
        <v>https://app.crepc.sk/?fn=detailBiblioForm&amp;sid=DCDDD0C427F279D0921943A078</v>
      </c>
    </row>
    <row r="8351" spans="3:5" ht="75" x14ac:dyDescent="0.25">
      <c r="C8351" s="15">
        <v>135715</v>
      </c>
      <c r="D8351" s="4" t="s">
        <v>8354</v>
      </c>
      <c r="E8351" s="4" t="str">
        <f>HYPERLINK("https://app.crepc.sk/?fn=detailBiblioForm&amp;sid=D526CB574B7F6ABB32539B57E6")</f>
        <v>https://app.crepc.sk/?fn=detailBiblioForm&amp;sid=D526CB574B7F6ABB32539B57E6</v>
      </c>
    </row>
    <row r="8352" spans="3:5" ht="90" x14ac:dyDescent="0.25">
      <c r="C8352" s="15">
        <v>104376</v>
      </c>
      <c r="D8352" s="4" t="s">
        <v>8355</v>
      </c>
      <c r="E8352" s="4" t="str">
        <f>HYPERLINK("https://app.crepc.sk/?fn=detailBiblioForm&amp;sid=DD6DC1ACF31F8CDC5F9538F016")</f>
        <v>https://app.crepc.sk/?fn=detailBiblioForm&amp;sid=DD6DC1ACF31F8CDC5F9538F016</v>
      </c>
    </row>
    <row r="8353" spans="3:5" ht="60" x14ac:dyDescent="0.25">
      <c r="C8353" s="15">
        <v>414491</v>
      </c>
      <c r="D8353" s="4" t="s">
        <v>8356</v>
      </c>
      <c r="E8353" s="4" t="str">
        <f>HYPERLINK("https://app.crepc.sk/?fn=detailBiblioForm&amp;sid=DBC31F8AD6E803EED05A3E0650")</f>
        <v>https://app.crepc.sk/?fn=detailBiblioForm&amp;sid=DBC31F8AD6E803EED05A3E0650</v>
      </c>
    </row>
    <row r="8354" spans="3:5" ht="90" x14ac:dyDescent="0.25">
      <c r="C8354" s="15">
        <v>73485</v>
      </c>
      <c r="D8354" s="4" t="s">
        <v>8357</v>
      </c>
      <c r="E8354" s="4" t="str">
        <f>HYPERLINK("https://app.crepc.sk/?fn=detailBiblioForm&amp;sid=C310301B550CB59114C80223")</f>
        <v>https://app.crepc.sk/?fn=detailBiblioForm&amp;sid=C310301B550CB59114C80223</v>
      </c>
    </row>
    <row r="8355" spans="3:5" ht="90" x14ac:dyDescent="0.25">
      <c r="C8355" s="15">
        <v>448477</v>
      </c>
      <c r="D8355" s="4" t="s">
        <v>8358</v>
      </c>
      <c r="E8355" s="4" t="str">
        <f>HYPERLINK("https://app.crepc.sk/?fn=detailBiblioForm&amp;sid=8F7BD044D3EF6CCC5123597E25")</f>
        <v>https://app.crepc.sk/?fn=detailBiblioForm&amp;sid=8F7BD044D3EF6CCC5123597E25</v>
      </c>
    </row>
    <row r="8356" spans="3:5" ht="90" x14ac:dyDescent="0.25">
      <c r="C8356" s="15">
        <v>179410</v>
      </c>
      <c r="D8356" s="4" t="s">
        <v>8359</v>
      </c>
      <c r="E8356" s="4" t="str">
        <f>HYPERLINK("https://app.crepc.sk/?fn=detailBiblioForm&amp;sid=74EB4C9215C2376F50B526C93D")</f>
        <v>https://app.crepc.sk/?fn=detailBiblioForm&amp;sid=74EB4C9215C2376F50B526C93D</v>
      </c>
    </row>
    <row r="8357" spans="3:5" ht="90" x14ac:dyDescent="0.25">
      <c r="C8357" s="15">
        <v>168453</v>
      </c>
      <c r="D8357" s="4" t="s">
        <v>8360</v>
      </c>
      <c r="E8357" s="4" t="str">
        <f>HYPERLINK("https://app.crepc.sk/?fn=detailBiblioForm&amp;sid=EDED30F385E76150BDFE548FA8")</f>
        <v>https://app.crepc.sk/?fn=detailBiblioForm&amp;sid=EDED30F385E76150BDFE548FA8</v>
      </c>
    </row>
    <row r="8358" spans="3:5" ht="90" x14ac:dyDescent="0.25">
      <c r="C8358" s="15">
        <v>447963</v>
      </c>
      <c r="D8358" s="4" t="s">
        <v>8361</v>
      </c>
      <c r="E8358" s="4" t="str">
        <f>HYPERLINK("https://app.crepc.sk/?fn=detailBiblioForm&amp;sid=1B50CC9371C3E7A0E41BA75DC9")</f>
        <v>https://app.crepc.sk/?fn=detailBiblioForm&amp;sid=1B50CC9371C3E7A0E41BA75DC9</v>
      </c>
    </row>
    <row r="8359" spans="3:5" ht="105" x14ac:dyDescent="0.25">
      <c r="C8359" s="15">
        <v>51293</v>
      </c>
      <c r="D8359" s="4" t="s">
        <v>8362</v>
      </c>
      <c r="E8359" s="4" t="str">
        <f>HYPERLINK("https://app.crepc.sk/?fn=detailBiblioForm&amp;sid=957010A5889D7A5A652EA569")</f>
        <v>https://app.crepc.sk/?fn=detailBiblioForm&amp;sid=957010A5889D7A5A652EA569</v>
      </c>
    </row>
    <row r="8360" spans="3:5" ht="60" x14ac:dyDescent="0.25">
      <c r="C8360" s="15">
        <v>448514</v>
      </c>
      <c r="D8360" s="4" t="s">
        <v>8363</v>
      </c>
      <c r="E8360" s="4" t="str">
        <f>HYPERLINK("https://app.crepc.sk/?fn=detailBiblioForm&amp;sid=AB769D11A18D1299D7324F1DA7")</f>
        <v>https://app.crepc.sk/?fn=detailBiblioForm&amp;sid=AB769D11A18D1299D7324F1DA7</v>
      </c>
    </row>
    <row r="8361" spans="3:5" ht="45" x14ac:dyDescent="0.25">
      <c r="C8361" s="15">
        <v>241048</v>
      </c>
      <c r="D8361" s="4" t="s">
        <v>8364</v>
      </c>
      <c r="E8361" s="4" t="str">
        <f>HYPERLINK("https://app.crepc.sk/?fn=detailBiblioForm&amp;sid=2A11DD34E0337BFA132E7A172D")</f>
        <v>https://app.crepc.sk/?fn=detailBiblioForm&amp;sid=2A11DD34E0337BFA132E7A172D</v>
      </c>
    </row>
    <row r="8362" spans="3:5" ht="90" x14ac:dyDescent="0.25">
      <c r="C8362" s="15">
        <v>85088</v>
      </c>
      <c r="D8362" s="4" t="s">
        <v>8365</v>
      </c>
      <c r="E8362" s="4" t="str">
        <f>HYPERLINK("https://app.crepc.sk/?fn=detailBiblioForm&amp;sid=170422DD690F3E0D50245795")</f>
        <v>https://app.crepc.sk/?fn=detailBiblioForm&amp;sid=170422DD690F3E0D50245795</v>
      </c>
    </row>
    <row r="8363" spans="3:5" ht="75" x14ac:dyDescent="0.25">
      <c r="C8363" s="15">
        <v>163050</v>
      </c>
      <c r="D8363" s="4" t="s">
        <v>8366</v>
      </c>
      <c r="E8363" s="4" t="str">
        <f>HYPERLINK("https://app.crepc.sk/?fn=detailBiblioForm&amp;sid=50FE609ECAA3CD9EE5C801F139")</f>
        <v>https://app.crepc.sk/?fn=detailBiblioForm&amp;sid=50FE609ECAA3CD9EE5C801F139</v>
      </c>
    </row>
    <row r="8364" spans="3:5" ht="60" x14ac:dyDescent="0.25">
      <c r="C8364" s="15">
        <v>114517</v>
      </c>
      <c r="D8364" s="4" t="s">
        <v>8367</v>
      </c>
      <c r="E8364" s="4" t="str">
        <f>HYPERLINK("https://app.crepc.sk/?fn=detailBiblioForm&amp;sid=A4D39FE022EC143D2219F44F4D")</f>
        <v>https://app.crepc.sk/?fn=detailBiblioForm&amp;sid=A4D39FE022EC143D2219F44F4D</v>
      </c>
    </row>
    <row r="8365" spans="3:5" ht="60" x14ac:dyDescent="0.25">
      <c r="C8365" s="15">
        <v>175645</v>
      </c>
      <c r="D8365" s="4" t="s">
        <v>8368</v>
      </c>
      <c r="E8365" s="4" t="str">
        <f>HYPERLINK("https://app.crepc.sk/?fn=detailBiblioForm&amp;sid=BF3D9176E80E1FB67ABA4047B2")</f>
        <v>https://app.crepc.sk/?fn=detailBiblioForm&amp;sid=BF3D9176E80E1FB67ABA4047B2</v>
      </c>
    </row>
    <row r="8366" spans="3:5" ht="45" x14ac:dyDescent="0.25">
      <c r="C8366" s="15">
        <v>442040</v>
      </c>
      <c r="D8366" s="4" t="s">
        <v>8369</v>
      </c>
      <c r="E8366" s="4" t="str">
        <f>HYPERLINK("https://app.crepc.sk/?fn=detailBiblioForm&amp;sid=ED9C4DCA7369AD6DB56FA6E649")</f>
        <v>https://app.crepc.sk/?fn=detailBiblioForm&amp;sid=ED9C4DCA7369AD6DB56FA6E649</v>
      </c>
    </row>
    <row r="8367" spans="3:5" ht="75" x14ac:dyDescent="0.25">
      <c r="C8367" s="15">
        <v>54966</v>
      </c>
      <c r="D8367" s="4" t="s">
        <v>8370</v>
      </c>
      <c r="E8367" s="4" t="str">
        <f>HYPERLINK("https://app.crepc.sk/?fn=detailBiblioForm&amp;sid=411CD7593FD707E5B22CF899")</f>
        <v>https://app.crepc.sk/?fn=detailBiblioForm&amp;sid=411CD7593FD707E5B22CF899</v>
      </c>
    </row>
    <row r="8368" spans="3:5" ht="75" x14ac:dyDescent="0.25">
      <c r="C8368" s="15">
        <v>255708</v>
      </c>
      <c r="D8368" s="4" t="s">
        <v>8371</v>
      </c>
      <c r="E8368" s="4" t="str">
        <f>HYPERLINK("https://app.crepc.sk/?fn=detailBiblioForm&amp;sid=918F0144324B7C45728971E1CF")</f>
        <v>https://app.crepc.sk/?fn=detailBiblioForm&amp;sid=918F0144324B7C45728971E1CF</v>
      </c>
    </row>
    <row r="8369" spans="3:5" ht="60" x14ac:dyDescent="0.25">
      <c r="C8369" s="15">
        <v>424697</v>
      </c>
      <c r="D8369" s="4" t="s">
        <v>8372</v>
      </c>
      <c r="E8369" s="4" t="str">
        <f>HYPERLINK("https://app.crepc.sk/?fn=detailBiblioForm&amp;sid=CC1B3F91A32071DE40D3F9FB02")</f>
        <v>https://app.crepc.sk/?fn=detailBiblioForm&amp;sid=CC1B3F91A32071DE40D3F9FB02</v>
      </c>
    </row>
    <row r="8370" spans="3:5" ht="60" x14ac:dyDescent="0.25">
      <c r="C8370" s="15">
        <v>102771</v>
      </c>
      <c r="D8370" s="4" t="s">
        <v>8373</v>
      </c>
      <c r="E8370" s="4" t="str">
        <f>HYPERLINK("https://app.crepc.sk/?fn=detailBiblioForm&amp;sid=B7849FF1DE1334BAB7AB4EB383")</f>
        <v>https://app.crepc.sk/?fn=detailBiblioForm&amp;sid=B7849FF1DE1334BAB7AB4EB383</v>
      </c>
    </row>
    <row r="8371" spans="3:5" ht="60" x14ac:dyDescent="0.25">
      <c r="C8371" s="15">
        <v>51269</v>
      </c>
      <c r="D8371" s="4" t="s">
        <v>8374</v>
      </c>
      <c r="E8371" s="4" t="str">
        <f>HYPERLINK("https://app.crepc.sk/?fn=detailBiblioForm&amp;sid=777CE75A3AADA6C19163A9A2")</f>
        <v>https://app.crepc.sk/?fn=detailBiblioForm&amp;sid=777CE75A3AADA6C19163A9A2</v>
      </c>
    </row>
    <row r="8372" spans="3:5" ht="75" x14ac:dyDescent="0.25">
      <c r="C8372" s="15">
        <v>101990</v>
      </c>
      <c r="D8372" s="4" t="s">
        <v>8375</v>
      </c>
      <c r="E8372" s="4" t="str">
        <f>HYPERLINK("https://app.crepc.sk/?fn=detailBiblioForm&amp;sid=D80D1AB294E7FDBA3D73AEC1B2")</f>
        <v>https://app.crepc.sk/?fn=detailBiblioForm&amp;sid=D80D1AB294E7FDBA3D73AEC1B2</v>
      </c>
    </row>
    <row r="8373" spans="3:5" ht="60" x14ac:dyDescent="0.25">
      <c r="C8373" s="15">
        <v>308061</v>
      </c>
      <c r="D8373" s="4" t="s">
        <v>8376</v>
      </c>
      <c r="E8373" s="4" t="str">
        <f>HYPERLINK("https://app.crepc.sk/?fn=detailBiblioForm&amp;sid=B4814A7CCCB1CD2719E23FF425")</f>
        <v>https://app.crepc.sk/?fn=detailBiblioForm&amp;sid=B4814A7CCCB1CD2719E23FF425</v>
      </c>
    </row>
    <row r="8374" spans="3:5" ht="75" x14ac:dyDescent="0.25">
      <c r="C8374" s="15">
        <v>133792</v>
      </c>
      <c r="D8374" s="4" t="s">
        <v>8377</v>
      </c>
      <c r="E8374" s="4" t="str">
        <f>HYPERLINK("https://app.crepc.sk/?fn=detailBiblioForm&amp;sid=CB55A48AE268F42C0FE6A2B091")</f>
        <v>https://app.crepc.sk/?fn=detailBiblioForm&amp;sid=CB55A48AE268F42C0FE6A2B091</v>
      </c>
    </row>
    <row r="8375" spans="3:5" ht="90" x14ac:dyDescent="0.25">
      <c r="C8375" s="15">
        <v>255666</v>
      </c>
      <c r="D8375" s="4" t="s">
        <v>8378</v>
      </c>
      <c r="E8375" s="4" t="str">
        <f>HYPERLINK("https://app.crepc.sk/?fn=detailBiblioForm&amp;sid=EE7AC10E01D02473F9B0919967")</f>
        <v>https://app.crepc.sk/?fn=detailBiblioForm&amp;sid=EE7AC10E01D02473F9B0919967</v>
      </c>
    </row>
    <row r="8376" spans="3:5" ht="75" x14ac:dyDescent="0.25">
      <c r="C8376" s="15">
        <v>98302</v>
      </c>
      <c r="D8376" s="4" t="s">
        <v>8379</v>
      </c>
      <c r="E8376" s="4" t="str">
        <f>HYPERLINK("https://app.crepc.sk/?fn=detailBiblioForm&amp;sid=A57B4568B09AECBABA52A94D")</f>
        <v>https://app.crepc.sk/?fn=detailBiblioForm&amp;sid=A57B4568B09AECBABA52A94D</v>
      </c>
    </row>
    <row r="8377" spans="3:5" ht="120" x14ac:dyDescent="0.25">
      <c r="C8377" s="15">
        <v>193879</v>
      </c>
      <c r="D8377" s="4" t="s">
        <v>8380</v>
      </c>
      <c r="E8377" s="4" t="str">
        <f>HYPERLINK("https://app.crepc.sk/?fn=detailBiblioForm&amp;sid=E20D8D887E442817F075583B6F")</f>
        <v>https://app.crepc.sk/?fn=detailBiblioForm&amp;sid=E20D8D887E442817F075583B6F</v>
      </c>
    </row>
    <row r="8378" spans="3:5" ht="45" x14ac:dyDescent="0.25">
      <c r="C8378" s="15">
        <v>185313</v>
      </c>
      <c r="D8378" s="4" t="s">
        <v>8381</v>
      </c>
      <c r="E8378" s="4" t="str">
        <f>HYPERLINK("https://app.crepc.sk/?fn=detailBiblioForm&amp;sid=2669133F09816268E9AF8C2A31")</f>
        <v>https://app.crepc.sk/?fn=detailBiblioForm&amp;sid=2669133F09816268E9AF8C2A31</v>
      </c>
    </row>
    <row r="8379" spans="3:5" ht="75" x14ac:dyDescent="0.25">
      <c r="C8379" s="15">
        <v>140192</v>
      </c>
      <c r="D8379" s="4" t="s">
        <v>8382</v>
      </c>
      <c r="E8379" s="4" t="str">
        <f>HYPERLINK("https://app.crepc.sk/?fn=detailBiblioForm&amp;sid=17899838D38E4BD15F1DEAAA4C")</f>
        <v>https://app.crepc.sk/?fn=detailBiblioForm&amp;sid=17899838D38E4BD15F1DEAAA4C</v>
      </c>
    </row>
    <row r="8380" spans="3:5" ht="60" x14ac:dyDescent="0.25">
      <c r="C8380" s="15">
        <v>201504</v>
      </c>
      <c r="D8380" s="4" t="s">
        <v>8383</v>
      </c>
      <c r="E8380" s="4" t="str">
        <f>HYPERLINK("https://app.crepc.sk/?fn=detailBiblioForm&amp;sid=C3E0BD8EE7867A05E9A45B1402")</f>
        <v>https://app.crepc.sk/?fn=detailBiblioForm&amp;sid=C3E0BD8EE7867A05E9A45B1402</v>
      </c>
    </row>
    <row r="8381" spans="3:5" ht="60" x14ac:dyDescent="0.25">
      <c r="C8381" s="15">
        <v>77916</v>
      </c>
      <c r="D8381" s="4" t="s">
        <v>8384</v>
      </c>
      <c r="E8381" s="4" t="str">
        <f>HYPERLINK("https://app.crepc.sk/?fn=detailBiblioForm&amp;sid=BE6BED1A316F6F738120DCAC")</f>
        <v>https://app.crepc.sk/?fn=detailBiblioForm&amp;sid=BE6BED1A316F6F738120DCAC</v>
      </c>
    </row>
    <row r="8382" spans="3:5" ht="75" x14ac:dyDescent="0.25">
      <c r="C8382" s="15">
        <v>126103</v>
      </c>
      <c r="D8382" s="4" t="s">
        <v>8385</v>
      </c>
      <c r="E8382" s="4" t="str">
        <f>HYPERLINK("https://app.crepc.sk/?fn=detailBiblioForm&amp;sid=1C98E395077C3113525B831412")</f>
        <v>https://app.crepc.sk/?fn=detailBiblioForm&amp;sid=1C98E395077C3113525B831412</v>
      </c>
    </row>
    <row r="8383" spans="3:5" ht="60" x14ac:dyDescent="0.25">
      <c r="C8383" s="15">
        <v>180746</v>
      </c>
      <c r="D8383" s="4" t="s">
        <v>8386</v>
      </c>
      <c r="E8383" s="4" t="str">
        <f>HYPERLINK("https://app.crepc.sk/?fn=detailBiblioForm&amp;sid=46F337D26E70386BCA330607C3")</f>
        <v>https://app.crepc.sk/?fn=detailBiblioForm&amp;sid=46F337D26E70386BCA330607C3</v>
      </c>
    </row>
    <row r="8384" spans="3:5" ht="105" x14ac:dyDescent="0.25">
      <c r="C8384" s="15">
        <v>126372</v>
      </c>
      <c r="D8384" s="4" t="s">
        <v>8387</v>
      </c>
      <c r="E8384" s="4" t="str">
        <f>HYPERLINK("https://app.crepc.sk/?fn=detailBiblioForm&amp;sid=728DDAFCA0C23A4506FB0D4373")</f>
        <v>https://app.crepc.sk/?fn=detailBiblioForm&amp;sid=728DDAFCA0C23A4506FB0D4373</v>
      </c>
    </row>
    <row r="8385" spans="3:5" ht="90" x14ac:dyDescent="0.25">
      <c r="C8385" s="15">
        <v>315213</v>
      </c>
      <c r="D8385" s="4" t="s">
        <v>8388</v>
      </c>
      <c r="E8385" s="4" t="str">
        <f>HYPERLINK("https://app.crepc.sk/?fn=detailBiblioForm&amp;sid=D8E909CCB801991832B7757C25")</f>
        <v>https://app.crepc.sk/?fn=detailBiblioForm&amp;sid=D8E909CCB801991832B7757C25</v>
      </c>
    </row>
    <row r="8386" spans="3:5" ht="60" x14ac:dyDescent="0.25">
      <c r="C8386" s="15">
        <v>186910</v>
      </c>
      <c r="D8386" s="4" t="s">
        <v>8389</v>
      </c>
      <c r="E8386" s="4" t="str">
        <f>HYPERLINK("https://app.crepc.sk/?fn=detailBiblioForm&amp;sid=9EB7DDC054CB7EBFE272B5FCE5")</f>
        <v>https://app.crepc.sk/?fn=detailBiblioForm&amp;sid=9EB7DDC054CB7EBFE272B5FCE5</v>
      </c>
    </row>
    <row r="8387" spans="3:5" ht="45" x14ac:dyDescent="0.25">
      <c r="C8387" s="15">
        <v>308946</v>
      </c>
      <c r="D8387" s="4" t="s">
        <v>8390</v>
      </c>
      <c r="E8387" s="4" t="str">
        <f>HYPERLINK("https://app.crepc.sk/?fn=detailBiblioForm&amp;sid=D5ABE00A5E503AAC7F618C57C1")</f>
        <v>https://app.crepc.sk/?fn=detailBiblioForm&amp;sid=D5ABE00A5E503AAC7F618C57C1</v>
      </c>
    </row>
    <row r="8388" spans="3:5" ht="90" x14ac:dyDescent="0.25">
      <c r="C8388" s="15">
        <v>51043</v>
      </c>
      <c r="D8388" s="4" t="s">
        <v>8391</v>
      </c>
      <c r="E8388" s="4" t="str">
        <f>HYPERLINK("https://app.crepc.sk/?fn=detailBiblioForm&amp;sid=F664559925A71C4E5C7195AA")</f>
        <v>https://app.crepc.sk/?fn=detailBiblioForm&amp;sid=F664559925A71C4E5C7195AA</v>
      </c>
    </row>
    <row r="8389" spans="3:5" ht="60" x14ac:dyDescent="0.25">
      <c r="C8389" s="15">
        <v>133784</v>
      </c>
      <c r="D8389" s="4" t="s">
        <v>8392</v>
      </c>
      <c r="E8389" s="4" t="str">
        <f>HYPERLINK("https://app.crepc.sk/?fn=detailBiblioForm&amp;sid=CB55A48AE268F42C0EE0A2B091")</f>
        <v>https://app.crepc.sk/?fn=detailBiblioForm&amp;sid=CB55A48AE268F42C0EE0A2B091</v>
      </c>
    </row>
    <row r="8390" spans="3:5" ht="60" x14ac:dyDescent="0.25">
      <c r="C8390" s="15">
        <v>53172</v>
      </c>
      <c r="D8390" s="4" t="s">
        <v>8393</v>
      </c>
      <c r="E8390" s="4" t="str">
        <f>HYPERLINK("https://app.crepc.sk/?fn=detailBiblioForm&amp;sid=A14451BF2CA94CE9C4D73F81")</f>
        <v>https://app.crepc.sk/?fn=detailBiblioForm&amp;sid=A14451BF2CA94CE9C4D73F81</v>
      </c>
    </row>
    <row r="8391" spans="3:5" ht="90" x14ac:dyDescent="0.25">
      <c r="C8391" s="15">
        <v>256096</v>
      </c>
      <c r="D8391" s="4" t="s">
        <v>8394</v>
      </c>
      <c r="E8391" s="4" t="str">
        <f>HYPERLINK("https://app.crepc.sk/?fn=detailBiblioForm&amp;sid=E732C8DDBD9775CBEBE2BC2898")</f>
        <v>https://app.crepc.sk/?fn=detailBiblioForm&amp;sid=E732C8DDBD9775CBEBE2BC2898</v>
      </c>
    </row>
    <row r="8392" spans="3:5" ht="120" x14ac:dyDescent="0.25">
      <c r="C8392" s="15">
        <v>100785</v>
      </c>
      <c r="D8392" s="4" t="s">
        <v>8395</v>
      </c>
      <c r="E8392" s="4" t="str">
        <f>HYPERLINK("https://app.crepc.sk/?fn=detailBiblioForm&amp;sid=183355140A0C93010DF617331B")</f>
        <v>https://app.crepc.sk/?fn=detailBiblioForm&amp;sid=183355140A0C93010DF617331B</v>
      </c>
    </row>
    <row r="8393" spans="3:5" ht="60" x14ac:dyDescent="0.25">
      <c r="C8393" s="15">
        <v>58092</v>
      </c>
      <c r="D8393" s="4" t="s">
        <v>8396</v>
      </c>
      <c r="E8393" s="4" t="str">
        <f>HYPERLINK("https://app.crepc.sk/?fn=detailBiblioForm&amp;sid=23DBC1AB38E402E78C04749A")</f>
        <v>https://app.crepc.sk/?fn=detailBiblioForm&amp;sid=23DBC1AB38E402E78C04749A</v>
      </c>
    </row>
    <row r="8394" spans="3:5" ht="75" x14ac:dyDescent="0.25">
      <c r="C8394" s="15">
        <v>315392</v>
      </c>
      <c r="D8394" s="4" t="s">
        <v>8397</v>
      </c>
      <c r="E8394" s="4" t="str">
        <f>HYPERLINK("https://app.crepc.sk/?fn=detailBiblioForm&amp;sid=55621F876DA87463674E036671")</f>
        <v>https://app.crepc.sk/?fn=detailBiblioForm&amp;sid=55621F876DA87463674E036671</v>
      </c>
    </row>
    <row r="8395" spans="3:5" ht="105" x14ac:dyDescent="0.25">
      <c r="C8395" s="15">
        <v>162221</v>
      </c>
      <c r="D8395" s="4" t="s">
        <v>8398</v>
      </c>
      <c r="E8395" s="4" t="str">
        <f>HYPERLINK("https://app.crepc.sk/?fn=detailBiblioForm&amp;sid=064839694A055E9D130CD03241")</f>
        <v>https://app.crepc.sk/?fn=detailBiblioForm&amp;sid=064839694A055E9D130CD03241</v>
      </c>
    </row>
    <row r="8396" spans="3:5" ht="75" x14ac:dyDescent="0.25">
      <c r="C8396" s="15">
        <v>239807</v>
      </c>
      <c r="D8396" s="4" t="s">
        <v>8399</v>
      </c>
      <c r="E8396" s="4" t="str">
        <f>HYPERLINK("https://app.crepc.sk/?fn=detailBiblioForm&amp;sid=264ED3FE4CF1513A3F1BD53EB9")</f>
        <v>https://app.crepc.sk/?fn=detailBiblioForm&amp;sid=264ED3FE4CF1513A3F1BD53EB9</v>
      </c>
    </row>
    <row r="8397" spans="3:5" ht="60" x14ac:dyDescent="0.25">
      <c r="C8397" s="15">
        <v>234092</v>
      </c>
      <c r="D8397" s="4" t="s">
        <v>8400</v>
      </c>
      <c r="E8397" s="4" t="str">
        <f>HYPERLINK("https://app.crepc.sk/?fn=detailBiblioForm&amp;sid=5D1E02039DFFCDD1E822212CFA")</f>
        <v>https://app.crepc.sk/?fn=detailBiblioForm&amp;sid=5D1E02039DFFCDD1E822212CFA</v>
      </c>
    </row>
    <row r="8398" spans="3:5" ht="60" x14ac:dyDescent="0.25">
      <c r="C8398" s="15">
        <v>135107</v>
      </c>
      <c r="D8398" s="4" t="s">
        <v>8401</v>
      </c>
      <c r="E8398" s="4" t="str">
        <f>HYPERLINK("https://app.crepc.sk/?fn=detailBiblioForm&amp;sid=61B9BE2C1A50DA018AE2E3FA5F")</f>
        <v>https://app.crepc.sk/?fn=detailBiblioForm&amp;sid=61B9BE2C1A50DA018AE2E3FA5F</v>
      </c>
    </row>
    <row r="8399" spans="3:5" ht="180" x14ac:dyDescent="0.25">
      <c r="C8399" s="15">
        <v>62637</v>
      </c>
      <c r="D8399" s="4" t="s">
        <v>8402</v>
      </c>
      <c r="E8399" s="4" t="str">
        <f>HYPERLINK("https://app.crepc.sk/?fn=detailBiblioForm&amp;sid=4C6B48A5058D06672E9E6FF7")</f>
        <v>https://app.crepc.sk/?fn=detailBiblioForm&amp;sid=4C6B48A5058D06672E9E6FF7</v>
      </c>
    </row>
    <row r="8400" spans="3:5" ht="75" x14ac:dyDescent="0.25">
      <c r="C8400" s="15">
        <v>56085</v>
      </c>
      <c r="D8400" s="4" t="s">
        <v>8403</v>
      </c>
      <c r="E8400" s="4" t="str">
        <f>HYPERLINK("https://app.crepc.sk/?fn=detailBiblioForm&amp;sid=59869ECD395564D2CE297E75")</f>
        <v>https://app.crepc.sk/?fn=detailBiblioForm&amp;sid=59869ECD395564D2CE297E75</v>
      </c>
    </row>
    <row r="8401" spans="3:5" ht="75" x14ac:dyDescent="0.25">
      <c r="C8401" s="15">
        <v>424700</v>
      </c>
      <c r="D8401" s="4" t="s">
        <v>8404</v>
      </c>
      <c r="E8401" s="4" t="str">
        <f>HYPERLINK("https://app.crepc.sk/?fn=detailBiblioForm&amp;sid=43F9B6408AF690528D402D677C")</f>
        <v>https://app.crepc.sk/?fn=detailBiblioForm&amp;sid=43F9B6408AF690528D402D677C</v>
      </c>
    </row>
    <row r="8402" spans="3:5" ht="45" x14ac:dyDescent="0.25">
      <c r="C8402" s="15">
        <v>415349</v>
      </c>
      <c r="D8402" s="4" t="s">
        <v>8405</v>
      </c>
      <c r="E8402" s="4" t="str">
        <f>HYPERLINK("https://app.crepc.sk/?fn=detailBiblioForm&amp;sid=9AF7CC010D05DDDC6A3B80073E")</f>
        <v>https://app.crepc.sk/?fn=detailBiblioForm&amp;sid=9AF7CC010D05DDDC6A3B80073E</v>
      </c>
    </row>
    <row r="8403" spans="3:5" ht="75" x14ac:dyDescent="0.25">
      <c r="C8403" s="15">
        <v>56231</v>
      </c>
      <c r="D8403" s="4" t="s">
        <v>8406</v>
      </c>
      <c r="E8403" s="4" t="str">
        <f>HYPERLINK("https://app.crepc.sk/?fn=detailBiblioForm&amp;sid=D96930A0798DC56F9E7FD768")</f>
        <v>https://app.crepc.sk/?fn=detailBiblioForm&amp;sid=D96930A0798DC56F9E7FD768</v>
      </c>
    </row>
    <row r="8404" spans="3:5" ht="75" x14ac:dyDescent="0.25">
      <c r="C8404" s="15">
        <v>232639</v>
      </c>
      <c r="D8404" s="4" t="s">
        <v>8407</v>
      </c>
      <c r="E8404" s="4" t="str">
        <f>HYPERLINK("https://app.crepc.sk/?fn=detailBiblioForm&amp;sid=05F8BC62C3FCBD8AE68BB8E962")</f>
        <v>https://app.crepc.sk/?fn=detailBiblioForm&amp;sid=05F8BC62C3FCBD8AE68BB8E962</v>
      </c>
    </row>
    <row r="8405" spans="3:5" ht="75" x14ac:dyDescent="0.25">
      <c r="C8405" s="15">
        <v>162244</v>
      </c>
      <c r="D8405" s="4" t="s">
        <v>8408</v>
      </c>
      <c r="E8405" s="4" t="str">
        <f>HYPERLINK("https://app.crepc.sk/?fn=detailBiblioForm&amp;sid=064839694A055E9D1509D03241")</f>
        <v>https://app.crepc.sk/?fn=detailBiblioForm&amp;sid=064839694A055E9D1509D03241</v>
      </c>
    </row>
    <row r="8406" spans="3:5" ht="45" x14ac:dyDescent="0.25">
      <c r="C8406" s="15">
        <v>245046</v>
      </c>
      <c r="D8406" s="4" t="s">
        <v>8409</v>
      </c>
      <c r="E8406" s="4" t="str">
        <f>HYPERLINK("https://app.crepc.sk/?fn=detailBiblioForm&amp;sid=67165C9A40F2F88514954A198D")</f>
        <v>https://app.crepc.sk/?fn=detailBiblioForm&amp;sid=67165C9A40F2F88514954A198D</v>
      </c>
    </row>
    <row r="8407" spans="3:5" ht="75" x14ac:dyDescent="0.25">
      <c r="C8407" s="15">
        <v>155608</v>
      </c>
      <c r="D8407" s="4" t="s">
        <v>8410</v>
      </c>
      <c r="E8407" s="4" t="str">
        <f>HYPERLINK("https://app.crepc.sk/?fn=detailBiblioForm&amp;sid=7328D144CEBBA0B747847B02FC")</f>
        <v>https://app.crepc.sk/?fn=detailBiblioForm&amp;sid=7328D144CEBBA0B747847B02FC</v>
      </c>
    </row>
    <row r="8408" spans="3:5" ht="60" x14ac:dyDescent="0.25">
      <c r="C8408" s="15">
        <v>433280</v>
      </c>
      <c r="D8408" s="4" t="s">
        <v>8411</v>
      </c>
      <c r="E8408" s="4" t="str">
        <f>HYPERLINK("https://app.crepc.sk/?fn=detailBiblioForm&amp;sid=530B29B90A77EF33A90C499B3B")</f>
        <v>https://app.crepc.sk/?fn=detailBiblioForm&amp;sid=530B29B90A77EF33A90C499B3B</v>
      </c>
    </row>
    <row r="8409" spans="3:5" ht="60" x14ac:dyDescent="0.25">
      <c r="C8409" s="15">
        <v>447946</v>
      </c>
      <c r="D8409" s="4" t="s">
        <v>8412</v>
      </c>
      <c r="E8409" s="4" t="str">
        <f>HYPERLINK("https://app.crepc.sk/?fn=detailBiblioForm&amp;sid=1B50CC9371C3E7A0E61EA75DC9")</f>
        <v>https://app.crepc.sk/?fn=detailBiblioForm&amp;sid=1B50CC9371C3E7A0E61EA75DC9</v>
      </c>
    </row>
    <row r="8410" spans="3:5" ht="75" x14ac:dyDescent="0.25">
      <c r="C8410" s="15">
        <v>161918</v>
      </c>
      <c r="D8410" s="4" t="s">
        <v>8413</v>
      </c>
      <c r="E8410" s="4" t="str">
        <f>HYPERLINK("https://app.crepc.sk/?fn=detailBiblioForm&amp;sid=3BEC39B52C756B70CC0A79B3D6")</f>
        <v>https://app.crepc.sk/?fn=detailBiblioForm&amp;sid=3BEC39B52C756B70CC0A79B3D6</v>
      </c>
    </row>
    <row r="8411" spans="3:5" ht="75" x14ac:dyDescent="0.25">
      <c r="C8411" s="15">
        <v>57852</v>
      </c>
      <c r="D8411" s="4" t="s">
        <v>8414</v>
      </c>
      <c r="E8411" s="4" t="str">
        <f>HYPERLINK("https://app.crepc.sk/?fn=detailBiblioForm&amp;sid=81D9224CD8329CCC14CC70D7")</f>
        <v>https://app.crepc.sk/?fn=detailBiblioForm&amp;sid=81D9224CD8329CCC14CC70D7</v>
      </c>
    </row>
    <row r="8412" spans="3:5" ht="90" x14ac:dyDescent="0.25">
      <c r="C8412" s="15">
        <v>118804</v>
      </c>
      <c r="D8412" s="4" t="s">
        <v>8415</v>
      </c>
      <c r="E8412" s="4" t="str">
        <f>HYPERLINK("https://app.crepc.sk/?fn=detailBiblioForm&amp;sid=180EDEFD59FD4297482E52B590")</f>
        <v>https://app.crepc.sk/?fn=detailBiblioForm&amp;sid=180EDEFD59FD4297482E52B590</v>
      </c>
    </row>
    <row r="8413" spans="3:5" ht="75" x14ac:dyDescent="0.25">
      <c r="C8413" s="15">
        <v>130872</v>
      </c>
      <c r="D8413" s="4" t="s">
        <v>8416</v>
      </c>
      <c r="E8413" s="4" t="str">
        <f>HYPERLINK("https://app.crepc.sk/?fn=detailBiblioForm&amp;sid=118F2A3D570393A65C7601C907")</f>
        <v>https://app.crepc.sk/?fn=detailBiblioForm&amp;sid=118F2A3D570393A65C7601C907</v>
      </c>
    </row>
    <row r="8414" spans="3:5" ht="75" x14ac:dyDescent="0.25">
      <c r="C8414" s="15">
        <v>444684</v>
      </c>
      <c r="D8414" s="4" t="s">
        <v>8417</v>
      </c>
      <c r="E8414" s="4" t="str">
        <f>HYPERLINK("https://app.crepc.sk/?fn=detailBiblioForm&amp;sid=A022A41D6D193BB221EB2A8B60")</f>
        <v>https://app.crepc.sk/?fn=detailBiblioForm&amp;sid=A022A41D6D193BB221EB2A8B60</v>
      </c>
    </row>
    <row r="8415" spans="3:5" ht="165" x14ac:dyDescent="0.25">
      <c r="C8415" s="15">
        <v>442230</v>
      </c>
      <c r="D8415" s="4" t="s">
        <v>8418</v>
      </c>
      <c r="E8415" s="4" t="str">
        <f>HYPERLINK("https://app.crepc.sk/?fn=detailBiblioForm&amp;sid=449A78BFE483A8EAFEF749C553")</f>
        <v>https://app.crepc.sk/?fn=detailBiblioForm&amp;sid=449A78BFE483A8EAFEF749C553</v>
      </c>
    </row>
    <row r="8416" spans="3:5" ht="75" x14ac:dyDescent="0.25">
      <c r="C8416" s="15">
        <v>191255</v>
      </c>
      <c r="D8416" s="4" t="s">
        <v>8419</v>
      </c>
      <c r="E8416" s="4" t="str">
        <f>HYPERLINK("https://app.crepc.sk/?fn=detailBiblioForm&amp;sid=BB22CF228AD80F334C21F1E3D6")</f>
        <v>https://app.crepc.sk/?fn=detailBiblioForm&amp;sid=BB22CF228AD80F334C21F1E3D6</v>
      </c>
    </row>
    <row r="8417" spans="3:5" ht="60" x14ac:dyDescent="0.25">
      <c r="C8417" s="15">
        <v>430219</v>
      </c>
      <c r="D8417" s="4" t="s">
        <v>8420</v>
      </c>
      <c r="E8417" s="4" t="str">
        <f>HYPERLINK("https://app.crepc.sk/?fn=detailBiblioForm&amp;sid=8BEC0704DEFF770458DCB6FDB1")</f>
        <v>https://app.crepc.sk/?fn=detailBiblioForm&amp;sid=8BEC0704DEFF770458DCB6FDB1</v>
      </c>
    </row>
    <row r="8418" spans="3:5" ht="75" x14ac:dyDescent="0.25">
      <c r="C8418" s="15">
        <v>56834</v>
      </c>
      <c r="D8418" s="4" t="s">
        <v>8421</v>
      </c>
      <c r="E8418" s="4" t="str">
        <f>HYPERLINK("https://app.crepc.sk/?fn=detailBiblioForm&amp;sid=6FDAFCF6ED9B9110934BA2E7")</f>
        <v>https://app.crepc.sk/?fn=detailBiblioForm&amp;sid=6FDAFCF6ED9B9110934BA2E7</v>
      </c>
    </row>
    <row r="8419" spans="3:5" ht="75" x14ac:dyDescent="0.25">
      <c r="C8419" s="15">
        <v>74967</v>
      </c>
      <c r="D8419" s="4" t="s">
        <v>8422</v>
      </c>
      <c r="E8419" s="4" t="str">
        <f>HYPERLINK("https://app.crepc.sk/?fn=detailBiblioForm&amp;sid=510EECB03AC5E223537E5ACA")</f>
        <v>https://app.crepc.sk/?fn=detailBiblioForm&amp;sid=510EECB03AC5E223537E5ACA</v>
      </c>
    </row>
    <row r="8420" spans="3:5" ht="75" x14ac:dyDescent="0.25">
      <c r="C8420" s="15">
        <v>135292</v>
      </c>
      <c r="D8420" s="4" t="s">
        <v>8423</v>
      </c>
      <c r="E8420" s="4" t="str">
        <f>HYPERLINK("https://app.crepc.sk/?fn=detailBiblioForm&amp;sid=ED77F7B8ED8C90872FD4365FE9")</f>
        <v>https://app.crepc.sk/?fn=detailBiblioForm&amp;sid=ED77F7B8ED8C90872FD4365FE9</v>
      </c>
    </row>
    <row r="8421" spans="3:5" ht="60" x14ac:dyDescent="0.25">
      <c r="C8421" s="15">
        <v>436052</v>
      </c>
      <c r="D8421" s="4" t="s">
        <v>8424</v>
      </c>
      <c r="E8421" s="4" t="str">
        <f>HYPERLINK("https://app.crepc.sk/?fn=detailBiblioForm&amp;sid=0D8840D8555AF42F41806A8F01")</f>
        <v>https://app.crepc.sk/?fn=detailBiblioForm&amp;sid=0D8840D8555AF42F41806A8F01</v>
      </c>
    </row>
    <row r="8422" spans="3:5" ht="45" x14ac:dyDescent="0.25">
      <c r="C8422" s="15">
        <v>188368</v>
      </c>
      <c r="D8422" s="4" t="s">
        <v>8425</v>
      </c>
      <c r="E8422" s="4" t="str">
        <f>HYPERLINK("https://app.crepc.sk/?fn=detailBiblioForm&amp;sid=0B2113943BE8BD1B3FE79DC86B")</f>
        <v>https://app.crepc.sk/?fn=detailBiblioForm&amp;sid=0B2113943BE8BD1B3FE79DC86B</v>
      </c>
    </row>
    <row r="8423" spans="3:5" ht="60" x14ac:dyDescent="0.25">
      <c r="C8423" s="15">
        <v>247460</v>
      </c>
      <c r="D8423" s="4" t="s">
        <v>8426</v>
      </c>
      <c r="E8423" s="4" t="str">
        <f>HYPERLINK("https://app.crepc.sk/?fn=detailBiblioForm&amp;sid=6137549337470B5637F9D571F1")</f>
        <v>https://app.crepc.sk/?fn=detailBiblioForm&amp;sid=6137549337470B5637F9D571F1</v>
      </c>
    </row>
    <row r="8424" spans="3:5" ht="45" x14ac:dyDescent="0.25">
      <c r="C8424" s="15">
        <v>418599</v>
      </c>
      <c r="D8424" s="4" t="s">
        <v>8427</v>
      </c>
      <c r="E8424" s="4" t="str">
        <f>HYPERLINK("https://app.crepc.sk/?fn=detailBiblioForm&amp;sid=C3BF054227B45EA572B67B6664")</f>
        <v>https://app.crepc.sk/?fn=detailBiblioForm&amp;sid=C3BF054227B45EA572B67B6664</v>
      </c>
    </row>
    <row r="8425" spans="3:5" ht="90" x14ac:dyDescent="0.25">
      <c r="C8425" s="15">
        <v>162192</v>
      </c>
      <c r="D8425" s="4" t="s">
        <v>8428</v>
      </c>
      <c r="E8425" s="4" t="str">
        <f>HYPERLINK("https://app.crepc.sk/?fn=detailBiblioForm&amp;sid=1207FF88EADD70B1DDC7C31DCD")</f>
        <v>https://app.crepc.sk/?fn=detailBiblioForm&amp;sid=1207FF88EADD70B1DDC7C31DCD</v>
      </c>
    </row>
    <row r="8426" spans="3:5" ht="45" x14ac:dyDescent="0.25">
      <c r="C8426" s="15">
        <v>111595</v>
      </c>
      <c r="D8426" s="4" t="s">
        <v>8429</v>
      </c>
      <c r="E8426" s="4" t="str">
        <f>HYPERLINK("https://app.crepc.sk/?fn=detailBiblioForm&amp;sid=2C59A918B2DCB0BD71F42F71B2")</f>
        <v>https://app.crepc.sk/?fn=detailBiblioForm&amp;sid=2C59A918B2DCB0BD71F42F71B2</v>
      </c>
    </row>
    <row r="8427" spans="3:5" ht="60" x14ac:dyDescent="0.25">
      <c r="C8427" s="15">
        <v>162197</v>
      </c>
      <c r="D8427" s="4" t="s">
        <v>8430</v>
      </c>
      <c r="E8427" s="4" t="str">
        <f>HYPERLINK("https://app.crepc.sk/?fn=detailBiblioForm&amp;sid=1207FF88EADD70B1DDC2C31DCD")</f>
        <v>https://app.crepc.sk/?fn=detailBiblioForm&amp;sid=1207FF88EADD70B1DDC2C31DCD</v>
      </c>
    </row>
    <row r="8428" spans="3:5" ht="75" x14ac:dyDescent="0.25">
      <c r="C8428" s="15">
        <v>62269</v>
      </c>
      <c r="D8428" s="4" t="s">
        <v>8431</v>
      </c>
      <c r="E8428" s="4" t="str">
        <f>HYPERLINK("https://app.crepc.sk/?fn=detailBiblioForm&amp;sid=AFB20AE98C1411DE644338A0")</f>
        <v>https://app.crepc.sk/?fn=detailBiblioForm&amp;sid=AFB20AE98C1411DE644338A0</v>
      </c>
    </row>
    <row r="8429" spans="3:5" ht="75" x14ac:dyDescent="0.25">
      <c r="C8429" s="15">
        <v>191853</v>
      </c>
      <c r="D8429" s="4" t="s">
        <v>8432</v>
      </c>
      <c r="E8429" s="4" t="str">
        <f>HYPERLINK("https://app.crepc.sk/?fn=detailBiblioForm&amp;sid=F514B72FB7D42B760A78472845")</f>
        <v>https://app.crepc.sk/?fn=detailBiblioForm&amp;sid=F514B72FB7D42B760A78472845</v>
      </c>
    </row>
    <row r="8430" spans="3:5" ht="45" x14ac:dyDescent="0.25">
      <c r="C8430" s="15">
        <v>51047</v>
      </c>
      <c r="D8430" s="4" t="s">
        <v>8433</v>
      </c>
      <c r="E8430" s="4" t="str">
        <f>HYPERLINK("https://app.crepc.sk/?fn=detailBiblioForm&amp;sid=F664559925A71C4E587195AA")</f>
        <v>https://app.crepc.sk/?fn=detailBiblioForm&amp;sid=F664559925A71C4E587195AA</v>
      </c>
    </row>
    <row r="8431" spans="3:5" ht="45" x14ac:dyDescent="0.25">
      <c r="C8431" s="15">
        <v>175614</v>
      </c>
      <c r="D8431" s="4" t="s">
        <v>8434</v>
      </c>
      <c r="E8431" s="4" t="str">
        <f>HYPERLINK("https://app.crepc.sk/?fn=detailBiblioForm&amp;sid=BF3D9176E80E1FB67FBB4047B2")</f>
        <v>https://app.crepc.sk/?fn=detailBiblioForm&amp;sid=BF3D9176E80E1FB67FBB4047B2</v>
      </c>
    </row>
    <row r="8432" spans="3:5" ht="75" x14ac:dyDescent="0.25">
      <c r="C8432" s="15">
        <v>182424</v>
      </c>
      <c r="D8432" s="4" t="s">
        <v>8435</v>
      </c>
      <c r="E8432" s="4" t="str">
        <f>HYPERLINK("https://app.crepc.sk/?fn=detailBiblioForm&amp;sid=4F9CB80EDA44B4B66F0D506F6D")</f>
        <v>https://app.crepc.sk/?fn=detailBiblioForm&amp;sid=4F9CB80EDA44B4B66F0D506F6D</v>
      </c>
    </row>
    <row r="8433" spans="3:5" ht="60" x14ac:dyDescent="0.25">
      <c r="C8433" s="15">
        <v>424871</v>
      </c>
      <c r="D8433" s="4" t="s">
        <v>8436</v>
      </c>
      <c r="E8433" s="4" t="str">
        <f>HYPERLINK("https://app.crepc.sk/?fn=detailBiblioForm&amp;sid=61003D92A5DDF17235A7778E0F")</f>
        <v>https://app.crepc.sk/?fn=detailBiblioForm&amp;sid=61003D92A5DDF17235A7778E0F</v>
      </c>
    </row>
    <row r="8434" spans="3:5" ht="45" x14ac:dyDescent="0.25">
      <c r="C8434" s="15">
        <v>102758</v>
      </c>
      <c r="D8434" s="4" t="s">
        <v>8437</v>
      </c>
      <c r="E8434" s="4" t="str">
        <f>HYPERLINK("https://app.crepc.sk/?fn=detailBiblioForm&amp;sid=B7849FF1DE1334BAB5A24EB383")</f>
        <v>https://app.crepc.sk/?fn=detailBiblioForm&amp;sid=B7849FF1DE1334BAB5A24EB383</v>
      </c>
    </row>
    <row r="8435" spans="3:5" ht="45" x14ac:dyDescent="0.25">
      <c r="C8435" s="15">
        <v>54359</v>
      </c>
      <c r="D8435" s="4" t="s">
        <v>8438</v>
      </c>
      <c r="E8435" s="4" t="str">
        <f>HYPERLINK("https://app.crepc.sk/?fn=detailBiblioForm&amp;sid=67A05E0343E820A0FAEF1A79")</f>
        <v>https://app.crepc.sk/?fn=detailBiblioForm&amp;sid=67A05E0343E820A0FAEF1A79</v>
      </c>
    </row>
    <row r="8436" spans="3:5" ht="75" x14ac:dyDescent="0.25">
      <c r="C8436" s="15">
        <v>167252</v>
      </c>
      <c r="D8436" s="4" t="s">
        <v>8439</v>
      </c>
      <c r="E8436" s="4" t="str">
        <f>HYPERLINK("https://app.crepc.sk/?fn=detailBiblioForm&amp;sid=D028D1829C892C28C627C3551B")</f>
        <v>https://app.crepc.sk/?fn=detailBiblioForm&amp;sid=D028D1829C892C28C627C3551B</v>
      </c>
    </row>
    <row r="8437" spans="3:5" ht="105" x14ac:dyDescent="0.25">
      <c r="C8437" s="15">
        <v>98234</v>
      </c>
      <c r="D8437" s="4" t="s">
        <v>8440</v>
      </c>
      <c r="E8437" s="4" t="str">
        <f>HYPERLINK("https://app.crepc.sk/?fn=detailBiblioForm&amp;sid=321D9D456D17457F6FFEBE74")</f>
        <v>https://app.crepc.sk/?fn=detailBiblioForm&amp;sid=321D9D456D17457F6FFEBE74</v>
      </c>
    </row>
    <row r="8438" spans="3:5" ht="90" x14ac:dyDescent="0.25">
      <c r="C8438" s="15">
        <v>162271</v>
      </c>
      <c r="D8438" s="4" t="s">
        <v>8441</v>
      </c>
      <c r="E8438" s="4" t="str">
        <f>HYPERLINK("https://app.crepc.sk/?fn=detailBiblioForm&amp;sid=064839694A055E9D160CD03241")</f>
        <v>https://app.crepc.sk/?fn=detailBiblioForm&amp;sid=064839694A055E9D160CD03241</v>
      </c>
    </row>
    <row r="8439" spans="3:5" ht="90" x14ac:dyDescent="0.25">
      <c r="C8439" s="15">
        <v>244645</v>
      </c>
      <c r="D8439" s="4" t="s">
        <v>8442</v>
      </c>
      <c r="E8439" s="4" t="str">
        <f>HYPERLINK("https://app.crepc.sk/?fn=detailBiblioForm&amp;sid=5693C4557D2BC9900DB5BAE0E3")</f>
        <v>https://app.crepc.sk/?fn=detailBiblioForm&amp;sid=5693C4557D2BC9900DB5BAE0E3</v>
      </c>
    </row>
    <row r="8440" spans="3:5" ht="60" x14ac:dyDescent="0.25">
      <c r="C8440" s="15">
        <v>226344</v>
      </c>
      <c r="D8440" s="4" t="s">
        <v>8443</v>
      </c>
      <c r="E8440" s="4" t="str">
        <f>HYPERLINK("https://app.crepc.sk/?fn=detailBiblioForm&amp;sid=C41BF80AB1B114D6B46A142BFB")</f>
        <v>https://app.crepc.sk/?fn=detailBiblioForm&amp;sid=C41BF80AB1B114D6B46A142BFB</v>
      </c>
    </row>
    <row r="8441" spans="3:5" ht="90" x14ac:dyDescent="0.25">
      <c r="C8441" s="15">
        <v>201501</v>
      </c>
      <c r="D8441" s="4" t="s">
        <v>8444</v>
      </c>
      <c r="E8441" s="4" t="str">
        <f>HYPERLINK("https://app.crepc.sk/?fn=detailBiblioForm&amp;sid=C3E0BD8EE7867A05E9A15B1402")</f>
        <v>https://app.crepc.sk/?fn=detailBiblioForm&amp;sid=C3E0BD8EE7867A05E9A15B1402</v>
      </c>
    </row>
    <row r="8442" spans="3:5" ht="45" x14ac:dyDescent="0.25">
      <c r="C8442" s="15">
        <v>126105</v>
      </c>
      <c r="D8442" s="4" t="s">
        <v>8445</v>
      </c>
      <c r="E8442" s="4" t="str">
        <f>HYPERLINK("https://app.crepc.sk/?fn=detailBiblioForm&amp;sid=1C98E395077C3113525D831412")</f>
        <v>https://app.crepc.sk/?fn=detailBiblioForm&amp;sid=1C98E395077C3113525D831412</v>
      </c>
    </row>
    <row r="8443" spans="3:5" ht="90" x14ac:dyDescent="0.25">
      <c r="C8443" s="15">
        <v>155584</v>
      </c>
      <c r="D8443" s="4" t="s">
        <v>8446</v>
      </c>
      <c r="E8443" s="4" t="str">
        <f>HYPERLINK("https://app.crepc.sk/?fn=detailBiblioForm&amp;sid=C5CEB0A71A9E9E698D1613A9DA")</f>
        <v>https://app.crepc.sk/?fn=detailBiblioForm&amp;sid=C5CEB0A71A9E9E698D1613A9DA</v>
      </c>
    </row>
    <row r="8444" spans="3:5" ht="135" x14ac:dyDescent="0.25">
      <c r="C8444" s="15">
        <v>430428</v>
      </c>
      <c r="D8444" s="4" t="s">
        <v>8447</v>
      </c>
      <c r="E8444" s="4" t="str">
        <f>HYPERLINK("https://app.crepc.sk/?fn=detailBiblioForm&amp;sid=56123830A8C00970BA0A622E7E")</f>
        <v>https://app.crepc.sk/?fn=detailBiblioForm&amp;sid=56123830A8C00970BA0A622E7E</v>
      </c>
    </row>
    <row r="8445" spans="3:5" ht="90" x14ac:dyDescent="0.25">
      <c r="C8445" s="15">
        <v>82959</v>
      </c>
      <c r="D8445" s="4" t="s">
        <v>8448</v>
      </c>
      <c r="E8445" s="4" t="str">
        <f>HYPERLINK("https://app.crepc.sk/?fn=detailBiblioForm&amp;sid=0BB3A8722BF048CB8226535B")</f>
        <v>https://app.crepc.sk/?fn=detailBiblioForm&amp;sid=0BB3A8722BF048CB8226535B</v>
      </c>
    </row>
    <row r="8446" spans="3:5" ht="75" x14ac:dyDescent="0.25">
      <c r="C8446" s="15">
        <v>226713</v>
      </c>
      <c r="D8446" s="4" t="s">
        <v>8449</v>
      </c>
      <c r="E8446" s="4" t="str">
        <f>HYPERLINK("https://app.crepc.sk/?fn=detailBiblioForm&amp;sid=DE97830A346A9BF5CDBB5C27D0")</f>
        <v>https://app.crepc.sk/?fn=detailBiblioForm&amp;sid=DE97830A346A9BF5CDBB5C27D0</v>
      </c>
    </row>
    <row r="8447" spans="3:5" ht="45" x14ac:dyDescent="0.25">
      <c r="C8447" s="15">
        <v>313202</v>
      </c>
      <c r="D8447" s="4" t="s">
        <v>8450</v>
      </c>
      <c r="E8447" s="4" t="str">
        <f>HYPERLINK("https://app.crepc.sk/?fn=detailBiblioForm&amp;sid=E34941642DF42275076E9E1BB1")</f>
        <v>https://app.crepc.sk/?fn=detailBiblioForm&amp;sid=E34941642DF42275076E9E1BB1</v>
      </c>
    </row>
    <row r="8448" spans="3:5" ht="75" x14ac:dyDescent="0.25">
      <c r="C8448" s="15">
        <v>127909</v>
      </c>
      <c r="D8448" s="4" t="s">
        <v>8451</v>
      </c>
      <c r="E8448" s="4" t="str">
        <f>HYPERLINK("https://app.crepc.sk/?fn=detailBiblioForm&amp;sid=24C6E28F89ED84B92D6C59EEF1")</f>
        <v>https://app.crepc.sk/?fn=detailBiblioForm&amp;sid=24C6E28F89ED84B92D6C59EEF1</v>
      </c>
    </row>
    <row r="8449" spans="3:5" ht="75" x14ac:dyDescent="0.25">
      <c r="C8449" s="15">
        <v>183217</v>
      </c>
      <c r="D8449" s="4" t="s">
        <v>8452</v>
      </c>
      <c r="E8449" s="4" t="str">
        <f>HYPERLINK("https://app.crepc.sk/?fn=detailBiblioForm&amp;sid=98506E6D5B5CDF25338DE743E8")</f>
        <v>https://app.crepc.sk/?fn=detailBiblioForm&amp;sid=98506E6D5B5CDF25338DE743E8</v>
      </c>
    </row>
    <row r="8450" spans="3:5" ht="120" x14ac:dyDescent="0.25">
      <c r="C8450" s="15">
        <v>437149</v>
      </c>
      <c r="D8450" s="4" t="s">
        <v>8453</v>
      </c>
      <c r="E8450" s="4" t="str">
        <f>HYPERLINK("https://app.crepc.sk/?fn=detailBiblioForm&amp;sid=F93C52C3CF0185EC38C587A224")</f>
        <v>https://app.crepc.sk/?fn=detailBiblioForm&amp;sid=F93C52C3CF0185EC38C587A224</v>
      </c>
    </row>
    <row r="8451" spans="3:5" ht="75" x14ac:dyDescent="0.25">
      <c r="C8451" s="15">
        <v>103997</v>
      </c>
      <c r="D8451" s="4" t="s">
        <v>8454</v>
      </c>
      <c r="E8451" s="4" t="str">
        <f>HYPERLINK("https://app.crepc.sk/?fn=detailBiblioForm&amp;sid=706B7159B114D32C9CB2F084BE")</f>
        <v>https://app.crepc.sk/?fn=detailBiblioForm&amp;sid=706B7159B114D32C9CB2F084BE</v>
      </c>
    </row>
    <row r="8452" spans="3:5" ht="60" x14ac:dyDescent="0.25">
      <c r="C8452" s="15">
        <v>163054</v>
      </c>
      <c r="D8452" s="4" t="s">
        <v>8455</v>
      </c>
      <c r="E8452" s="4" t="str">
        <f>HYPERLINK("https://app.crepc.sk/?fn=detailBiblioForm&amp;sid=50FE609ECAA3CD9EE5CC01F139")</f>
        <v>https://app.crepc.sk/?fn=detailBiblioForm&amp;sid=50FE609ECAA3CD9EE5CC01F139</v>
      </c>
    </row>
    <row r="8453" spans="3:5" ht="60" x14ac:dyDescent="0.25">
      <c r="C8453" s="15">
        <v>74574</v>
      </c>
      <c r="D8453" s="4" t="s">
        <v>8456</v>
      </c>
      <c r="E8453" s="4" t="str">
        <f>HYPERLINK("https://app.crepc.sk/?fn=detailBiblioForm&amp;sid=3FD345BF186388F2190625DF")</f>
        <v>https://app.crepc.sk/?fn=detailBiblioForm&amp;sid=3FD345BF186388F2190625DF</v>
      </c>
    </row>
    <row r="8454" spans="3:5" ht="75" x14ac:dyDescent="0.25">
      <c r="C8454" s="15">
        <v>131234</v>
      </c>
      <c r="D8454" s="4" t="s">
        <v>8457</v>
      </c>
      <c r="E8454" s="4" t="str">
        <f>HYPERLINK("https://app.crepc.sk/?fn=detailBiblioForm&amp;sid=286591CBAF51C2F035FF894B8A")</f>
        <v>https://app.crepc.sk/?fn=detailBiblioForm&amp;sid=286591CBAF51C2F035FF894B8A</v>
      </c>
    </row>
    <row r="8455" spans="3:5" ht="90" x14ac:dyDescent="0.25">
      <c r="C8455" s="15">
        <v>76163</v>
      </c>
      <c r="D8455" s="4" t="s">
        <v>8458</v>
      </c>
      <c r="E8455" s="4" t="str">
        <f>HYPERLINK("https://app.crepc.sk/?fn=detailBiblioForm&amp;sid=22C4AA9D3A7A3FAA4405BE63")</f>
        <v>https://app.crepc.sk/?fn=detailBiblioForm&amp;sid=22C4AA9D3A7A3FAA4405BE63</v>
      </c>
    </row>
    <row r="8456" spans="3:5" ht="60" x14ac:dyDescent="0.25">
      <c r="C8456" s="15">
        <v>430221</v>
      </c>
      <c r="D8456" s="4" t="s">
        <v>8459</v>
      </c>
      <c r="E8456" s="4" t="str">
        <f>HYPERLINK("https://app.crepc.sk/?fn=detailBiblioForm&amp;sid=8BEC0704DEFF77045BD4B6FDB1")</f>
        <v>https://app.crepc.sk/?fn=detailBiblioForm&amp;sid=8BEC0704DEFF77045BD4B6FDB1</v>
      </c>
    </row>
    <row r="8457" spans="3:5" ht="75" x14ac:dyDescent="0.25">
      <c r="C8457" s="15">
        <v>194757</v>
      </c>
      <c r="D8457" s="4" t="s">
        <v>8460</v>
      </c>
      <c r="E8457" s="4" t="str">
        <f>HYPERLINK("https://app.crepc.sk/?fn=detailBiblioForm&amp;sid=2FEED85A3FCEFC83C4EFE02009")</f>
        <v>https://app.crepc.sk/?fn=detailBiblioForm&amp;sid=2FEED85A3FCEFC83C4EFE02009</v>
      </c>
    </row>
    <row r="8458" spans="3:5" ht="90" x14ac:dyDescent="0.25">
      <c r="C8458" s="15">
        <v>109202</v>
      </c>
      <c r="D8458" s="4" t="s">
        <v>8461</v>
      </c>
      <c r="E8458" s="4" t="str">
        <f>HYPERLINK("https://app.crepc.sk/?fn=detailBiblioForm&amp;sid=8BF4547C8C01069941FE73CE7A")</f>
        <v>https://app.crepc.sk/?fn=detailBiblioForm&amp;sid=8BF4547C8C01069941FE73CE7A</v>
      </c>
    </row>
    <row r="8459" spans="3:5" ht="90" x14ac:dyDescent="0.25">
      <c r="C8459" s="15">
        <v>86504</v>
      </c>
      <c r="D8459" s="4" t="s">
        <v>8462</v>
      </c>
      <c r="E8459" s="4" t="str">
        <f>HYPERLINK("https://app.crepc.sk/?fn=detailBiblioForm&amp;sid=785979D6D1747FAF1EBEEE4F")</f>
        <v>https://app.crepc.sk/?fn=detailBiblioForm&amp;sid=785979D6D1747FAF1EBEEE4F</v>
      </c>
    </row>
    <row r="8460" spans="3:5" ht="75" x14ac:dyDescent="0.25">
      <c r="C8460" s="15">
        <v>161904</v>
      </c>
      <c r="D8460" s="4" t="s">
        <v>8463</v>
      </c>
      <c r="E8460" s="4" t="str">
        <f>HYPERLINK("https://app.crepc.sk/?fn=detailBiblioForm&amp;sid=3BEC39B52C756B70CD0679B3D6")</f>
        <v>https://app.crepc.sk/?fn=detailBiblioForm&amp;sid=3BEC39B52C756B70CD0679B3D6</v>
      </c>
    </row>
    <row r="8461" spans="3:5" ht="90" x14ac:dyDescent="0.25">
      <c r="C8461" s="15">
        <v>167117</v>
      </c>
      <c r="D8461" s="4" t="s">
        <v>8464</v>
      </c>
      <c r="E8461" s="4" t="str">
        <f>HYPERLINK("https://app.crepc.sk/?fn=detailBiblioForm&amp;sid=780C5DA7522A72A29DF79DC9C0")</f>
        <v>https://app.crepc.sk/?fn=detailBiblioForm&amp;sid=780C5DA7522A72A29DF79DC9C0</v>
      </c>
    </row>
    <row r="8462" spans="3:5" ht="90" x14ac:dyDescent="0.25">
      <c r="C8462" s="15">
        <v>428999</v>
      </c>
      <c r="D8462" s="4" t="s">
        <v>8465</v>
      </c>
      <c r="E8462" s="4" t="str">
        <f>HYPERLINK("https://app.crepc.sk/?fn=detailBiblioForm&amp;sid=0F477D035C29707BD015070564")</f>
        <v>https://app.crepc.sk/?fn=detailBiblioForm&amp;sid=0F477D035C29707BD015070564</v>
      </c>
    </row>
    <row r="8463" spans="3:5" ht="60" x14ac:dyDescent="0.25">
      <c r="C8463" s="15">
        <v>251394</v>
      </c>
      <c r="D8463" s="4" t="s">
        <v>8466</v>
      </c>
      <c r="E8463" s="4" t="str">
        <f>HYPERLINK("https://app.crepc.sk/?fn=detailBiblioForm&amp;sid=E9D88DB786B59739495BD69B18")</f>
        <v>https://app.crepc.sk/?fn=detailBiblioForm&amp;sid=E9D88DB786B59739495BD69B18</v>
      </c>
    </row>
    <row r="8464" spans="3:5" ht="60" x14ac:dyDescent="0.25">
      <c r="C8464" s="15">
        <v>85262</v>
      </c>
      <c r="D8464" s="4" t="s">
        <v>8467</v>
      </c>
      <c r="E8464" s="4" t="str">
        <f>HYPERLINK("https://app.crepc.sk/?fn=detailBiblioForm&amp;sid=11F83AB24F153A18F63957C0")</f>
        <v>https://app.crepc.sk/?fn=detailBiblioForm&amp;sid=11F83AB24F153A18F63957C0</v>
      </c>
    </row>
    <row r="8465" spans="3:5" ht="60" x14ac:dyDescent="0.25">
      <c r="C8465" s="15">
        <v>203488</v>
      </c>
      <c r="D8465" s="4" t="s">
        <v>8468</v>
      </c>
      <c r="E8465" s="4" t="str">
        <f>HYPERLINK("https://app.crepc.sk/?fn=detailBiblioForm&amp;sid=7BEB1638C0BCEFCF29FF12B925")</f>
        <v>https://app.crepc.sk/?fn=detailBiblioForm&amp;sid=7BEB1638C0BCEFCF29FF12B925</v>
      </c>
    </row>
    <row r="8466" spans="3:5" ht="75" x14ac:dyDescent="0.25">
      <c r="C8466" s="15">
        <v>99025</v>
      </c>
      <c r="D8466" s="4" t="s">
        <v>8469</v>
      </c>
      <c r="E8466" s="4" t="str">
        <f>HYPERLINK("https://app.crepc.sk/?fn=detailBiblioForm&amp;sid=B30E4B302603B00B3E3B6AE9")</f>
        <v>https://app.crepc.sk/?fn=detailBiblioForm&amp;sid=B30E4B302603B00B3E3B6AE9</v>
      </c>
    </row>
    <row r="8467" spans="3:5" ht="60" x14ac:dyDescent="0.25">
      <c r="C8467" s="15">
        <v>313781</v>
      </c>
      <c r="D8467" s="4" t="s">
        <v>8470</v>
      </c>
      <c r="E8467" s="4" t="str">
        <f>HYPERLINK("https://app.crepc.sk/?fn=detailBiblioForm&amp;sid=54D25A27962CDFF2CDC3F50D21")</f>
        <v>https://app.crepc.sk/?fn=detailBiblioForm&amp;sid=54D25A27962CDFF2CDC3F50D21</v>
      </c>
    </row>
    <row r="8468" spans="3:5" ht="60" x14ac:dyDescent="0.25">
      <c r="C8468" s="15">
        <v>175536</v>
      </c>
      <c r="D8468" s="4" t="s">
        <v>8471</v>
      </c>
      <c r="E8468" s="4" t="str">
        <f>HYPERLINK("https://app.crepc.sk/?fn=detailBiblioForm&amp;sid=83298E4B591633891D8AB6AF32")</f>
        <v>https://app.crepc.sk/?fn=detailBiblioForm&amp;sid=83298E4B591633891D8AB6AF32</v>
      </c>
    </row>
    <row r="8469" spans="3:5" ht="75" x14ac:dyDescent="0.25">
      <c r="C8469" s="15">
        <v>79462</v>
      </c>
      <c r="D8469" s="4" t="s">
        <v>8472</v>
      </c>
      <c r="E8469" s="4" t="str">
        <f>HYPERLINK("https://app.crepc.sk/?fn=detailBiblioForm&amp;sid=F4000B2892B01738E6589370")</f>
        <v>https://app.crepc.sk/?fn=detailBiblioForm&amp;sid=F4000B2892B01738E6589370</v>
      </c>
    </row>
    <row r="8470" spans="3:5" ht="60" x14ac:dyDescent="0.25">
      <c r="C8470" s="15">
        <v>101494</v>
      </c>
      <c r="D8470" s="4" t="s">
        <v>8473</v>
      </c>
      <c r="E8470" s="4" t="str">
        <f>HYPERLINK("https://app.crepc.sk/?fn=detailBiblioForm&amp;sid=E319D27ADE4525BA6B1EC251D0")</f>
        <v>https://app.crepc.sk/?fn=detailBiblioForm&amp;sid=E319D27ADE4525BA6B1EC251D0</v>
      </c>
    </row>
    <row r="8471" spans="3:5" ht="75" x14ac:dyDescent="0.25">
      <c r="C8471" s="15">
        <v>442681</v>
      </c>
      <c r="D8471" s="4" t="s">
        <v>8474</v>
      </c>
      <c r="E8471" s="4" t="str">
        <f>HYPERLINK("https://app.crepc.sk/?fn=detailBiblioForm&amp;sid=E0A737AA77CC1B73384D438573")</f>
        <v>https://app.crepc.sk/?fn=detailBiblioForm&amp;sid=E0A737AA77CC1B73384D438573</v>
      </c>
    </row>
    <row r="8472" spans="3:5" ht="60" x14ac:dyDescent="0.25">
      <c r="C8472" s="15">
        <v>193137</v>
      </c>
      <c r="D8472" s="4" t="s">
        <v>8475</v>
      </c>
      <c r="E8472" s="4" t="str">
        <f>HYPERLINK("https://app.crepc.sk/?fn=detailBiblioForm&amp;sid=A68C5B864BF790E4579A8CF7B6")</f>
        <v>https://app.crepc.sk/?fn=detailBiblioForm&amp;sid=A68C5B864BF790E4579A8CF7B6</v>
      </c>
    </row>
    <row r="8473" spans="3:5" ht="75" x14ac:dyDescent="0.25">
      <c r="C8473" s="15">
        <v>70945</v>
      </c>
      <c r="D8473" s="4" t="s">
        <v>8476</v>
      </c>
      <c r="E8473" s="4" t="str">
        <f>HYPERLINK("https://app.crepc.sk/?fn=detailBiblioForm&amp;sid=8FB76D04C8D1ABD43D6DCE78")</f>
        <v>https://app.crepc.sk/?fn=detailBiblioForm&amp;sid=8FB76D04C8D1ABD43D6DCE78</v>
      </c>
    </row>
    <row r="8474" spans="3:5" ht="60" x14ac:dyDescent="0.25">
      <c r="C8474" s="15">
        <v>168415</v>
      </c>
      <c r="D8474" s="4" t="s">
        <v>8477</v>
      </c>
      <c r="E8474" s="4" t="str">
        <f>HYPERLINK("https://app.crepc.sk/?fn=detailBiblioForm&amp;sid=EDED30F385E76150B9F8548FA8")</f>
        <v>https://app.crepc.sk/?fn=detailBiblioForm&amp;sid=EDED30F385E76150B9F8548FA8</v>
      </c>
    </row>
    <row r="8475" spans="3:5" ht="105" x14ac:dyDescent="0.25">
      <c r="C8475" s="15">
        <v>315831</v>
      </c>
      <c r="D8475" s="4" t="s">
        <v>8478</v>
      </c>
      <c r="E8475" s="4" t="str">
        <f>HYPERLINK("https://app.crepc.sk/?fn=detailBiblioForm&amp;sid=86DD2B30A0B3D5650B18BBCF36")</f>
        <v>https://app.crepc.sk/?fn=detailBiblioForm&amp;sid=86DD2B30A0B3D5650B18BBCF36</v>
      </c>
    </row>
    <row r="8476" spans="3:5" ht="75" x14ac:dyDescent="0.25">
      <c r="C8476" s="15">
        <v>100110</v>
      </c>
      <c r="D8476" s="4" t="s">
        <v>8479</v>
      </c>
      <c r="E8476" s="4" t="str">
        <f>HYPERLINK("https://app.crepc.sk/?fn=detailBiblioForm&amp;sid=5BFE66B123F0ED37A75F1F9F3C")</f>
        <v>https://app.crepc.sk/?fn=detailBiblioForm&amp;sid=5BFE66B123F0ED37A75F1F9F3C</v>
      </c>
    </row>
    <row r="8477" spans="3:5" ht="60" x14ac:dyDescent="0.25">
      <c r="C8477" s="15">
        <v>187271</v>
      </c>
      <c r="D8477" s="4" t="s">
        <v>8480</v>
      </c>
      <c r="E8477" s="4" t="str">
        <f>HYPERLINK("https://app.crepc.sk/?fn=detailBiblioForm&amp;sid=8D80AD18777FCC7F6BB5DC5BD8")</f>
        <v>https://app.crepc.sk/?fn=detailBiblioForm&amp;sid=8D80AD18777FCC7F6BB5DC5BD8</v>
      </c>
    </row>
    <row r="8478" spans="3:5" ht="75" x14ac:dyDescent="0.25">
      <c r="C8478" s="15">
        <v>57047</v>
      </c>
      <c r="D8478" s="4" t="s">
        <v>8481</v>
      </c>
      <c r="E8478" s="4" t="str">
        <f>HYPERLINK("https://app.crepc.sk/?fn=detailBiblioForm&amp;sid=3CB5A808740D56188402F8AF")</f>
        <v>https://app.crepc.sk/?fn=detailBiblioForm&amp;sid=3CB5A808740D56188402F8AF</v>
      </c>
    </row>
    <row r="8479" spans="3:5" ht="45" x14ac:dyDescent="0.25">
      <c r="C8479" s="15">
        <v>315707</v>
      </c>
      <c r="D8479" s="4" t="s">
        <v>8482</v>
      </c>
      <c r="E8479" s="4" t="str">
        <f>HYPERLINK("https://app.crepc.sk/?fn=detailBiblioForm&amp;sid=CDD02CFDD1BF044BB216112FEA")</f>
        <v>https://app.crepc.sk/?fn=detailBiblioForm&amp;sid=CDD02CFDD1BF044BB216112FEA</v>
      </c>
    </row>
    <row r="8480" spans="3:5" ht="60" x14ac:dyDescent="0.25">
      <c r="C8480" s="15">
        <v>118597</v>
      </c>
      <c r="D8480" s="4" t="s">
        <v>8483</v>
      </c>
      <c r="E8480" s="4" t="str">
        <f>HYPERLINK("https://app.crepc.sk/?fn=detailBiblioForm&amp;sid=5E5121F04DA708F8CAC478AA89")</f>
        <v>https://app.crepc.sk/?fn=detailBiblioForm&amp;sid=5E5121F04DA708F8CAC478AA89</v>
      </c>
    </row>
    <row r="8481" spans="3:5" ht="60" x14ac:dyDescent="0.25">
      <c r="C8481" s="15">
        <v>304627</v>
      </c>
      <c r="D8481" s="4" t="s">
        <v>8484</v>
      </c>
      <c r="E8481" s="4" t="str">
        <f>HYPERLINK("https://app.crepc.sk/?fn=detailBiblioForm&amp;sid=C9884AA49470EF612ABE11B2CB")</f>
        <v>https://app.crepc.sk/?fn=detailBiblioForm&amp;sid=C9884AA49470EF612ABE11B2CB</v>
      </c>
    </row>
    <row r="8482" spans="3:5" ht="60" x14ac:dyDescent="0.25">
      <c r="C8482" s="15">
        <v>120405</v>
      </c>
      <c r="D8482" s="4" t="s">
        <v>8485</v>
      </c>
      <c r="E8482" s="4" t="str">
        <f>HYPERLINK("https://app.crepc.sk/?fn=detailBiblioForm&amp;sid=7772E9E5CC071049DF5A92E7B2")</f>
        <v>https://app.crepc.sk/?fn=detailBiblioForm&amp;sid=7772E9E5CC071049DF5A92E7B2</v>
      </c>
    </row>
    <row r="8483" spans="3:5" ht="75" x14ac:dyDescent="0.25">
      <c r="C8483" s="15">
        <v>429814</v>
      </c>
      <c r="D8483" s="4" t="s">
        <v>8486</v>
      </c>
      <c r="E8483" s="4" t="str">
        <f>HYPERLINK("https://app.crepc.sk/?fn=detailBiblioForm&amp;sid=3FA563B72988EE5763E6BF1D97")</f>
        <v>https://app.crepc.sk/?fn=detailBiblioForm&amp;sid=3FA563B72988EE5763E6BF1D97</v>
      </c>
    </row>
    <row r="8484" spans="3:5" ht="90" x14ac:dyDescent="0.25">
      <c r="C8484" s="15">
        <v>103988</v>
      </c>
      <c r="D8484" s="4" t="s">
        <v>8487</v>
      </c>
      <c r="E8484" s="4" t="str">
        <f>HYPERLINK("https://app.crepc.sk/?fn=detailBiblioForm&amp;sid=706B7159B114D32C9DBDF084BE")</f>
        <v>https://app.crepc.sk/?fn=detailBiblioForm&amp;sid=706B7159B114D32C9DBDF084BE</v>
      </c>
    </row>
    <row r="8485" spans="3:5" ht="45" x14ac:dyDescent="0.25">
      <c r="C8485" s="15">
        <v>433930</v>
      </c>
      <c r="D8485" s="4" t="s">
        <v>8488</v>
      </c>
      <c r="E8485" s="4" t="str">
        <f>HYPERLINK("https://app.crepc.sk/?fn=detailBiblioForm&amp;sid=B50322C756B65771A7C8E25F2D")</f>
        <v>https://app.crepc.sk/?fn=detailBiblioForm&amp;sid=B50322C756B65771A7C8E25F2D</v>
      </c>
    </row>
    <row r="8486" spans="3:5" ht="270" x14ac:dyDescent="0.25">
      <c r="C8486" s="15">
        <v>99031</v>
      </c>
      <c r="D8486" s="4" t="s">
        <v>8489</v>
      </c>
      <c r="E8486" s="4" t="str">
        <f>HYPERLINK("https://app.crepc.sk/?fn=detailBiblioForm&amp;sid=9B2615B707D1156A9B0E2414")</f>
        <v>https://app.crepc.sk/?fn=detailBiblioForm&amp;sid=9B2615B707D1156A9B0E2414</v>
      </c>
    </row>
    <row r="8487" spans="3:5" ht="45" x14ac:dyDescent="0.25">
      <c r="C8487" s="15">
        <v>436953</v>
      </c>
      <c r="D8487" s="4" t="s">
        <v>8490</v>
      </c>
      <c r="E8487" s="4" t="str">
        <f>HYPERLINK("https://app.crepc.sk/?fn=detailBiblioForm&amp;sid=A1A8EB404CE9E8974F9AB2A156")</f>
        <v>https://app.crepc.sk/?fn=detailBiblioForm&amp;sid=A1A8EB404CE9E8974F9AB2A156</v>
      </c>
    </row>
    <row r="8488" spans="3:5" ht="60" x14ac:dyDescent="0.25">
      <c r="C8488" s="15">
        <v>255035</v>
      </c>
      <c r="D8488" s="4" t="s">
        <v>8491</v>
      </c>
      <c r="E8488" s="4" t="str">
        <f>HYPERLINK("https://app.crepc.sk/?fn=detailBiblioForm&amp;sid=2A06A686EDCDA053356B0842F6")</f>
        <v>https://app.crepc.sk/?fn=detailBiblioForm&amp;sid=2A06A686EDCDA053356B0842F6</v>
      </c>
    </row>
    <row r="8489" spans="3:5" ht="90" x14ac:dyDescent="0.25">
      <c r="C8489" s="15">
        <v>194774</v>
      </c>
      <c r="D8489" s="4" t="s">
        <v>8492</v>
      </c>
      <c r="E8489" s="4" t="str">
        <f>HYPERLINK("https://app.crepc.sk/?fn=detailBiblioForm&amp;sid=2FEED85A3FCEFC83C6ECE02009")</f>
        <v>https://app.crepc.sk/?fn=detailBiblioForm&amp;sid=2FEED85A3FCEFC83C6ECE02009</v>
      </c>
    </row>
    <row r="8490" spans="3:5" ht="105" x14ac:dyDescent="0.25">
      <c r="C8490" s="15">
        <v>310642</v>
      </c>
      <c r="D8490" s="4" t="s">
        <v>8493</v>
      </c>
      <c r="E8490" s="4" t="str">
        <f>HYPERLINK("https://app.crepc.sk/?fn=detailBiblioForm&amp;sid=1650EFDC8A2C2619D881A1BCCD")</f>
        <v>https://app.crepc.sk/?fn=detailBiblioForm&amp;sid=1650EFDC8A2C2619D881A1BCCD</v>
      </c>
    </row>
    <row r="8491" spans="3:5" ht="90" x14ac:dyDescent="0.25">
      <c r="C8491" s="15">
        <v>443629</v>
      </c>
      <c r="D8491" s="4" t="s">
        <v>8494</v>
      </c>
      <c r="E8491" s="4" t="str">
        <f>HYPERLINK("https://app.crepc.sk/?fn=detailBiblioForm&amp;sid=2761AE537960FDA12DEAA7A668")</f>
        <v>https://app.crepc.sk/?fn=detailBiblioForm&amp;sid=2761AE537960FDA12DEAA7A668</v>
      </c>
    </row>
    <row r="8492" spans="3:5" ht="120" x14ac:dyDescent="0.25">
      <c r="C8492" s="15">
        <v>446107</v>
      </c>
      <c r="D8492" s="4" t="s">
        <v>8495</v>
      </c>
      <c r="E8492" s="4" t="str">
        <f>HYPERLINK("https://app.crepc.sk/?fn=detailBiblioForm&amp;sid=78EA7041B85B7B09CFA21A8FE3")</f>
        <v>https://app.crepc.sk/?fn=detailBiblioForm&amp;sid=78EA7041B85B7B09CFA21A8FE3</v>
      </c>
    </row>
    <row r="8493" spans="3:5" ht="75" x14ac:dyDescent="0.25">
      <c r="C8493" s="15">
        <v>256333</v>
      </c>
      <c r="D8493" s="4" t="s">
        <v>8496</v>
      </c>
      <c r="E8493" s="4" t="str">
        <f>HYPERLINK("https://app.crepc.sk/?fn=detailBiblioForm&amp;sid=53338FE5898FBD3D2F9C6AFB9B")</f>
        <v>https://app.crepc.sk/?fn=detailBiblioForm&amp;sid=53338FE5898FBD3D2F9C6AFB9B</v>
      </c>
    </row>
    <row r="8494" spans="3:5" ht="270" x14ac:dyDescent="0.25">
      <c r="C8494" s="15">
        <v>426241</v>
      </c>
      <c r="D8494" s="4" t="s">
        <v>8497</v>
      </c>
      <c r="E8494" s="4" t="str">
        <f>HYPERLINK("https://app.crepc.sk/?fn=detailBiblioForm&amp;sid=E937FF83F9A75DDC61DB468A94")</f>
        <v>https://app.crepc.sk/?fn=detailBiblioForm&amp;sid=E937FF83F9A75DDC61DB468A94</v>
      </c>
    </row>
    <row r="8495" spans="3:5" ht="90" x14ac:dyDescent="0.25">
      <c r="C8495" s="15">
        <v>198091</v>
      </c>
      <c r="D8495" s="4" t="s">
        <v>8498</v>
      </c>
      <c r="E8495" s="4" t="str">
        <f>HYPERLINK("https://app.crepc.sk/?fn=detailBiblioForm&amp;sid=CA9AC2532A83F9DA39460383FD")</f>
        <v>https://app.crepc.sk/?fn=detailBiblioForm&amp;sid=CA9AC2532A83F9DA39460383FD</v>
      </c>
    </row>
    <row r="8496" spans="3:5" ht="45" x14ac:dyDescent="0.25">
      <c r="C8496" s="15">
        <v>229975</v>
      </c>
      <c r="D8496" s="4" t="s">
        <v>8499</v>
      </c>
      <c r="E8496" s="4" t="str">
        <f>HYPERLINK("https://app.crepc.sk/?fn=detailBiblioForm&amp;sid=B9A1E1684204950070C32EFBD6")</f>
        <v>https://app.crepc.sk/?fn=detailBiblioForm&amp;sid=B9A1E1684204950070C32EFBD6</v>
      </c>
    </row>
    <row r="8497" spans="3:5" ht="75" x14ac:dyDescent="0.25">
      <c r="C8497" s="15">
        <v>315550</v>
      </c>
      <c r="D8497" s="4" t="s">
        <v>8500</v>
      </c>
      <c r="E8497" s="4" t="str">
        <f>HYPERLINK("https://app.crepc.sk/?fn=detailBiblioForm&amp;sid=46945EB1F5D500F5907543D35F")</f>
        <v>https://app.crepc.sk/?fn=detailBiblioForm&amp;sid=46945EB1F5D500F5907543D35F</v>
      </c>
    </row>
    <row r="8498" spans="3:5" ht="90" x14ac:dyDescent="0.25">
      <c r="C8498" s="15">
        <v>315212</v>
      </c>
      <c r="D8498" s="4" t="s">
        <v>8501</v>
      </c>
      <c r="E8498" s="4" t="str">
        <f>HYPERLINK("https://app.crepc.sk/?fn=detailBiblioForm&amp;sid=D8E909CCB801991832B6757C25")</f>
        <v>https://app.crepc.sk/?fn=detailBiblioForm&amp;sid=D8E909CCB801991832B6757C25</v>
      </c>
    </row>
    <row r="8499" spans="3:5" ht="60" x14ac:dyDescent="0.25">
      <c r="C8499" s="15">
        <v>95150</v>
      </c>
      <c r="D8499" s="4" t="s">
        <v>8502</v>
      </c>
      <c r="E8499" s="4" t="str">
        <f>HYPERLINK("https://app.crepc.sk/?fn=detailBiblioForm&amp;sid=01A2FA484648259B20ABCB3C")</f>
        <v>https://app.crepc.sk/?fn=detailBiblioForm&amp;sid=01A2FA484648259B20ABCB3C</v>
      </c>
    </row>
    <row r="8500" spans="3:5" ht="75" x14ac:dyDescent="0.25">
      <c r="C8500" s="15">
        <v>183717</v>
      </c>
      <c r="D8500" s="4" t="s">
        <v>8503</v>
      </c>
      <c r="E8500" s="4" t="str">
        <f>HYPERLINK("https://app.crepc.sk/?fn=detailBiblioForm&amp;sid=8DA5F85D14F67EBBABDB8BC081")</f>
        <v>https://app.crepc.sk/?fn=detailBiblioForm&amp;sid=8DA5F85D14F67EBBABDB8BC081</v>
      </c>
    </row>
    <row r="8501" spans="3:5" ht="105" x14ac:dyDescent="0.25">
      <c r="C8501" s="15">
        <v>183762</v>
      </c>
      <c r="D8501" s="4" t="s">
        <v>8504</v>
      </c>
      <c r="E8501" s="4" t="str">
        <f>HYPERLINK("https://app.crepc.sk/?fn=detailBiblioForm&amp;sid=8DA5F85D14F67EBBACDE8BC081")</f>
        <v>https://app.crepc.sk/?fn=detailBiblioForm&amp;sid=8DA5F85D14F67EBBACDE8BC081</v>
      </c>
    </row>
    <row r="8502" spans="3:5" ht="75" x14ac:dyDescent="0.25">
      <c r="C8502" s="15">
        <v>183731</v>
      </c>
      <c r="D8502" s="4" t="s">
        <v>8505</v>
      </c>
      <c r="E8502" s="4" t="str">
        <f>HYPERLINK("https://app.crepc.sk/?fn=detailBiblioForm&amp;sid=8DA5F85D14F67EBBA9DD8BC081")</f>
        <v>https://app.crepc.sk/?fn=detailBiblioForm&amp;sid=8DA5F85D14F67EBBA9DD8BC081</v>
      </c>
    </row>
    <row r="8503" spans="3:5" ht="90" x14ac:dyDescent="0.25">
      <c r="C8503" s="15">
        <v>85402</v>
      </c>
      <c r="D8503" s="4" t="s">
        <v>8506</v>
      </c>
      <c r="E8503" s="4" t="str">
        <f>HYPERLINK("https://app.crepc.sk/?fn=detailBiblioForm&amp;sid=49449400033A03E21BAC110F")</f>
        <v>https://app.crepc.sk/?fn=detailBiblioForm&amp;sid=49449400033A03E21BAC110F</v>
      </c>
    </row>
    <row r="8504" spans="3:5" ht="105" x14ac:dyDescent="0.25">
      <c r="C8504" s="15">
        <v>131040</v>
      </c>
      <c r="D8504" s="4" t="s">
        <v>8507</v>
      </c>
      <c r="E8504" s="4" t="str">
        <f>HYPERLINK("https://app.crepc.sk/?fn=detailBiblioForm&amp;sid=A8CFFD80ABEAC294BC8F4D0AAA")</f>
        <v>https://app.crepc.sk/?fn=detailBiblioForm&amp;sid=A8CFFD80ABEAC294BC8F4D0AAA</v>
      </c>
    </row>
    <row r="8505" spans="3:5" ht="60" x14ac:dyDescent="0.25">
      <c r="C8505" s="15">
        <v>118363</v>
      </c>
      <c r="D8505" s="4" t="s">
        <v>8508</v>
      </c>
      <c r="E8505" s="4" t="str">
        <f>HYPERLINK("https://app.crepc.sk/?fn=detailBiblioForm&amp;sid=3870AE6E467F35C67FE97D6BA7")</f>
        <v>https://app.crepc.sk/?fn=detailBiblioForm&amp;sid=3870AE6E467F35C67FE97D6BA7</v>
      </c>
    </row>
    <row r="8506" spans="3:5" ht="75" x14ac:dyDescent="0.25">
      <c r="C8506" s="15">
        <v>316732</v>
      </c>
      <c r="D8506" s="4" t="s">
        <v>8509</v>
      </c>
      <c r="E8506" s="4" t="str">
        <f>HYPERLINK("https://app.crepc.sk/?fn=detailBiblioForm&amp;sid=31B74E2C3D2F4979E998C5B881")</f>
        <v>https://app.crepc.sk/?fn=detailBiblioForm&amp;sid=31B74E2C3D2F4979E998C5B881</v>
      </c>
    </row>
    <row r="8507" spans="3:5" ht="105" x14ac:dyDescent="0.25">
      <c r="C8507" s="15">
        <v>127907</v>
      </c>
      <c r="D8507" s="4" t="s">
        <v>8510</v>
      </c>
      <c r="E8507" s="4" t="str">
        <f>HYPERLINK("https://app.crepc.sk/?fn=detailBiblioForm&amp;sid=24C6E28F89ED84B92D6259EEF1")</f>
        <v>https://app.crepc.sk/?fn=detailBiblioForm&amp;sid=24C6E28F89ED84B92D6259EEF1</v>
      </c>
    </row>
    <row r="8508" spans="3:5" ht="90" x14ac:dyDescent="0.25">
      <c r="C8508" s="15">
        <v>113682</v>
      </c>
      <c r="D8508" s="4" t="s">
        <v>8511</v>
      </c>
      <c r="E8508" s="4" t="str">
        <f>HYPERLINK("https://app.crepc.sk/?fn=detailBiblioForm&amp;sid=81878E51ADB8370D616BCCE984")</f>
        <v>https://app.crepc.sk/?fn=detailBiblioForm&amp;sid=81878E51ADB8370D616BCCE984</v>
      </c>
    </row>
    <row r="8509" spans="3:5" ht="60" x14ac:dyDescent="0.25">
      <c r="C8509" s="15">
        <v>97494</v>
      </c>
      <c r="D8509" s="4" t="s">
        <v>8512</v>
      </c>
      <c r="E8509" s="4" t="str">
        <f>HYPERLINK("https://app.crepc.sk/?fn=detailBiblioForm&amp;sid=14FB748EEA6974780C84B31F")</f>
        <v>https://app.crepc.sk/?fn=detailBiblioForm&amp;sid=14FB748EEA6974780C84B31F</v>
      </c>
    </row>
    <row r="8510" spans="3:5" ht="105" x14ac:dyDescent="0.25">
      <c r="C8510" s="15">
        <v>162204</v>
      </c>
      <c r="D8510" s="4" t="s">
        <v>8513</v>
      </c>
      <c r="E8510" s="4" t="str">
        <f>HYPERLINK("https://app.crepc.sk/?fn=detailBiblioForm&amp;sid=064839694A055E9D1109D03241")</f>
        <v>https://app.crepc.sk/?fn=detailBiblioForm&amp;sid=064839694A055E9D1109D03241</v>
      </c>
    </row>
    <row r="8511" spans="3:5" ht="90" x14ac:dyDescent="0.25">
      <c r="C8511" s="15">
        <v>63344</v>
      </c>
      <c r="D8511" s="4" t="s">
        <v>8514</v>
      </c>
      <c r="E8511" s="4" t="str">
        <f>HYPERLINK("https://app.crepc.sk/?fn=detailBiblioForm&amp;sid=1194EAF89E512F13E49FDF8C")</f>
        <v>https://app.crepc.sk/?fn=detailBiblioForm&amp;sid=1194EAF89E512F13E49FDF8C</v>
      </c>
    </row>
    <row r="8512" spans="3:5" ht="90" x14ac:dyDescent="0.25">
      <c r="C8512" s="15">
        <v>305552</v>
      </c>
      <c r="D8512" s="4" t="s">
        <v>8515</v>
      </c>
      <c r="E8512" s="4" t="str">
        <f>HYPERLINK("https://app.crepc.sk/?fn=detailBiblioForm&amp;sid=8CF101330A0FECECEBFF944C8F")</f>
        <v>https://app.crepc.sk/?fn=detailBiblioForm&amp;sid=8CF101330A0FECECEBFF944C8F</v>
      </c>
    </row>
    <row r="8513" spans="3:5" ht="45" x14ac:dyDescent="0.25">
      <c r="C8513" s="15">
        <v>122060</v>
      </c>
      <c r="D8513" s="4" t="s">
        <v>8516</v>
      </c>
      <c r="E8513" s="4" t="str">
        <f>HYPERLINK("https://app.crepc.sk/?fn=detailBiblioForm&amp;sid=889E7E0E7AB5801294FFADA3B8")</f>
        <v>https://app.crepc.sk/?fn=detailBiblioForm&amp;sid=889E7E0E7AB5801294FFADA3B8</v>
      </c>
    </row>
    <row r="8514" spans="3:5" ht="90" x14ac:dyDescent="0.25">
      <c r="C8514" s="15">
        <v>427604</v>
      </c>
      <c r="D8514" s="4" t="s">
        <v>8517</v>
      </c>
      <c r="E8514" s="4" t="str">
        <f>HYPERLINK("https://app.crepc.sk/?fn=detailBiblioForm&amp;sid=0FAF893153EE6C29FF5D7E32D2")</f>
        <v>https://app.crepc.sk/?fn=detailBiblioForm&amp;sid=0FAF893153EE6C29FF5D7E32D2</v>
      </c>
    </row>
    <row r="8515" spans="3:5" ht="60" x14ac:dyDescent="0.25">
      <c r="C8515" s="15">
        <v>313785</v>
      </c>
      <c r="D8515" s="4" t="s">
        <v>8518</v>
      </c>
      <c r="E8515" s="4" t="str">
        <f>HYPERLINK("https://app.crepc.sk/?fn=detailBiblioForm&amp;sid=54D25A27962CDFF2CDC7F50D21")</f>
        <v>https://app.crepc.sk/?fn=detailBiblioForm&amp;sid=54D25A27962CDFF2CDC7F50D21</v>
      </c>
    </row>
    <row r="8516" spans="3:5" ht="60" x14ac:dyDescent="0.25">
      <c r="C8516" s="15">
        <v>51406</v>
      </c>
      <c r="D8516" s="4" t="s">
        <v>8519</v>
      </c>
      <c r="E8516" s="4" t="str">
        <f>HYPERLINK("https://app.crepc.sk/?fn=detailBiblioForm&amp;sid=5F197B5B0CD8DA9E88035368")</f>
        <v>https://app.crepc.sk/?fn=detailBiblioForm&amp;sid=5F197B5B0CD8DA9E88035368</v>
      </c>
    </row>
    <row r="8517" spans="3:5" ht="90" x14ac:dyDescent="0.25">
      <c r="C8517" s="15">
        <v>140195</v>
      </c>
      <c r="D8517" s="4" t="s">
        <v>8520</v>
      </c>
      <c r="E8517" s="4" t="str">
        <f>HYPERLINK("https://app.crepc.sk/?fn=detailBiblioForm&amp;sid=17899838D38E4BD15F1AEAAA4C")</f>
        <v>https://app.crepc.sk/?fn=detailBiblioForm&amp;sid=17899838D38E4BD15F1AEAAA4C</v>
      </c>
    </row>
    <row r="8518" spans="3:5" ht="45" x14ac:dyDescent="0.25">
      <c r="C8518" s="15">
        <v>178322</v>
      </c>
      <c r="D8518" s="4" t="s">
        <v>8521</v>
      </c>
      <c r="E8518" s="4" t="str">
        <f>HYPERLINK("https://app.crepc.sk/?fn=detailBiblioForm&amp;sid=A5BC586C45F519526AE645B98C")</f>
        <v>https://app.crepc.sk/?fn=detailBiblioForm&amp;sid=A5BC586C45F519526AE645B98C</v>
      </c>
    </row>
    <row r="8519" spans="3:5" ht="60" x14ac:dyDescent="0.25">
      <c r="C8519" s="15">
        <v>425616</v>
      </c>
      <c r="D8519" s="4" t="s">
        <v>8522</v>
      </c>
      <c r="E8519" s="4" t="str">
        <f>HYPERLINK("https://app.crepc.sk/?fn=detailBiblioForm&amp;sid=DCD87B093B43B4A7BD0F497B10")</f>
        <v>https://app.crepc.sk/?fn=detailBiblioForm&amp;sid=DCD87B093B43B4A7BD0F497B10</v>
      </c>
    </row>
    <row r="8520" spans="3:5" ht="90" x14ac:dyDescent="0.25">
      <c r="C8520" s="15">
        <v>129637</v>
      </c>
      <c r="D8520" s="4" t="s">
        <v>8523</v>
      </c>
      <c r="E8520" s="4" t="str">
        <f>HYPERLINK("https://app.crepc.sk/?fn=detailBiblioForm&amp;sid=ACAA4AF27E5710F224AF8B34E5")</f>
        <v>https://app.crepc.sk/?fn=detailBiblioForm&amp;sid=ACAA4AF27E5710F224AF8B34E5</v>
      </c>
    </row>
    <row r="8521" spans="3:5" ht="90" x14ac:dyDescent="0.25">
      <c r="C8521" s="15">
        <v>167133</v>
      </c>
      <c r="D8521" s="4" t="s">
        <v>8524</v>
      </c>
      <c r="E8521" s="4" t="str">
        <f>HYPERLINK("https://app.crepc.sk/?fn=detailBiblioForm&amp;sid=780C5DA7522A72A29FF39DC9C0")</f>
        <v>https://app.crepc.sk/?fn=detailBiblioForm&amp;sid=780C5DA7522A72A29FF39DC9C0</v>
      </c>
    </row>
    <row r="8522" spans="3:5" ht="45" x14ac:dyDescent="0.25">
      <c r="C8522" s="15">
        <v>175607</v>
      </c>
      <c r="D8522" s="4" t="s">
        <v>8525</v>
      </c>
      <c r="E8522" s="4" t="str">
        <f>HYPERLINK("https://app.crepc.sk/?fn=detailBiblioForm&amp;sid=BF3D9176E80E1FB67EB84047B2")</f>
        <v>https://app.crepc.sk/?fn=detailBiblioForm&amp;sid=BF3D9176E80E1FB67EB84047B2</v>
      </c>
    </row>
    <row r="8523" spans="3:5" ht="60" x14ac:dyDescent="0.25">
      <c r="C8523" s="15">
        <v>247496</v>
      </c>
      <c r="D8523" s="4" t="s">
        <v>8526</v>
      </c>
      <c r="E8523" s="4" t="str">
        <f>HYPERLINK("https://app.crepc.sk/?fn=detailBiblioForm&amp;sid=6137549337470B5638FFD571F1")</f>
        <v>https://app.crepc.sk/?fn=detailBiblioForm&amp;sid=6137549337470B5638FFD571F1</v>
      </c>
    </row>
    <row r="8524" spans="3:5" ht="120" x14ac:dyDescent="0.25">
      <c r="C8524" s="15">
        <v>196939</v>
      </c>
      <c r="D8524" s="4" t="s">
        <v>8527</v>
      </c>
      <c r="E8524" s="4" t="str">
        <f>HYPERLINK("https://app.crepc.sk/?fn=detailBiblioForm&amp;sid=FD2A61625DB31BB35550FEE577")</f>
        <v>https://app.crepc.sk/?fn=detailBiblioForm&amp;sid=FD2A61625DB31BB35550FEE577</v>
      </c>
    </row>
    <row r="8525" spans="3:5" ht="90" x14ac:dyDescent="0.25">
      <c r="C8525" s="15">
        <v>310643</v>
      </c>
      <c r="D8525" s="4" t="s">
        <v>8528</v>
      </c>
      <c r="E8525" s="4" t="str">
        <f>HYPERLINK("https://app.crepc.sk/?fn=detailBiblioForm&amp;sid=1650EFDC8A2C2619D880A1BCCD")</f>
        <v>https://app.crepc.sk/?fn=detailBiblioForm&amp;sid=1650EFDC8A2C2619D880A1BCCD</v>
      </c>
    </row>
    <row r="8526" spans="3:5" ht="60" x14ac:dyDescent="0.25">
      <c r="C8526" s="15">
        <v>416440</v>
      </c>
      <c r="D8526" s="4" t="s">
        <v>8529</v>
      </c>
      <c r="E8526" s="4" t="str">
        <f>HYPERLINK("https://app.crepc.sk/?fn=detailBiblioForm&amp;sid=50715014699C2E430D17098FF9")</f>
        <v>https://app.crepc.sk/?fn=detailBiblioForm&amp;sid=50715014699C2E430D17098FF9</v>
      </c>
    </row>
    <row r="8527" spans="3:5" ht="90" x14ac:dyDescent="0.25">
      <c r="C8527" s="15">
        <v>198964</v>
      </c>
      <c r="D8527" s="4" t="s">
        <v>8530</v>
      </c>
      <c r="E8527" s="4" t="str">
        <f>HYPERLINK("https://app.crepc.sk/?fn=detailBiblioForm&amp;sid=72F616B01DF8DEC04840A0C4CB")</f>
        <v>https://app.crepc.sk/?fn=detailBiblioForm&amp;sid=72F616B01DF8DEC04840A0C4CB</v>
      </c>
    </row>
    <row r="8528" spans="3:5" ht="60" x14ac:dyDescent="0.25">
      <c r="C8528" s="15">
        <v>239806</v>
      </c>
      <c r="D8528" s="4" t="s">
        <v>8531</v>
      </c>
      <c r="E8528" s="4" t="str">
        <f>HYPERLINK("https://app.crepc.sk/?fn=detailBiblioForm&amp;sid=264ED3FE4CF1513A3F1AD53EB9")</f>
        <v>https://app.crepc.sk/?fn=detailBiblioForm&amp;sid=264ED3FE4CF1513A3F1AD53EB9</v>
      </c>
    </row>
    <row r="8529" spans="3:5" ht="105" x14ac:dyDescent="0.25">
      <c r="C8529" s="15">
        <v>423080</v>
      </c>
      <c r="D8529" s="4" t="s">
        <v>8532</v>
      </c>
      <c r="E8529" s="4" t="str">
        <f>HYPERLINK("https://app.crepc.sk/?fn=detailBiblioForm&amp;sid=DB5C56B962FEDC7A05DB9723F0")</f>
        <v>https://app.crepc.sk/?fn=detailBiblioForm&amp;sid=DB5C56B962FEDC7A05DB9723F0</v>
      </c>
    </row>
    <row r="8530" spans="3:5" ht="105" x14ac:dyDescent="0.25">
      <c r="C8530" s="15">
        <v>308060</v>
      </c>
      <c r="D8530" s="4" t="s">
        <v>8533</v>
      </c>
      <c r="E8530" s="4" t="str">
        <f>HYPERLINK("https://app.crepc.sk/?fn=detailBiblioForm&amp;sid=B4814A7CCCB1CD2719E33FF425")</f>
        <v>https://app.crepc.sk/?fn=detailBiblioForm&amp;sid=B4814A7CCCB1CD2719E33FF425</v>
      </c>
    </row>
    <row r="8531" spans="3:5" ht="60" x14ac:dyDescent="0.25">
      <c r="C8531" s="15">
        <v>447930</v>
      </c>
      <c r="D8531" s="4" t="s">
        <v>8534</v>
      </c>
      <c r="E8531" s="4" t="str">
        <f>HYPERLINK("https://app.crepc.sk/?fn=detailBiblioForm&amp;sid=1B50CC9371C3E7A0E118A75DC9")</f>
        <v>https://app.crepc.sk/?fn=detailBiblioForm&amp;sid=1B50CC9371C3E7A0E118A75DC9</v>
      </c>
    </row>
    <row r="8532" spans="3:5" ht="60" x14ac:dyDescent="0.25">
      <c r="C8532" s="15">
        <v>117515</v>
      </c>
      <c r="D8532" s="4" t="s">
        <v>8535</v>
      </c>
      <c r="E8532" s="4" t="str">
        <f>HYPERLINK("https://app.crepc.sk/?fn=detailBiblioForm&amp;sid=782C7F190F5282740FA12FB4FF")</f>
        <v>https://app.crepc.sk/?fn=detailBiblioForm&amp;sid=782C7F190F5282740FA12FB4FF</v>
      </c>
    </row>
    <row r="8533" spans="3:5" ht="75" x14ac:dyDescent="0.25">
      <c r="C8533" s="15">
        <v>447907</v>
      </c>
      <c r="D8533" s="4" t="s">
        <v>8536</v>
      </c>
      <c r="E8533" s="4" t="str">
        <f>HYPERLINK("https://app.crepc.sk/?fn=detailBiblioForm&amp;sid=1B50CC9371C3E7A0E21FA75DC9")</f>
        <v>https://app.crepc.sk/?fn=detailBiblioForm&amp;sid=1B50CC9371C3E7A0E21FA75DC9</v>
      </c>
    </row>
    <row r="8534" spans="3:5" ht="90" x14ac:dyDescent="0.25">
      <c r="C8534" s="15">
        <v>85776</v>
      </c>
      <c r="D8534" s="4" t="s">
        <v>8537</v>
      </c>
      <c r="E8534" s="4" t="str">
        <f>HYPERLINK("https://app.crepc.sk/?fn=detailBiblioForm&amp;sid=4C8A6F9A5D793F6B380ED920")</f>
        <v>https://app.crepc.sk/?fn=detailBiblioForm&amp;sid=4C8A6F9A5D793F6B380ED920</v>
      </c>
    </row>
    <row r="8535" spans="3:5" ht="75" x14ac:dyDescent="0.25">
      <c r="C8535" s="15">
        <v>420605</v>
      </c>
      <c r="D8535" s="4" t="s">
        <v>8538</v>
      </c>
      <c r="E8535" s="4" t="str">
        <f>HYPERLINK("https://app.crepc.sk/?fn=detailBiblioForm&amp;sid=A77AA55DE17C971B2E55FEE8BA")</f>
        <v>https://app.crepc.sk/?fn=detailBiblioForm&amp;sid=A77AA55DE17C971B2E55FEE8BA</v>
      </c>
    </row>
    <row r="8536" spans="3:5" ht="45" x14ac:dyDescent="0.25">
      <c r="C8536" s="15">
        <v>153001</v>
      </c>
      <c r="D8536" s="4" t="s">
        <v>8539</v>
      </c>
      <c r="E8536" s="4" t="str">
        <f>HYPERLINK("https://app.crepc.sk/?fn=detailBiblioForm&amp;sid=E7FF18FD4FFD5019DDFB812AD9")</f>
        <v>https://app.crepc.sk/?fn=detailBiblioForm&amp;sid=E7FF18FD4FFD5019DDFB812AD9</v>
      </c>
    </row>
    <row r="8537" spans="3:5" ht="90" x14ac:dyDescent="0.25">
      <c r="C8537" s="15">
        <v>88162</v>
      </c>
      <c r="D8537" s="4" t="s">
        <v>8540</v>
      </c>
      <c r="E8537" s="4" t="str">
        <f>HYPERLINK("https://app.crepc.sk/?fn=detailBiblioForm&amp;sid=F80F6F33923E4A3E6236E9F7")</f>
        <v>https://app.crepc.sk/?fn=detailBiblioForm&amp;sid=F80F6F33923E4A3E6236E9F7</v>
      </c>
    </row>
    <row r="8538" spans="3:5" ht="60" x14ac:dyDescent="0.25">
      <c r="C8538" s="15">
        <v>146595</v>
      </c>
      <c r="D8538" s="4" t="s">
        <v>8541</v>
      </c>
      <c r="E8538" s="4" t="str">
        <f>HYPERLINK("https://app.crepc.sk/?fn=detailBiblioForm&amp;sid=FB82D27E75BFB74B61EC34DB0F")</f>
        <v>https://app.crepc.sk/?fn=detailBiblioForm&amp;sid=FB82D27E75BFB74B61EC34DB0F</v>
      </c>
    </row>
    <row r="8539" spans="3:5" ht="75" x14ac:dyDescent="0.25">
      <c r="C8539" s="15">
        <v>122598</v>
      </c>
      <c r="D8539" s="4" t="s">
        <v>8542</v>
      </c>
      <c r="E8539" s="4" t="str">
        <f>HYPERLINK("https://app.crepc.sk/?fn=detailBiblioForm&amp;sid=6C0594DA955AD34A4977C5FCEF")</f>
        <v>https://app.crepc.sk/?fn=detailBiblioForm&amp;sid=6C0594DA955AD34A4977C5FCEF</v>
      </c>
    </row>
    <row r="8540" spans="3:5" ht="60" x14ac:dyDescent="0.25">
      <c r="C8540" s="15">
        <v>145386</v>
      </c>
      <c r="D8540" s="4" t="s">
        <v>8543</v>
      </c>
      <c r="E8540" s="4" t="str">
        <f>HYPERLINK("https://app.crepc.sk/?fn=detailBiblioForm&amp;sid=630E6FB02690F4A579F57CC2B5")</f>
        <v>https://app.crepc.sk/?fn=detailBiblioForm&amp;sid=630E6FB02690F4A579F57CC2B5</v>
      </c>
    </row>
    <row r="8541" spans="3:5" ht="75" x14ac:dyDescent="0.25">
      <c r="C8541" s="15">
        <v>193200</v>
      </c>
      <c r="D8541" s="4" t="s">
        <v>8544</v>
      </c>
      <c r="E8541" s="4" t="str">
        <f>HYPERLINK("https://app.crepc.sk/?fn=detailBiblioForm&amp;sid=C548C0F9FD696643FEB6CC8CCF")</f>
        <v>https://app.crepc.sk/?fn=detailBiblioForm&amp;sid=C548C0F9FD696643FEB6CC8CCF</v>
      </c>
    </row>
    <row r="8542" spans="3:5" ht="90" x14ac:dyDescent="0.25">
      <c r="C8542" s="15">
        <v>232844</v>
      </c>
      <c r="D8542" s="4" t="s">
        <v>8545</v>
      </c>
      <c r="E8542" s="4" t="str">
        <f>HYPERLINK("https://app.crepc.sk/?fn=detailBiblioForm&amp;sid=5CFC8A258B63AE90FBB3EA8327")</f>
        <v>https://app.crepc.sk/?fn=detailBiblioForm&amp;sid=5CFC8A258B63AE90FBB3EA8327</v>
      </c>
    </row>
    <row r="8543" spans="3:5" ht="75" x14ac:dyDescent="0.25">
      <c r="C8543" s="15">
        <v>247024</v>
      </c>
      <c r="D8543" s="4" t="s">
        <v>8546</v>
      </c>
      <c r="E8543" s="4" t="str">
        <f>HYPERLINK("https://app.crepc.sk/?fn=detailBiblioForm&amp;sid=EBEA61057054222A0C927935A3")</f>
        <v>https://app.crepc.sk/?fn=detailBiblioForm&amp;sid=EBEA61057054222A0C927935A3</v>
      </c>
    </row>
    <row r="8544" spans="3:5" ht="45" x14ac:dyDescent="0.25">
      <c r="C8544" s="15">
        <v>146251</v>
      </c>
      <c r="D8544" s="4" t="s">
        <v>8547</v>
      </c>
      <c r="E8544" s="4" t="str">
        <f>HYPERLINK("https://app.crepc.sk/?fn=detailBiblioForm&amp;sid=0847CB681108BF2ACF635F0E3C")</f>
        <v>https://app.crepc.sk/?fn=detailBiblioForm&amp;sid=0847CB681108BF2ACF635F0E3C</v>
      </c>
    </row>
    <row r="8545" spans="3:5" ht="60" x14ac:dyDescent="0.25">
      <c r="C8545" s="15">
        <v>55492</v>
      </c>
      <c r="D8545" s="4" t="s">
        <v>8548</v>
      </c>
      <c r="E8545" s="4" t="str">
        <f>HYPERLINK("https://app.crepc.sk/?fn=detailBiblioForm&amp;sid=65D21B8B29DCC669D2921813")</f>
        <v>https://app.crepc.sk/?fn=detailBiblioForm&amp;sid=65D21B8B29DCC669D2921813</v>
      </c>
    </row>
    <row r="8546" spans="3:5" ht="105" x14ac:dyDescent="0.25">
      <c r="C8546" s="15">
        <v>132624</v>
      </c>
      <c r="D8546" s="4" t="s">
        <v>8549</v>
      </c>
      <c r="E8546" s="4" t="str">
        <f>HYPERLINK("https://app.crepc.sk/?fn=detailBiblioForm&amp;sid=45946F80BD0ADF83340A7F64E5")</f>
        <v>https://app.crepc.sk/?fn=detailBiblioForm&amp;sid=45946F80BD0ADF83340A7F64E5</v>
      </c>
    </row>
    <row r="8547" spans="3:5" ht="45" x14ac:dyDescent="0.25">
      <c r="C8547" s="15">
        <v>121894</v>
      </c>
      <c r="D8547" s="4" t="s">
        <v>8550</v>
      </c>
      <c r="E8547" s="4" t="str">
        <f>HYPERLINK("https://app.crepc.sk/?fn=detailBiblioForm&amp;sid=FB227A2458B7F9F419632D5E19")</f>
        <v>https://app.crepc.sk/?fn=detailBiblioForm&amp;sid=FB227A2458B7F9F419632D5E19</v>
      </c>
    </row>
    <row r="8548" spans="3:5" ht="75" x14ac:dyDescent="0.25">
      <c r="C8548" s="15">
        <v>135675</v>
      </c>
      <c r="D8548" s="4" t="s">
        <v>8551</v>
      </c>
      <c r="E8548" s="4" t="str">
        <f>HYPERLINK("https://app.crepc.sk/?fn=detailBiblioForm&amp;sid=501BC45481E06D382719111596")</f>
        <v>https://app.crepc.sk/?fn=detailBiblioForm&amp;sid=501BC45481E06D382719111596</v>
      </c>
    </row>
    <row r="8549" spans="3:5" ht="60" x14ac:dyDescent="0.25">
      <c r="C8549" s="15">
        <v>116361</v>
      </c>
      <c r="D8549" s="4" t="s">
        <v>8552</v>
      </c>
      <c r="E8549" s="4" t="str">
        <f>HYPERLINK("https://app.crepc.sk/?fn=detailBiblioForm&amp;sid=1002ED0DF2340BB2297A02508D")</f>
        <v>https://app.crepc.sk/?fn=detailBiblioForm&amp;sid=1002ED0DF2340BB2297A02508D</v>
      </c>
    </row>
    <row r="8550" spans="3:5" ht="45" x14ac:dyDescent="0.25">
      <c r="C8550" s="15">
        <v>226530</v>
      </c>
      <c r="D8550" s="4" t="s">
        <v>8553</v>
      </c>
      <c r="E8550" s="4" t="str">
        <f>HYPERLINK("https://app.crepc.sk/?fn=detailBiblioForm&amp;sid=1A96CD219DD6F1D8FE5B31CBF0")</f>
        <v>https://app.crepc.sk/?fn=detailBiblioForm&amp;sid=1A96CD219DD6F1D8FE5B31CBF0</v>
      </c>
    </row>
    <row r="8551" spans="3:5" ht="75" x14ac:dyDescent="0.25">
      <c r="C8551" s="15">
        <v>194747</v>
      </c>
      <c r="D8551" s="4" t="s">
        <v>8554</v>
      </c>
      <c r="E8551" s="4" t="str">
        <f>HYPERLINK("https://app.crepc.sk/?fn=detailBiblioForm&amp;sid=2FEED85A3FCEFC83C5EFE02009")</f>
        <v>https://app.crepc.sk/?fn=detailBiblioForm&amp;sid=2FEED85A3FCEFC83C5EFE02009</v>
      </c>
    </row>
    <row r="8552" spans="3:5" ht="45" x14ac:dyDescent="0.25">
      <c r="C8552" s="15">
        <v>186185</v>
      </c>
      <c r="D8552" s="4" t="s">
        <v>8555</v>
      </c>
      <c r="E8552" s="4" t="str">
        <f>HYPERLINK("https://app.crepc.sk/?fn=detailBiblioForm&amp;sid=EE8AF2E76B4BE2A864A7A88598")</f>
        <v>https://app.crepc.sk/?fn=detailBiblioForm&amp;sid=EE8AF2E76B4BE2A864A7A88598</v>
      </c>
    </row>
    <row r="8553" spans="3:5" ht="60" x14ac:dyDescent="0.25">
      <c r="C8553" s="15">
        <v>248543</v>
      </c>
      <c r="D8553" s="4" t="s">
        <v>8556</v>
      </c>
      <c r="E8553" s="4" t="str">
        <f>HYPERLINK("https://app.crepc.sk/?fn=detailBiblioForm&amp;sid=3173F3EBFDDB76EF47DF64397B")</f>
        <v>https://app.crepc.sk/?fn=detailBiblioForm&amp;sid=3173F3EBFDDB76EF47DF64397B</v>
      </c>
    </row>
    <row r="8554" spans="3:5" ht="75" x14ac:dyDescent="0.25">
      <c r="C8554" s="15">
        <v>311785</v>
      </c>
      <c r="D8554" s="4" t="s">
        <v>8557</v>
      </c>
      <c r="E8554" s="4" t="str">
        <f>HYPERLINK("https://app.crepc.sk/?fn=detailBiblioForm&amp;sid=8EE1810944F1923626C6017A00")</f>
        <v>https://app.crepc.sk/?fn=detailBiblioForm&amp;sid=8EE1810944F1923626C6017A00</v>
      </c>
    </row>
    <row r="8555" spans="3:5" ht="105" x14ac:dyDescent="0.25">
      <c r="C8555" s="15">
        <v>112951</v>
      </c>
      <c r="D8555" s="4" t="s">
        <v>8558</v>
      </c>
      <c r="E8555" s="4" t="str">
        <f>HYPERLINK("https://app.crepc.sk/?fn=detailBiblioForm&amp;sid=CD163567E5A8F6A31DB300889D")</f>
        <v>https://app.crepc.sk/?fn=detailBiblioForm&amp;sid=CD163567E5A8F6A31DB300889D</v>
      </c>
    </row>
    <row r="8556" spans="3:5" ht="150" x14ac:dyDescent="0.25">
      <c r="C8556" s="15">
        <v>163047</v>
      </c>
      <c r="D8556" s="4" t="s">
        <v>8559</v>
      </c>
      <c r="E8556" s="4" t="str">
        <f>HYPERLINK("https://app.crepc.sk/?fn=detailBiblioForm&amp;sid=50FE609ECAA3CD9EE4CF01F139")</f>
        <v>https://app.crepc.sk/?fn=detailBiblioForm&amp;sid=50FE609ECAA3CD9EE4CF01F139</v>
      </c>
    </row>
    <row r="8557" spans="3:5" ht="45" x14ac:dyDescent="0.25">
      <c r="C8557" s="15">
        <v>190156</v>
      </c>
      <c r="D8557" s="4" t="s">
        <v>8560</v>
      </c>
      <c r="E8557" s="4" t="str">
        <f>HYPERLINK("https://app.crepc.sk/?fn=detailBiblioForm&amp;sid=91A8077BCD3DC838EE7D6AA292")</f>
        <v>https://app.crepc.sk/?fn=detailBiblioForm&amp;sid=91A8077BCD3DC838EE7D6AA292</v>
      </c>
    </row>
    <row r="8558" spans="3:5" ht="60" x14ac:dyDescent="0.25">
      <c r="C8558" s="15">
        <v>448512</v>
      </c>
      <c r="D8558" s="4" t="s">
        <v>8561</v>
      </c>
      <c r="E8558" s="4" t="str">
        <f>HYPERLINK("https://app.crepc.sk/?fn=detailBiblioForm&amp;sid=AB769D11A18D1299D7344F1DA7")</f>
        <v>https://app.crepc.sk/?fn=detailBiblioForm&amp;sid=AB769D11A18D1299D7344F1DA7</v>
      </c>
    </row>
    <row r="8559" spans="3:5" ht="105" x14ac:dyDescent="0.25">
      <c r="C8559" s="15">
        <v>98292</v>
      </c>
      <c r="D8559" s="4" t="s">
        <v>8562</v>
      </c>
      <c r="E8559" s="4" t="str">
        <f>HYPERLINK("https://app.crepc.sk/?fn=detailBiblioForm&amp;sid=A77401B41C4560630B072E14")</f>
        <v>https://app.crepc.sk/?fn=detailBiblioForm&amp;sid=A77401B41C4560630B072E14</v>
      </c>
    </row>
    <row r="8560" spans="3:5" ht="45" x14ac:dyDescent="0.25">
      <c r="C8560" s="15">
        <v>416744</v>
      </c>
      <c r="D8560" s="4" t="s">
        <v>8563</v>
      </c>
      <c r="E8560" s="4" t="str">
        <f>HYPERLINK("https://app.crepc.sk/?fn=detailBiblioForm&amp;sid=FFF02B87E998ACF2F12B56DEC9")</f>
        <v>https://app.crepc.sk/?fn=detailBiblioForm&amp;sid=FFF02B87E998ACF2F12B56DEC9</v>
      </c>
    </row>
    <row r="8561" spans="3:5" ht="75" x14ac:dyDescent="0.25">
      <c r="C8561" s="15">
        <v>86332</v>
      </c>
      <c r="D8561" s="4" t="s">
        <v>8564</v>
      </c>
      <c r="E8561" s="4" t="str">
        <f>HYPERLINK("https://app.crepc.sk/?fn=detailBiblioForm&amp;sid=CA04BFFD7A6C7A7899677ACF")</f>
        <v>https://app.crepc.sk/?fn=detailBiblioForm&amp;sid=CA04BFFD7A6C7A7899677ACF</v>
      </c>
    </row>
    <row r="8562" spans="3:5" ht="60" x14ac:dyDescent="0.25">
      <c r="C8562" s="15">
        <v>51411</v>
      </c>
      <c r="D8562" s="4" t="s">
        <v>8565</v>
      </c>
      <c r="E8562" s="4" t="str">
        <f>HYPERLINK("https://app.crepc.sk/?fn=detailBiblioForm&amp;sid=9877436D16FD22AF783DBBDF")</f>
        <v>https://app.crepc.sk/?fn=detailBiblioForm&amp;sid=9877436D16FD22AF783DBBDF</v>
      </c>
    </row>
    <row r="8563" spans="3:5" ht="60" x14ac:dyDescent="0.25">
      <c r="C8563" s="15">
        <v>62273</v>
      </c>
      <c r="D8563" s="4" t="s">
        <v>8566</v>
      </c>
      <c r="E8563" s="4" t="str">
        <f>HYPERLINK("https://app.crepc.sk/?fn=detailBiblioForm&amp;sid=DFFC48A9DBF123866AB59F05")</f>
        <v>https://app.crepc.sk/?fn=detailBiblioForm&amp;sid=DFFC48A9DBF123866AB59F05</v>
      </c>
    </row>
    <row r="8564" spans="3:5" ht="45" x14ac:dyDescent="0.25">
      <c r="C8564" s="15">
        <v>175649</v>
      </c>
      <c r="D8564" s="4" t="s">
        <v>8567</v>
      </c>
      <c r="E8564" s="4" t="str">
        <f>HYPERLINK("https://app.crepc.sk/?fn=detailBiblioForm&amp;sid=BF3D9176E80E1FB67AB64047B2")</f>
        <v>https://app.crepc.sk/?fn=detailBiblioForm&amp;sid=BF3D9176E80E1FB67AB64047B2</v>
      </c>
    </row>
    <row r="8565" spans="3:5" ht="45" x14ac:dyDescent="0.25">
      <c r="C8565" s="15">
        <v>183836</v>
      </c>
      <c r="D8565" s="4" t="s">
        <v>8568</v>
      </c>
      <c r="E8565" s="4" t="str">
        <f>HYPERLINK("https://app.crepc.sk/?fn=detailBiblioForm&amp;sid=E9A819C3F6DCFD1BC9C2B8F136")</f>
        <v>https://app.crepc.sk/?fn=detailBiblioForm&amp;sid=E9A819C3F6DCFD1BC9C2B8F136</v>
      </c>
    </row>
    <row r="8566" spans="3:5" ht="60" x14ac:dyDescent="0.25">
      <c r="C8566" s="15">
        <v>241188</v>
      </c>
      <c r="D8566" s="4" t="s">
        <v>8569</v>
      </c>
      <c r="E8566" s="4" t="str">
        <f>HYPERLINK("https://app.crepc.sk/?fn=detailBiblioForm&amp;sid=65CC8B494803E9B1ECF5404186")</f>
        <v>https://app.crepc.sk/?fn=detailBiblioForm&amp;sid=65CC8B494803E9B1ECF5404186</v>
      </c>
    </row>
    <row r="8567" spans="3:5" ht="135" x14ac:dyDescent="0.25">
      <c r="C8567" s="15">
        <v>197544</v>
      </c>
      <c r="D8567" s="4" t="s">
        <v>8570</v>
      </c>
      <c r="E8567" s="4" t="str">
        <f>HYPERLINK("https://app.crepc.sk/?fn=detailBiblioForm&amp;sid=D57BF42135A254DE89CFDC7B59")</f>
        <v>https://app.crepc.sk/?fn=detailBiblioForm&amp;sid=D57BF42135A254DE89CFDC7B59</v>
      </c>
    </row>
    <row r="8568" spans="3:5" ht="90" x14ac:dyDescent="0.25">
      <c r="C8568" s="15">
        <v>152931</v>
      </c>
      <c r="D8568" s="4" t="s">
        <v>8571</v>
      </c>
      <c r="E8568" s="4" t="str">
        <f>HYPERLINK("https://app.crepc.sk/?fn=detailBiblioForm&amp;sid=877A1C170D2F97A1D93DCF3DE1")</f>
        <v>https://app.crepc.sk/?fn=detailBiblioForm&amp;sid=877A1C170D2F97A1D93DCF3DE1</v>
      </c>
    </row>
    <row r="8569" spans="3:5" ht="60" x14ac:dyDescent="0.25">
      <c r="C8569" s="15">
        <v>246956</v>
      </c>
      <c r="D8569" s="4" t="s">
        <v>8572</v>
      </c>
      <c r="E8569" s="4" t="str">
        <f>HYPERLINK("https://app.crepc.sk/?fn=detailBiblioForm&amp;sid=513EA57B92CAC7225A32972BAF")</f>
        <v>https://app.crepc.sk/?fn=detailBiblioForm&amp;sid=513EA57B92CAC7225A32972BAF</v>
      </c>
    </row>
    <row r="8570" spans="3:5" ht="75" x14ac:dyDescent="0.25">
      <c r="C8570" s="15">
        <v>75100</v>
      </c>
      <c r="D8570" s="4" t="s">
        <v>8573</v>
      </c>
      <c r="E8570" s="4" t="str">
        <f>HYPERLINK("https://app.crepc.sk/?fn=detailBiblioForm&amp;sid=223C6C7A968818ACEBB4A444")</f>
        <v>https://app.crepc.sk/?fn=detailBiblioForm&amp;sid=223C6C7A968818ACEBB4A444</v>
      </c>
    </row>
    <row r="8571" spans="3:5" ht="90" x14ac:dyDescent="0.25">
      <c r="C8571" s="15">
        <v>83769</v>
      </c>
      <c r="D8571" s="4" t="s">
        <v>8574</v>
      </c>
      <c r="E8571" s="4" t="str">
        <f>HYPERLINK("https://app.crepc.sk/?fn=detailBiblioForm&amp;sid=405315D8DFA8050C8CA9B828")</f>
        <v>https://app.crepc.sk/?fn=detailBiblioForm&amp;sid=405315D8DFA8050C8CA9B828</v>
      </c>
    </row>
    <row r="8572" spans="3:5" ht="45" x14ac:dyDescent="0.25">
      <c r="C8572" s="15">
        <v>175693</v>
      </c>
      <c r="D8572" s="4" t="s">
        <v>8575</v>
      </c>
      <c r="E8572" s="4" t="str">
        <f>HYPERLINK("https://app.crepc.sk/?fn=detailBiblioForm&amp;sid=BF3D9176E80E1FB677BC4047B2")</f>
        <v>https://app.crepc.sk/?fn=detailBiblioForm&amp;sid=BF3D9176E80E1FB677BC4047B2</v>
      </c>
    </row>
    <row r="8573" spans="3:5" ht="45" x14ac:dyDescent="0.25">
      <c r="C8573" s="15">
        <v>100118</v>
      </c>
      <c r="D8573" s="4" t="s">
        <v>8576</v>
      </c>
      <c r="E8573" s="4" t="str">
        <f>HYPERLINK("https://app.crepc.sk/?fn=detailBiblioForm&amp;sid=5BFE66B123F0ED37A7571F9F3C")</f>
        <v>https://app.crepc.sk/?fn=detailBiblioForm&amp;sid=5BFE66B123F0ED37A7571F9F3C</v>
      </c>
    </row>
    <row r="8574" spans="3:5" ht="45" x14ac:dyDescent="0.25">
      <c r="C8574" s="15">
        <v>180969</v>
      </c>
      <c r="D8574" s="4" t="s">
        <v>8577</v>
      </c>
      <c r="E8574" s="4" t="str">
        <f>HYPERLINK("https://app.crepc.sk/?fn=detailBiblioForm&amp;sid=69CB3773D22D595AC088835F18")</f>
        <v>https://app.crepc.sk/?fn=detailBiblioForm&amp;sid=69CB3773D22D595AC088835F18</v>
      </c>
    </row>
    <row r="8575" spans="3:5" ht="45" x14ac:dyDescent="0.25">
      <c r="C8575" s="15">
        <v>100885</v>
      </c>
      <c r="D8575" s="4" t="s">
        <v>8578</v>
      </c>
      <c r="E8575" s="4" t="str">
        <f>HYPERLINK("https://app.crepc.sk/?fn=detailBiblioForm&amp;sid=C2DCC5E65C22781D3264D860DE")</f>
        <v>https://app.crepc.sk/?fn=detailBiblioForm&amp;sid=C2DCC5E65C22781D3264D860DE</v>
      </c>
    </row>
    <row r="8576" spans="3:5" ht="60" x14ac:dyDescent="0.25">
      <c r="C8576" s="15">
        <v>153023</v>
      </c>
      <c r="D8576" s="4" t="s">
        <v>8579</v>
      </c>
      <c r="E8576" s="4" t="str">
        <f>HYPERLINK("https://app.crepc.sk/?fn=detailBiblioForm&amp;sid=E7FF18FD4FFD5019DFF9812AD9")</f>
        <v>https://app.crepc.sk/?fn=detailBiblioForm&amp;sid=E7FF18FD4FFD5019DFF9812AD9</v>
      </c>
    </row>
    <row r="8577" spans="3:5" ht="60" x14ac:dyDescent="0.25">
      <c r="C8577" s="15">
        <v>55043</v>
      </c>
      <c r="D8577" s="4" t="s">
        <v>8580</v>
      </c>
      <c r="E8577" s="4" t="str">
        <f>HYPERLINK("https://app.crepc.sk/?fn=detailBiblioForm&amp;sid=D832E74001E3695D24035DF0")</f>
        <v>https://app.crepc.sk/?fn=detailBiblioForm&amp;sid=D832E74001E3695D24035DF0</v>
      </c>
    </row>
    <row r="8578" spans="3:5" ht="75" x14ac:dyDescent="0.25">
      <c r="C8578" s="15">
        <v>424672</v>
      </c>
      <c r="D8578" s="4" t="s">
        <v>8581</v>
      </c>
      <c r="E8578" s="4" t="str">
        <f>HYPERLINK("https://app.crepc.sk/?fn=detailBiblioForm&amp;sid=CC1B3F91A32071DE4ED6F9FB02")</f>
        <v>https://app.crepc.sk/?fn=detailBiblioForm&amp;sid=CC1B3F91A32071DE4ED6F9FB02</v>
      </c>
    </row>
    <row r="8579" spans="3:5" ht="60" x14ac:dyDescent="0.25">
      <c r="C8579" s="15">
        <v>100787</v>
      </c>
      <c r="D8579" s="4" t="s">
        <v>8582</v>
      </c>
      <c r="E8579" s="4" t="str">
        <f>HYPERLINK("https://app.crepc.sk/?fn=detailBiblioForm&amp;sid=183355140A0C93010DF417331B")</f>
        <v>https://app.crepc.sk/?fn=detailBiblioForm&amp;sid=183355140A0C93010DF417331B</v>
      </c>
    </row>
    <row r="8580" spans="3:5" ht="60" x14ac:dyDescent="0.25">
      <c r="C8580" s="15">
        <v>442302</v>
      </c>
      <c r="D8580" s="4" t="s">
        <v>8583</v>
      </c>
      <c r="E8580" s="4" t="str">
        <f>HYPERLINK("https://app.crepc.sk/?fn=detailBiblioForm&amp;sid=F661DE2421DD595D54CF62841D")</f>
        <v>https://app.crepc.sk/?fn=detailBiblioForm&amp;sid=F661DE2421DD595D54CF62841D</v>
      </c>
    </row>
    <row r="8581" spans="3:5" ht="75" x14ac:dyDescent="0.25">
      <c r="C8581" s="15">
        <v>167169</v>
      </c>
      <c r="D8581" s="4" t="s">
        <v>8584</v>
      </c>
      <c r="E8581" s="4" t="str">
        <f>HYPERLINK("https://app.crepc.sk/?fn=detailBiblioForm&amp;sid=780C5DA7522A72A29AF99DC9C0")</f>
        <v>https://app.crepc.sk/?fn=detailBiblioForm&amp;sid=780C5DA7522A72A29AF99DC9C0</v>
      </c>
    </row>
    <row r="8582" spans="3:5" ht="60" x14ac:dyDescent="0.25">
      <c r="C8582" s="15">
        <v>417154</v>
      </c>
      <c r="D8582" s="4" t="s">
        <v>8585</v>
      </c>
      <c r="E8582" s="4" t="str">
        <f>HYPERLINK("https://app.crepc.sk/?fn=detailBiblioForm&amp;sid=484E2EBFF53C2A5B7455CC1D5A")</f>
        <v>https://app.crepc.sk/?fn=detailBiblioForm&amp;sid=484E2EBFF53C2A5B7455CC1D5A</v>
      </c>
    </row>
    <row r="8583" spans="3:5" ht="120" x14ac:dyDescent="0.25">
      <c r="C8583" s="15">
        <v>127670</v>
      </c>
      <c r="D8583" s="4" t="s">
        <v>8586</v>
      </c>
      <c r="E8583" s="4" t="str">
        <f>HYPERLINK("https://app.crepc.sk/?fn=detailBiblioForm&amp;sid=A61021784F381E68C00FE78699")</f>
        <v>https://app.crepc.sk/?fn=detailBiblioForm&amp;sid=A61021784F381E68C00FE78699</v>
      </c>
    </row>
    <row r="8584" spans="3:5" ht="90" x14ac:dyDescent="0.25">
      <c r="C8584" s="15">
        <v>418073</v>
      </c>
      <c r="D8584" s="4" t="s">
        <v>8587</v>
      </c>
      <c r="E8584" s="4" t="str">
        <f>HYPERLINK("https://app.crepc.sk/?fn=detailBiblioForm&amp;sid=206DD7262FA36D78E986BAAE0D")</f>
        <v>https://app.crepc.sk/?fn=detailBiblioForm&amp;sid=206DD7262FA36D78E986BAAE0D</v>
      </c>
    </row>
    <row r="8585" spans="3:5" ht="75" x14ac:dyDescent="0.25">
      <c r="C8585" s="15">
        <v>77908</v>
      </c>
      <c r="D8585" s="4" t="s">
        <v>8588</v>
      </c>
      <c r="E8585" s="4" t="str">
        <f>HYPERLINK("https://app.crepc.sk/?fn=detailBiblioForm&amp;sid=D017D088D24741D1023312EF")</f>
        <v>https://app.crepc.sk/?fn=detailBiblioForm&amp;sid=D017D088D24741D1023312EF</v>
      </c>
    </row>
    <row r="8586" spans="3:5" ht="75" x14ac:dyDescent="0.25">
      <c r="C8586" s="15">
        <v>54905</v>
      </c>
      <c r="D8586" s="4" t="s">
        <v>8589</v>
      </c>
      <c r="E8586" s="4" t="str">
        <f>HYPERLINK("https://app.crepc.sk/?fn=detailBiblioForm&amp;sid=BA41B6206D36986E7E711CBC")</f>
        <v>https://app.crepc.sk/?fn=detailBiblioForm&amp;sid=BA41B6206D36986E7E711CBC</v>
      </c>
    </row>
    <row r="8587" spans="3:5" ht="105" x14ac:dyDescent="0.25">
      <c r="C8587" s="15">
        <v>51658</v>
      </c>
      <c r="D8587" s="4" t="s">
        <v>8590</v>
      </c>
      <c r="E8587" s="4" t="str">
        <f>HYPERLINK("https://app.crepc.sk/?fn=detailBiblioForm&amp;sid=2DB6C422F7FB084F9FF847B4")</f>
        <v>https://app.crepc.sk/?fn=detailBiblioForm&amp;sid=2DB6C422F7FB084F9FF847B4</v>
      </c>
    </row>
    <row r="8588" spans="3:5" ht="105" x14ac:dyDescent="0.25">
      <c r="C8588" s="15">
        <v>440613</v>
      </c>
      <c r="D8588" s="4" t="s">
        <v>8591</v>
      </c>
      <c r="E8588" s="4" t="str">
        <f>HYPERLINK("https://app.crepc.sk/?fn=detailBiblioForm&amp;sid=41D0612371856B8759DF4486F7")</f>
        <v>https://app.crepc.sk/?fn=detailBiblioForm&amp;sid=41D0612371856B8759DF4486F7</v>
      </c>
    </row>
    <row r="8589" spans="3:5" ht="75" x14ac:dyDescent="0.25">
      <c r="C8589" s="15">
        <v>115648</v>
      </c>
      <c r="D8589" s="4" t="s">
        <v>8592</v>
      </c>
      <c r="E8589" s="4" t="str">
        <f>HYPERLINK("https://app.crepc.sk/?fn=detailBiblioForm&amp;sid=8B887CD3FF777E5050BC7BD084")</f>
        <v>https://app.crepc.sk/?fn=detailBiblioForm&amp;sid=8B887CD3FF777E5050BC7BD084</v>
      </c>
    </row>
    <row r="8590" spans="3:5" ht="60" x14ac:dyDescent="0.25">
      <c r="C8590" s="15">
        <v>122962</v>
      </c>
      <c r="D8590" s="4" t="s">
        <v>8593</v>
      </c>
      <c r="E8590" s="4" t="str">
        <f>HYPERLINK("https://app.crepc.sk/?fn=detailBiblioForm&amp;sid=3B2B0BBAA862FD0FCF4D8724C7")</f>
        <v>https://app.crepc.sk/?fn=detailBiblioForm&amp;sid=3B2B0BBAA862FD0FCF4D8724C7</v>
      </c>
    </row>
    <row r="8591" spans="3:5" ht="90" x14ac:dyDescent="0.25">
      <c r="C8591" s="15">
        <v>313594</v>
      </c>
      <c r="D8591" s="4" t="s">
        <v>8594</v>
      </c>
      <c r="E8591" s="4" t="str">
        <f>HYPERLINK("https://app.crepc.sk/?fn=detailBiblioForm&amp;sid=84C2C2F763AF22E2C0070E9486")</f>
        <v>https://app.crepc.sk/?fn=detailBiblioForm&amp;sid=84C2C2F763AF22E2C0070E9486</v>
      </c>
    </row>
    <row r="8592" spans="3:5" ht="105" x14ac:dyDescent="0.25">
      <c r="C8592" s="15">
        <v>201512</v>
      </c>
      <c r="D8592" s="4" t="s">
        <v>8595</v>
      </c>
      <c r="E8592" s="4" t="str">
        <f>HYPERLINK("https://app.crepc.sk/?fn=detailBiblioForm&amp;sid=C3E0BD8EE7867A05E8A25B1402")</f>
        <v>https://app.crepc.sk/?fn=detailBiblioForm&amp;sid=C3E0BD8EE7867A05E8A25B1402</v>
      </c>
    </row>
    <row r="8593" spans="1:5" ht="60" x14ac:dyDescent="0.25">
      <c r="C8593" s="15">
        <v>431249</v>
      </c>
      <c r="D8593" s="4" t="s">
        <v>8596</v>
      </c>
      <c r="E8593" s="4" t="str">
        <f>HYPERLINK("https://app.crepc.sk/?fn=detailBiblioForm&amp;sid=2EFD0E802C0D5BD5589141F823")</f>
        <v>https://app.crepc.sk/?fn=detailBiblioForm&amp;sid=2EFD0E802C0D5BD5589141F823</v>
      </c>
    </row>
    <row r="8594" spans="1:5" ht="90" x14ac:dyDescent="0.25">
      <c r="C8594" s="15">
        <v>191922</v>
      </c>
      <c r="D8594" s="4" t="s">
        <v>8597</v>
      </c>
      <c r="E8594" s="4" t="str">
        <f>HYPERLINK("https://app.crepc.sk/?fn=detailBiblioForm&amp;sid=6E4E4629F1EF9E5E37367EBF27")</f>
        <v>https://app.crepc.sk/?fn=detailBiblioForm&amp;sid=6E4E4629F1EF9E5E37367EBF27</v>
      </c>
    </row>
    <row r="8595" spans="1:5" ht="60" x14ac:dyDescent="0.25">
      <c r="C8595" s="15">
        <v>186816</v>
      </c>
      <c r="D8595" s="4" t="s">
        <v>8598</v>
      </c>
      <c r="E8595" s="4" t="str">
        <f>HYPERLINK("https://app.crepc.sk/?fn=detailBiblioForm&amp;sid=F7FB4258F672B8ADCEACC37D9F")</f>
        <v>https://app.crepc.sk/?fn=detailBiblioForm&amp;sid=F7FB4258F672B8ADCEACC37D9F</v>
      </c>
    </row>
    <row r="8596" spans="1:5" ht="45" x14ac:dyDescent="0.25">
      <c r="C8596" s="15">
        <v>123773</v>
      </c>
      <c r="D8596" s="4" t="s">
        <v>8599</v>
      </c>
      <c r="E8596" s="4" t="str">
        <f>HYPERLINK("https://app.crepc.sk/?fn=detailBiblioForm&amp;sid=6AF24C20D77B2492BA6080C111")</f>
        <v>https://app.crepc.sk/?fn=detailBiblioForm&amp;sid=6AF24C20D77B2492BA6080C111</v>
      </c>
    </row>
    <row r="8597" spans="1:5" ht="75" x14ac:dyDescent="0.25">
      <c r="C8597" s="15">
        <v>117134</v>
      </c>
      <c r="D8597" s="4" t="s">
        <v>8600</v>
      </c>
      <c r="E8597" s="4" t="str">
        <f>HYPERLINK("https://app.crepc.sk/?fn=detailBiblioForm&amp;sid=6B68A92B6F46FD75E9618F4FE2")</f>
        <v>https://app.crepc.sk/?fn=detailBiblioForm&amp;sid=6B68A92B6F46FD75E9618F4FE2</v>
      </c>
    </row>
    <row r="8598" spans="1:5" ht="60" x14ac:dyDescent="0.25">
      <c r="C8598" s="15">
        <v>183948</v>
      </c>
      <c r="D8598" s="4" t="s">
        <v>8601</v>
      </c>
      <c r="E8598" s="4" t="str">
        <f>HYPERLINK("https://app.crepc.sk/?fn=detailBiblioForm&amp;sid=43A982FFFB8516F488F5E31126")</f>
        <v>https://app.crepc.sk/?fn=detailBiblioForm&amp;sid=43A982FFFB8516F488F5E31126</v>
      </c>
    </row>
    <row r="8599" spans="1:5" ht="105" x14ac:dyDescent="0.25">
      <c r="C8599" s="15">
        <v>255652</v>
      </c>
      <c r="D8599" s="4" t="s">
        <v>8602</v>
      </c>
      <c r="E8599" s="4" t="str">
        <f>HYPERLINK("https://app.crepc.sk/?fn=detailBiblioForm&amp;sid=EE7AC10E01D02473FAB4919967")</f>
        <v>https://app.crepc.sk/?fn=detailBiblioForm&amp;sid=EE7AC10E01D02473FAB4919967</v>
      </c>
    </row>
    <row r="8600" spans="1:5" ht="45" x14ac:dyDescent="0.25">
      <c r="C8600" s="15">
        <v>133290</v>
      </c>
      <c r="D8600" s="4" t="s">
        <v>8603</v>
      </c>
      <c r="E8600" s="4" t="str">
        <f>HYPERLINK("https://app.crepc.sk/?fn=detailBiblioForm&amp;sid=4E8C5892CF92DB7E658D622F65")</f>
        <v>https://app.crepc.sk/?fn=detailBiblioForm&amp;sid=4E8C5892CF92DB7E658D622F65</v>
      </c>
    </row>
    <row r="8601" spans="1:5" ht="75" x14ac:dyDescent="0.25">
      <c r="C8601" s="15">
        <v>79330</v>
      </c>
      <c r="D8601" s="4" t="s">
        <v>8604</v>
      </c>
      <c r="E8601" s="4" t="str">
        <f>HYPERLINK("https://app.crepc.sk/?fn=detailBiblioForm&amp;sid=C7E7EBFE51B5A548AB5BCFA2")</f>
        <v>https://app.crepc.sk/?fn=detailBiblioForm&amp;sid=C7E7EBFE51B5A548AB5BCFA2</v>
      </c>
    </row>
    <row r="8602" spans="1:5" ht="90" x14ac:dyDescent="0.25">
      <c r="C8602" s="15">
        <v>98990</v>
      </c>
      <c r="D8602" s="4" t="s">
        <v>8605</v>
      </c>
      <c r="E8602" s="4" t="str">
        <f>HYPERLINK("https://app.crepc.sk/?fn=detailBiblioForm&amp;sid=980AAF38253191227E31A53F")</f>
        <v>https://app.crepc.sk/?fn=detailBiblioForm&amp;sid=980AAF38253191227E31A53F</v>
      </c>
    </row>
    <row r="8603" spans="1:5" ht="60" x14ac:dyDescent="0.25">
      <c r="C8603" s="15">
        <v>179404</v>
      </c>
      <c r="D8603" s="4" t="s">
        <v>8606</v>
      </c>
      <c r="E8603" s="4" t="str">
        <f>HYPERLINK("https://app.crepc.sk/?fn=detailBiblioForm&amp;sid=74EB4C9215C2376F51B126C93D")</f>
        <v>https://app.crepc.sk/?fn=detailBiblioForm&amp;sid=74EB4C9215C2376F51B126C93D</v>
      </c>
    </row>
    <row r="8604" spans="1:5" ht="60" x14ac:dyDescent="0.25">
      <c r="C8604" s="15">
        <v>114190</v>
      </c>
      <c r="D8604" s="4" t="s">
        <v>8607</v>
      </c>
      <c r="E8604" s="4" t="str">
        <f>HYPERLINK("https://app.crepc.sk/?fn=detailBiblioForm&amp;sid=502CD2BEFE4C860B081818E448")</f>
        <v>https://app.crepc.sk/?fn=detailBiblioForm&amp;sid=502CD2BEFE4C860B081818E448</v>
      </c>
    </row>
    <row r="8605" spans="1:5" ht="90" x14ac:dyDescent="0.25">
      <c r="C8605" s="15">
        <v>152216</v>
      </c>
      <c r="D8605" s="4" t="s">
        <v>8608</v>
      </c>
      <c r="E8605" s="4" t="str">
        <f>HYPERLINK("https://app.crepc.sk/?fn=detailBiblioForm&amp;sid=C3244647CD7CB0B778766FBDAB")</f>
        <v>https://app.crepc.sk/?fn=detailBiblioForm&amp;sid=C3244647CD7CB0B778766FBDAB</v>
      </c>
    </row>
    <row r="8606" spans="1:5" ht="60" x14ac:dyDescent="0.25">
      <c r="C8606" s="15">
        <v>82945</v>
      </c>
      <c r="D8606" s="4" t="s">
        <v>8609</v>
      </c>
      <c r="E8606" s="4" t="str">
        <f>HYPERLINK("https://app.crepc.sk/?fn=detailBiblioForm&amp;sid=2BFA26A67371EA002B3020CD")</f>
        <v>https://app.crepc.sk/?fn=detailBiblioForm&amp;sid=2BFA26A67371EA002B3020CD</v>
      </c>
    </row>
    <row r="8607" spans="1:5" ht="30" x14ac:dyDescent="0.25">
      <c r="A8607" s="4" t="s">
        <v>8610</v>
      </c>
      <c r="B8607" s="15">
        <v>32</v>
      </c>
    </row>
    <row r="8608" spans="1:5" ht="60" x14ac:dyDescent="0.25">
      <c r="C8608" s="15">
        <v>58595</v>
      </c>
      <c r="D8608" s="4" t="s">
        <v>8611</v>
      </c>
      <c r="E8608" s="4" t="str">
        <f>HYPERLINK("https://app.crepc.sk/?fn=detailBiblioForm&amp;sid=02F363D78FA6632DB5D5BE83")</f>
        <v>https://app.crepc.sk/?fn=detailBiblioForm&amp;sid=02F363D78FA6632DB5D5BE83</v>
      </c>
    </row>
    <row r="8609" spans="3:5" ht="45" x14ac:dyDescent="0.25">
      <c r="C8609" s="15">
        <v>162354</v>
      </c>
      <c r="D8609" s="4" t="s">
        <v>8612</v>
      </c>
      <c r="E8609" s="4" t="str">
        <f>HYPERLINK("https://app.crepc.sk/?fn=detailBiblioForm&amp;sid=5379D0B7E3C25FE39135D05CA5")</f>
        <v>https://app.crepc.sk/?fn=detailBiblioForm&amp;sid=5379D0B7E3C25FE39135D05CA5</v>
      </c>
    </row>
    <row r="8610" spans="3:5" ht="45" x14ac:dyDescent="0.25">
      <c r="C8610" s="15">
        <v>220885</v>
      </c>
      <c r="D8610" s="4" t="s">
        <v>8613</v>
      </c>
      <c r="E8610" s="4" t="str">
        <f>HYPERLINK("https://app.crepc.sk/?fn=detailBiblioForm&amp;sid=65B9C3CD633D1B0ACD3229A2AC")</f>
        <v>https://app.crepc.sk/?fn=detailBiblioForm&amp;sid=65B9C3CD633D1B0ACD3229A2AC</v>
      </c>
    </row>
    <row r="8611" spans="3:5" ht="45" x14ac:dyDescent="0.25">
      <c r="C8611" s="15">
        <v>151146</v>
      </c>
      <c r="D8611" s="4" t="s">
        <v>8614</v>
      </c>
      <c r="E8611" s="4" t="str">
        <f>HYPERLINK("https://app.crepc.sk/?fn=detailBiblioForm&amp;sid=AF3151A314B042018E92795CD9")</f>
        <v>https://app.crepc.sk/?fn=detailBiblioForm&amp;sid=AF3151A314B042018E92795CD9</v>
      </c>
    </row>
    <row r="8612" spans="3:5" ht="75" x14ac:dyDescent="0.25">
      <c r="C8612" s="15">
        <v>232393</v>
      </c>
      <c r="D8612" s="4" t="s">
        <v>8615</v>
      </c>
      <c r="E8612" s="4" t="str">
        <f>HYPERLINK("https://app.crepc.sk/?fn=detailBiblioForm&amp;sid=B7329D4C467B4AA55D25654F8D")</f>
        <v>https://app.crepc.sk/?fn=detailBiblioForm&amp;sid=B7329D4C467B4AA55D25654F8D</v>
      </c>
    </row>
    <row r="8613" spans="3:5" ht="60" x14ac:dyDescent="0.25">
      <c r="C8613" s="15">
        <v>95266</v>
      </c>
      <c r="D8613" s="4" t="s">
        <v>8616</v>
      </c>
      <c r="E8613" s="4" t="str">
        <f>HYPERLINK("https://app.crepc.sk/?fn=detailBiblioForm&amp;sid=B830EE5C0B913E418151D8B3")</f>
        <v>https://app.crepc.sk/?fn=detailBiblioForm&amp;sid=B830EE5C0B913E418151D8B3</v>
      </c>
    </row>
    <row r="8614" spans="3:5" ht="45" x14ac:dyDescent="0.25">
      <c r="C8614" s="15">
        <v>161998</v>
      </c>
      <c r="D8614" s="4" t="s">
        <v>4299</v>
      </c>
      <c r="E8614" s="4" t="str">
        <f>HYPERLINK("https://app.crepc.sk/?fn=detailBiblioForm&amp;sid=3BEC39B52C756B70C40A79B3D6")</f>
        <v>https://app.crepc.sk/?fn=detailBiblioForm&amp;sid=3BEC39B52C756B70C40A79B3D6</v>
      </c>
    </row>
    <row r="8615" spans="3:5" ht="45" x14ac:dyDescent="0.25">
      <c r="C8615" s="15">
        <v>75924</v>
      </c>
      <c r="D8615" s="4" t="s">
        <v>8617</v>
      </c>
      <c r="E8615" s="4" t="str">
        <f>HYPERLINK("https://app.crepc.sk/?fn=detailBiblioForm&amp;sid=03F0303514EF5CAED9D064AC")</f>
        <v>https://app.crepc.sk/?fn=detailBiblioForm&amp;sid=03F0303514EF5CAED9D064AC</v>
      </c>
    </row>
    <row r="8616" spans="3:5" ht="45" x14ac:dyDescent="0.25">
      <c r="C8616" s="15">
        <v>162369</v>
      </c>
      <c r="D8616" s="4" t="s">
        <v>8618</v>
      </c>
      <c r="E8616" s="4" t="str">
        <f>HYPERLINK("https://app.crepc.sk/?fn=detailBiblioForm&amp;sid=5379D0B7E3C25FE39238D05CA5")</f>
        <v>https://app.crepc.sk/?fn=detailBiblioForm&amp;sid=5379D0B7E3C25FE39238D05CA5</v>
      </c>
    </row>
    <row r="8617" spans="3:5" ht="45" x14ac:dyDescent="0.25">
      <c r="C8617" s="15">
        <v>57845</v>
      </c>
      <c r="D8617" s="4" t="s">
        <v>8619</v>
      </c>
      <c r="E8617" s="4" t="str">
        <f>HYPERLINK("https://app.crepc.sk/?fn=detailBiblioForm&amp;sid=C76F594F0B3BE9D1A064D810")</f>
        <v>https://app.crepc.sk/?fn=detailBiblioForm&amp;sid=C76F594F0B3BE9D1A064D810</v>
      </c>
    </row>
    <row r="8618" spans="3:5" ht="75" x14ac:dyDescent="0.25">
      <c r="C8618" s="15">
        <v>239614</v>
      </c>
      <c r="D8618" s="4" t="s">
        <v>8620</v>
      </c>
      <c r="E8618" s="4" t="str">
        <f>HYPERLINK("https://app.crepc.sk/?fn=detailBiblioForm&amp;sid=539E00CBB0961DC1ADBE8B29A7")</f>
        <v>https://app.crepc.sk/?fn=detailBiblioForm&amp;sid=539E00CBB0961DC1ADBE8B29A7</v>
      </c>
    </row>
    <row r="8619" spans="3:5" ht="60" x14ac:dyDescent="0.25">
      <c r="C8619" s="15">
        <v>313493</v>
      </c>
      <c r="D8619" s="4" t="s">
        <v>8621</v>
      </c>
      <c r="E8619" s="4" t="str">
        <f>HYPERLINK("https://app.crepc.sk/?fn=detailBiblioForm&amp;sid=A672849A31E203BB1706AD8FCE")</f>
        <v>https://app.crepc.sk/?fn=detailBiblioForm&amp;sid=A672849A31E203BB1706AD8FCE</v>
      </c>
    </row>
    <row r="8620" spans="3:5" ht="60" x14ac:dyDescent="0.25">
      <c r="C8620" s="15">
        <v>86087</v>
      </c>
      <c r="D8620" s="4" t="s">
        <v>8622</v>
      </c>
      <c r="E8620" s="4" t="str">
        <f>HYPERLINK("https://app.crepc.sk/?fn=detailBiblioForm&amp;sid=E23AA4B22FF411D809AC38E3")</f>
        <v>https://app.crepc.sk/?fn=detailBiblioForm&amp;sid=E23AA4B22FF411D809AC38E3</v>
      </c>
    </row>
    <row r="8621" spans="3:5" ht="45" x14ac:dyDescent="0.25">
      <c r="C8621" s="15">
        <v>162338</v>
      </c>
      <c r="D8621" s="4" t="s">
        <v>8623</v>
      </c>
      <c r="E8621" s="4" t="str">
        <f>HYPERLINK("https://app.crepc.sk/?fn=detailBiblioForm&amp;sid=5379D0B7E3C25FE39739D05CA5")</f>
        <v>https://app.crepc.sk/?fn=detailBiblioForm&amp;sid=5379D0B7E3C25FE39739D05CA5</v>
      </c>
    </row>
    <row r="8622" spans="3:5" ht="60" x14ac:dyDescent="0.25">
      <c r="C8622" s="15">
        <v>163883</v>
      </c>
      <c r="D8622" s="4" t="s">
        <v>4365</v>
      </c>
      <c r="E8622" s="4" t="str">
        <f>HYPERLINK("https://app.crepc.sk/?fn=detailBiblioForm&amp;sid=AFFB5693EB24A8FD7DC27098CD")</f>
        <v>https://app.crepc.sk/?fn=detailBiblioForm&amp;sid=AFFB5693EB24A8FD7DC27098CD</v>
      </c>
    </row>
    <row r="8623" spans="3:5" ht="45" x14ac:dyDescent="0.25">
      <c r="C8623" s="15">
        <v>116623</v>
      </c>
      <c r="D8623" s="4" t="s">
        <v>8624</v>
      </c>
      <c r="E8623" s="4" t="str">
        <f>HYPERLINK("https://app.crepc.sk/?fn=detailBiblioForm&amp;sid=C7058B2E53B5EC4D92140DAE3B")</f>
        <v>https://app.crepc.sk/?fn=detailBiblioForm&amp;sid=C7058B2E53B5EC4D92140DAE3B</v>
      </c>
    </row>
    <row r="8624" spans="3:5" ht="45" x14ac:dyDescent="0.25">
      <c r="C8624" s="15">
        <v>245273</v>
      </c>
      <c r="D8624" s="4" t="s">
        <v>8625</v>
      </c>
      <c r="E8624" s="4" t="str">
        <f>HYPERLINK("https://app.crepc.sk/?fn=detailBiblioForm&amp;sid=BDD02C6927F03517760B5D9292")</f>
        <v>https://app.crepc.sk/?fn=detailBiblioForm&amp;sid=BDD02C6927F03517760B5D9292</v>
      </c>
    </row>
    <row r="8625" spans="1:5" ht="45" x14ac:dyDescent="0.25">
      <c r="C8625" s="15">
        <v>162374</v>
      </c>
      <c r="D8625" s="4" t="s">
        <v>8626</v>
      </c>
      <c r="E8625" s="4" t="str">
        <f>HYPERLINK("https://app.crepc.sk/?fn=detailBiblioForm&amp;sid=5379D0B7E3C25FE39335D05CA5")</f>
        <v>https://app.crepc.sk/?fn=detailBiblioForm&amp;sid=5379D0B7E3C25FE39335D05CA5</v>
      </c>
    </row>
    <row r="8626" spans="1:5" ht="45" x14ac:dyDescent="0.25">
      <c r="C8626" s="15">
        <v>225604</v>
      </c>
      <c r="D8626" s="4" t="s">
        <v>8627</v>
      </c>
      <c r="E8626" s="4" t="str">
        <f>HYPERLINK("https://app.crepc.sk/?fn=detailBiblioForm&amp;sid=2774F25B6743338D8BEF76FF41")</f>
        <v>https://app.crepc.sk/?fn=detailBiblioForm&amp;sid=2774F25B6743338D8BEF76FF41</v>
      </c>
    </row>
    <row r="8627" spans="1:5" ht="45" x14ac:dyDescent="0.25">
      <c r="C8627" s="15">
        <v>161974</v>
      </c>
      <c r="D8627" s="4" t="s">
        <v>4437</v>
      </c>
      <c r="E8627" s="4" t="str">
        <f>HYPERLINK("https://app.crepc.sk/?fn=detailBiblioForm&amp;sid=3BEC39B52C756B70CA0679B3D6")</f>
        <v>https://app.crepc.sk/?fn=detailBiblioForm&amp;sid=3BEC39B52C756B70CA0679B3D6</v>
      </c>
    </row>
    <row r="8628" spans="1:5" ht="45" x14ac:dyDescent="0.25">
      <c r="C8628" s="15">
        <v>161978</v>
      </c>
      <c r="D8628" s="4" t="s">
        <v>4469</v>
      </c>
      <c r="E8628" s="4" t="str">
        <f>HYPERLINK("https://app.crepc.sk/?fn=detailBiblioForm&amp;sid=3BEC39B52C756B70CA0A79B3D6")</f>
        <v>https://app.crepc.sk/?fn=detailBiblioForm&amp;sid=3BEC39B52C756B70CA0A79B3D6</v>
      </c>
    </row>
    <row r="8629" spans="1:5" ht="45" x14ac:dyDescent="0.25">
      <c r="C8629" s="15">
        <v>162006</v>
      </c>
      <c r="D8629" s="4" t="s">
        <v>4475</v>
      </c>
      <c r="E8629" s="4" t="str">
        <f>HYPERLINK("https://app.crepc.sk/?fn=detailBiblioForm&amp;sid=64F3CCE308D9C9BF45EC842526")</f>
        <v>https://app.crepc.sk/?fn=detailBiblioForm&amp;sid=64F3CCE308D9C9BF45EC842526</v>
      </c>
    </row>
    <row r="8630" spans="1:5" ht="60" x14ac:dyDescent="0.25">
      <c r="C8630" s="15">
        <v>309245</v>
      </c>
      <c r="D8630" s="4" t="s">
        <v>8628</v>
      </c>
      <c r="E8630" s="4" t="str">
        <f>HYPERLINK("https://app.crepc.sk/?fn=detailBiblioForm&amp;sid=40BD072F73D8B14F6E0C74681D")</f>
        <v>https://app.crepc.sk/?fn=detailBiblioForm&amp;sid=40BD072F73D8B14F6E0C74681D</v>
      </c>
    </row>
    <row r="8631" spans="1:5" ht="75" x14ac:dyDescent="0.25">
      <c r="C8631" s="15">
        <v>78883</v>
      </c>
      <c r="D8631" s="4" t="s">
        <v>8629</v>
      </c>
      <c r="E8631" s="4" t="str">
        <f>HYPERLINK("https://app.crepc.sk/?fn=detailBiblioForm&amp;sid=45D914B81F5DC3BF71BC445C")</f>
        <v>https://app.crepc.sk/?fn=detailBiblioForm&amp;sid=45D914B81F5DC3BF71BC445C</v>
      </c>
    </row>
    <row r="8632" spans="1:5" ht="90" x14ac:dyDescent="0.25">
      <c r="C8632" s="15">
        <v>210853</v>
      </c>
      <c r="D8632" s="4" t="s">
        <v>4186</v>
      </c>
      <c r="E8632" s="4" t="str">
        <f>HYPERLINK("https://app.crepc.sk/?fn=detailBiblioForm&amp;sid=4D550CDB8728D918FAB7BCD38F")</f>
        <v>https://app.crepc.sk/?fn=detailBiblioForm&amp;sid=4D550CDB8728D918FAB7BCD38F</v>
      </c>
    </row>
    <row r="8633" spans="1:5" ht="45" x14ac:dyDescent="0.25">
      <c r="C8633" s="15">
        <v>424961</v>
      </c>
      <c r="D8633" s="4" t="s">
        <v>8630</v>
      </c>
      <c r="E8633" s="4" t="str">
        <f>HYPERLINK("https://app.crepc.sk/?fn=detailBiblioForm&amp;sid=7789A5EFF79401FA6996E79E56")</f>
        <v>https://app.crepc.sk/?fn=detailBiblioForm&amp;sid=7789A5EFF79401FA6996E79E56</v>
      </c>
    </row>
    <row r="8634" spans="1:5" ht="45" x14ac:dyDescent="0.25">
      <c r="C8634" s="15">
        <v>133289</v>
      </c>
      <c r="D8634" s="4" t="s">
        <v>8631</v>
      </c>
      <c r="E8634" s="4" t="str">
        <f>HYPERLINK("https://app.crepc.sk/?fn=detailBiblioForm&amp;sid=4E8C5892CF92DB7E6484622F65")</f>
        <v>https://app.crepc.sk/?fn=detailBiblioForm&amp;sid=4E8C5892CF92DB7E6484622F65</v>
      </c>
    </row>
    <row r="8635" spans="1:5" ht="45" x14ac:dyDescent="0.25">
      <c r="C8635" s="15">
        <v>162361</v>
      </c>
      <c r="D8635" s="4" t="s">
        <v>8632</v>
      </c>
      <c r="E8635" s="4" t="str">
        <f>HYPERLINK("https://app.crepc.sk/?fn=detailBiblioForm&amp;sid=5379D0B7E3C25FE39230D05CA5")</f>
        <v>https://app.crepc.sk/?fn=detailBiblioForm&amp;sid=5379D0B7E3C25FE39230D05CA5</v>
      </c>
    </row>
    <row r="8636" spans="1:5" ht="45" x14ac:dyDescent="0.25">
      <c r="C8636" s="15">
        <v>162044</v>
      </c>
      <c r="D8636" s="4" t="s">
        <v>4578</v>
      </c>
      <c r="E8636" s="4" t="str">
        <f>HYPERLINK("https://app.crepc.sk/?fn=detailBiblioForm&amp;sid=64F3CCE308D9C9BF41EE842526")</f>
        <v>https://app.crepc.sk/?fn=detailBiblioForm&amp;sid=64F3CCE308D9C9BF41EE842526</v>
      </c>
    </row>
    <row r="8637" spans="1:5" ht="45" x14ac:dyDescent="0.25">
      <c r="C8637" s="15">
        <v>225608</v>
      </c>
      <c r="D8637" s="4" t="s">
        <v>8633</v>
      </c>
      <c r="E8637" s="4" t="str">
        <f>HYPERLINK("https://app.crepc.sk/?fn=detailBiblioForm&amp;sid=2774F25B6743338D8BE376FF41")</f>
        <v>https://app.crepc.sk/?fn=detailBiblioForm&amp;sid=2774F25B6743338D8BE376FF41</v>
      </c>
    </row>
    <row r="8638" spans="1:5" ht="75" x14ac:dyDescent="0.25">
      <c r="C8638" s="15">
        <v>217652</v>
      </c>
      <c r="D8638" s="4" t="s">
        <v>8634</v>
      </c>
      <c r="E8638" s="4" t="str">
        <f>HYPERLINK("https://app.crepc.sk/?fn=detailBiblioForm&amp;sid=DB0D4AC0076DAAFDC76B9FF450")</f>
        <v>https://app.crepc.sk/?fn=detailBiblioForm&amp;sid=DB0D4AC0076DAAFDC76B9FF450</v>
      </c>
    </row>
    <row r="8639" spans="1:5" ht="75" x14ac:dyDescent="0.25">
      <c r="C8639" s="15">
        <v>453921</v>
      </c>
      <c r="D8639" s="4" t="s">
        <v>8635</v>
      </c>
      <c r="E8639" s="4" t="str">
        <f>HYPERLINK("https://app.crepc.sk/?fn=detailBiblioForm&amp;sid=389C50F6E54043B731E72482B1")</f>
        <v>https://app.crepc.sk/?fn=detailBiblioForm&amp;sid=389C50F6E54043B731E72482B1</v>
      </c>
    </row>
    <row r="8640" spans="1:5" ht="45" x14ac:dyDescent="0.25">
      <c r="A8640" s="4" t="s">
        <v>8636</v>
      </c>
      <c r="B8640" s="15">
        <v>159</v>
      </c>
    </row>
    <row r="8641" spans="3:5" ht="45" x14ac:dyDescent="0.25">
      <c r="C8641" s="15">
        <v>229303</v>
      </c>
      <c r="D8641" s="4" t="s">
        <v>8637</v>
      </c>
      <c r="E8641" s="4" t="str">
        <f>HYPERLINK("https://app.crepc.sk/?fn=detailBiblioForm&amp;sid=50EC99C9FF9B848B35F66D41C5")</f>
        <v>https://app.crepc.sk/?fn=detailBiblioForm&amp;sid=50EC99C9FF9B848B35F66D41C5</v>
      </c>
    </row>
    <row r="8642" spans="3:5" ht="60" x14ac:dyDescent="0.25">
      <c r="C8642" s="15">
        <v>180474</v>
      </c>
      <c r="D8642" s="4" t="s">
        <v>8638</v>
      </c>
      <c r="E8642" s="4" t="str">
        <f>HYPERLINK("https://app.crepc.sk/?fn=detailBiblioForm&amp;sid=46E5F073F744ACC4F97D236061")</f>
        <v>https://app.crepc.sk/?fn=detailBiblioForm&amp;sid=46E5F073F744ACC4F97D236061</v>
      </c>
    </row>
    <row r="8643" spans="3:5" ht="45" x14ac:dyDescent="0.25">
      <c r="C8643" s="15">
        <v>73938</v>
      </c>
      <c r="D8643" s="4" t="s">
        <v>8639</v>
      </c>
      <c r="E8643" s="4" t="str">
        <f>HYPERLINK("https://app.crepc.sk/?fn=detailBiblioForm&amp;sid=598C05631EE534BA34CACAAF")</f>
        <v>https://app.crepc.sk/?fn=detailBiblioForm&amp;sid=598C05631EE534BA34CACAAF</v>
      </c>
    </row>
    <row r="8644" spans="3:5" ht="60" x14ac:dyDescent="0.25">
      <c r="C8644" s="15">
        <v>202507</v>
      </c>
      <c r="D8644" s="4" t="s">
        <v>8640</v>
      </c>
      <c r="E8644" s="4" t="str">
        <f>HYPERLINK("https://app.crepc.sk/?fn=detailBiblioForm&amp;sid=3036734F2764D6FCC532D36630")</f>
        <v>https://app.crepc.sk/?fn=detailBiblioForm&amp;sid=3036734F2764D6FCC532D36630</v>
      </c>
    </row>
    <row r="8645" spans="3:5" ht="105" x14ac:dyDescent="0.25">
      <c r="C8645" s="15">
        <v>133994</v>
      </c>
      <c r="D8645" s="4" t="s">
        <v>8641</v>
      </c>
      <c r="E8645" s="4" t="str">
        <f>HYPERLINK("https://app.crepc.sk/?fn=detailBiblioForm&amp;sid=512CD14455EC7E23F15F633245")</f>
        <v>https://app.crepc.sk/?fn=detailBiblioForm&amp;sid=512CD14455EC7E23F15F633245</v>
      </c>
    </row>
    <row r="8646" spans="3:5" ht="60" x14ac:dyDescent="0.25">
      <c r="C8646" s="15">
        <v>92848</v>
      </c>
      <c r="D8646" s="4" t="s">
        <v>8642</v>
      </c>
      <c r="E8646" s="4" t="str">
        <f>HYPERLINK("https://app.crepc.sk/?fn=detailBiblioForm&amp;sid=E41D98C658706AD6B0852C9C")</f>
        <v>https://app.crepc.sk/?fn=detailBiblioForm&amp;sid=E41D98C658706AD6B0852C9C</v>
      </c>
    </row>
    <row r="8647" spans="3:5" ht="60" x14ac:dyDescent="0.25">
      <c r="C8647" s="15">
        <v>105152</v>
      </c>
      <c r="D8647" s="4" t="s">
        <v>8643</v>
      </c>
      <c r="E8647" s="4" t="str">
        <f>HYPERLINK("https://app.crepc.sk/?fn=detailBiblioForm&amp;sid=A406D59750C55BB3FE2415E82A")</f>
        <v>https://app.crepc.sk/?fn=detailBiblioForm&amp;sid=A406D59750C55BB3FE2415E82A</v>
      </c>
    </row>
    <row r="8648" spans="3:5" ht="60" x14ac:dyDescent="0.25">
      <c r="C8648" s="15">
        <v>63063</v>
      </c>
      <c r="D8648" s="4" t="s">
        <v>8644</v>
      </c>
      <c r="E8648" s="4" t="str">
        <f>HYPERLINK("https://app.crepc.sk/?fn=detailBiblioForm&amp;sid=2CF16FFCFC792F035569D62E")</f>
        <v>https://app.crepc.sk/?fn=detailBiblioForm&amp;sid=2CF16FFCFC792F035569D62E</v>
      </c>
    </row>
    <row r="8649" spans="3:5" ht="75" x14ac:dyDescent="0.25">
      <c r="C8649" s="15">
        <v>309115</v>
      </c>
      <c r="D8649" s="4" t="s">
        <v>8645</v>
      </c>
      <c r="E8649" s="4" t="str">
        <f>HYPERLINK("https://app.crepc.sk/?fn=detailBiblioForm&amp;sid=2CC6638F3D0653034EAED997BE")</f>
        <v>https://app.crepc.sk/?fn=detailBiblioForm&amp;sid=2CC6638F3D0653034EAED997BE</v>
      </c>
    </row>
    <row r="8650" spans="3:5" ht="75" x14ac:dyDescent="0.25">
      <c r="C8650" s="15">
        <v>140026</v>
      </c>
      <c r="D8650" s="4" t="s">
        <v>8646</v>
      </c>
      <c r="E8650" s="4" t="str">
        <f>HYPERLINK("https://app.crepc.sk/?fn=detailBiblioForm&amp;sid=C8A43D1D2346C0592AADA960AA")</f>
        <v>https://app.crepc.sk/?fn=detailBiblioForm&amp;sid=C8A43D1D2346C0592AADA960AA</v>
      </c>
    </row>
    <row r="8651" spans="3:5" ht="120" x14ac:dyDescent="0.25">
      <c r="C8651" s="15">
        <v>118768</v>
      </c>
      <c r="D8651" s="4" t="s">
        <v>1478</v>
      </c>
      <c r="E8651" s="4" t="str">
        <f>HYPERLINK("https://app.crepc.sk/?fn=detailBiblioForm&amp;sid=46EC41480997D7F106B6C7D544")</f>
        <v>https://app.crepc.sk/?fn=detailBiblioForm&amp;sid=46EC41480997D7F106B6C7D544</v>
      </c>
    </row>
    <row r="8652" spans="3:5" ht="45" x14ac:dyDescent="0.25">
      <c r="C8652" s="15">
        <v>427783</v>
      </c>
      <c r="D8652" s="4" t="s">
        <v>8647</v>
      </c>
      <c r="E8652" s="4" t="str">
        <f>HYPERLINK("https://app.crepc.sk/?fn=detailBiblioForm&amp;sid=F759D04D11DC96CB25B8D6ACC8")</f>
        <v>https://app.crepc.sk/?fn=detailBiblioForm&amp;sid=F759D04D11DC96CB25B8D6ACC8</v>
      </c>
    </row>
    <row r="8653" spans="3:5" ht="45" x14ac:dyDescent="0.25">
      <c r="C8653" s="15">
        <v>201782</v>
      </c>
      <c r="D8653" s="4" t="s">
        <v>8648</v>
      </c>
      <c r="E8653" s="4" t="str">
        <f>HYPERLINK("https://app.crepc.sk/?fn=detailBiblioForm&amp;sid=CFE18BDBA0EFFFD25EA106E0F1")</f>
        <v>https://app.crepc.sk/?fn=detailBiblioForm&amp;sid=CFE18BDBA0EFFFD25EA106E0F1</v>
      </c>
    </row>
    <row r="8654" spans="3:5" ht="60" x14ac:dyDescent="0.25">
      <c r="C8654" s="15">
        <v>249331</v>
      </c>
      <c r="D8654" s="4" t="s">
        <v>8649</v>
      </c>
      <c r="E8654" s="4" t="str">
        <f>HYPERLINK("https://app.crepc.sk/?fn=detailBiblioForm&amp;sid=923F6DECD2F5E180477EED03E3")</f>
        <v>https://app.crepc.sk/?fn=detailBiblioForm&amp;sid=923F6DECD2F5E180477EED03E3</v>
      </c>
    </row>
    <row r="8655" spans="3:5" ht="60" x14ac:dyDescent="0.25">
      <c r="C8655" s="15">
        <v>82897</v>
      </c>
      <c r="D8655" s="4" t="s">
        <v>8650</v>
      </c>
      <c r="E8655" s="4" t="str">
        <f>HYPERLINK("https://app.crepc.sk/?fn=detailBiblioForm&amp;sid=CC98F3436CAFE8909B9720FA")</f>
        <v>https://app.crepc.sk/?fn=detailBiblioForm&amp;sid=CC98F3436CAFE8909B9720FA</v>
      </c>
    </row>
    <row r="8656" spans="3:5" ht="45" x14ac:dyDescent="0.25">
      <c r="C8656" s="15">
        <v>71322</v>
      </c>
      <c r="D8656" s="4" t="s">
        <v>8651</v>
      </c>
      <c r="E8656" s="4" t="str">
        <f>HYPERLINK("https://app.crepc.sk/?fn=detailBiblioForm&amp;sid=80D4D72553BDF7B805F5E454")</f>
        <v>https://app.crepc.sk/?fn=detailBiblioForm&amp;sid=80D4D72553BDF7B805F5E454</v>
      </c>
    </row>
    <row r="8657" spans="3:5" ht="60" x14ac:dyDescent="0.25">
      <c r="C8657" s="15">
        <v>171312</v>
      </c>
      <c r="D8657" s="4" t="s">
        <v>8652</v>
      </c>
      <c r="E8657" s="4" t="str">
        <f>HYPERLINK("https://app.crepc.sk/?fn=detailBiblioForm&amp;sid=18ACEF074C4C32C34FE1AB74BB")</f>
        <v>https://app.crepc.sk/?fn=detailBiblioForm&amp;sid=18ACEF074C4C32C34FE1AB74BB</v>
      </c>
    </row>
    <row r="8658" spans="3:5" ht="60" x14ac:dyDescent="0.25">
      <c r="C8658" s="15">
        <v>54893</v>
      </c>
      <c r="D8658" s="4" t="s">
        <v>8653</v>
      </c>
      <c r="E8658" s="4" t="str">
        <f>HYPERLINK("https://app.crepc.sk/?fn=detailBiblioForm&amp;sid=AF07CA871AAC608CC488548A")</f>
        <v>https://app.crepc.sk/?fn=detailBiblioForm&amp;sid=AF07CA871AAC608CC488548A</v>
      </c>
    </row>
    <row r="8659" spans="3:5" ht="45" x14ac:dyDescent="0.25">
      <c r="C8659" s="15">
        <v>95179</v>
      </c>
      <c r="D8659" s="4" t="s">
        <v>8654</v>
      </c>
      <c r="E8659" s="4" t="str">
        <f>HYPERLINK("https://app.crepc.sk/?fn=detailBiblioForm&amp;sid=BF32D71030A2A079461D99A5")</f>
        <v>https://app.crepc.sk/?fn=detailBiblioForm&amp;sid=BF32D71030A2A079461D99A5</v>
      </c>
    </row>
    <row r="8660" spans="3:5" ht="75" x14ac:dyDescent="0.25">
      <c r="C8660" s="15">
        <v>132496</v>
      </c>
      <c r="D8660" s="4" t="s">
        <v>8655</v>
      </c>
      <c r="E8660" s="4" t="str">
        <f>HYPERLINK("https://app.crepc.sk/?fn=detailBiblioForm&amp;sid=5CA03D74BE9D7FDDACC9721DC3")</f>
        <v>https://app.crepc.sk/?fn=detailBiblioForm&amp;sid=5CA03D74BE9D7FDDACC9721DC3</v>
      </c>
    </row>
    <row r="8661" spans="3:5" ht="60" x14ac:dyDescent="0.25">
      <c r="C8661" s="15">
        <v>150785</v>
      </c>
      <c r="D8661" s="4" t="s">
        <v>8656</v>
      </c>
      <c r="E8661" s="4" t="str">
        <f>HYPERLINK("https://app.crepc.sk/?fn=detailBiblioForm&amp;sid=4ABE047C0F04576E240B55E493")</f>
        <v>https://app.crepc.sk/?fn=detailBiblioForm&amp;sid=4ABE047C0F04576E240B55E493</v>
      </c>
    </row>
    <row r="8662" spans="3:5" ht="45" x14ac:dyDescent="0.25">
      <c r="C8662" s="15">
        <v>95251</v>
      </c>
      <c r="D8662" s="4" t="s">
        <v>8657</v>
      </c>
      <c r="E8662" s="4" t="str">
        <f>HYPERLINK("https://app.crepc.sk/?fn=detailBiblioForm&amp;sid=A9CBE04D61A0BF698E2C0128")</f>
        <v>https://app.crepc.sk/?fn=detailBiblioForm&amp;sid=A9CBE04D61A0BF698E2C0128</v>
      </c>
    </row>
    <row r="8663" spans="3:5" ht="75" x14ac:dyDescent="0.25">
      <c r="C8663" s="15">
        <v>418055</v>
      </c>
      <c r="D8663" s="4" t="s">
        <v>8658</v>
      </c>
      <c r="E8663" s="4" t="str">
        <f>HYPERLINK("https://app.crepc.sk/?fn=detailBiblioForm&amp;sid=206DD7262FA36D78EB80BAAE0D")</f>
        <v>https://app.crepc.sk/?fn=detailBiblioForm&amp;sid=206DD7262FA36D78EB80BAAE0D</v>
      </c>
    </row>
    <row r="8664" spans="3:5" ht="45" x14ac:dyDescent="0.25">
      <c r="C8664" s="15">
        <v>213900</v>
      </c>
      <c r="D8664" s="4" t="s">
        <v>8659</v>
      </c>
      <c r="E8664" s="4" t="str">
        <f>HYPERLINK("https://app.crepc.sk/?fn=detailBiblioForm&amp;sid=5C150E32B6874145F91D418AD1")</f>
        <v>https://app.crepc.sk/?fn=detailBiblioForm&amp;sid=5C150E32B6874145F91D418AD1</v>
      </c>
    </row>
    <row r="8665" spans="3:5" ht="60" x14ac:dyDescent="0.25">
      <c r="C8665" s="15">
        <v>185736</v>
      </c>
      <c r="D8665" s="4" t="s">
        <v>8660</v>
      </c>
      <c r="E8665" s="4" t="str">
        <f>HYPERLINK("https://app.crepc.sk/?fn=detailBiblioForm&amp;sid=D39A92077CB2E2E722468E9F9A")</f>
        <v>https://app.crepc.sk/?fn=detailBiblioForm&amp;sid=D39A92077CB2E2E722468E9F9A</v>
      </c>
    </row>
    <row r="8666" spans="3:5" ht="60" x14ac:dyDescent="0.25">
      <c r="C8666" s="15">
        <v>438530</v>
      </c>
      <c r="D8666" s="4" t="s">
        <v>8661</v>
      </c>
      <c r="E8666" s="4" t="str">
        <f>HYPERLINK("https://app.crepc.sk/?fn=detailBiblioForm&amp;sid=A8368C59A2CFCB618D1A928036")</f>
        <v>https://app.crepc.sk/?fn=detailBiblioForm&amp;sid=A8368C59A2CFCB618D1A928036</v>
      </c>
    </row>
    <row r="8667" spans="3:5" ht="60" x14ac:dyDescent="0.25">
      <c r="C8667" s="15">
        <v>78844</v>
      </c>
      <c r="D8667" s="4" t="s">
        <v>8662</v>
      </c>
      <c r="E8667" s="4" t="str">
        <f>HYPERLINK("https://app.crepc.sk/?fn=detailBiblioForm&amp;sid=C62F7038660B1B60105FC4E7")</f>
        <v>https://app.crepc.sk/?fn=detailBiblioForm&amp;sid=C62F7038660B1B60105FC4E7</v>
      </c>
    </row>
    <row r="8668" spans="3:5" ht="45" x14ac:dyDescent="0.25">
      <c r="C8668" s="15">
        <v>95197</v>
      </c>
      <c r="D8668" s="4" t="s">
        <v>8663</v>
      </c>
      <c r="E8668" s="4" t="str">
        <f>HYPERLINK("https://app.crepc.sk/?fn=detailBiblioForm&amp;sid=F9695B4FB62EB04193F24AC7")</f>
        <v>https://app.crepc.sk/?fn=detailBiblioForm&amp;sid=F9695B4FB62EB04193F24AC7</v>
      </c>
    </row>
    <row r="8669" spans="3:5" ht="90" x14ac:dyDescent="0.25">
      <c r="C8669" s="15">
        <v>136267</v>
      </c>
      <c r="D8669" s="4" t="s">
        <v>8664</v>
      </c>
      <c r="E8669" s="4" t="str">
        <f>HYPERLINK("https://app.crepc.sk/?fn=detailBiblioForm&amp;sid=18B0B0AA43959DC6DE575A553B")</f>
        <v>https://app.crepc.sk/?fn=detailBiblioForm&amp;sid=18B0B0AA43959DC6DE575A553B</v>
      </c>
    </row>
    <row r="8670" spans="3:5" ht="45" x14ac:dyDescent="0.25">
      <c r="C8670" s="15">
        <v>222803</v>
      </c>
      <c r="D8670" s="4" t="s">
        <v>8665</v>
      </c>
      <c r="E8670" s="4" t="str">
        <f>HYPERLINK("https://app.crepc.sk/?fn=detailBiblioForm&amp;sid=4EEF90BDD7F9C5024CEA8C04B9")</f>
        <v>https://app.crepc.sk/?fn=detailBiblioForm&amp;sid=4EEF90BDD7F9C5024CEA8C04B9</v>
      </c>
    </row>
    <row r="8671" spans="3:5" ht="90" x14ac:dyDescent="0.25">
      <c r="C8671" s="15">
        <v>56873</v>
      </c>
      <c r="D8671" s="4" t="s">
        <v>8666</v>
      </c>
      <c r="E8671" s="4" t="str">
        <f>HYPERLINK("https://app.crepc.sk/?fn=detailBiblioForm&amp;sid=3C141FF4899C6AAD11A3B63E")</f>
        <v>https://app.crepc.sk/?fn=detailBiblioForm&amp;sid=3C141FF4899C6AAD11A3B63E</v>
      </c>
    </row>
    <row r="8672" spans="3:5" ht="90" x14ac:dyDescent="0.25">
      <c r="C8672" s="15">
        <v>204316</v>
      </c>
      <c r="D8672" s="4" t="s">
        <v>8667</v>
      </c>
      <c r="E8672" s="4" t="str">
        <f>HYPERLINK("https://app.crepc.sk/?fn=detailBiblioForm&amp;sid=8E201614D5D231968366729F83")</f>
        <v>https://app.crepc.sk/?fn=detailBiblioForm&amp;sid=8E201614D5D231968366729F83</v>
      </c>
    </row>
    <row r="8673" spans="3:5" ht="60" x14ac:dyDescent="0.25">
      <c r="C8673" s="15">
        <v>74134</v>
      </c>
      <c r="D8673" s="4" t="s">
        <v>8668</v>
      </c>
      <c r="E8673" s="4" t="str">
        <f>HYPERLINK("https://app.crepc.sk/?fn=detailBiblioForm&amp;sid=456E4CDEDD984D791FF45357")</f>
        <v>https://app.crepc.sk/?fn=detailBiblioForm&amp;sid=456E4CDEDD984D791FF45357</v>
      </c>
    </row>
    <row r="8674" spans="3:5" ht="75" x14ac:dyDescent="0.25">
      <c r="C8674" s="15">
        <v>435141</v>
      </c>
      <c r="D8674" s="4" t="s">
        <v>8669</v>
      </c>
      <c r="E8674" s="4" t="str">
        <f>HYPERLINK("https://app.crepc.sk/?fn=detailBiblioForm&amp;sid=AD8868FB556EBD592B3BBB48EF")</f>
        <v>https://app.crepc.sk/?fn=detailBiblioForm&amp;sid=AD8868FB556EBD592B3BBB48EF</v>
      </c>
    </row>
    <row r="8675" spans="3:5" ht="60" x14ac:dyDescent="0.25">
      <c r="C8675" s="15">
        <v>85228</v>
      </c>
      <c r="D8675" s="4" t="s">
        <v>8670</v>
      </c>
      <c r="E8675" s="4" t="str">
        <f>HYPERLINK("https://app.crepc.sk/?fn=detailBiblioForm&amp;sid=FD3422F9837C7B13D9C2E029")</f>
        <v>https://app.crepc.sk/?fn=detailBiblioForm&amp;sid=FD3422F9837C7B13D9C2E029</v>
      </c>
    </row>
    <row r="8676" spans="3:5" ht="45" x14ac:dyDescent="0.25">
      <c r="C8676" s="15">
        <v>106418</v>
      </c>
      <c r="D8676" s="4" t="s">
        <v>8671</v>
      </c>
      <c r="E8676" s="4" t="str">
        <f>HYPERLINK("https://app.crepc.sk/?fn=detailBiblioForm&amp;sid=A2BBB5BDBF4DF2E944B7D8FD36")</f>
        <v>https://app.crepc.sk/?fn=detailBiblioForm&amp;sid=A2BBB5BDBF4DF2E944B7D8FD36</v>
      </c>
    </row>
    <row r="8677" spans="3:5" ht="60" x14ac:dyDescent="0.25">
      <c r="C8677" s="15">
        <v>51064</v>
      </c>
      <c r="D8677" s="4" t="s">
        <v>8672</v>
      </c>
      <c r="E8677" s="4" t="str">
        <f>HYPERLINK("https://app.crepc.sk/?fn=detailBiblioForm&amp;sid=BB29F255FBB69693A0F43919")</f>
        <v>https://app.crepc.sk/?fn=detailBiblioForm&amp;sid=BB29F255FBB69693A0F43919</v>
      </c>
    </row>
    <row r="8678" spans="3:5" ht="60" x14ac:dyDescent="0.25">
      <c r="C8678" s="15">
        <v>187264</v>
      </c>
      <c r="D8678" s="4" t="s">
        <v>8673</v>
      </c>
      <c r="E8678" s="4" t="str">
        <f>HYPERLINK("https://app.crepc.sk/?fn=detailBiblioForm&amp;sid=8D80AD18777FCC7F6AB0DC5BD8")</f>
        <v>https://app.crepc.sk/?fn=detailBiblioForm&amp;sid=8D80AD18777FCC7F6AB0DC5BD8</v>
      </c>
    </row>
    <row r="8679" spans="3:5" ht="60" x14ac:dyDescent="0.25">
      <c r="C8679" s="15">
        <v>166190</v>
      </c>
      <c r="D8679" s="4" t="s">
        <v>7342</v>
      </c>
      <c r="E8679" s="4" t="str">
        <f>HYPERLINK("https://app.crepc.sk/?fn=detailBiblioForm&amp;sid=42FF770CB0BE77797CF6474404")</f>
        <v>https://app.crepc.sk/?fn=detailBiblioForm&amp;sid=42FF770CB0BE77797CF6474404</v>
      </c>
    </row>
    <row r="8680" spans="3:5" ht="45" x14ac:dyDescent="0.25">
      <c r="C8680" s="15">
        <v>137980</v>
      </c>
      <c r="D8680" s="4" t="s">
        <v>8674</v>
      </c>
      <c r="E8680" s="4" t="str">
        <f>HYPERLINK("https://app.crepc.sk/?fn=detailBiblioForm&amp;sid=8922FF609D62574E83493E73A4")</f>
        <v>https://app.crepc.sk/?fn=detailBiblioForm&amp;sid=8922FF609D62574E83493E73A4</v>
      </c>
    </row>
    <row r="8681" spans="3:5" ht="45" x14ac:dyDescent="0.25">
      <c r="C8681" s="15">
        <v>200563</v>
      </c>
      <c r="D8681" s="4" t="s">
        <v>8675</v>
      </c>
      <c r="E8681" s="4" t="str">
        <f>HYPERLINK("https://app.crepc.sk/?fn=detailBiblioForm&amp;sid=91D350D805BE9AB6AC88715CC5")</f>
        <v>https://app.crepc.sk/?fn=detailBiblioForm&amp;sid=91D350D805BE9AB6AC88715CC5</v>
      </c>
    </row>
    <row r="8682" spans="3:5" ht="45" x14ac:dyDescent="0.25">
      <c r="C8682" s="15">
        <v>158088</v>
      </c>
      <c r="D8682" s="4" t="s">
        <v>8676</v>
      </c>
      <c r="E8682" s="4" t="str">
        <f>HYPERLINK("https://app.crepc.sk/?fn=detailBiblioForm&amp;sid=6AA8E1A8284D263B499E2136E9")</f>
        <v>https://app.crepc.sk/?fn=detailBiblioForm&amp;sid=6AA8E1A8284D263B499E2136E9</v>
      </c>
    </row>
    <row r="8683" spans="3:5" ht="60" x14ac:dyDescent="0.25">
      <c r="C8683" s="15">
        <v>449631</v>
      </c>
      <c r="D8683" s="4" t="s">
        <v>8677</v>
      </c>
      <c r="E8683" s="4" t="str">
        <f>HYPERLINK("https://app.crepc.sk/?fn=detailBiblioForm&amp;sid=C69B2087B7631742E5533420CB")</f>
        <v>https://app.crepc.sk/?fn=detailBiblioForm&amp;sid=C69B2087B7631742E5533420CB</v>
      </c>
    </row>
    <row r="8684" spans="3:5" ht="60" x14ac:dyDescent="0.25">
      <c r="C8684" s="15">
        <v>197346</v>
      </c>
      <c r="D8684" s="4" t="s">
        <v>8678</v>
      </c>
      <c r="E8684" s="4" t="str">
        <f>HYPERLINK("https://app.crepc.sk/?fn=detailBiblioForm&amp;sid=DC4ED816FF1BFB25870E897557")</f>
        <v>https://app.crepc.sk/?fn=detailBiblioForm&amp;sid=DC4ED816FF1BFB25870E897557</v>
      </c>
    </row>
    <row r="8685" spans="3:5" ht="45" x14ac:dyDescent="0.25">
      <c r="C8685" s="15">
        <v>206002</v>
      </c>
      <c r="D8685" s="4" t="s">
        <v>8679</v>
      </c>
      <c r="E8685" s="4" t="str">
        <f>HYPERLINK("https://app.crepc.sk/?fn=detailBiblioForm&amp;sid=8A3D6BC1A0983428FD60184B23")</f>
        <v>https://app.crepc.sk/?fn=detailBiblioForm&amp;sid=8A3D6BC1A0983428FD60184B23</v>
      </c>
    </row>
    <row r="8686" spans="3:5" ht="45" x14ac:dyDescent="0.25">
      <c r="C8686" s="15">
        <v>67883</v>
      </c>
      <c r="D8686" s="4" t="s">
        <v>8680</v>
      </c>
      <c r="E8686" s="4" t="str">
        <f>HYPERLINK("https://app.crepc.sk/?fn=detailBiblioForm&amp;sid=42B7E6C01A8D7626C8031572")</f>
        <v>https://app.crepc.sk/?fn=detailBiblioForm&amp;sid=42B7E6C01A8D7626C8031572</v>
      </c>
    </row>
    <row r="8687" spans="3:5" ht="60" x14ac:dyDescent="0.25">
      <c r="C8687" s="15">
        <v>179487</v>
      </c>
      <c r="D8687" s="4" t="s">
        <v>8681</v>
      </c>
      <c r="E8687" s="4" t="str">
        <f>HYPERLINK("https://app.crepc.sk/?fn=detailBiblioForm&amp;sid=74EB4C9215C2376F59B226C93D")</f>
        <v>https://app.crepc.sk/?fn=detailBiblioForm&amp;sid=74EB4C9215C2376F59B226C93D</v>
      </c>
    </row>
    <row r="8688" spans="3:5" ht="90" x14ac:dyDescent="0.25">
      <c r="C8688" s="15">
        <v>127355</v>
      </c>
      <c r="D8688" s="4" t="s">
        <v>8682</v>
      </c>
      <c r="E8688" s="4" t="str">
        <f>HYPERLINK("https://app.crepc.sk/?fn=detailBiblioForm&amp;sid=5D4D29B46C695A5DF49D722909")</f>
        <v>https://app.crepc.sk/?fn=detailBiblioForm&amp;sid=5D4D29B46C695A5DF49D722909</v>
      </c>
    </row>
    <row r="8689" spans="3:5" ht="90" x14ac:dyDescent="0.25">
      <c r="C8689" s="15">
        <v>56720</v>
      </c>
      <c r="D8689" s="4" t="s">
        <v>8683</v>
      </c>
      <c r="E8689" s="4" t="str">
        <f>HYPERLINK("https://app.crepc.sk/?fn=detailBiblioForm&amp;sid=6E32E4E46D4032AFC303608E")</f>
        <v>https://app.crepc.sk/?fn=detailBiblioForm&amp;sid=6E32E4E46D4032AFC303608E</v>
      </c>
    </row>
    <row r="8690" spans="3:5" ht="60" x14ac:dyDescent="0.25">
      <c r="C8690" s="15">
        <v>180722</v>
      </c>
      <c r="D8690" s="4" t="s">
        <v>8684</v>
      </c>
      <c r="E8690" s="4" t="str">
        <f>HYPERLINK("https://app.crepc.sk/?fn=detailBiblioForm&amp;sid=46F337D26E70386BCC370607C3")</f>
        <v>https://app.crepc.sk/?fn=detailBiblioForm&amp;sid=46F337D26E70386BCC370607C3</v>
      </c>
    </row>
    <row r="8691" spans="3:5" ht="60" x14ac:dyDescent="0.25">
      <c r="C8691" s="15">
        <v>187001</v>
      </c>
      <c r="D8691" s="4" t="s">
        <v>8685</v>
      </c>
      <c r="E8691" s="4" t="str">
        <f>HYPERLINK("https://app.crepc.sk/?fn=detailBiblioForm&amp;sid=F3AF90715DF24108A73B7BFE19")</f>
        <v>https://app.crepc.sk/?fn=detailBiblioForm&amp;sid=F3AF90715DF24108A73B7BFE19</v>
      </c>
    </row>
    <row r="8692" spans="3:5" ht="75" x14ac:dyDescent="0.25">
      <c r="C8692" s="15">
        <v>423719</v>
      </c>
      <c r="D8692" s="4" t="s">
        <v>8686</v>
      </c>
      <c r="E8692" s="4" t="str">
        <f>HYPERLINK("https://app.crepc.sk/?fn=detailBiblioForm&amp;sid=6E519627E417BE68879C413E4C")</f>
        <v>https://app.crepc.sk/?fn=detailBiblioForm&amp;sid=6E519627E417BE68879C413E4C</v>
      </c>
    </row>
    <row r="8693" spans="3:5" ht="60" x14ac:dyDescent="0.25">
      <c r="C8693" s="15">
        <v>187461</v>
      </c>
      <c r="D8693" s="4" t="s">
        <v>8687</v>
      </c>
      <c r="E8693" s="4" t="str">
        <f>HYPERLINK("https://app.crepc.sk/?fn=detailBiblioForm&amp;sid=E1578DECED3BC9A505A2219864")</f>
        <v>https://app.crepc.sk/?fn=detailBiblioForm&amp;sid=E1578DECED3BC9A505A2219864</v>
      </c>
    </row>
    <row r="8694" spans="3:5" ht="60" x14ac:dyDescent="0.25">
      <c r="C8694" s="15">
        <v>420184</v>
      </c>
      <c r="D8694" s="4" t="s">
        <v>8688</v>
      </c>
      <c r="E8694" s="4" t="str">
        <f>HYPERLINK("https://app.crepc.sk/?fn=detailBiblioForm&amp;sid=5D2DBF2AC28D3B0752EB421D14")</f>
        <v>https://app.crepc.sk/?fn=detailBiblioForm&amp;sid=5D2DBF2AC28D3B0752EB421D14</v>
      </c>
    </row>
    <row r="8695" spans="3:5" ht="45" x14ac:dyDescent="0.25">
      <c r="C8695" s="15">
        <v>163552</v>
      </c>
      <c r="D8695" s="4" t="s">
        <v>8689</v>
      </c>
      <c r="E8695" s="4" t="str">
        <f>HYPERLINK("https://app.crepc.sk/?fn=detailBiblioForm&amp;sid=702847CDD3538CD48937C67511")</f>
        <v>https://app.crepc.sk/?fn=detailBiblioForm&amp;sid=702847CDD3538CD48937C67511</v>
      </c>
    </row>
    <row r="8696" spans="3:5" ht="45" x14ac:dyDescent="0.25">
      <c r="C8696" s="15">
        <v>206453</v>
      </c>
      <c r="D8696" s="4" t="s">
        <v>8690</v>
      </c>
      <c r="E8696" s="4" t="str">
        <f>HYPERLINK("https://app.crepc.sk/?fn=detailBiblioForm&amp;sid=9EADD462503AFBCA22571F908F")</f>
        <v>https://app.crepc.sk/?fn=detailBiblioForm&amp;sid=9EADD462503AFBCA22571F908F</v>
      </c>
    </row>
    <row r="8697" spans="3:5" ht="45" x14ac:dyDescent="0.25">
      <c r="C8697" s="15">
        <v>417801</v>
      </c>
      <c r="D8697" s="4" t="s">
        <v>8691</v>
      </c>
      <c r="E8697" s="4" t="str">
        <f>HYPERLINK("https://app.crepc.sk/?fn=detailBiblioForm&amp;sid=2F54B387D39AE8BF258E29BD09")</f>
        <v>https://app.crepc.sk/?fn=detailBiblioForm&amp;sid=2F54B387D39AE8BF258E29BD09</v>
      </c>
    </row>
    <row r="8698" spans="3:5" ht="60" x14ac:dyDescent="0.25">
      <c r="C8698" s="15">
        <v>218245</v>
      </c>
      <c r="D8698" s="4" t="s">
        <v>8692</v>
      </c>
      <c r="E8698" s="4" t="str">
        <f>HYPERLINK("https://app.crepc.sk/?fn=detailBiblioForm&amp;sid=2506B099E56293C87C4C8BEA9E")</f>
        <v>https://app.crepc.sk/?fn=detailBiblioForm&amp;sid=2506B099E56293C87C4C8BEA9E</v>
      </c>
    </row>
    <row r="8699" spans="3:5" ht="45" x14ac:dyDescent="0.25">
      <c r="C8699" s="15">
        <v>65724</v>
      </c>
      <c r="D8699" s="4" t="s">
        <v>8693</v>
      </c>
      <c r="E8699" s="4" t="str">
        <f>HYPERLINK("https://app.crepc.sk/?fn=detailBiblioForm&amp;sid=1F94295352D587E84498F08C")</f>
        <v>https://app.crepc.sk/?fn=detailBiblioForm&amp;sid=1F94295352D587E84498F08C</v>
      </c>
    </row>
    <row r="8700" spans="3:5" ht="90" x14ac:dyDescent="0.25">
      <c r="C8700" s="15">
        <v>97460</v>
      </c>
      <c r="D8700" s="4" t="s">
        <v>8694</v>
      </c>
      <c r="E8700" s="4" t="str">
        <f>HYPERLINK("https://app.crepc.sk/?fn=detailBiblioForm&amp;sid=E8A1A29C900FAEAF25E4452F")</f>
        <v>https://app.crepc.sk/?fn=detailBiblioForm&amp;sid=E8A1A29C900FAEAF25E4452F</v>
      </c>
    </row>
    <row r="8701" spans="3:5" ht="75" x14ac:dyDescent="0.25">
      <c r="C8701" s="15">
        <v>167418</v>
      </c>
      <c r="D8701" s="4" t="s">
        <v>8695</v>
      </c>
      <c r="E8701" s="4" t="str">
        <f>HYPERLINK("https://app.crepc.sk/?fn=detailBiblioForm&amp;sid=5C1288C836E60822D5EFCB6202")</f>
        <v>https://app.crepc.sk/?fn=detailBiblioForm&amp;sid=5C1288C836E60822D5EFCB6202</v>
      </c>
    </row>
    <row r="8702" spans="3:5" ht="45" x14ac:dyDescent="0.25">
      <c r="C8702" s="15">
        <v>200569</v>
      </c>
      <c r="D8702" s="4" t="s">
        <v>8696</v>
      </c>
      <c r="E8702" s="4" t="str">
        <f>HYPERLINK("https://app.crepc.sk/?fn=detailBiblioForm&amp;sid=91D350D805BE9AB6AC82715CC5")</f>
        <v>https://app.crepc.sk/?fn=detailBiblioForm&amp;sid=91D350D805BE9AB6AC82715CC5</v>
      </c>
    </row>
    <row r="8703" spans="3:5" ht="60" x14ac:dyDescent="0.25">
      <c r="C8703" s="15">
        <v>219466</v>
      </c>
      <c r="D8703" s="4" t="s">
        <v>8697</v>
      </c>
      <c r="E8703" s="4" t="str">
        <f>HYPERLINK("https://app.crepc.sk/?fn=detailBiblioForm&amp;sid=8474A37DD4CFE78510538DE929")</f>
        <v>https://app.crepc.sk/?fn=detailBiblioForm&amp;sid=8474A37DD4CFE78510538DE929</v>
      </c>
    </row>
    <row r="8704" spans="3:5" ht="45" x14ac:dyDescent="0.25">
      <c r="C8704" s="15">
        <v>224307</v>
      </c>
      <c r="D8704" s="4" t="s">
        <v>8698</v>
      </c>
      <c r="E8704" s="4" t="str">
        <f>HYPERLINK("https://app.crepc.sk/?fn=detailBiblioForm&amp;sid=ADB89B80C16DD51A537A821E07")</f>
        <v>https://app.crepc.sk/?fn=detailBiblioForm&amp;sid=ADB89B80C16DD51A537A821E07</v>
      </c>
    </row>
    <row r="8705" spans="3:5" ht="90" x14ac:dyDescent="0.25">
      <c r="C8705" s="15">
        <v>311841</v>
      </c>
      <c r="D8705" s="4" t="s">
        <v>8699</v>
      </c>
      <c r="E8705" s="4" t="str">
        <f>HYPERLINK("https://app.crepc.sk/?fn=detailBiblioForm&amp;sid=E2F6ABF7403AC0EB3304949DB8")</f>
        <v>https://app.crepc.sk/?fn=detailBiblioForm&amp;sid=E2F6ABF7403AC0EB3304949DB8</v>
      </c>
    </row>
    <row r="8706" spans="3:5" ht="75" x14ac:dyDescent="0.25">
      <c r="C8706" s="15">
        <v>420379</v>
      </c>
      <c r="D8706" s="4" t="s">
        <v>1529</v>
      </c>
      <c r="E8706" s="4" t="str">
        <f>HYPERLINK("https://app.crepc.sk/?fn=detailBiblioForm&amp;sid=4E11F73174AA8AEA1C3FD2EF89")</f>
        <v>https://app.crepc.sk/?fn=detailBiblioForm&amp;sid=4E11F73174AA8AEA1C3FD2EF89</v>
      </c>
    </row>
    <row r="8707" spans="3:5" ht="90" x14ac:dyDescent="0.25">
      <c r="C8707" s="15">
        <v>224327</v>
      </c>
      <c r="D8707" s="4" t="s">
        <v>7444</v>
      </c>
      <c r="E8707" s="4" t="str">
        <f>HYPERLINK("https://app.crepc.sk/?fn=detailBiblioForm&amp;sid=ADB89B80C16DD51A517A821E07")</f>
        <v>https://app.crepc.sk/?fn=detailBiblioForm&amp;sid=ADB89B80C16DD51A517A821E07</v>
      </c>
    </row>
    <row r="8708" spans="3:5" ht="90" x14ac:dyDescent="0.25">
      <c r="C8708" s="15">
        <v>305690</v>
      </c>
      <c r="D8708" s="4" t="s">
        <v>7447</v>
      </c>
      <c r="E8708" s="4" t="str">
        <f>HYPERLINK("https://app.crepc.sk/?fn=detailBiblioForm&amp;sid=5D66D213C9CFB0CCAF6421ACC1")</f>
        <v>https://app.crepc.sk/?fn=detailBiblioForm&amp;sid=5D66D213C9CFB0CCAF6421ACC1</v>
      </c>
    </row>
    <row r="8709" spans="3:5" ht="45" x14ac:dyDescent="0.25">
      <c r="C8709" s="15">
        <v>87697</v>
      </c>
      <c r="D8709" s="4" t="s">
        <v>8700</v>
      </c>
      <c r="E8709" s="4" t="str">
        <f>HYPERLINK("https://app.crepc.sk/?fn=detailBiblioForm&amp;sid=C0592EF4A0D8A5E7876892C9")</f>
        <v>https://app.crepc.sk/?fn=detailBiblioForm&amp;sid=C0592EF4A0D8A5E7876892C9</v>
      </c>
    </row>
    <row r="8710" spans="3:5" ht="45" x14ac:dyDescent="0.25">
      <c r="C8710" s="15">
        <v>254846</v>
      </c>
      <c r="D8710" s="4" t="s">
        <v>8701</v>
      </c>
      <c r="E8710" s="4" t="str">
        <f>HYPERLINK("https://app.crepc.sk/?fn=detailBiblioForm&amp;sid=3C0A22F44B0B94DB172F641174")</f>
        <v>https://app.crepc.sk/?fn=detailBiblioForm&amp;sid=3C0A22F44B0B94DB172F641174</v>
      </c>
    </row>
    <row r="8711" spans="3:5" ht="45" x14ac:dyDescent="0.25">
      <c r="C8711" s="15">
        <v>95627</v>
      </c>
      <c r="D8711" s="4" t="s">
        <v>8702</v>
      </c>
      <c r="E8711" s="4" t="str">
        <f>HYPERLINK("https://app.crepc.sk/?fn=detailBiblioForm&amp;sid=D33116C2DCD9F56BD130353E")</f>
        <v>https://app.crepc.sk/?fn=detailBiblioForm&amp;sid=D33116C2DCD9F56BD130353E</v>
      </c>
    </row>
    <row r="8712" spans="3:5" ht="45" x14ac:dyDescent="0.25">
      <c r="C8712" s="15">
        <v>244635</v>
      </c>
      <c r="D8712" s="4" t="s">
        <v>8703</v>
      </c>
      <c r="E8712" s="4" t="str">
        <f>HYPERLINK("https://app.crepc.sk/?fn=detailBiblioForm&amp;sid=5693C4557D2BC9900AB5BAE0E3")</f>
        <v>https://app.crepc.sk/?fn=detailBiblioForm&amp;sid=5693C4557D2BC9900AB5BAE0E3</v>
      </c>
    </row>
    <row r="8713" spans="3:5" ht="75" x14ac:dyDescent="0.25">
      <c r="C8713" s="15">
        <v>137922</v>
      </c>
      <c r="D8713" s="4" t="s">
        <v>8704</v>
      </c>
      <c r="E8713" s="4" t="str">
        <f>HYPERLINK("https://app.crepc.sk/?fn=detailBiblioForm&amp;sid=8922FF609D62574E894B3E73A4")</f>
        <v>https://app.crepc.sk/?fn=detailBiblioForm&amp;sid=8922FF609D62574E894B3E73A4</v>
      </c>
    </row>
    <row r="8714" spans="3:5" ht="60" x14ac:dyDescent="0.25">
      <c r="C8714" s="15">
        <v>75365</v>
      </c>
      <c r="D8714" s="4" t="s">
        <v>8705</v>
      </c>
      <c r="E8714" s="4" t="str">
        <f>HYPERLINK("https://app.crepc.sk/?fn=detailBiblioForm&amp;sid=717506A4B21BEA6641FADC02")</f>
        <v>https://app.crepc.sk/?fn=detailBiblioForm&amp;sid=717506A4B21BEA6641FADC02</v>
      </c>
    </row>
    <row r="8715" spans="3:5" ht="45" x14ac:dyDescent="0.25">
      <c r="C8715" s="15">
        <v>167873</v>
      </c>
      <c r="D8715" s="4" t="s">
        <v>8706</v>
      </c>
      <c r="E8715" s="4" t="str">
        <f>HYPERLINK("https://app.crepc.sk/?fn=detailBiblioForm&amp;sid=F555978930B5A8A7256B6DAFDF")</f>
        <v>https://app.crepc.sk/?fn=detailBiblioForm&amp;sid=F555978930B5A8A7256B6DAFDF</v>
      </c>
    </row>
    <row r="8716" spans="3:5" ht="45" x14ac:dyDescent="0.25">
      <c r="C8716" s="15">
        <v>186012</v>
      </c>
      <c r="D8716" s="4" t="s">
        <v>8707</v>
      </c>
      <c r="E8716" s="4" t="str">
        <f>HYPERLINK("https://app.crepc.sk/?fn=detailBiblioForm&amp;sid=12BF14ADF430A4F4BCF63AA239")</f>
        <v>https://app.crepc.sk/?fn=detailBiblioForm&amp;sid=12BF14ADF430A4F4BCF63AA239</v>
      </c>
    </row>
    <row r="8717" spans="3:5" ht="60" x14ac:dyDescent="0.25">
      <c r="C8717" s="15">
        <v>244570</v>
      </c>
      <c r="D8717" s="4" t="s">
        <v>8708</v>
      </c>
      <c r="E8717" s="4" t="str">
        <f>HYPERLINK("https://app.crepc.sk/?fn=detailBiblioForm&amp;sid=7CD45A5C10A06C781DF7ABC625")</f>
        <v>https://app.crepc.sk/?fn=detailBiblioForm&amp;sid=7CD45A5C10A06C781DF7ABC625</v>
      </c>
    </row>
    <row r="8718" spans="3:5" ht="60" x14ac:dyDescent="0.25">
      <c r="C8718" s="15">
        <v>224975</v>
      </c>
      <c r="D8718" s="4" t="s">
        <v>8709</v>
      </c>
      <c r="E8718" s="4" t="str">
        <f>HYPERLINK("https://app.crepc.sk/?fn=detailBiblioForm&amp;sid=A17FDCE096B34C51685F5AEA85")</f>
        <v>https://app.crepc.sk/?fn=detailBiblioForm&amp;sid=A17FDCE096B34C51685F5AEA85</v>
      </c>
    </row>
    <row r="8719" spans="3:5" ht="30" x14ac:dyDescent="0.25">
      <c r="C8719" s="15">
        <v>51739</v>
      </c>
      <c r="D8719" s="4" t="s">
        <v>8710</v>
      </c>
      <c r="E8719" s="4" t="str">
        <f>HYPERLINK("https://app.crepc.sk/?fn=detailBiblioForm&amp;sid=9F2480CFB9D44E1005E29D61")</f>
        <v>https://app.crepc.sk/?fn=detailBiblioForm&amp;sid=9F2480CFB9D44E1005E29D61</v>
      </c>
    </row>
    <row r="8720" spans="3:5" ht="45" x14ac:dyDescent="0.25">
      <c r="C8720" s="15">
        <v>109189</v>
      </c>
      <c r="D8720" s="4" t="s">
        <v>8711</v>
      </c>
      <c r="E8720" s="4" t="str">
        <f>HYPERLINK("https://app.crepc.sk/?fn=detailBiblioForm&amp;sid=EB0C227EF6842D1C147FA8D98A")</f>
        <v>https://app.crepc.sk/?fn=detailBiblioForm&amp;sid=EB0C227EF6842D1C147FA8D98A</v>
      </c>
    </row>
    <row r="8721" spans="3:5" ht="45" x14ac:dyDescent="0.25">
      <c r="C8721" s="15">
        <v>187791</v>
      </c>
      <c r="D8721" s="4" t="s">
        <v>8712</v>
      </c>
      <c r="E8721" s="4" t="str">
        <f>HYPERLINK("https://app.crepc.sk/?fn=detailBiblioForm&amp;sid=DC84C828B12A860AC6EAA1F70D")</f>
        <v>https://app.crepc.sk/?fn=detailBiblioForm&amp;sid=DC84C828B12A860AC6EAA1F70D</v>
      </c>
    </row>
    <row r="8722" spans="3:5" ht="60" x14ac:dyDescent="0.25">
      <c r="C8722" s="15">
        <v>220423</v>
      </c>
      <c r="D8722" s="4" t="s">
        <v>8713</v>
      </c>
      <c r="E8722" s="4" t="str">
        <f>HYPERLINK("https://app.crepc.sk/?fn=detailBiblioForm&amp;sid=0EDF4BE237DC9302C49E804500")</f>
        <v>https://app.crepc.sk/?fn=detailBiblioForm&amp;sid=0EDF4BE237DC9302C49E804500</v>
      </c>
    </row>
    <row r="8723" spans="3:5" ht="90" x14ac:dyDescent="0.25">
      <c r="C8723" s="15">
        <v>446520</v>
      </c>
      <c r="D8723" s="4" t="s">
        <v>8714</v>
      </c>
      <c r="E8723" s="4" t="str">
        <f>HYPERLINK("https://app.crepc.sk/?fn=detailBiblioForm&amp;sid=11B4CDD145850D41BB09EE5BB2")</f>
        <v>https://app.crepc.sk/?fn=detailBiblioForm&amp;sid=11B4CDD145850D41BB09EE5BB2</v>
      </c>
    </row>
    <row r="8724" spans="3:5" ht="45" x14ac:dyDescent="0.25">
      <c r="C8724" s="15">
        <v>179373</v>
      </c>
      <c r="D8724" s="4" t="s">
        <v>8715</v>
      </c>
      <c r="E8724" s="4" t="str">
        <f>HYPERLINK("https://app.crepc.sk/?fn=detailBiblioForm&amp;sid=F21271D19E376096C1071E1176")</f>
        <v>https://app.crepc.sk/?fn=detailBiblioForm&amp;sid=F21271D19E376096C1071E1176</v>
      </c>
    </row>
    <row r="8725" spans="3:5" ht="45" x14ac:dyDescent="0.25">
      <c r="C8725" s="15">
        <v>84811</v>
      </c>
      <c r="D8725" s="4" t="s">
        <v>8716</v>
      </c>
      <c r="E8725" s="4" t="str">
        <f>HYPERLINK("https://app.crepc.sk/?fn=detailBiblioForm&amp;sid=7FE86E6084379A864CE0CDA9")</f>
        <v>https://app.crepc.sk/?fn=detailBiblioForm&amp;sid=7FE86E6084379A864CE0CDA9</v>
      </c>
    </row>
    <row r="8726" spans="3:5" ht="45" x14ac:dyDescent="0.25">
      <c r="C8726" s="15">
        <v>129389</v>
      </c>
      <c r="D8726" s="4" t="s">
        <v>8717</v>
      </c>
      <c r="E8726" s="4" t="str">
        <f>HYPERLINK("https://app.crepc.sk/?fn=detailBiblioForm&amp;sid=9B6D79FADC5C6A598227E9DE88")</f>
        <v>https://app.crepc.sk/?fn=detailBiblioForm&amp;sid=9B6D79FADC5C6A598227E9DE88</v>
      </c>
    </row>
    <row r="8727" spans="3:5" ht="45" x14ac:dyDescent="0.25">
      <c r="C8727" s="15">
        <v>109507</v>
      </c>
      <c r="D8727" s="4" t="s">
        <v>8718</v>
      </c>
      <c r="E8727" s="4" t="str">
        <f>HYPERLINK("https://app.crepc.sk/?fn=detailBiblioForm&amp;sid=CF0733CC879F468F71062F5660")</f>
        <v>https://app.crepc.sk/?fn=detailBiblioForm&amp;sid=CF0733CC879F468F71062F5660</v>
      </c>
    </row>
    <row r="8728" spans="3:5" ht="75" x14ac:dyDescent="0.25">
      <c r="C8728" s="15">
        <v>56079</v>
      </c>
      <c r="D8728" s="4" t="s">
        <v>8719</v>
      </c>
      <c r="E8728" s="4" t="str">
        <f>HYPERLINK("https://app.crepc.sk/?fn=detailBiblioForm&amp;sid=CC4DA0EB95533E361131D225")</f>
        <v>https://app.crepc.sk/?fn=detailBiblioForm&amp;sid=CC4DA0EB95533E361131D225</v>
      </c>
    </row>
    <row r="8729" spans="3:5" ht="60" x14ac:dyDescent="0.25">
      <c r="C8729" s="15">
        <v>116263</v>
      </c>
      <c r="D8729" s="4" t="s">
        <v>8720</v>
      </c>
      <c r="E8729" s="4" t="str">
        <f>HYPERLINK("https://app.crepc.sk/?fn=detailBiblioForm&amp;sid=E13542FA17D512302F97563330")</f>
        <v>https://app.crepc.sk/?fn=detailBiblioForm&amp;sid=E13542FA17D512302F97563330</v>
      </c>
    </row>
    <row r="8730" spans="3:5" ht="90" x14ac:dyDescent="0.25">
      <c r="C8730" s="15">
        <v>213930</v>
      </c>
      <c r="D8730" s="4" t="s">
        <v>8721</v>
      </c>
      <c r="E8730" s="4" t="str">
        <f>HYPERLINK("https://app.crepc.sk/?fn=detailBiblioForm&amp;sid=5C150E32B6874145FA1D418AD1")</f>
        <v>https://app.crepc.sk/?fn=detailBiblioForm&amp;sid=5C150E32B6874145FA1D418AD1</v>
      </c>
    </row>
    <row r="8731" spans="3:5" ht="60" x14ac:dyDescent="0.25">
      <c r="C8731" s="15">
        <v>430668</v>
      </c>
      <c r="D8731" s="4" t="s">
        <v>8722</v>
      </c>
      <c r="E8731" s="4" t="str">
        <f>HYPERLINK("https://app.crepc.sk/?fn=detailBiblioForm&amp;sid=3627EFA272B2C6AEE51343A359")</f>
        <v>https://app.crepc.sk/?fn=detailBiblioForm&amp;sid=3627EFA272B2C6AEE51343A359</v>
      </c>
    </row>
    <row r="8732" spans="3:5" ht="60" x14ac:dyDescent="0.25">
      <c r="C8732" s="15">
        <v>423268</v>
      </c>
      <c r="D8732" s="4" t="s">
        <v>8723</v>
      </c>
      <c r="E8732" s="4" t="str">
        <f>HYPERLINK("https://app.crepc.sk/?fn=detailBiblioForm&amp;sid=6F94DB7625AEA645E42A2573EC")</f>
        <v>https://app.crepc.sk/?fn=detailBiblioForm&amp;sid=6F94DB7625AEA645E42A2573EC</v>
      </c>
    </row>
    <row r="8733" spans="3:5" ht="45" x14ac:dyDescent="0.25">
      <c r="C8733" s="15">
        <v>220179</v>
      </c>
      <c r="D8733" s="4" t="s">
        <v>8724</v>
      </c>
      <c r="E8733" s="4" t="str">
        <f>HYPERLINK("https://app.crepc.sk/?fn=detailBiblioForm&amp;sid=BD99EC0CBCCC38C6EF46673888")</f>
        <v>https://app.crepc.sk/?fn=detailBiblioForm&amp;sid=BD99EC0CBCCC38C6EF46673888</v>
      </c>
    </row>
    <row r="8734" spans="3:5" ht="45" x14ac:dyDescent="0.25">
      <c r="C8734" s="15">
        <v>137654</v>
      </c>
      <c r="D8734" s="4" t="s">
        <v>8725</v>
      </c>
      <c r="E8734" s="4" t="str">
        <f>HYPERLINK("https://app.crepc.sk/?fn=detailBiblioForm&amp;sid=2EA0EB8F50B4443ADCEFBFBE4C")</f>
        <v>https://app.crepc.sk/?fn=detailBiblioForm&amp;sid=2EA0EB8F50B4443ADCEFBFBE4C</v>
      </c>
    </row>
    <row r="8735" spans="3:5" ht="60" x14ac:dyDescent="0.25">
      <c r="C8735" s="15">
        <v>203897</v>
      </c>
      <c r="D8735" s="4" t="s">
        <v>8726</v>
      </c>
      <c r="E8735" s="4" t="str">
        <f>HYPERLINK("https://app.crepc.sk/?fn=detailBiblioForm&amp;sid=BEDB5CC6AC5331222F9ED0F4C4")</f>
        <v>https://app.crepc.sk/?fn=detailBiblioForm&amp;sid=BEDB5CC6AC5331222F9ED0F4C4</v>
      </c>
    </row>
    <row r="8736" spans="3:5" ht="75" x14ac:dyDescent="0.25">
      <c r="C8736" s="15">
        <v>96344</v>
      </c>
      <c r="D8736" s="4" t="s">
        <v>8727</v>
      </c>
      <c r="E8736" s="4" t="str">
        <f>HYPERLINK("https://app.crepc.sk/?fn=detailBiblioForm&amp;sid=77A304A27F77AD5A77757C02")</f>
        <v>https://app.crepc.sk/?fn=detailBiblioForm&amp;sid=77A304A27F77AD5A77757C02</v>
      </c>
    </row>
    <row r="8737" spans="3:5" ht="60" x14ac:dyDescent="0.25">
      <c r="C8737" s="15">
        <v>223265</v>
      </c>
      <c r="D8737" s="4" t="s">
        <v>8728</v>
      </c>
      <c r="E8737" s="4" t="str">
        <f>HYPERLINK("https://app.crepc.sk/?fn=detailBiblioForm&amp;sid=A560E0A5BF5D2849BCC2E84DBE")</f>
        <v>https://app.crepc.sk/?fn=detailBiblioForm&amp;sid=A560E0A5BF5D2849BCC2E84DBE</v>
      </c>
    </row>
    <row r="8738" spans="3:5" ht="75" x14ac:dyDescent="0.25">
      <c r="C8738" s="15">
        <v>215787</v>
      </c>
      <c r="D8738" s="4" t="s">
        <v>8729</v>
      </c>
      <c r="E8738" s="4" t="str">
        <f>HYPERLINK("https://app.crepc.sk/?fn=detailBiblioForm&amp;sid=8D210FFAAFF670BF406174A2B3")</f>
        <v>https://app.crepc.sk/?fn=detailBiblioForm&amp;sid=8D210FFAAFF670BF406174A2B3</v>
      </c>
    </row>
    <row r="8739" spans="3:5" ht="60" x14ac:dyDescent="0.25">
      <c r="C8739" s="15">
        <v>174112</v>
      </c>
      <c r="D8739" s="4" t="s">
        <v>8730</v>
      </c>
      <c r="E8739" s="4" t="str">
        <f>HYPERLINK("https://app.crepc.sk/?fn=detailBiblioForm&amp;sid=D9F0BB0A8DA9926989A2F8C501")</f>
        <v>https://app.crepc.sk/?fn=detailBiblioForm&amp;sid=D9F0BB0A8DA9926989A2F8C501</v>
      </c>
    </row>
    <row r="8740" spans="3:5" ht="45" x14ac:dyDescent="0.25">
      <c r="C8740" s="15">
        <v>226637</v>
      </c>
      <c r="D8740" s="4" t="s">
        <v>8731</v>
      </c>
      <c r="E8740" s="4" t="str">
        <f>HYPERLINK("https://app.crepc.sk/?fn=detailBiblioForm&amp;sid=EFBE3DC7BD8E060F06E105FABD")</f>
        <v>https://app.crepc.sk/?fn=detailBiblioForm&amp;sid=EFBE3DC7BD8E060F06E105FABD</v>
      </c>
    </row>
    <row r="8741" spans="3:5" ht="45" x14ac:dyDescent="0.25">
      <c r="C8741" s="15">
        <v>191319</v>
      </c>
      <c r="D8741" s="4" t="s">
        <v>8732</v>
      </c>
      <c r="E8741" s="4" t="str">
        <f>HYPERLINK("https://app.crepc.sk/?fn=detailBiblioForm&amp;sid=36AF35A93DA567BB0556C89854")</f>
        <v>https://app.crepc.sk/?fn=detailBiblioForm&amp;sid=36AF35A93DA567BB0556C89854</v>
      </c>
    </row>
    <row r="8742" spans="3:5" ht="45" x14ac:dyDescent="0.25">
      <c r="C8742" s="15">
        <v>60313</v>
      </c>
      <c r="D8742" s="4" t="s">
        <v>8733</v>
      </c>
      <c r="E8742" s="4" t="str">
        <f>HYPERLINK("https://app.crepc.sk/?fn=detailBiblioForm&amp;sid=2004A9F1CCFB3410F6767B87")</f>
        <v>https://app.crepc.sk/?fn=detailBiblioForm&amp;sid=2004A9F1CCFB3410F6767B87</v>
      </c>
    </row>
    <row r="8743" spans="3:5" ht="60" x14ac:dyDescent="0.25">
      <c r="C8743" s="15">
        <v>129634</v>
      </c>
      <c r="D8743" s="4" t="s">
        <v>8734</v>
      </c>
      <c r="E8743" s="4" t="str">
        <f>HYPERLINK("https://app.crepc.sk/?fn=detailBiblioForm&amp;sid=ACAA4AF27E5710F224AC8B34E5")</f>
        <v>https://app.crepc.sk/?fn=detailBiblioForm&amp;sid=ACAA4AF27E5710F224AC8B34E5</v>
      </c>
    </row>
    <row r="8744" spans="3:5" ht="60" x14ac:dyDescent="0.25">
      <c r="C8744" s="15">
        <v>211778</v>
      </c>
      <c r="D8744" s="4" t="s">
        <v>8735</v>
      </c>
      <c r="E8744" s="4" t="str">
        <f>HYPERLINK("https://app.crepc.sk/?fn=detailBiblioForm&amp;sid=936179ABD4330FC852DA09B041")</f>
        <v>https://app.crepc.sk/?fn=detailBiblioForm&amp;sid=936179ABD4330FC852DA09B041</v>
      </c>
    </row>
    <row r="8745" spans="3:5" ht="60" x14ac:dyDescent="0.25">
      <c r="C8745" s="15">
        <v>315301</v>
      </c>
      <c r="D8745" s="4" t="s">
        <v>8736</v>
      </c>
      <c r="E8745" s="4" t="str">
        <f>HYPERLINK("https://app.crepc.sk/?fn=detailBiblioForm&amp;sid=55621F876DA874636E4D036671")</f>
        <v>https://app.crepc.sk/?fn=detailBiblioForm&amp;sid=55621F876DA874636E4D036671</v>
      </c>
    </row>
    <row r="8746" spans="3:5" ht="90" x14ac:dyDescent="0.25">
      <c r="C8746" s="15">
        <v>59135</v>
      </c>
      <c r="D8746" s="4" t="s">
        <v>8737</v>
      </c>
      <c r="E8746" s="4" t="str">
        <f>HYPERLINK("https://app.crepc.sk/?fn=detailBiblioForm&amp;sid=A87AA1A26032B356065404E4")</f>
        <v>https://app.crepc.sk/?fn=detailBiblioForm&amp;sid=A87AA1A26032B356065404E4</v>
      </c>
    </row>
    <row r="8747" spans="3:5" ht="90" x14ac:dyDescent="0.25">
      <c r="C8747" s="15">
        <v>138383</v>
      </c>
      <c r="D8747" s="4" t="s">
        <v>8738</v>
      </c>
      <c r="E8747" s="4" t="str">
        <f>HYPERLINK("https://app.crepc.sk/?fn=detailBiblioForm&amp;sid=7D24A8B9D266E9951FC56468AD")</f>
        <v>https://app.crepc.sk/?fn=detailBiblioForm&amp;sid=7D24A8B9D266E9951FC56468AD</v>
      </c>
    </row>
    <row r="8748" spans="3:5" ht="60" x14ac:dyDescent="0.25">
      <c r="C8748" s="15">
        <v>87742</v>
      </c>
      <c r="D8748" s="4" t="s">
        <v>8739</v>
      </c>
      <c r="E8748" s="4" t="str">
        <f>HYPERLINK("https://app.crepc.sk/?fn=detailBiblioForm&amp;sid=226ED39DFB3F32840AD84189")</f>
        <v>https://app.crepc.sk/?fn=detailBiblioForm&amp;sid=226ED39DFB3F32840AD84189</v>
      </c>
    </row>
    <row r="8749" spans="3:5" ht="45" x14ac:dyDescent="0.25">
      <c r="C8749" s="15">
        <v>423697</v>
      </c>
      <c r="D8749" s="4" t="s">
        <v>8740</v>
      </c>
      <c r="E8749" s="4" t="str">
        <f>HYPERLINK("https://app.crepc.sk/?fn=detailBiblioForm&amp;sid=516623C0A42DFF75C215D9AD8F")</f>
        <v>https://app.crepc.sk/?fn=detailBiblioForm&amp;sid=516623C0A42DFF75C215D9AD8F</v>
      </c>
    </row>
    <row r="8750" spans="3:5" ht="60" x14ac:dyDescent="0.25">
      <c r="C8750" s="15">
        <v>453738</v>
      </c>
      <c r="D8750" s="4" t="s">
        <v>8741</v>
      </c>
      <c r="E8750" s="4" t="str">
        <f>HYPERLINK("https://app.crepc.sk/?fn=detailBiblioForm&amp;sid=2CDF48EDF69E3B979DD7A5BF19")</f>
        <v>https://app.crepc.sk/?fn=detailBiblioForm&amp;sid=2CDF48EDF69E3B979DD7A5BF19</v>
      </c>
    </row>
    <row r="8751" spans="3:5" ht="60" x14ac:dyDescent="0.25">
      <c r="C8751" s="15">
        <v>429585</v>
      </c>
      <c r="D8751" s="4" t="s">
        <v>8742</v>
      </c>
      <c r="E8751" s="4" t="str">
        <f>HYPERLINK("https://app.crepc.sk/?fn=detailBiblioForm&amp;sid=7133CB1904D2A856B693FC5BD9")</f>
        <v>https://app.crepc.sk/?fn=detailBiblioForm&amp;sid=7133CB1904D2A856B693FC5BD9</v>
      </c>
    </row>
    <row r="8752" spans="3:5" ht="45" x14ac:dyDescent="0.25">
      <c r="C8752" s="15">
        <v>124435</v>
      </c>
      <c r="D8752" s="4" t="s">
        <v>8743</v>
      </c>
      <c r="E8752" s="4" t="str">
        <f>HYPERLINK("https://app.crepc.sk/?fn=detailBiblioForm&amp;sid=334EBFF4980CD77440422B0A8A")</f>
        <v>https://app.crepc.sk/?fn=detailBiblioForm&amp;sid=334EBFF4980CD77440422B0A8A</v>
      </c>
    </row>
    <row r="8753" spans="3:5" ht="60" x14ac:dyDescent="0.25">
      <c r="C8753" s="15">
        <v>424466</v>
      </c>
      <c r="D8753" s="4" t="s">
        <v>8744</v>
      </c>
      <c r="E8753" s="4" t="str">
        <f>HYPERLINK("https://app.crepc.sk/?fn=detailBiblioForm&amp;sid=40A350F05C48D697D92C47D983")</f>
        <v>https://app.crepc.sk/?fn=detailBiblioForm&amp;sid=40A350F05C48D697D92C47D983</v>
      </c>
    </row>
    <row r="8754" spans="3:5" ht="45" x14ac:dyDescent="0.25">
      <c r="C8754" s="15">
        <v>247025</v>
      </c>
      <c r="D8754" s="4" t="s">
        <v>8745</v>
      </c>
      <c r="E8754" s="4" t="str">
        <f>HYPERLINK("https://app.crepc.sk/?fn=detailBiblioForm&amp;sid=EBEA61057054222A0C937935A3")</f>
        <v>https://app.crepc.sk/?fn=detailBiblioForm&amp;sid=EBEA61057054222A0C937935A3</v>
      </c>
    </row>
    <row r="8755" spans="3:5" ht="75" x14ac:dyDescent="0.25">
      <c r="C8755" s="15">
        <v>64125</v>
      </c>
      <c r="D8755" s="4" t="s">
        <v>8746</v>
      </c>
      <c r="E8755" s="4" t="str">
        <f>HYPERLINK("https://app.crepc.sk/?fn=detailBiblioForm&amp;sid=61F44CADC2D88401C0A437D4")</f>
        <v>https://app.crepc.sk/?fn=detailBiblioForm&amp;sid=61F44CADC2D88401C0A437D4</v>
      </c>
    </row>
    <row r="8756" spans="3:5" ht="45" x14ac:dyDescent="0.25">
      <c r="C8756" s="15">
        <v>110368</v>
      </c>
      <c r="D8756" s="4" t="s">
        <v>8747</v>
      </c>
      <c r="E8756" s="4" t="str">
        <f>HYPERLINK("https://app.crepc.sk/?fn=detailBiblioForm&amp;sid=3B8C8D05D935670DCCAA65B4B0")</f>
        <v>https://app.crepc.sk/?fn=detailBiblioForm&amp;sid=3B8C8D05D935670DCCAA65B4B0</v>
      </c>
    </row>
    <row r="8757" spans="3:5" ht="90" x14ac:dyDescent="0.25">
      <c r="C8757" s="15">
        <v>112718</v>
      </c>
      <c r="D8757" s="4" t="s">
        <v>8748</v>
      </c>
      <c r="E8757" s="4" t="str">
        <f>HYPERLINK("https://app.crepc.sk/?fn=detailBiblioForm&amp;sid=F6EEFE579F4910CC926934885E")</f>
        <v>https://app.crepc.sk/?fn=detailBiblioForm&amp;sid=F6EEFE579F4910CC926934885E</v>
      </c>
    </row>
    <row r="8758" spans="3:5" ht="45" x14ac:dyDescent="0.25">
      <c r="C8758" s="15">
        <v>61816</v>
      </c>
      <c r="D8758" s="4" t="s">
        <v>8749</v>
      </c>
      <c r="E8758" s="4" t="str">
        <f>HYPERLINK("https://app.crepc.sk/?fn=detailBiblioForm&amp;sid=D22CC009E2BE8ED278F97EBC")</f>
        <v>https://app.crepc.sk/?fn=detailBiblioForm&amp;sid=D22CC009E2BE8ED278F97EBC</v>
      </c>
    </row>
    <row r="8759" spans="3:5" ht="135" x14ac:dyDescent="0.25">
      <c r="C8759" s="15">
        <v>126746</v>
      </c>
      <c r="D8759" s="4" t="s">
        <v>8750</v>
      </c>
      <c r="E8759" s="4" t="str">
        <f>HYPERLINK("https://app.crepc.sk/?fn=detailBiblioForm&amp;sid=BF2E02CB30820396A9E65B7C2B")</f>
        <v>https://app.crepc.sk/?fn=detailBiblioForm&amp;sid=BF2E02CB30820396A9E65B7C2B</v>
      </c>
    </row>
    <row r="8760" spans="3:5" ht="135" x14ac:dyDescent="0.25">
      <c r="C8760" s="15">
        <v>194764</v>
      </c>
      <c r="D8760" s="4" t="s">
        <v>8751</v>
      </c>
      <c r="E8760" s="4" t="str">
        <f>HYPERLINK("https://app.crepc.sk/?fn=detailBiblioForm&amp;sid=2FEED85A3FCEFC83C7ECE02009")</f>
        <v>https://app.crepc.sk/?fn=detailBiblioForm&amp;sid=2FEED85A3FCEFC83C7ECE02009</v>
      </c>
    </row>
    <row r="8761" spans="3:5" ht="150" x14ac:dyDescent="0.25">
      <c r="C8761" s="15">
        <v>313695</v>
      </c>
      <c r="D8761" s="4" t="s">
        <v>8752</v>
      </c>
      <c r="E8761" s="4" t="str">
        <f>HYPERLINK("https://app.crepc.sk/?fn=detailBiblioForm&amp;sid=52D95D66ED74B9C2F196B986D9")</f>
        <v>https://app.crepc.sk/?fn=detailBiblioForm&amp;sid=52D95D66ED74B9C2F196B986D9</v>
      </c>
    </row>
    <row r="8762" spans="3:5" ht="75" x14ac:dyDescent="0.25">
      <c r="C8762" s="15">
        <v>140134</v>
      </c>
      <c r="D8762" s="4" t="s">
        <v>8753</v>
      </c>
      <c r="E8762" s="4" t="str">
        <f>HYPERLINK("https://app.crepc.sk/?fn=detailBiblioForm&amp;sid=17899838D38E4BD1551BEAAA4C")</f>
        <v>https://app.crepc.sk/?fn=detailBiblioForm&amp;sid=17899838D38E4BD1551BEAAA4C</v>
      </c>
    </row>
    <row r="8763" spans="3:5" ht="75" x14ac:dyDescent="0.25">
      <c r="C8763" s="15">
        <v>310010</v>
      </c>
      <c r="D8763" s="4" t="s">
        <v>8754</v>
      </c>
      <c r="E8763" s="4" t="str">
        <f>HYPERLINK("https://app.crepc.sk/?fn=detailBiblioForm&amp;sid=F566C6E0CB47072BFDEE22F69C")</f>
        <v>https://app.crepc.sk/?fn=detailBiblioForm&amp;sid=F566C6E0CB47072BFDEE22F69C</v>
      </c>
    </row>
    <row r="8764" spans="3:5" ht="45" x14ac:dyDescent="0.25">
      <c r="C8764" s="15">
        <v>118793</v>
      </c>
      <c r="D8764" s="4" t="s">
        <v>8755</v>
      </c>
      <c r="E8764" s="4" t="str">
        <f>HYPERLINK("https://app.crepc.sk/?fn=detailBiblioForm&amp;sid=46EC41480997D7F109BDC7D544")</f>
        <v>https://app.crepc.sk/?fn=detailBiblioForm&amp;sid=46EC41480997D7F109BDC7D544</v>
      </c>
    </row>
    <row r="8765" spans="3:5" ht="45" x14ac:dyDescent="0.25">
      <c r="C8765" s="15">
        <v>175111</v>
      </c>
      <c r="D8765" s="4" t="s">
        <v>8756</v>
      </c>
      <c r="E8765" s="4" t="str">
        <f>HYPERLINK("https://app.crepc.sk/?fn=detailBiblioForm&amp;sid=A3900C45A119566173F1918F0F")</f>
        <v>https://app.crepc.sk/?fn=detailBiblioForm&amp;sid=A3900C45A119566173F1918F0F</v>
      </c>
    </row>
    <row r="8766" spans="3:5" ht="75" x14ac:dyDescent="0.25">
      <c r="C8766" s="15">
        <v>137497</v>
      </c>
      <c r="D8766" s="4" t="s">
        <v>8757</v>
      </c>
      <c r="E8766" s="4" t="str">
        <f>HYPERLINK("https://app.crepc.sk/?fn=detailBiblioForm&amp;sid=981A08F934759E43ED2737079B")</f>
        <v>https://app.crepc.sk/?fn=detailBiblioForm&amp;sid=981A08F934759E43ED2737079B</v>
      </c>
    </row>
    <row r="8767" spans="3:5" ht="45" x14ac:dyDescent="0.25">
      <c r="C8767" s="15">
        <v>249859</v>
      </c>
      <c r="D8767" s="4" t="s">
        <v>8758</v>
      </c>
      <c r="E8767" s="4" t="str">
        <f>HYPERLINK("https://app.crepc.sk/?fn=detailBiblioForm&amp;sid=1B34BF6143476B6711008EFAB0")</f>
        <v>https://app.crepc.sk/?fn=detailBiblioForm&amp;sid=1B34BF6143476B6711008EFAB0</v>
      </c>
    </row>
    <row r="8768" spans="3:5" ht="75" x14ac:dyDescent="0.25">
      <c r="C8768" s="15">
        <v>449256</v>
      </c>
      <c r="D8768" s="4" t="s">
        <v>8759</v>
      </c>
      <c r="E8768" s="4" t="str">
        <f>HYPERLINK("https://app.crepc.sk/?fn=detailBiblioForm&amp;sid=5C45D95CD20878643EB80C2A32")</f>
        <v>https://app.crepc.sk/?fn=detailBiblioForm&amp;sid=5C45D95CD20878643EB80C2A32</v>
      </c>
    </row>
    <row r="8769" spans="3:5" ht="60" x14ac:dyDescent="0.25">
      <c r="C8769" s="15">
        <v>146240</v>
      </c>
      <c r="D8769" s="4" t="s">
        <v>8760</v>
      </c>
      <c r="E8769" s="4" t="str">
        <f>HYPERLINK("https://app.crepc.sk/?fn=detailBiblioForm&amp;sid=0847CB681108BF2ACE625F0E3C")</f>
        <v>https://app.crepc.sk/?fn=detailBiblioForm&amp;sid=0847CB681108BF2ACE625F0E3C</v>
      </c>
    </row>
    <row r="8770" spans="3:5" ht="75" x14ac:dyDescent="0.25">
      <c r="C8770" s="15">
        <v>83175</v>
      </c>
      <c r="D8770" s="4" t="s">
        <v>8761</v>
      </c>
      <c r="E8770" s="4" t="str">
        <f>HYPERLINK("https://app.crepc.sk/?fn=detailBiblioForm&amp;sid=5B97E83A032EEAFDD1B535D8")</f>
        <v>https://app.crepc.sk/?fn=detailBiblioForm&amp;sid=5B97E83A032EEAFDD1B535D8</v>
      </c>
    </row>
    <row r="8771" spans="3:5" ht="60" x14ac:dyDescent="0.25">
      <c r="C8771" s="15">
        <v>59280</v>
      </c>
      <c r="D8771" s="4" t="s">
        <v>8762</v>
      </c>
      <c r="E8771" s="4" t="str">
        <f>HYPERLINK("https://app.crepc.sk/?fn=detailBiblioForm&amp;sid=072D38A803E963FF43717C8B")</f>
        <v>https://app.crepc.sk/?fn=detailBiblioForm&amp;sid=072D38A803E963FF43717C8B</v>
      </c>
    </row>
    <row r="8772" spans="3:5" ht="90" x14ac:dyDescent="0.25">
      <c r="C8772" s="15">
        <v>175965</v>
      </c>
      <c r="D8772" s="4" t="s">
        <v>8763</v>
      </c>
      <c r="E8772" s="4" t="str">
        <f>HYPERLINK("https://app.crepc.sk/?fn=detailBiblioForm&amp;sid=4AD13E03A40DD9FCBE3A1074EC")</f>
        <v>https://app.crepc.sk/?fn=detailBiblioForm&amp;sid=4AD13E03A40DD9FCBE3A1074EC</v>
      </c>
    </row>
    <row r="8773" spans="3:5" ht="60" x14ac:dyDescent="0.25">
      <c r="C8773" s="15">
        <v>164934</v>
      </c>
      <c r="D8773" s="4" t="s">
        <v>8764</v>
      </c>
      <c r="E8773" s="4" t="str">
        <f>HYPERLINK("https://app.crepc.sk/?fn=detailBiblioForm&amp;sid=81B8C7E3C61A011F123D5B0DE1")</f>
        <v>https://app.crepc.sk/?fn=detailBiblioForm&amp;sid=81B8C7E3C61A011F123D5B0DE1</v>
      </c>
    </row>
    <row r="8774" spans="3:5" ht="75" x14ac:dyDescent="0.25">
      <c r="C8774" s="15">
        <v>414847</v>
      </c>
      <c r="D8774" s="4" t="s">
        <v>8765</v>
      </c>
      <c r="E8774" s="4" t="str">
        <f>HYPERLINK("https://app.crepc.sk/?fn=detailBiblioForm&amp;sid=AC8D3350B73BAD6B5D659603B1")</f>
        <v>https://app.crepc.sk/?fn=detailBiblioForm&amp;sid=AC8D3350B73BAD6B5D659603B1</v>
      </c>
    </row>
    <row r="8775" spans="3:5" ht="75" x14ac:dyDescent="0.25">
      <c r="C8775" s="15">
        <v>75148</v>
      </c>
      <c r="D8775" s="4" t="s">
        <v>8766</v>
      </c>
      <c r="E8775" s="4" t="str">
        <f>HYPERLINK("https://app.crepc.sk/?fn=detailBiblioForm&amp;sid=C7F49972AD22627425F4A59A")</f>
        <v>https://app.crepc.sk/?fn=detailBiblioForm&amp;sid=C7F49972AD22627425F4A59A</v>
      </c>
    </row>
    <row r="8776" spans="3:5" ht="45" x14ac:dyDescent="0.25">
      <c r="C8776" s="15">
        <v>183726</v>
      </c>
      <c r="D8776" s="4" t="s">
        <v>8767</v>
      </c>
      <c r="E8776" s="4" t="str">
        <f>HYPERLINK("https://app.crepc.sk/?fn=detailBiblioForm&amp;sid=8DA5F85D14F67EBBA8DA8BC081")</f>
        <v>https://app.crepc.sk/?fn=detailBiblioForm&amp;sid=8DA5F85D14F67EBBA8DA8BC081</v>
      </c>
    </row>
    <row r="8777" spans="3:5" ht="45" x14ac:dyDescent="0.25">
      <c r="C8777" s="15">
        <v>183749</v>
      </c>
      <c r="D8777" s="4" t="s">
        <v>8768</v>
      </c>
      <c r="E8777" s="4" t="str">
        <f>HYPERLINK("https://app.crepc.sk/?fn=detailBiblioForm&amp;sid=8DA5F85D14F67EBBAED58BC081")</f>
        <v>https://app.crepc.sk/?fn=detailBiblioForm&amp;sid=8DA5F85D14F67EBBAED58BC081</v>
      </c>
    </row>
    <row r="8778" spans="3:5" ht="75" x14ac:dyDescent="0.25">
      <c r="C8778" s="15">
        <v>154831</v>
      </c>
      <c r="D8778" s="4" t="s">
        <v>8769</v>
      </c>
      <c r="E8778" s="4" t="str">
        <f>HYPERLINK("https://app.crepc.sk/?fn=detailBiblioForm&amp;sid=2025E333BF3D880573EB78778C")</f>
        <v>https://app.crepc.sk/?fn=detailBiblioForm&amp;sid=2025E333BF3D880573EB78778C</v>
      </c>
    </row>
    <row r="8779" spans="3:5" ht="60" x14ac:dyDescent="0.25">
      <c r="C8779" s="15">
        <v>86390</v>
      </c>
      <c r="D8779" s="4" t="s">
        <v>8770</v>
      </c>
      <c r="E8779" s="4" t="str">
        <f>HYPERLINK("https://app.crepc.sk/?fn=detailBiblioForm&amp;sid=D99AF5CFA09EC18339071ABB")</f>
        <v>https://app.crepc.sk/?fn=detailBiblioForm&amp;sid=D99AF5CFA09EC18339071ABB</v>
      </c>
    </row>
    <row r="8780" spans="3:5" ht="45" x14ac:dyDescent="0.25">
      <c r="C8780" s="15">
        <v>189902</v>
      </c>
      <c r="D8780" s="4" t="s">
        <v>8771</v>
      </c>
      <c r="E8780" s="4" t="str">
        <f>HYPERLINK("https://app.crepc.sk/?fn=detailBiblioForm&amp;sid=363BD46AAC15F7F45A72367834")</f>
        <v>https://app.crepc.sk/?fn=detailBiblioForm&amp;sid=363BD46AAC15F7F45A72367834</v>
      </c>
    </row>
    <row r="8781" spans="3:5" ht="75" x14ac:dyDescent="0.25">
      <c r="C8781" s="15">
        <v>118702</v>
      </c>
      <c r="D8781" s="4" t="s">
        <v>8772</v>
      </c>
      <c r="E8781" s="4" t="str">
        <f>HYPERLINK("https://app.crepc.sk/?fn=detailBiblioForm&amp;sid=46EC41480997D7F100BCC7D544")</f>
        <v>https://app.crepc.sk/?fn=detailBiblioForm&amp;sid=46EC41480997D7F100BCC7D544</v>
      </c>
    </row>
    <row r="8782" spans="3:5" ht="45" x14ac:dyDescent="0.25">
      <c r="C8782" s="15">
        <v>71312</v>
      </c>
      <c r="D8782" s="4" t="s">
        <v>8773</v>
      </c>
      <c r="E8782" s="4" t="str">
        <f>HYPERLINK("https://app.crepc.sk/?fn=detailBiblioForm&amp;sid=F998A4FD7FD221C81DB9075A")</f>
        <v>https://app.crepc.sk/?fn=detailBiblioForm&amp;sid=F998A4FD7FD221C81DB9075A</v>
      </c>
    </row>
    <row r="8783" spans="3:5" ht="45" x14ac:dyDescent="0.25">
      <c r="C8783" s="15">
        <v>78896</v>
      </c>
      <c r="D8783" s="4" t="s">
        <v>8774</v>
      </c>
      <c r="E8783" s="4" t="str">
        <f>HYPERLINK("https://app.crepc.sk/?fn=detailBiblioForm&amp;sid=25FDCA8BA29934E60FA308B9")</f>
        <v>https://app.crepc.sk/?fn=detailBiblioForm&amp;sid=25FDCA8BA29934E60FA308B9</v>
      </c>
    </row>
    <row r="8784" spans="3:5" ht="60" x14ac:dyDescent="0.25">
      <c r="C8784" s="15">
        <v>152021</v>
      </c>
      <c r="D8784" s="4" t="s">
        <v>8775</v>
      </c>
      <c r="E8784" s="4" t="str">
        <f>HYPERLINK("https://app.crepc.sk/?fn=detailBiblioForm&amp;sid=EE347D3FB9176FA23E6B0F6DAD")</f>
        <v>https://app.crepc.sk/?fn=detailBiblioForm&amp;sid=EE347D3FB9176FA23E6B0F6DAD</v>
      </c>
    </row>
    <row r="8785" spans="1:5" ht="60" x14ac:dyDescent="0.25">
      <c r="C8785" s="15">
        <v>223162</v>
      </c>
      <c r="D8785" s="4" t="s">
        <v>8776</v>
      </c>
      <c r="E8785" s="4" t="str">
        <f>HYPERLINK("https://app.crepc.sk/?fn=detailBiblioForm&amp;sid=3CCA95DFCBDFD550326CFB1A00")</f>
        <v>https://app.crepc.sk/?fn=detailBiblioForm&amp;sid=3CCA95DFCBDFD550326CFB1A00</v>
      </c>
    </row>
    <row r="8786" spans="1:5" ht="45" x14ac:dyDescent="0.25">
      <c r="C8786" s="15">
        <v>166106</v>
      </c>
      <c r="D8786" s="4" t="s">
        <v>8777</v>
      </c>
      <c r="E8786" s="4" t="str">
        <f>HYPERLINK("https://app.crepc.sk/?fn=detailBiblioForm&amp;sid=42FF770CB0BE777975F0474404")</f>
        <v>https://app.crepc.sk/?fn=detailBiblioForm&amp;sid=42FF770CB0BE777975F0474404</v>
      </c>
    </row>
    <row r="8787" spans="1:5" ht="60" x14ac:dyDescent="0.25">
      <c r="C8787" s="15">
        <v>56517</v>
      </c>
      <c r="D8787" s="4" t="s">
        <v>8778</v>
      </c>
      <c r="E8787" s="4" t="str">
        <f>HYPERLINK("https://app.crepc.sk/?fn=detailBiblioForm&amp;sid=F4AA6FA09434E6686A8553C8")</f>
        <v>https://app.crepc.sk/?fn=detailBiblioForm&amp;sid=F4AA6FA09434E6686A8553C8</v>
      </c>
    </row>
    <row r="8788" spans="1:5" ht="60" x14ac:dyDescent="0.25">
      <c r="C8788" s="15">
        <v>87616</v>
      </c>
      <c r="D8788" s="4" t="s">
        <v>8779</v>
      </c>
      <c r="E8788" s="4" t="str">
        <f>HYPERLINK("https://app.crepc.sk/?fn=detailBiblioForm&amp;sid=583189D8DD80BCEBAE0BB7EA")</f>
        <v>https://app.crepc.sk/?fn=detailBiblioForm&amp;sid=583189D8DD80BCEBAE0BB7EA</v>
      </c>
    </row>
    <row r="8789" spans="1:5" ht="60" x14ac:dyDescent="0.25">
      <c r="C8789" s="15">
        <v>95208</v>
      </c>
      <c r="D8789" s="4" t="s">
        <v>8780</v>
      </c>
      <c r="E8789" s="4" t="str">
        <f>HYPERLINK("https://app.crepc.sk/?fn=detailBiblioForm&amp;sid=A9864FA0F3F13FB743BA3234")</f>
        <v>https://app.crepc.sk/?fn=detailBiblioForm&amp;sid=A9864FA0F3F13FB743BA3234</v>
      </c>
    </row>
    <row r="8790" spans="1:5" ht="60" x14ac:dyDescent="0.25">
      <c r="C8790" s="15">
        <v>215635</v>
      </c>
      <c r="D8790" s="4" t="s">
        <v>8781</v>
      </c>
      <c r="E8790" s="4" t="str">
        <f>HYPERLINK("https://app.crepc.sk/?fn=detailBiblioForm&amp;sid=71C258F70EEA1E8C3BFB0ED63E")</f>
        <v>https://app.crepc.sk/?fn=detailBiblioForm&amp;sid=71C258F70EEA1E8C3BFB0ED63E</v>
      </c>
    </row>
    <row r="8791" spans="1:5" ht="45" x14ac:dyDescent="0.25">
      <c r="C8791" s="15">
        <v>211494</v>
      </c>
      <c r="D8791" s="4" t="s">
        <v>8782</v>
      </c>
      <c r="E8791" s="4" t="str">
        <f>HYPERLINK("https://app.crepc.sk/?fn=detailBiblioForm&amp;sid=E68DA448349DA48E3B3CAC5BDB")</f>
        <v>https://app.crepc.sk/?fn=detailBiblioForm&amp;sid=E68DA448349DA48E3B3CAC5BDB</v>
      </c>
    </row>
    <row r="8792" spans="1:5" ht="45" x14ac:dyDescent="0.25">
      <c r="C8792" s="15">
        <v>438654</v>
      </c>
      <c r="D8792" s="4" t="s">
        <v>8783</v>
      </c>
      <c r="E8792" s="4" t="str">
        <f>HYPERLINK("https://app.crepc.sk/?fn=detailBiblioForm&amp;sid=C10B51E9E3EF1B1314ACE0F7D6")</f>
        <v>https://app.crepc.sk/?fn=detailBiblioForm&amp;sid=C10B51E9E3EF1B1314ACE0F7D6</v>
      </c>
    </row>
    <row r="8793" spans="1:5" ht="75" x14ac:dyDescent="0.25">
      <c r="C8793" s="15">
        <v>88118</v>
      </c>
      <c r="D8793" s="4" t="s">
        <v>8784</v>
      </c>
      <c r="E8793" s="4" t="str">
        <f>HYPERLINK("https://app.crepc.sk/?fn=detailBiblioForm&amp;sid=8558EB376AB5D3938D6D6F05")</f>
        <v>https://app.crepc.sk/?fn=detailBiblioForm&amp;sid=8558EB376AB5D3938D6D6F05</v>
      </c>
    </row>
    <row r="8794" spans="1:5" ht="45" x14ac:dyDescent="0.25">
      <c r="C8794" s="15">
        <v>86333</v>
      </c>
      <c r="D8794" s="4" t="s">
        <v>8785</v>
      </c>
      <c r="E8794" s="4" t="str">
        <f>HYPERLINK("https://app.crepc.sk/?fn=detailBiblioForm&amp;sid=CA04BFFD7A6C7A7898677ACF")</f>
        <v>https://app.crepc.sk/?fn=detailBiblioForm&amp;sid=CA04BFFD7A6C7A7898677ACF</v>
      </c>
    </row>
    <row r="8795" spans="1:5" ht="120" x14ac:dyDescent="0.25">
      <c r="C8795" s="15">
        <v>96496</v>
      </c>
      <c r="D8795" s="4" t="s">
        <v>7484</v>
      </c>
      <c r="E8795" s="4" t="str">
        <f>HYPERLINK("https://app.crepc.sk/?fn=detailBiblioForm&amp;sid=71C5AB3F9B5D4C376F12B4E7")</f>
        <v>https://app.crepc.sk/?fn=detailBiblioForm&amp;sid=71C5AB3F9B5D4C376F12B4E7</v>
      </c>
    </row>
    <row r="8796" spans="1:5" ht="105" x14ac:dyDescent="0.25">
      <c r="C8796" s="15">
        <v>238159</v>
      </c>
      <c r="D8796" s="4" t="s">
        <v>7495</v>
      </c>
      <c r="E8796" s="4" t="str">
        <f>HYPERLINK("https://app.crepc.sk/?fn=detailBiblioForm&amp;sid=31DDB10072A0539E778BE783C0")</f>
        <v>https://app.crepc.sk/?fn=detailBiblioForm&amp;sid=31DDB10072A0539E778BE783C0</v>
      </c>
    </row>
    <row r="8797" spans="1:5" ht="60" x14ac:dyDescent="0.25">
      <c r="C8797" s="15">
        <v>201950</v>
      </c>
      <c r="D8797" s="4" t="s">
        <v>8786</v>
      </c>
      <c r="E8797" s="4" t="str">
        <f>HYPERLINK("https://app.crepc.sk/?fn=detailBiblioForm&amp;sid=097AA347FB831611CA71667A7F")</f>
        <v>https://app.crepc.sk/?fn=detailBiblioForm&amp;sid=097AA347FB831611CA71667A7F</v>
      </c>
    </row>
    <row r="8798" spans="1:5" ht="45" x14ac:dyDescent="0.25">
      <c r="C8798" s="15">
        <v>143390</v>
      </c>
      <c r="D8798" s="4" t="s">
        <v>8787</v>
      </c>
      <c r="E8798" s="4" t="str">
        <f>HYPERLINK("https://app.crepc.sk/?fn=detailBiblioForm&amp;sid=20F6D125F7A47F553A98D455D1")</f>
        <v>https://app.crepc.sk/?fn=detailBiblioForm&amp;sid=20F6D125F7A47F553A98D455D1</v>
      </c>
    </row>
    <row r="8799" spans="1:5" ht="75" x14ac:dyDescent="0.25">
      <c r="C8799" s="15">
        <v>120376</v>
      </c>
      <c r="D8799" s="4" t="s">
        <v>8788</v>
      </c>
      <c r="E8799" s="4" t="str">
        <f>HYPERLINK("https://app.crepc.sk/?fn=detailBiblioForm&amp;sid=7C8EC80C674BD33D43AB6DBADF")</f>
        <v>https://app.crepc.sk/?fn=detailBiblioForm&amp;sid=7C8EC80C674BD33D43AB6DBADF</v>
      </c>
    </row>
    <row r="8800" spans="1:5" x14ac:dyDescent="0.25">
      <c r="A8800" s="4" t="s">
        <v>8789</v>
      </c>
      <c r="B8800" s="15">
        <v>17</v>
      </c>
    </row>
    <row r="8801" spans="3:5" ht="45" x14ac:dyDescent="0.25">
      <c r="C8801" s="15">
        <v>305451</v>
      </c>
      <c r="D8801" s="4" t="s">
        <v>8790</v>
      </c>
      <c r="E8801" s="4" t="str">
        <f>HYPERLINK("https://app.crepc.sk/?fn=detailBiblioForm&amp;sid=50A9D3A2C12B17EA351F40BDE0")</f>
        <v>https://app.crepc.sk/?fn=detailBiblioForm&amp;sid=50A9D3A2C12B17EA351F40BDE0</v>
      </c>
    </row>
    <row r="8802" spans="3:5" ht="45" x14ac:dyDescent="0.25">
      <c r="C8802" s="15">
        <v>419850</v>
      </c>
      <c r="D8802" s="4" t="s">
        <v>8791</v>
      </c>
      <c r="E8802" s="4" t="str">
        <f>HYPERLINK("https://app.crepc.sk/?fn=detailBiblioForm&amp;sid=66B6A7EC798AC7458686301019")</f>
        <v>https://app.crepc.sk/?fn=detailBiblioForm&amp;sid=66B6A7EC798AC7458686301019</v>
      </c>
    </row>
    <row r="8803" spans="3:5" ht="75" x14ac:dyDescent="0.25">
      <c r="C8803" s="15">
        <v>254534</v>
      </c>
      <c r="D8803" s="4" t="s">
        <v>8792</v>
      </c>
      <c r="E8803" s="4" t="str">
        <f>HYPERLINK("https://app.crepc.sk/?fn=detailBiblioForm&amp;sid=6A93279CD14837B1D28E865CD7")</f>
        <v>https://app.crepc.sk/?fn=detailBiblioForm&amp;sid=6A93279CD14837B1D28E865CD7</v>
      </c>
    </row>
    <row r="8804" spans="3:5" ht="75" x14ac:dyDescent="0.25">
      <c r="C8804" s="15">
        <v>246020</v>
      </c>
      <c r="D8804" s="4" t="s">
        <v>8793</v>
      </c>
      <c r="E8804" s="4" t="str">
        <f>HYPERLINK("https://app.crepc.sk/?fn=detailBiblioForm&amp;sid=9D4BC4CB00DF15A3C798C458AC")</f>
        <v>https://app.crepc.sk/?fn=detailBiblioForm&amp;sid=9D4BC4CB00DF15A3C798C458AC</v>
      </c>
    </row>
    <row r="8805" spans="3:5" ht="60" x14ac:dyDescent="0.25">
      <c r="C8805" s="15">
        <v>130762</v>
      </c>
      <c r="D8805" s="4" t="s">
        <v>8794</v>
      </c>
      <c r="E8805" s="4" t="str">
        <f>HYPERLINK("https://app.crepc.sk/?fn=detailBiblioForm&amp;sid=3113E0813724FF86397417A861")</f>
        <v>https://app.crepc.sk/?fn=detailBiblioForm&amp;sid=3113E0813724FF86397417A861</v>
      </c>
    </row>
    <row r="8806" spans="3:5" ht="45" x14ac:dyDescent="0.25">
      <c r="C8806" s="15">
        <v>100823</v>
      </c>
      <c r="D8806" s="4" t="s">
        <v>8795</v>
      </c>
      <c r="E8806" s="4" t="str">
        <f>HYPERLINK("https://app.crepc.sk/?fn=detailBiblioForm&amp;sid=C2DCC5E65C22781D3862D860DE")</f>
        <v>https://app.crepc.sk/?fn=detailBiblioForm&amp;sid=C2DCC5E65C22781D3862D860DE</v>
      </c>
    </row>
    <row r="8807" spans="3:5" ht="75" x14ac:dyDescent="0.25">
      <c r="C8807" s="15">
        <v>67421</v>
      </c>
      <c r="D8807" s="4" t="s">
        <v>8796</v>
      </c>
      <c r="E8807" s="4" t="str">
        <f>HYPERLINK("https://app.crepc.sk/?fn=detailBiblioForm&amp;sid=2BA416A304B432BBF3E3637D")</f>
        <v>https://app.crepc.sk/?fn=detailBiblioForm&amp;sid=2BA416A304B432BBF3E3637D</v>
      </c>
    </row>
    <row r="8808" spans="3:5" ht="75" x14ac:dyDescent="0.25">
      <c r="C8808" s="15">
        <v>123027</v>
      </c>
      <c r="D8808" s="4" t="s">
        <v>8797</v>
      </c>
      <c r="E8808" s="4" t="str">
        <f>HYPERLINK("https://app.crepc.sk/?fn=detailBiblioForm&amp;sid=2C489247B5D608FF5245A8A290")</f>
        <v>https://app.crepc.sk/?fn=detailBiblioForm&amp;sid=2C489247B5D608FF5245A8A290</v>
      </c>
    </row>
    <row r="8809" spans="3:5" ht="45" x14ac:dyDescent="0.25">
      <c r="C8809" s="15">
        <v>172554</v>
      </c>
      <c r="D8809" s="4" t="s">
        <v>8798</v>
      </c>
      <c r="E8809" s="4" t="str">
        <f>HYPERLINK("https://app.crepc.sk/?fn=detailBiblioForm&amp;sid=C15045651E1CB51B05E5221423")</f>
        <v>https://app.crepc.sk/?fn=detailBiblioForm&amp;sid=C15045651E1CB51B05E5221423</v>
      </c>
    </row>
    <row r="8810" spans="3:5" ht="45" x14ac:dyDescent="0.25">
      <c r="C8810" s="15">
        <v>307711</v>
      </c>
      <c r="D8810" s="4" t="s">
        <v>8799</v>
      </c>
      <c r="E8810" s="4" t="str">
        <f>HYPERLINK("https://app.crepc.sk/?fn=detailBiblioForm&amp;sid=D300494292311A148B099C5B89")</f>
        <v>https://app.crepc.sk/?fn=detailBiblioForm&amp;sid=D300494292311A148B099C5B89</v>
      </c>
    </row>
    <row r="8811" spans="3:5" ht="45" x14ac:dyDescent="0.25">
      <c r="C8811" s="15">
        <v>307709</v>
      </c>
      <c r="D8811" s="4" t="s">
        <v>8800</v>
      </c>
      <c r="E8811" s="4" t="str">
        <f>HYPERLINK("https://app.crepc.sk/?fn=detailBiblioForm&amp;sid=D300494292311A148A019C5B89")</f>
        <v>https://app.crepc.sk/?fn=detailBiblioForm&amp;sid=D300494292311A148A019C5B89</v>
      </c>
    </row>
    <row r="8812" spans="3:5" ht="90" x14ac:dyDescent="0.25">
      <c r="C8812" s="15">
        <v>307205</v>
      </c>
      <c r="D8812" s="4" t="s">
        <v>8801</v>
      </c>
      <c r="E8812" s="4" t="str">
        <f>HYPERLINK("https://app.crepc.sk/?fn=detailBiblioForm&amp;sid=D6D1207F88D43CD720580D809F")</f>
        <v>https://app.crepc.sk/?fn=detailBiblioForm&amp;sid=D6D1207F88D43CD720580D809F</v>
      </c>
    </row>
    <row r="8813" spans="3:5" ht="75" x14ac:dyDescent="0.25">
      <c r="C8813" s="15">
        <v>214189</v>
      </c>
      <c r="D8813" s="4" t="s">
        <v>8802</v>
      </c>
      <c r="E8813" s="4" t="str">
        <f>HYPERLINK("https://app.crepc.sk/?fn=detailBiblioForm&amp;sid=0BE591AD4FD969D74053DA6597")</f>
        <v>https://app.crepc.sk/?fn=detailBiblioForm&amp;sid=0BE591AD4FD969D74053DA6597</v>
      </c>
    </row>
    <row r="8814" spans="3:5" ht="60" x14ac:dyDescent="0.25">
      <c r="C8814" s="15">
        <v>440823</v>
      </c>
      <c r="D8814" s="4" t="s">
        <v>8803</v>
      </c>
      <c r="E8814" s="4" t="str">
        <f>HYPERLINK("https://app.crepc.sk/?fn=detailBiblioForm&amp;sid=3884B1408591AB8AA907FAA661")</f>
        <v>https://app.crepc.sk/?fn=detailBiblioForm&amp;sid=3884B1408591AB8AA907FAA661</v>
      </c>
    </row>
    <row r="8815" spans="3:5" ht="60" x14ac:dyDescent="0.25">
      <c r="C8815" s="15">
        <v>440814</v>
      </c>
      <c r="D8815" s="4" t="s">
        <v>8803</v>
      </c>
      <c r="E8815" s="4" t="str">
        <f>HYPERLINK("https://app.crepc.sk/?fn=detailBiblioForm&amp;sid=3884B1408591AB8AAA00FAA661")</f>
        <v>https://app.crepc.sk/?fn=detailBiblioForm&amp;sid=3884B1408591AB8AAA00FAA661</v>
      </c>
    </row>
    <row r="8816" spans="3:5" ht="45" x14ac:dyDescent="0.25">
      <c r="C8816" s="15">
        <v>440831</v>
      </c>
      <c r="D8816" s="4" t="s">
        <v>8804</v>
      </c>
      <c r="E8816" s="4" t="str">
        <f>HYPERLINK("https://app.crepc.sk/?fn=detailBiblioForm&amp;sid=3884B1408591AB8AA805FAA661")</f>
        <v>https://app.crepc.sk/?fn=detailBiblioForm&amp;sid=3884B1408591AB8AA805FAA661</v>
      </c>
    </row>
    <row r="8817" spans="1:5" ht="45" x14ac:dyDescent="0.25">
      <c r="C8817" s="15">
        <v>440828</v>
      </c>
      <c r="D8817" s="4" t="s">
        <v>8805</v>
      </c>
      <c r="E8817" s="4" t="str">
        <f>HYPERLINK("https://app.crepc.sk/?fn=detailBiblioForm&amp;sid=3884B1408591AB8AA90CFAA661")</f>
        <v>https://app.crepc.sk/?fn=detailBiblioForm&amp;sid=3884B1408591AB8AA90CFAA661</v>
      </c>
    </row>
    <row r="8818" spans="1:5" ht="30" x14ac:dyDescent="0.25">
      <c r="A8818" s="4" t="s">
        <v>8806</v>
      </c>
      <c r="B8818" s="15">
        <v>123</v>
      </c>
    </row>
    <row r="8819" spans="1:5" ht="45" x14ac:dyDescent="0.25">
      <c r="C8819" s="15">
        <v>58104</v>
      </c>
      <c r="D8819" s="4" t="s">
        <v>8807</v>
      </c>
      <c r="E8819" s="4" t="str">
        <f>HYPERLINK("https://app.crepc.sk/?fn=detailBiblioForm&amp;sid=1D9B0497443A03539EF29C80")</f>
        <v>https://app.crepc.sk/?fn=detailBiblioForm&amp;sid=1D9B0497443A03539EF29C80</v>
      </c>
    </row>
    <row r="8820" spans="1:5" ht="30" x14ac:dyDescent="0.25">
      <c r="C8820" s="15">
        <v>58103</v>
      </c>
      <c r="D8820" s="4" t="s">
        <v>8808</v>
      </c>
      <c r="E8820" s="4" t="str">
        <f>HYPERLINK("https://app.crepc.sk/?fn=detailBiblioForm&amp;sid=1D9B0497443A035399F29C80")</f>
        <v>https://app.crepc.sk/?fn=detailBiblioForm&amp;sid=1D9B0497443A035399F29C80</v>
      </c>
    </row>
    <row r="8821" spans="1:5" ht="45" x14ac:dyDescent="0.25">
      <c r="C8821" s="15">
        <v>100828</v>
      </c>
      <c r="D8821" s="4" t="s">
        <v>8809</v>
      </c>
      <c r="E8821" s="4" t="str">
        <f>HYPERLINK("https://app.crepc.sk/?fn=detailBiblioForm&amp;sid=C2DCC5E65C22781D3869D860DE")</f>
        <v>https://app.crepc.sk/?fn=detailBiblioForm&amp;sid=C2DCC5E65C22781D3869D860DE</v>
      </c>
    </row>
    <row r="8822" spans="1:5" ht="30" x14ac:dyDescent="0.25">
      <c r="C8822" s="15">
        <v>55842</v>
      </c>
      <c r="D8822" s="4" t="s">
        <v>8810</v>
      </c>
      <c r="E8822" s="4" t="str">
        <f>HYPERLINK("https://app.crepc.sk/?fn=detailBiblioForm&amp;sid=6E430673337DEB865D642C16")</f>
        <v>https://app.crepc.sk/?fn=detailBiblioForm&amp;sid=6E430673337DEB865D642C16</v>
      </c>
    </row>
    <row r="8823" spans="1:5" ht="45" x14ac:dyDescent="0.25">
      <c r="C8823" s="15">
        <v>316735</v>
      </c>
      <c r="D8823" s="4" t="s">
        <v>8811</v>
      </c>
      <c r="E8823" s="4" t="str">
        <f>HYPERLINK("https://app.crepc.sk/?fn=detailBiblioForm&amp;sid=31B74E2C3D2F4979E99FC5B881")</f>
        <v>https://app.crepc.sk/?fn=detailBiblioForm&amp;sid=31B74E2C3D2F4979E99FC5B881</v>
      </c>
    </row>
    <row r="8824" spans="1:5" ht="45" x14ac:dyDescent="0.25">
      <c r="C8824" s="15">
        <v>98217</v>
      </c>
      <c r="D8824" s="4" t="s">
        <v>8812</v>
      </c>
      <c r="E8824" s="4" t="str">
        <f>HYPERLINK("https://app.crepc.sk/?fn=detailBiblioForm&amp;sid=D368EDEC04DA62B8C3225FA0")</f>
        <v>https://app.crepc.sk/?fn=detailBiblioForm&amp;sid=D368EDEC04DA62B8C3225FA0</v>
      </c>
    </row>
    <row r="8825" spans="1:5" ht="45" x14ac:dyDescent="0.25">
      <c r="C8825" s="15">
        <v>145993</v>
      </c>
      <c r="D8825" s="4" t="s">
        <v>8813</v>
      </c>
      <c r="E8825" s="4" t="str">
        <f>HYPERLINK("https://app.crepc.sk/?fn=detailBiblioForm&amp;sid=05297BE28FB73DDACEC3AC146C")</f>
        <v>https://app.crepc.sk/?fn=detailBiblioForm&amp;sid=05297BE28FB73DDACEC3AC146C</v>
      </c>
    </row>
    <row r="8826" spans="1:5" ht="45" x14ac:dyDescent="0.25">
      <c r="C8826" s="15">
        <v>107588</v>
      </c>
      <c r="D8826" s="4" t="s">
        <v>8814</v>
      </c>
      <c r="E8826" s="4" t="str">
        <f>HYPERLINK("https://app.crepc.sk/?fn=detailBiblioForm&amp;sid=CF1246C672FE53AF719AAEE68C")</f>
        <v>https://app.crepc.sk/?fn=detailBiblioForm&amp;sid=CF1246C672FE53AF719AAEE68C</v>
      </c>
    </row>
    <row r="8827" spans="1:5" ht="45" x14ac:dyDescent="0.25">
      <c r="C8827" s="15">
        <v>175628</v>
      </c>
      <c r="D8827" s="4" t="s">
        <v>8815</v>
      </c>
      <c r="E8827" s="4" t="str">
        <f>HYPERLINK("https://app.crepc.sk/?fn=detailBiblioForm&amp;sid=BF3D9176E80E1FB67CB74047B2")</f>
        <v>https://app.crepc.sk/?fn=detailBiblioForm&amp;sid=BF3D9176E80E1FB67CB74047B2</v>
      </c>
    </row>
    <row r="8828" spans="1:5" ht="45" x14ac:dyDescent="0.25">
      <c r="C8828" s="15">
        <v>153757</v>
      </c>
      <c r="D8828" s="4" t="s">
        <v>8816</v>
      </c>
      <c r="E8828" s="4" t="str">
        <f>HYPERLINK("https://app.crepc.sk/?fn=detailBiblioForm&amp;sid=85D30AFD358849054E9AD2583A")</f>
        <v>https://app.crepc.sk/?fn=detailBiblioForm&amp;sid=85D30AFD358849054E9AD2583A</v>
      </c>
    </row>
    <row r="8829" spans="1:5" ht="60" x14ac:dyDescent="0.25">
      <c r="C8829" s="15">
        <v>59730</v>
      </c>
      <c r="D8829" s="4" t="s">
        <v>8817</v>
      </c>
      <c r="E8829" s="4" t="str">
        <f>HYPERLINK("https://app.crepc.sk/?fn=detailBiblioForm&amp;sid=0E89FE4ED9F41D2F3C907C39")</f>
        <v>https://app.crepc.sk/?fn=detailBiblioForm&amp;sid=0E89FE4ED9F41D2F3C907C39</v>
      </c>
    </row>
    <row r="8830" spans="1:5" ht="60" x14ac:dyDescent="0.25">
      <c r="C8830" s="15">
        <v>59734</v>
      </c>
      <c r="D8830" s="4" t="s">
        <v>8818</v>
      </c>
      <c r="E8830" s="4" t="str">
        <f>HYPERLINK("https://app.crepc.sk/?fn=detailBiblioForm&amp;sid=0E89FE4ED9F41D2F38907C39")</f>
        <v>https://app.crepc.sk/?fn=detailBiblioForm&amp;sid=0E89FE4ED9F41D2F38907C39</v>
      </c>
    </row>
    <row r="8831" spans="1:5" ht="60" x14ac:dyDescent="0.25">
      <c r="C8831" s="15">
        <v>59724</v>
      </c>
      <c r="D8831" s="4" t="s">
        <v>8819</v>
      </c>
      <c r="E8831" s="4" t="str">
        <f>HYPERLINK("https://app.crepc.sk/?fn=detailBiblioForm&amp;sid=DF3E154E118934031AE85FB9")</f>
        <v>https://app.crepc.sk/?fn=detailBiblioForm&amp;sid=DF3E154E118934031AE85FB9</v>
      </c>
    </row>
    <row r="8832" spans="1:5" ht="30" x14ac:dyDescent="0.25">
      <c r="C8832" s="15">
        <v>58106</v>
      </c>
      <c r="D8832" s="4" t="s">
        <v>8820</v>
      </c>
      <c r="E8832" s="4" t="str">
        <f>HYPERLINK("https://app.crepc.sk/?fn=detailBiblioForm&amp;sid=1D9B0497443A03539CF29C80")</f>
        <v>https://app.crepc.sk/?fn=detailBiblioForm&amp;sid=1D9B0497443A03539CF29C80</v>
      </c>
    </row>
    <row r="8833" spans="3:5" ht="45" x14ac:dyDescent="0.25">
      <c r="C8833" s="15">
        <v>182420</v>
      </c>
      <c r="D8833" s="4" t="s">
        <v>8821</v>
      </c>
      <c r="E8833" s="4" t="str">
        <f>HYPERLINK("https://app.crepc.sk/?fn=detailBiblioForm&amp;sid=4F9CB80EDA44B4B66F09506F6D")</f>
        <v>https://app.crepc.sk/?fn=detailBiblioForm&amp;sid=4F9CB80EDA44B4B66F09506F6D</v>
      </c>
    </row>
    <row r="8834" spans="3:5" ht="30" x14ac:dyDescent="0.25">
      <c r="C8834" s="15">
        <v>82476</v>
      </c>
      <c r="D8834" s="4" t="s">
        <v>8822</v>
      </c>
      <c r="E8834" s="4" t="str">
        <f>HYPERLINK("https://app.crepc.sk/?fn=detailBiblioForm&amp;sid=2A2BE4031B1F8D68764534AA")</f>
        <v>https://app.crepc.sk/?fn=detailBiblioForm&amp;sid=2A2BE4031B1F8D68764534AA</v>
      </c>
    </row>
    <row r="8835" spans="3:5" ht="30" x14ac:dyDescent="0.25">
      <c r="C8835" s="15">
        <v>57970</v>
      </c>
      <c r="D8835" s="4" t="s">
        <v>8823</v>
      </c>
      <c r="E8835" s="4" t="str">
        <f>HYPERLINK("https://app.crepc.sk/?fn=detailBiblioForm&amp;sid=5252CCBFE40F27A4565D0E57")</f>
        <v>https://app.crepc.sk/?fn=detailBiblioForm&amp;sid=5252CCBFE40F27A4565D0E57</v>
      </c>
    </row>
    <row r="8836" spans="3:5" ht="90" x14ac:dyDescent="0.25">
      <c r="C8836" s="15">
        <v>448416</v>
      </c>
      <c r="D8836" s="4" t="s">
        <v>8824</v>
      </c>
      <c r="E8836" s="4" t="str">
        <f>HYPERLINK("https://app.crepc.sk/?fn=detailBiblioForm&amp;sid=8F7BD044D3EF6CCC5722597E25")</f>
        <v>https://app.crepc.sk/?fn=detailBiblioForm&amp;sid=8F7BD044D3EF6CCC5722597E25</v>
      </c>
    </row>
    <row r="8837" spans="3:5" ht="60" x14ac:dyDescent="0.25">
      <c r="C8837" s="15">
        <v>253045</v>
      </c>
      <c r="D8837" s="4" t="s">
        <v>8825</v>
      </c>
      <c r="E8837" s="4" t="str">
        <f>HYPERLINK("https://app.crepc.sk/?fn=detailBiblioForm&amp;sid=3296DC5FE4977ADD232C194F74")</f>
        <v>https://app.crepc.sk/?fn=detailBiblioForm&amp;sid=3296DC5FE4977ADD232C194F74</v>
      </c>
    </row>
    <row r="8838" spans="3:5" ht="45" x14ac:dyDescent="0.25">
      <c r="C8838" s="15">
        <v>175643</v>
      </c>
      <c r="D8838" s="4" t="s">
        <v>8826</v>
      </c>
      <c r="E8838" s="4" t="str">
        <f>HYPERLINK("https://app.crepc.sk/?fn=detailBiblioForm&amp;sid=BF3D9176E80E1FB67ABC4047B2")</f>
        <v>https://app.crepc.sk/?fn=detailBiblioForm&amp;sid=BF3D9176E80E1FB67ABC4047B2</v>
      </c>
    </row>
    <row r="8839" spans="3:5" ht="45" x14ac:dyDescent="0.25">
      <c r="C8839" s="15">
        <v>316733</v>
      </c>
      <c r="D8839" s="4" t="s">
        <v>8827</v>
      </c>
      <c r="E8839" s="4" t="str">
        <f>HYPERLINK("https://app.crepc.sk/?fn=detailBiblioForm&amp;sid=31B74E2C3D2F4979E999C5B881")</f>
        <v>https://app.crepc.sk/?fn=detailBiblioForm&amp;sid=31B74E2C3D2F4979E999C5B881</v>
      </c>
    </row>
    <row r="8840" spans="3:5" ht="75" x14ac:dyDescent="0.25">
      <c r="C8840" s="15">
        <v>51237</v>
      </c>
      <c r="D8840" s="4" t="s">
        <v>8828</v>
      </c>
      <c r="E8840" s="4" t="str">
        <f>HYPERLINK("https://app.crepc.sk/?fn=detailBiblioForm&amp;sid=C2C5387F66C91EC29B72BCE3")</f>
        <v>https://app.crepc.sk/?fn=detailBiblioForm&amp;sid=C2C5387F66C91EC29B72BCE3</v>
      </c>
    </row>
    <row r="8841" spans="3:5" ht="30" x14ac:dyDescent="0.25">
      <c r="C8841" s="15">
        <v>98248</v>
      </c>
      <c r="D8841" s="4" t="s">
        <v>8829</v>
      </c>
      <c r="E8841" s="4" t="str">
        <f>HYPERLINK("https://app.crepc.sk/?fn=detailBiblioForm&amp;sid=5B50FB7D0D7837505CBFC0B8")</f>
        <v>https://app.crepc.sk/?fn=detailBiblioForm&amp;sid=5B50FB7D0D7837505CBFC0B8</v>
      </c>
    </row>
    <row r="8842" spans="3:5" ht="90" x14ac:dyDescent="0.25">
      <c r="C8842" s="15">
        <v>79611</v>
      </c>
      <c r="D8842" s="4" t="s">
        <v>8830</v>
      </c>
      <c r="E8842" s="4" t="str">
        <f>HYPERLINK("https://app.crepc.sk/?fn=detailBiblioForm&amp;sid=A93CD12E05BD8E55C5B631BB")</f>
        <v>https://app.crepc.sk/?fn=detailBiblioForm&amp;sid=A93CD12E05BD8E55C5B631BB</v>
      </c>
    </row>
    <row r="8843" spans="3:5" ht="45" x14ac:dyDescent="0.25">
      <c r="C8843" s="15">
        <v>152049</v>
      </c>
      <c r="D8843" s="4" t="s">
        <v>8831</v>
      </c>
      <c r="E8843" s="4" t="str">
        <f>HYPERLINK("https://app.crepc.sk/?fn=detailBiblioForm&amp;sid=EE347D3FB9176FA238630F6DAD")</f>
        <v>https://app.crepc.sk/?fn=detailBiblioForm&amp;sid=EE347D3FB9176FA238630F6DAD</v>
      </c>
    </row>
    <row r="8844" spans="3:5" ht="45" x14ac:dyDescent="0.25">
      <c r="C8844" s="15">
        <v>182416</v>
      </c>
      <c r="D8844" s="4" t="s">
        <v>8832</v>
      </c>
      <c r="E8844" s="4" t="str">
        <f>HYPERLINK("https://app.crepc.sk/?fn=detailBiblioForm&amp;sid=4F9CB80EDA44B4B66C0F506F6D")</f>
        <v>https://app.crepc.sk/?fn=detailBiblioForm&amp;sid=4F9CB80EDA44B4B66C0F506F6D</v>
      </c>
    </row>
    <row r="8845" spans="3:5" ht="30" x14ac:dyDescent="0.25">
      <c r="C8845" s="15">
        <v>57971</v>
      </c>
      <c r="D8845" s="4" t="s">
        <v>8833</v>
      </c>
      <c r="E8845" s="4" t="str">
        <f>HYPERLINK("https://app.crepc.sk/?fn=detailBiblioForm&amp;sid=5252CCBFE40F27A4575D0E57")</f>
        <v>https://app.crepc.sk/?fn=detailBiblioForm&amp;sid=5252CCBFE40F27A4575D0E57</v>
      </c>
    </row>
    <row r="8846" spans="3:5" ht="30" x14ac:dyDescent="0.25">
      <c r="C8846" s="15">
        <v>57961</v>
      </c>
      <c r="D8846" s="4" t="s">
        <v>8834</v>
      </c>
      <c r="E8846" s="4" t="str">
        <f>HYPERLINK("https://app.crepc.sk/?fn=detailBiblioForm&amp;sid=474B1AC44093325C3DB9D005")</f>
        <v>https://app.crepc.sk/?fn=detailBiblioForm&amp;sid=474B1AC44093325C3DB9D005</v>
      </c>
    </row>
    <row r="8847" spans="3:5" ht="45" x14ac:dyDescent="0.25">
      <c r="C8847" s="15">
        <v>175639</v>
      </c>
      <c r="D8847" s="4" t="s">
        <v>8835</v>
      </c>
      <c r="E8847" s="4" t="str">
        <f>HYPERLINK("https://app.crepc.sk/?fn=detailBiblioForm&amp;sid=BF3D9176E80E1FB67DB64047B2")</f>
        <v>https://app.crepc.sk/?fn=detailBiblioForm&amp;sid=BF3D9176E80E1FB67DB64047B2</v>
      </c>
    </row>
    <row r="8848" spans="3:5" ht="45" x14ac:dyDescent="0.25">
      <c r="C8848" s="15">
        <v>57161</v>
      </c>
      <c r="D8848" s="4" t="s">
        <v>8836</v>
      </c>
      <c r="E8848" s="4" t="str">
        <f>HYPERLINK("https://app.crepc.sk/?fn=detailBiblioForm&amp;sid=06A90E9C0AE29F12D3C96D5F")</f>
        <v>https://app.crepc.sk/?fn=detailBiblioForm&amp;sid=06A90E9C0AE29F12D3C96D5F</v>
      </c>
    </row>
    <row r="8849" spans="3:5" ht="45" x14ac:dyDescent="0.25">
      <c r="C8849" s="15">
        <v>129822</v>
      </c>
      <c r="D8849" s="4" t="s">
        <v>8837</v>
      </c>
      <c r="E8849" s="4" t="str">
        <f>HYPERLINK("https://app.crepc.sk/?fn=detailBiblioForm&amp;sid=52338B61C0045FC8DB5B54DEB2")</f>
        <v>https://app.crepc.sk/?fn=detailBiblioForm&amp;sid=52338B61C0045FC8DB5B54DEB2</v>
      </c>
    </row>
    <row r="8850" spans="3:5" ht="45" x14ac:dyDescent="0.25">
      <c r="C8850" s="15">
        <v>448517</v>
      </c>
      <c r="D8850" s="4" t="s">
        <v>8838</v>
      </c>
      <c r="E8850" s="4" t="str">
        <f>HYPERLINK("https://app.crepc.sk/?fn=detailBiblioForm&amp;sid=AB769D11A18D1299D7314F1DA7")</f>
        <v>https://app.crepc.sk/?fn=detailBiblioForm&amp;sid=AB769D11A18D1299D7314F1DA7</v>
      </c>
    </row>
    <row r="8851" spans="3:5" ht="45" x14ac:dyDescent="0.25">
      <c r="C8851" s="15">
        <v>114532</v>
      </c>
      <c r="D8851" s="4" t="s">
        <v>8839</v>
      </c>
      <c r="E8851" s="4" t="str">
        <f>HYPERLINK("https://app.crepc.sk/?fn=detailBiblioForm&amp;sid=A4D39FE022EC143D201CF44F4D")</f>
        <v>https://app.crepc.sk/?fn=detailBiblioForm&amp;sid=A4D39FE022EC143D201CF44F4D</v>
      </c>
    </row>
    <row r="8852" spans="3:5" ht="45" x14ac:dyDescent="0.25">
      <c r="C8852" s="15">
        <v>167507</v>
      </c>
      <c r="D8852" s="4" t="s">
        <v>8840</v>
      </c>
      <c r="E8852" s="4" t="str">
        <f>HYPERLINK("https://app.crepc.sk/?fn=detailBiblioForm&amp;sid=13B4E46DA990E2A2325A4F501F")</f>
        <v>https://app.crepc.sk/?fn=detailBiblioForm&amp;sid=13B4E46DA990E2A2325A4F501F</v>
      </c>
    </row>
    <row r="8853" spans="3:5" ht="45" x14ac:dyDescent="0.25">
      <c r="C8853" s="15">
        <v>167520</v>
      </c>
      <c r="D8853" s="4" t="s">
        <v>8841</v>
      </c>
      <c r="E8853" s="4" t="str">
        <f>HYPERLINK("https://app.crepc.sk/?fn=detailBiblioForm&amp;sid=13B4E46DA990E2A2305D4F501F")</f>
        <v>https://app.crepc.sk/?fn=detailBiblioForm&amp;sid=13B4E46DA990E2A2305D4F501F</v>
      </c>
    </row>
    <row r="8854" spans="3:5" ht="45" x14ac:dyDescent="0.25">
      <c r="C8854" s="15">
        <v>104383</v>
      </c>
      <c r="D8854" s="4" t="s">
        <v>8842</v>
      </c>
      <c r="E8854" s="4" t="str">
        <f>HYPERLINK("https://app.crepc.sk/?fn=detailBiblioForm&amp;sid=DD6DC1ACF31F8CDC509038F016")</f>
        <v>https://app.crepc.sk/?fn=detailBiblioForm&amp;sid=DD6DC1ACF31F8CDC509038F016</v>
      </c>
    </row>
    <row r="8855" spans="3:5" ht="45" x14ac:dyDescent="0.25">
      <c r="C8855" s="15">
        <v>127637</v>
      </c>
      <c r="D8855" s="4" t="s">
        <v>8843</v>
      </c>
      <c r="E8855" s="4" t="str">
        <f>HYPERLINK("https://app.crepc.sk/?fn=detailBiblioForm&amp;sid=A61021784F381E68C408E78699")</f>
        <v>https://app.crepc.sk/?fn=detailBiblioForm&amp;sid=A61021784F381E68C408E78699</v>
      </c>
    </row>
    <row r="8856" spans="3:5" ht="45" x14ac:dyDescent="0.25">
      <c r="C8856" s="15">
        <v>246831</v>
      </c>
      <c r="D8856" s="4" t="s">
        <v>8844</v>
      </c>
      <c r="E8856" s="4" t="str">
        <f>HYPERLINK("https://app.crepc.sk/?fn=detailBiblioForm&amp;sid=9E4CFCC9DDD0ADD6AE1E66562E")</f>
        <v>https://app.crepc.sk/?fn=detailBiblioForm&amp;sid=9E4CFCC9DDD0ADD6AE1E66562E</v>
      </c>
    </row>
    <row r="8857" spans="3:5" ht="45" x14ac:dyDescent="0.25">
      <c r="C8857" s="15">
        <v>434461</v>
      </c>
      <c r="D8857" s="4" t="s">
        <v>8845</v>
      </c>
      <c r="E8857" s="4" t="str">
        <f>HYPERLINK("https://app.crepc.sk/?fn=detailBiblioForm&amp;sid=F0BEE93CA1F04CFF74FB4245EB")</f>
        <v>https://app.crepc.sk/?fn=detailBiblioForm&amp;sid=F0BEE93CA1F04CFF74FB4245EB</v>
      </c>
    </row>
    <row r="8858" spans="3:5" ht="45" x14ac:dyDescent="0.25">
      <c r="C8858" s="15">
        <v>100845</v>
      </c>
      <c r="D8858" s="4" t="s">
        <v>8846</v>
      </c>
      <c r="E8858" s="4" t="str">
        <f>HYPERLINK("https://app.crepc.sk/?fn=detailBiblioForm&amp;sid=C2DCC5E65C22781D3E64D860DE")</f>
        <v>https://app.crepc.sk/?fn=detailBiblioForm&amp;sid=C2DCC5E65C22781D3E64D860DE</v>
      </c>
    </row>
    <row r="8859" spans="3:5" ht="45" x14ac:dyDescent="0.25">
      <c r="C8859" s="15">
        <v>134481</v>
      </c>
      <c r="D8859" s="4" t="s">
        <v>8847</v>
      </c>
      <c r="E8859" s="4" t="str">
        <f>HYPERLINK("https://app.crepc.sk/?fn=detailBiblioForm&amp;sid=591608704B394480CE1CB0D9E4")</f>
        <v>https://app.crepc.sk/?fn=detailBiblioForm&amp;sid=591608704B394480CE1CB0D9E4</v>
      </c>
    </row>
    <row r="8860" spans="3:5" ht="30" x14ac:dyDescent="0.25">
      <c r="C8860" s="15">
        <v>58107</v>
      </c>
      <c r="D8860" s="4" t="s">
        <v>8848</v>
      </c>
      <c r="E8860" s="4" t="str">
        <f>HYPERLINK("https://app.crepc.sk/?fn=detailBiblioForm&amp;sid=1D9B0497443A03539DF29C80")</f>
        <v>https://app.crepc.sk/?fn=detailBiblioForm&amp;sid=1D9B0497443A03539DF29C80</v>
      </c>
    </row>
    <row r="8861" spans="3:5" ht="45" x14ac:dyDescent="0.25">
      <c r="C8861" s="15">
        <v>182931</v>
      </c>
      <c r="D8861" s="4" t="s">
        <v>8849</v>
      </c>
      <c r="E8861" s="4" t="str">
        <f>HYPERLINK("https://app.crepc.sk/?fn=detailBiblioForm&amp;sid=DDCD2C6FBCAD481F2A4CACA41A")</f>
        <v>https://app.crepc.sk/?fn=detailBiblioForm&amp;sid=DDCD2C6FBCAD481F2A4CACA41A</v>
      </c>
    </row>
    <row r="8862" spans="3:5" ht="45" x14ac:dyDescent="0.25">
      <c r="C8862" s="15">
        <v>182413</v>
      </c>
      <c r="D8862" s="4" t="s">
        <v>8850</v>
      </c>
      <c r="E8862" s="4" t="str">
        <f>HYPERLINK("https://app.crepc.sk/?fn=detailBiblioForm&amp;sid=4F9CB80EDA44B4B66C0A506F6D")</f>
        <v>https://app.crepc.sk/?fn=detailBiblioForm&amp;sid=4F9CB80EDA44B4B66C0A506F6D</v>
      </c>
    </row>
    <row r="8863" spans="3:5" ht="30" x14ac:dyDescent="0.25">
      <c r="C8863" s="15">
        <v>58099</v>
      </c>
      <c r="D8863" s="4" t="s">
        <v>8851</v>
      </c>
      <c r="E8863" s="4" t="str">
        <f>HYPERLINK("https://app.crepc.sk/?fn=detailBiblioForm&amp;sid=23DBC1AB38E402E78704749A")</f>
        <v>https://app.crepc.sk/?fn=detailBiblioForm&amp;sid=23DBC1AB38E402E78704749A</v>
      </c>
    </row>
    <row r="8864" spans="3:5" ht="30" x14ac:dyDescent="0.25">
      <c r="C8864" s="15">
        <v>57967</v>
      </c>
      <c r="D8864" s="4" t="s">
        <v>8852</v>
      </c>
      <c r="E8864" s="4" t="str">
        <f>HYPERLINK("https://app.crepc.sk/?fn=detailBiblioForm&amp;sid=474B1AC44093325C3BB9D005")</f>
        <v>https://app.crepc.sk/?fn=detailBiblioForm&amp;sid=474B1AC44093325C3BB9D005</v>
      </c>
    </row>
    <row r="8865" spans="3:5" ht="45" x14ac:dyDescent="0.25">
      <c r="C8865" s="15">
        <v>182411</v>
      </c>
      <c r="D8865" s="4" t="s">
        <v>8853</v>
      </c>
      <c r="E8865" s="4" t="str">
        <f>HYPERLINK("https://app.crepc.sk/?fn=detailBiblioForm&amp;sid=4F9CB80EDA44B4B66C08506F6D")</f>
        <v>https://app.crepc.sk/?fn=detailBiblioForm&amp;sid=4F9CB80EDA44B4B66C08506F6D</v>
      </c>
    </row>
    <row r="8866" spans="3:5" ht="45" x14ac:dyDescent="0.25">
      <c r="C8866" s="15">
        <v>162029</v>
      </c>
      <c r="D8866" s="4" t="s">
        <v>8854</v>
      </c>
      <c r="E8866" s="4" t="str">
        <f>HYPERLINK("https://app.crepc.sk/?fn=detailBiblioForm&amp;sid=64F3CCE308D9C9BF47E3842526")</f>
        <v>https://app.crepc.sk/?fn=detailBiblioForm&amp;sid=64F3CCE308D9C9BF47E3842526</v>
      </c>
    </row>
    <row r="8867" spans="3:5" ht="30" x14ac:dyDescent="0.25">
      <c r="C8867" s="15">
        <v>79102</v>
      </c>
      <c r="D8867" s="4" t="s">
        <v>8855</v>
      </c>
      <c r="E8867" s="4" t="str">
        <f>HYPERLINK("https://app.crepc.sk/?fn=detailBiblioForm&amp;sid=D4F913960B3A29D98D76E317")</f>
        <v>https://app.crepc.sk/?fn=detailBiblioForm&amp;sid=D4F913960B3A29D98D76E317</v>
      </c>
    </row>
    <row r="8868" spans="3:5" ht="30" x14ac:dyDescent="0.25">
      <c r="C8868" s="15">
        <v>80708</v>
      </c>
      <c r="D8868" s="4" t="s">
        <v>8856</v>
      </c>
      <c r="E8868" s="4" t="str">
        <f>HYPERLINK("https://app.crepc.sk/?fn=detailBiblioForm&amp;sid=895E4EAC60C41359FD2668F7")</f>
        <v>https://app.crepc.sk/?fn=detailBiblioForm&amp;sid=895E4EAC60C41359FD2668F7</v>
      </c>
    </row>
    <row r="8869" spans="3:5" ht="45" x14ac:dyDescent="0.25">
      <c r="C8869" s="15">
        <v>57040</v>
      </c>
      <c r="D8869" s="4" t="s">
        <v>8857</v>
      </c>
      <c r="E8869" s="4" t="str">
        <f>HYPERLINK("https://app.crepc.sk/?fn=detailBiblioForm&amp;sid=3CB5A808740D56188302F8AF")</f>
        <v>https://app.crepc.sk/?fn=detailBiblioForm&amp;sid=3CB5A808740D56188302F8AF</v>
      </c>
    </row>
    <row r="8870" spans="3:5" ht="45" x14ac:dyDescent="0.25">
      <c r="C8870" s="15">
        <v>100835</v>
      </c>
      <c r="D8870" s="4" t="s">
        <v>8858</v>
      </c>
      <c r="E8870" s="4" t="str">
        <f>HYPERLINK("https://app.crepc.sk/?fn=detailBiblioForm&amp;sid=C2DCC5E65C22781D3964D860DE")</f>
        <v>https://app.crepc.sk/?fn=detailBiblioForm&amp;sid=C2DCC5E65C22781D3964D860DE</v>
      </c>
    </row>
    <row r="8871" spans="3:5" ht="30" x14ac:dyDescent="0.25">
      <c r="C8871" s="15">
        <v>55837</v>
      </c>
      <c r="D8871" s="4" t="s">
        <v>8859</v>
      </c>
      <c r="E8871" s="4" t="str">
        <f>HYPERLINK("https://app.crepc.sk/?fn=detailBiblioForm&amp;sid=86998B6BFD6DC25B6FFB6433")</f>
        <v>https://app.crepc.sk/?fn=detailBiblioForm&amp;sid=86998B6BFD6DC25B6FFB6433</v>
      </c>
    </row>
    <row r="8872" spans="3:5" ht="45" x14ac:dyDescent="0.25">
      <c r="C8872" s="15">
        <v>134495</v>
      </c>
      <c r="D8872" s="4" t="s">
        <v>8860</v>
      </c>
      <c r="E8872" s="4" t="str">
        <f>HYPERLINK("https://app.crepc.sk/?fn=detailBiblioForm&amp;sid=591608704B394480CF18B0D9E4")</f>
        <v>https://app.crepc.sk/?fn=detailBiblioForm&amp;sid=591608704B394480CF18B0D9E4</v>
      </c>
    </row>
    <row r="8873" spans="3:5" ht="45" x14ac:dyDescent="0.25">
      <c r="C8873" s="15">
        <v>175627</v>
      </c>
      <c r="D8873" s="4" t="s">
        <v>8861</v>
      </c>
      <c r="E8873" s="4" t="str">
        <f>HYPERLINK("https://app.crepc.sk/?fn=detailBiblioForm&amp;sid=BF3D9176E80E1FB67CB84047B2")</f>
        <v>https://app.crepc.sk/?fn=detailBiblioForm&amp;sid=BF3D9176E80E1FB67CB84047B2</v>
      </c>
    </row>
    <row r="8874" spans="3:5" ht="45" x14ac:dyDescent="0.25">
      <c r="C8874" s="15">
        <v>249336</v>
      </c>
      <c r="D8874" s="4" t="s">
        <v>8862</v>
      </c>
      <c r="E8874" s="4" t="str">
        <f>HYPERLINK("https://app.crepc.sk/?fn=detailBiblioForm&amp;sid=923F6DECD2F5E1804779ED03E3")</f>
        <v>https://app.crepc.sk/?fn=detailBiblioForm&amp;sid=923F6DECD2F5E1804779ED03E3</v>
      </c>
    </row>
    <row r="8875" spans="3:5" ht="45" x14ac:dyDescent="0.25">
      <c r="C8875" s="15">
        <v>249338</v>
      </c>
      <c r="D8875" s="4" t="s">
        <v>8863</v>
      </c>
      <c r="E8875" s="4" t="str">
        <f>HYPERLINK("https://app.crepc.sk/?fn=detailBiblioForm&amp;sid=923F6DECD2F5E1804777ED03E3")</f>
        <v>https://app.crepc.sk/?fn=detailBiblioForm&amp;sid=923F6DECD2F5E1804777ED03E3</v>
      </c>
    </row>
    <row r="8876" spans="3:5" ht="45" x14ac:dyDescent="0.25">
      <c r="C8876" s="15">
        <v>60628</v>
      </c>
      <c r="D8876" s="4" t="s">
        <v>8864</v>
      </c>
      <c r="E8876" s="4" t="str">
        <f>HYPERLINK("https://app.crepc.sk/?fn=detailBiblioForm&amp;sid=8A4AA6428C1A8D3E1EDC519C")</f>
        <v>https://app.crepc.sk/?fn=detailBiblioForm&amp;sid=8A4AA6428C1A8D3E1EDC519C</v>
      </c>
    </row>
    <row r="8877" spans="3:5" ht="45" x14ac:dyDescent="0.25">
      <c r="C8877" s="15">
        <v>448439</v>
      </c>
      <c r="D8877" s="4" t="s">
        <v>8865</v>
      </c>
      <c r="E8877" s="4" t="str">
        <f>HYPERLINK("https://app.crepc.sk/?fn=detailBiblioForm&amp;sid=8F7BD044D3EF6CCC552D597E25")</f>
        <v>https://app.crepc.sk/?fn=detailBiblioForm&amp;sid=8F7BD044D3EF6CCC552D597E25</v>
      </c>
    </row>
    <row r="8878" spans="3:5" ht="45" x14ac:dyDescent="0.25">
      <c r="C8878" s="15">
        <v>101821</v>
      </c>
      <c r="D8878" s="4" t="s">
        <v>8866</v>
      </c>
      <c r="E8878" s="4" t="str">
        <f>HYPERLINK("https://app.crepc.sk/?fn=detailBiblioForm&amp;sid=572922C9A04F2A6823A7D0AD4C")</f>
        <v>https://app.crepc.sk/?fn=detailBiblioForm&amp;sid=572922C9A04F2A6823A7D0AD4C</v>
      </c>
    </row>
    <row r="8879" spans="3:5" ht="30" x14ac:dyDescent="0.25">
      <c r="C8879" s="15">
        <v>51107</v>
      </c>
      <c r="D8879" s="4" t="s">
        <v>8867</v>
      </c>
      <c r="E8879" s="4" t="str">
        <f>HYPERLINK("https://app.crepc.sk/?fn=detailBiblioForm&amp;sid=3AE5C70A0E6384F004681BC8")</f>
        <v>https://app.crepc.sk/?fn=detailBiblioForm&amp;sid=3AE5C70A0E6384F004681BC8</v>
      </c>
    </row>
    <row r="8880" spans="3:5" ht="30" x14ac:dyDescent="0.25">
      <c r="C8880" s="15">
        <v>98228</v>
      </c>
      <c r="D8880" s="4" t="s">
        <v>8868</v>
      </c>
      <c r="E8880" s="4" t="str">
        <f>HYPERLINK("https://app.crepc.sk/?fn=detailBiblioForm&amp;sid=27F6BDE663A41E1CC2680603")</f>
        <v>https://app.crepc.sk/?fn=detailBiblioForm&amp;sid=27F6BDE663A41E1CC2680603</v>
      </c>
    </row>
    <row r="8881" spans="3:5" ht="30" x14ac:dyDescent="0.25">
      <c r="C8881" s="15">
        <v>86646</v>
      </c>
      <c r="D8881" s="4" t="s">
        <v>8869</v>
      </c>
      <c r="E8881" s="4" t="str">
        <f>HYPERLINK("https://app.crepc.sk/?fn=detailBiblioForm&amp;sid=16D50FD31B986943CB26F960")</f>
        <v>https://app.crepc.sk/?fn=detailBiblioForm&amp;sid=16D50FD31B986943CB26F960</v>
      </c>
    </row>
    <row r="8882" spans="3:5" ht="45" x14ac:dyDescent="0.25">
      <c r="C8882" s="15">
        <v>127640</v>
      </c>
      <c r="D8882" s="4" t="s">
        <v>8870</v>
      </c>
      <c r="E8882" s="4" t="str">
        <f>HYPERLINK("https://app.crepc.sk/?fn=detailBiblioForm&amp;sid=A61021784F381E68C30FE78699")</f>
        <v>https://app.crepc.sk/?fn=detailBiblioForm&amp;sid=A61021784F381E68C30FE78699</v>
      </c>
    </row>
    <row r="8883" spans="3:5" ht="45" x14ac:dyDescent="0.25">
      <c r="C8883" s="15">
        <v>100831</v>
      </c>
      <c r="D8883" s="4" t="s">
        <v>8871</v>
      </c>
      <c r="E8883" s="4" t="str">
        <f>HYPERLINK("https://app.crepc.sk/?fn=detailBiblioForm&amp;sid=C2DCC5E65C22781D3960D860DE")</f>
        <v>https://app.crepc.sk/?fn=detailBiblioForm&amp;sid=C2DCC5E65C22781D3960D860DE</v>
      </c>
    </row>
    <row r="8884" spans="3:5" ht="45" x14ac:dyDescent="0.25">
      <c r="C8884" s="15">
        <v>127634</v>
      </c>
      <c r="D8884" s="4" t="s">
        <v>8872</v>
      </c>
      <c r="E8884" s="4" t="str">
        <f>HYPERLINK("https://app.crepc.sk/?fn=detailBiblioForm&amp;sid=A61021784F381E68C40BE78699")</f>
        <v>https://app.crepc.sk/?fn=detailBiblioForm&amp;sid=A61021784F381E68C40BE78699</v>
      </c>
    </row>
    <row r="8885" spans="3:5" ht="45" x14ac:dyDescent="0.25">
      <c r="C8885" s="15">
        <v>63575</v>
      </c>
      <c r="D8885" s="4" t="s">
        <v>8873</v>
      </c>
      <c r="E8885" s="4" t="str">
        <f>HYPERLINK("https://app.crepc.sk/?fn=detailBiblioForm&amp;sid=9612ACCBD173C95AB5AF1DCD")</f>
        <v>https://app.crepc.sk/?fn=detailBiblioForm&amp;sid=9612ACCBD173C95AB5AF1DCD</v>
      </c>
    </row>
    <row r="8886" spans="3:5" ht="45" x14ac:dyDescent="0.25">
      <c r="C8886" s="15">
        <v>182422</v>
      </c>
      <c r="D8886" s="4" t="s">
        <v>8874</v>
      </c>
      <c r="E8886" s="4" t="str">
        <f>HYPERLINK("https://app.crepc.sk/?fn=detailBiblioForm&amp;sid=4F9CB80EDA44B4B66F0B506F6D")</f>
        <v>https://app.crepc.sk/?fn=detailBiblioForm&amp;sid=4F9CB80EDA44B4B66F0B506F6D</v>
      </c>
    </row>
    <row r="8887" spans="3:5" ht="45" x14ac:dyDescent="0.25">
      <c r="C8887" s="15">
        <v>79340</v>
      </c>
      <c r="D8887" s="4" t="s">
        <v>8875</v>
      </c>
      <c r="E8887" s="4" t="str">
        <f>HYPERLINK("https://app.crepc.sk/?fn=detailBiblioForm&amp;sid=D57FE3658C55FADAE0CFAFFC")</f>
        <v>https://app.crepc.sk/?fn=detailBiblioForm&amp;sid=D57FE3658C55FADAE0CFAFFC</v>
      </c>
    </row>
    <row r="8888" spans="3:5" ht="45" x14ac:dyDescent="0.25">
      <c r="C8888" s="15">
        <v>448519</v>
      </c>
      <c r="D8888" s="4" t="s">
        <v>8876</v>
      </c>
      <c r="E8888" s="4" t="str">
        <f>HYPERLINK("https://app.crepc.sk/?fn=detailBiblioForm&amp;sid=AB769D11A18D1299D73F4F1DA7")</f>
        <v>https://app.crepc.sk/?fn=detailBiblioForm&amp;sid=AB769D11A18D1299D73F4F1DA7</v>
      </c>
    </row>
    <row r="8889" spans="3:5" ht="45" x14ac:dyDescent="0.25">
      <c r="C8889" s="15">
        <v>175636</v>
      </c>
      <c r="D8889" s="4" t="s">
        <v>8877</v>
      </c>
      <c r="E8889" s="4" t="str">
        <f>HYPERLINK("https://app.crepc.sk/?fn=detailBiblioForm&amp;sid=BF3D9176E80E1FB67DB94047B2")</f>
        <v>https://app.crepc.sk/?fn=detailBiblioForm&amp;sid=BF3D9176E80E1FB67DB94047B2</v>
      </c>
    </row>
    <row r="8890" spans="3:5" ht="45" x14ac:dyDescent="0.25">
      <c r="C8890" s="15">
        <v>55819</v>
      </c>
      <c r="D8890" s="4" t="s">
        <v>8878</v>
      </c>
      <c r="E8890" s="4" t="str">
        <f>HYPERLINK("https://app.crepc.sk/?fn=detailBiblioForm&amp;sid=39DDA4F13BC40ABDA62857E7")</f>
        <v>https://app.crepc.sk/?fn=detailBiblioForm&amp;sid=39DDA4F13BC40ABDA62857E7</v>
      </c>
    </row>
    <row r="8891" spans="3:5" ht="45" x14ac:dyDescent="0.25">
      <c r="C8891" s="15">
        <v>59731</v>
      </c>
      <c r="D8891" s="4" t="s">
        <v>8879</v>
      </c>
      <c r="E8891" s="4" t="str">
        <f>HYPERLINK("https://app.crepc.sk/?fn=detailBiblioForm&amp;sid=0E89FE4ED9F41D2F3D907C39")</f>
        <v>https://app.crepc.sk/?fn=detailBiblioForm&amp;sid=0E89FE4ED9F41D2F3D907C39</v>
      </c>
    </row>
    <row r="8892" spans="3:5" ht="45" x14ac:dyDescent="0.25">
      <c r="C8892" s="15">
        <v>57046</v>
      </c>
      <c r="D8892" s="4" t="s">
        <v>8880</v>
      </c>
      <c r="E8892" s="4" t="str">
        <f>HYPERLINK("https://app.crepc.sk/?fn=detailBiblioForm&amp;sid=3CB5A808740D56188502F8AF")</f>
        <v>https://app.crepc.sk/?fn=detailBiblioForm&amp;sid=3CB5A808740D56188502F8AF</v>
      </c>
    </row>
    <row r="8893" spans="3:5" ht="45" x14ac:dyDescent="0.25">
      <c r="C8893" s="15">
        <v>98253</v>
      </c>
      <c r="D8893" s="4" t="s">
        <v>8881</v>
      </c>
      <c r="E8893" s="4" t="str">
        <f>HYPERLINK("https://app.crepc.sk/?fn=detailBiblioForm&amp;sid=216ADDB4C7DF81A8CDD113A7")</f>
        <v>https://app.crepc.sk/?fn=detailBiblioForm&amp;sid=216ADDB4C7DF81A8CDD113A7</v>
      </c>
    </row>
    <row r="8894" spans="3:5" ht="75" x14ac:dyDescent="0.25">
      <c r="C8894" s="15">
        <v>139602</v>
      </c>
      <c r="D8894" s="4" t="s">
        <v>8882</v>
      </c>
      <c r="E8894" s="4" t="str">
        <f>HYPERLINK("https://app.crepc.sk/?fn=detailBiblioForm&amp;sid=75DF474C0110DDF9B540562AAA")</f>
        <v>https://app.crepc.sk/?fn=detailBiblioForm&amp;sid=75DF474C0110DDF9B540562AAA</v>
      </c>
    </row>
    <row r="8895" spans="3:5" ht="45" x14ac:dyDescent="0.25">
      <c r="C8895" s="15">
        <v>57969</v>
      </c>
      <c r="D8895" s="4" t="s">
        <v>8883</v>
      </c>
      <c r="E8895" s="4" t="str">
        <f>HYPERLINK("https://app.crepc.sk/?fn=detailBiblioForm&amp;sid=474B1AC44093325C35B9D005")</f>
        <v>https://app.crepc.sk/?fn=detailBiblioForm&amp;sid=474B1AC44093325C35B9D005</v>
      </c>
    </row>
    <row r="8896" spans="3:5" ht="45" x14ac:dyDescent="0.25">
      <c r="C8896" s="15">
        <v>448520</v>
      </c>
      <c r="D8896" s="4" t="s">
        <v>8884</v>
      </c>
      <c r="E8896" s="4" t="str">
        <f>HYPERLINK("https://app.crepc.sk/?fn=detailBiblioForm&amp;sid=AB769D11A18D1299D4364F1DA7")</f>
        <v>https://app.crepc.sk/?fn=detailBiblioForm&amp;sid=AB769D11A18D1299D4364F1DA7</v>
      </c>
    </row>
    <row r="8897" spans="3:5" ht="45" x14ac:dyDescent="0.25">
      <c r="C8897" s="15">
        <v>79772</v>
      </c>
      <c r="D8897" s="4" t="s">
        <v>8885</v>
      </c>
      <c r="E8897" s="4" t="str">
        <f>HYPERLINK("https://app.crepc.sk/?fn=detailBiblioForm&amp;sid=9C7193CD4A27020CAFC56426")</f>
        <v>https://app.crepc.sk/?fn=detailBiblioForm&amp;sid=9C7193CD4A27020CAFC56426</v>
      </c>
    </row>
    <row r="8898" spans="3:5" ht="45" x14ac:dyDescent="0.25">
      <c r="C8898" s="15">
        <v>182407</v>
      </c>
      <c r="D8898" s="4" t="s">
        <v>8886</v>
      </c>
      <c r="E8898" s="4" t="str">
        <f>HYPERLINK("https://app.crepc.sk/?fn=detailBiblioForm&amp;sid=4F9CB80EDA44B4B66D0E506F6D")</f>
        <v>https://app.crepc.sk/?fn=detailBiblioForm&amp;sid=4F9CB80EDA44B4B66D0E506F6D</v>
      </c>
    </row>
    <row r="8899" spans="3:5" ht="45" x14ac:dyDescent="0.25">
      <c r="C8899" s="15">
        <v>189404</v>
      </c>
      <c r="D8899" s="4" t="s">
        <v>8887</v>
      </c>
      <c r="E8899" s="4" t="str">
        <f>HYPERLINK("https://app.crepc.sk/?fn=detailBiblioForm&amp;sid=6E6F559206AEB7A17605F336A3")</f>
        <v>https://app.crepc.sk/?fn=detailBiblioForm&amp;sid=6E6F559206AEB7A17605F336A3</v>
      </c>
    </row>
    <row r="8900" spans="3:5" ht="45" x14ac:dyDescent="0.25">
      <c r="C8900" s="15">
        <v>162056</v>
      </c>
      <c r="D8900" s="4" t="s">
        <v>8888</v>
      </c>
      <c r="E8900" s="4" t="str">
        <f>HYPERLINK("https://app.crepc.sk/?fn=detailBiblioForm&amp;sid=64F3CCE308D9C9BF40EC842526")</f>
        <v>https://app.crepc.sk/?fn=detailBiblioForm&amp;sid=64F3CCE308D9C9BF40EC842526</v>
      </c>
    </row>
    <row r="8901" spans="3:5" ht="45" x14ac:dyDescent="0.25">
      <c r="C8901" s="15">
        <v>175642</v>
      </c>
      <c r="D8901" s="4" t="s">
        <v>8889</v>
      </c>
      <c r="E8901" s="4" t="str">
        <f>HYPERLINK("https://app.crepc.sk/?fn=detailBiblioForm&amp;sid=BF3D9176E80E1FB67ABD4047B2")</f>
        <v>https://app.crepc.sk/?fn=detailBiblioForm&amp;sid=BF3D9176E80E1FB67ABD4047B2</v>
      </c>
    </row>
    <row r="8902" spans="3:5" ht="45" x14ac:dyDescent="0.25">
      <c r="C8902" s="15">
        <v>51614</v>
      </c>
      <c r="D8902" s="4" t="s">
        <v>8890</v>
      </c>
      <c r="E8902" s="4" t="str">
        <f>HYPERLINK("https://app.crepc.sk/?fn=detailBiblioForm&amp;sid=0EBA0D24DC47CEA5C9DBDCFE")</f>
        <v>https://app.crepc.sk/?fn=detailBiblioForm&amp;sid=0EBA0D24DC47CEA5C9DBDCFE</v>
      </c>
    </row>
    <row r="8903" spans="3:5" ht="45" x14ac:dyDescent="0.25">
      <c r="C8903" s="15">
        <v>182410</v>
      </c>
      <c r="D8903" s="4" t="s">
        <v>8891</v>
      </c>
      <c r="E8903" s="4" t="str">
        <f>HYPERLINK("https://app.crepc.sk/?fn=detailBiblioForm&amp;sid=4F9CB80EDA44B4B66C09506F6D")</f>
        <v>https://app.crepc.sk/?fn=detailBiblioForm&amp;sid=4F9CB80EDA44B4B66C09506F6D</v>
      </c>
    </row>
    <row r="8904" spans="3:5" ht="60" x14ac:dyDescent="0.25">
      <c r="C8904" s="15">
        <v>434498</v>
      </c>
      <c r="D8904" s="4" t="s">
        <v>8892</v>
      </c>
      <c r="E8904" s="4" t="str">
        <f>HYPERLINK("https://app.crepc.sk/?fn=detailBiblioForm&amp;sid=F0BEE93CA1F04CFF7BF24245EB")</f>
        <v>https://app.crepc.sk/?fn=detailBiblioForm&amp;sid=F0BEE93CA1F04CFF7BF24245EB</v>
      </c>
    </row>
    <row r="8905" spans="3:5" ht="45" x14ac:dyDescent="0.25">
      <c r="C8905" s="15">
        <v>79336</v>
      </c>
      <c r="D8905" s="4" t="s">
        <v>8893</v>
      </c>
      <c r="E8905" s="4" t="str">
        <f>HYPERLINK("https://app.crepc.sk/?fn=detailBiblioForm&amp;sid=C7E7EBFE51B5A548AD5BCFA2")</f>
        <v>https://app.crepc.sk/?fn=detailBiblioForm&amp;sid=C7E7EBFE51B5A548AD5BCFA2</v>
      </c>
    </row>
    <row r="8906" spans="3:5" ht="45" x14ac:dyDescent="0.25">
      <c r="C8906" s="15">
        <v>316658</v>
      </c>
      <c r="D8906" s="4" t="s">
        <v>8894</v>
      </c>
      <c r="E8906" s="4" t="str">
        <f>HYPERLINK("https://app.crepc.sk/?fn=detailBiblioForm&amp;sid=D102289ED89A4A14AF14573231")</f>
        <v>https://app.crepc.sk/?fn=detailBiblioForm&amp;sid=D102289ED89A4A14AF14573231</v>
      </c>
    </row>
    <row r="8907" spans="3:5" ht="45" x14ac:dyDescent="0.25">
      <c r="C8907" s="15">
        <v>162063</v>
      </c>
      <c r="D8907" s="4" t="s">
        <v>8895</v>
      </c>
      <c r="E8907" s="4" t="str">
        <f>HYPERLINK("https://app.crepc.sk/?fn=detailBiblioForm&amp;sid=64F3CCE308D9C9BF43E9842526")</f>
        <v>https://app.crepc.sk/?fn=detailBiblioForm&amp;sid=64F3CCE308D9C9BF43E9842526</v>
      </c>
    </row>
    <row r="8908" spans="3:5" ht="45" x14ac:dyDescent="0.25">
      <c r="C8908" s="15">
        <v>79334</v>
      </c>
      <c r="D8908" s="4" t="s">
        <v>8896</v>
      </c>
      <c r="E8908" s="4" t="str">
        <f>HYPERLINK("https://app.crepc.sk/?fn=detailBiblioForm&amp;sid=C7E7EBFE51B5A548AF5BCFA2")</f>
        <v>https://app.crepc.sk/?fn=detailBiblioForm&amp;sid=C7E7EBFE51B5A548AF5BCFA2</v>
      </c>
    </row>
    <row r="8909" spans="3:5" ht="45" x14ac:dyDescent="0.25">
      <c r="C8909" s="15">
        <v>154567</v>
      </c>
      <c r="D8909" s="4" t="s">
        <v>8897</v>
      </c>
      <c r="E8909" s="4" t="str">
        <f>HYPERLINK("https://app.crepc.sk/?fn=detailBiblioForm&amp;sid=7CD47704C688C3C83557859C4A")</f>
        <v>https://app.crepc.sk/?fn=detailBiblioForm&amp;sid=7CD47704C688C3C83557859C4A</v>
      </c>
    </row>
    <row r="8910" spans="3:5" ht="45" x14ac:dyDescent="0.25">
      <c r="C8910" s="15">
        <v>100842</v>
      </c>
      <c r="D8910" s="4" t="s">
        <v>8898</v>
      </c>
      <c r="E8910" s="4" t="str">
        <f>HYPERLINK("https://app.crepc.sk/?fn=detailBiblioForm&amp;sid=C2DCC5E65C22781D3E63D860DE")</f>
        <v>https://app.crepc.sk/?fn=detailBiblioForm&amp;sid=C2DCC5E65C22781D3E63D860DE</v>
      </c>
    </row>
    <row r="8911" spans="3:5" ht="45" x14ac:dyDescent="0.25">
      <c r="C8911" s="15">
        <v>162077</v>
      </c>
      <c r="D8911" s="4" t="s">
        <v>8899</v>
      </c>
      <c r="E8911" s="4" t="str">
        <f>HYPERLINK("https://app.crepc.sk/?fn=detailBiblioForm&amp;sid=64F3CCE308D9C9BF42ED842526")</f>
        <v>https://app.crepc.sk/?fn=detailBiblioForm&amp;sid=64F3CCE308D9C9BF42ED842526</v>
      </c>
    </row>
    <row r="8912" spans="3:5" ht="60" x14ac:dyDescent="0.25">
      <c r="C8912" s="15">
        <v>79616</v>
      </c>
      <c r="D8912" s="4" t="s">
        <v>8900</v>
      </c>
      <c r="E8912" s="4" t="str">
        <f>HYPERLINK("https://app.crepc.sk/?fn=detailBiblioForm&amp;sid=A93CD12E05BD8E55C2B631BB")</f>
        <v>https://app.crepc.sk/?fn=detailBiblioForm&amp;sid=A93CD12E05BD8E55C2B631BB</v>
      </c>
    </row>
    <row r="8913" spans="3:5" ht="45" x14ac:dyDescent="0.25">
      <c r="C8913" s="15">
        <v>175644</v>
      </c>
      <c r="D8913" s="4" t="s">
        <v>8901</v>
      </c>
      <c r="E8913" s="4" t="str">
        <f>HYPERLINK("https://app.crepc.sk/?fn=detailBiblioForm&amp;sid=BF3D9176E80E1FB67ABB4047B2")</f>
        <v>https://app.crepc.sk/?fn=detailBiblioForm&amp;sid=BF3D9176E80E1FB67ABB4047B2</v>
      </c>
    </row>
    <row r="8914" spans="3:5" ht="45" x14ac:dyDescent="0.25">
      <c r="C8914" s="15">
        <v>79335</v>
      </c>
      <c r="D8914" s="4" t="s">
        <v>8902</v>
      </c>
      <c r="E8914" s="4" t="str">
        <f>HYPERLINK("https://app.crepc.sk/?fn=detailBiblioForm&amp;sid=C7E7EBFE51B5A548AE5BCFA2")</f>
        <v>https://app.crepc.sk/?fn=detailBiblioForm&amp;sid=C7E7EBFE51B5A548AE5BCFA2</v>
      </c>
    </row>
    <row r="8915" spans="3:5" ht="45" x14ac:dyDescent="0.25">
      <c r="C8915" s="15">
        <v>316821</v>
      </c>
      <c r="D8915" s="4" t="s">
        <v>8903</v>
      </c>
      <c r="E8915" s="4" t="str">
        <f>HYPERLINK("https://app.crepc.sk/?fn=detailBiblioForm&amp;sid=9B7EDFED3FF96897459454B66B")</f>
        <v>https://app.crepc.sk/?fn=detailBiblioForm&amp;sid=9B7EDFED3FF96897459454B66B</v>
      </c>
    </row>
    <row r="8916" spans="3:5" ht="45" x14ac:dyDescent="0.25">
      <c r="C8916" s="15">
        <v>316824</v>
      </c>
      <c r="D8916" s="4" t="s">
        <v>8904</v>
      </c>
      <c r="E8916" s="4" t="str">
        <f>HYPERLINK("https://app.crepc.sk/?fn=detailBiblioForm&amp;sid=9B7EDFED3FF96897459154B66B")</f>
        <v>https://app.crepc.sk/?fn=detailBiblioForm&amp;sid=9B7EDFED3FF96897459154B66B</v>
      </c>
    </row>
    <row r="8917" spans="3:5" ht="45" x14ac:dyDescent="0.25">
      <c r="C8917" s="15">
        <v>316822</v>
      </c>
      <c r="D8917" s="4" t="s">
        <v>8905</v>
      </c>
      <c r="E8917" s="4" t="str">
        <f>HYPERLINK("https://app.crepc.sk/?fn=detailBiblioForm&amp;sid=9B7EDFED3FF96897459754B66B")</f>
        <v>https://app.crepc.sk/?fn=detailBiblioForm&amp;sid=9B7EDFED3FF96897459754B66B</v>
      </c>
    </row>
    <row r="8918" spans="3:5" ht="60" x14ac:dyDescent="0.25">
      <c r="C8918" s="15">
        <v>437590</v>
      </c>
      <c r="D8918" s="4" t="s">
        <v>8906</v>
      </c>
      <c r="E8918" s="4" t="str">
        <f>HYPERLINK("https://app.crepc.sk/?fn=detailBiblioForm&amp;sid=2572D708954C3236B6886859E1")</f>
        <v>https://app.crepc.sk/?fn=detailBiblioForm&amp;sid=2572D708954C3236B6886859E1</v>
      </c>
    </row>
    <row r="8919" spans="3:5" ht="45" x14ac:dyDescent="0.25">
      <c r="C8919" s="15">
        <v>426606</v>
      </c>
      <c r="D8919" s="4" t="s">
        <v>8907</v>
      </c>
      <c r="E8919" s="4" t="str">
        <f>HYPERLINK("https://app.crepc.sk/?fn=detailBiblioForm&amp;sid=1853C02EAD8088315F8955ED6E")</f>
        <v>https://app.crepc.sk/?fn=detailBiblioForm&amp;sid=1853C02EAD8088315F8955ED6E</v>
      </c>
    </row>
    <row r="8920" spans="3:5" ht="45" x14ac:dyDescent="0.25">
      <c r="C8920" s="15">
        <v>175624</v>
      </c>
      <c r="D8920" s="4" t="s">
        <v>8908</v>
      </c>
      <c r="E8920" s="4" t="str">
        <f>HYPERLINK("https://app.crepc.sk/?fn=detailBiblioForm&amp;sid=BF3D9176E80E1FB67CBB4047B2")</f>
        <v>https://app.crepc.sk/?fn=detailBiblioForm&amp;sid=BF3D9176E80E1FB67CBB4047B2</v>
      </c>
    </row>
    <row r="8921" spans="3:5" ht="45" x14ac:dyDescent="0.25">
      <c r="C8921" s="15">
        <v>448449</v>
      </c>
      <c r="D8921" s="4" t="s">
        <v>8909</v>
      </c>
      <c r="E8921" s="4" t="str">
        <f>HYPERLINK("https://app.crepc.sk/?fn=detailBiblioForm&amp;sid=8F7BD044D3EF6CCC522D597E25")</f>
        <v>https://app.crepc.sk/?fn=detailBiblioForm&amp;sid=8F7BD044D3EF6CCC522D597E25</v>
      </c>
    </row>
    <row r="8922" spans="3:5" ht="45" x14ac:dyDescent="0.25">
      <c r="C8922" s="15">
        <v>449344</v>
      </c>
      <c r="D8922" s="4" t="s">
        <v>8910</v>
      </c>
      <c r="E8922" s="4" t="str">
        <f>HYPERLINK("https://app.crepc.sk/?fn=detailBiblioForm&amp;sid=6F325D038162249624DD5941E3")</f>
        <v>https://app.crepc.sk/?fn=detailBiblioForm&amp;sid=6F325D038162249624DD5941E3</v>
      </c>
    </row>
    <row r="8923" spans="3:5" ht="45" x14ac:dyDescent="0.25">
      <c r="C8923" s="15">
        <v>432187</v>
      </c>
      <c r="D8923" s="4" t="s">
        <v>8911</v>
      </c>
      <c r="E8923" s="4" t="str">
        <f>HYPERLINK("https://app.crepc.sk/?fn=detailBiblioForm&amp;sid=36F9E267D0DFCA06FA98599993")</f>
        <v>https://app.crepc.sk/?fn=detailBiblioForm&amp;sid=36F9E267D0DFCA06FA98599993</v>
      </c>
    </row>
    <row r="8924" spans="3:5" ht="45" x14ac:dyDescent="0.25">
      <c r="C8924" s="15">
        <v>134505</v>
      </c>
      <c r="D8924" s="4" t="s">
        <v>8912</v>
      </c>
      <c r="E8924" s="4" t="str">
        <f>HYPERLINK("https://app.crepc.sk/?fn=detailBiblioForm&amp;sid=595CC72A314F5A345D294AB6EE")</f>
        <v>https://app.crepc.sk/?fn=detailBiblioForm&amp;sid=595CC72A314F5A345D294AB6EE</v>
      </c>
    </row>
    <row r="8925" spans="3:5" ht="45" x14ac:dyDescent="0.25">
      <c r="C8925" s="15">
        <v>175641</v>
      </c>
      <c r="D8925" s="4" t="s">
        <v>8913</v>
      </c>
      <c r="E8925" s="4" t="str">
        <f>HYPERLINK("https://app.crepc.sk/?fn=detailBiblioForm&amp;sid=BF3D9176E80E1FB67ABE4047B2")</f>
        <v>https://app.crepc.sk/?fn=detailBiblioForm&amp;sid=BF3D9176E80E1FB67ABE4047B2</v>
      </c>
    </row>
    <row r="8926" spans="3:5" ht="45" x14ac:dyDescent="0.25">
      <c r="C8926" s="15">
        <v>442247</v>
      </c>
      <c r="D8926" s="4" t="s">
        <v>8914</v>
      </c>
      <c r="E8926" s="4" t="str">
        <f>HYPERLINK("https://app.crepc.sk/?fn=detailBiblioForm&amp;sid=449A78BFE483A8EAF9F049C553")</f>
        <v>https://app.crepc.sk/?fn=detailBiblioForm&amp;sid=449A78BFE483A8EAF9F049C553</v>
      </c>
    </row>
    <row r="8927" spans="3:5" ht="45" x14ac:dyDescent="0.25">
      <c r="C8927" s="15">
        <v>178462</v>
      </c>
      <c r="D8927" s="4" t="s">
        <v>8915</v>
      </c>
      <c r="E8927" s="4" t="str">
        <f>HYPERLINK("https://app.crepc.sk/?fn=detailBiblioForm&amp;sid=2D2C61E4341E53665D617A2DE0")</f>
        <v>https://app.crepc.sk/?fn=detailBiblioForm&amp;sid=2D2C61E4341E53665D617A2DE0</v>
      </c>
    </row>
    <row r="8928" spans="3:5" ht="45" x14ac:dyDescent="0.25">
      <c r="C8928" s="15">
        <v>239791</v>
      </c>
      <c r="D8928" s="4" t="s">
        <v>8916</v>
      </c>
      <c r="E8928" s="4" t="str">
        <f>HYPERLINK("https://app.crepc.sk/?fn=detailBiblioForm&amp;sid=A4F1A10991D589A5FEB374EC38")</f>
        <v>https://app.crepc.sk/?fn=detailBiblioForm&amp;sid=A4F1A10991D589A5FEB374EC38</v>
      </c>
    </row>
    <row r="8929" spans="1:5" ht="45" x14ac:dyDescent="0.25">
      <c r="C8929" s="15">
        <v>79333</v>
      </c>
      <c r="D8929" s="4" t="s">
        <v>8917</v>
      </c>
      <c r="E8929" s="4" t="str">
        <f>HYPERLINK("https://app.crepc.sk/?fn=detailBiblioForm&amp;sid=C7E7EBFE51B5A548A85BCFA2")</f>
        <v>https://app.crepc.sk/?fn=detailBiblioForm&amp;sid=C7E7EBFE51B5A548A85BCFA2</v>
      </c>
    </row>
    <row r="8930" spans="1:5" ht="45" x14ac:dyDescent="0.25">
      <c r="C8930" s="15">
        <v>182412</v>
      </c>
      <c r="D8930" s="4" t="s">
        <v>8918</v>
      </c>
      <c r="E8930" s="4" t="str">
        <f>HYPERLINK("https://app.crepc.sk/?fn=detailBiblioForm&amp;sid=4F9CB80EDA44B4B66C0B506F6D")</f>
        <v>https://app.crepc.sk/?fn=detailBiblioForm&amp;sid=4F9CB80EDA44B4B66C0B506F6D</v>
      </c>
    </row>
    <row r="8931" spans="1:5" ht="45" x14ac:dyDescent="0.25">
      <c r="C8931" s="15">
        <v>98263</v>
      </c>
      <c r="D8931" s="4" t="s">
        <v>8919</v>
      </c>
      <c r="E8931" s="4" t="str">
        <f>HYPERLINK("https://app.crepc.sk/?fn=detailBiblioForm&amp;sid=BBDB470D2B86C4AFEBEB81E7")</f>
        <v>https://app.crepc.sk/?fn=detailBiblioForm&amp;sid=BBDB470D2B86C4AFEBEB81E7</v>
      </c>
    </row>
    <row r="8932" spans="1:5" ht="45" x14ac:dyDescent="0.25">
      <c r="C8932" s="15">
        <v>116807</v>
      </c>
      <c r="D8932" s="4" t="s">
        <v>8920</v>
      </c>
      <c r="E8932" s="4" t="str">
        <f>HYPERLINK("https://app.crepc.sk/?fn=detailBiblioForm&amp;sid=E72B30B2FBB5A43D8C8C052574")</f>
        <v>https://app.crepc.sk/?fn=detailBiblioForm&amp;sid=E72B30B2FBB5A43D8C8C052574</v>
      </c>
    </row>
    <row r="8933" spans="1:5" ht="45" x14ac:dyDescent="0.25">
      <c r="C8933" s="15">
        <v>182423</v>
      </c>
      <c r="D8933" s="4" t="s">
        <v>8921</v>
      </c>
      <c r="E8933" s="4" t="str">
        <f>HYPERLINK("https://app.crepc.sk/?fn=detailBiblioForm&amp;sid=4F9CB80EDA44B4B66F0A506F6D")</f>
        <v>https://app.crepc.sk/?fn=detailBiblioForm&amp;sid=4F9CB80EDA44B4B66F0A506F6D</v>
      </c>
    </row>
    <row r="8934" spans="1:5" ht="45" x14ac:dyDescent="0.25">
      <c r="C8934" s="15">
        <v>527364</v>
      </c>
      <c r="D8934" s="4" t="s">
        <v>8922</v>
      </c>
      <c r="E8934" s="4" t="str">
        <f>HYPERLINK("https://app.crepc.sk/?fn=detailBiblioForm&amp;sid=ACBBC50FC85D2A476079D09A81")</f>
        <v>https://app.crepc.sk/?fn=detailBiblioForm&amp;sid=ACBBC50FC85D2A476079D09A81</v>
      </c>
    </row>
    <row r="8935" spans="1:5" ht="90" x14ac:dyDescent="0.25">
      <c r="C8935" s="15">
        <v>79605</v>
      </c>
      <c r="D8935" s="4" t="s">
        <v>8923</v>
      </c>
      <c r="E8935" s="4" t="str">
        <f>HYPERLINK("https://app.crepc.sk/?fn=detailBiblioForm&amp;sid=C36849B414A3FBB64822873B")</f>
        <v>https://app.crepc.sk/?fn=detailBiblioForm&amp;sid=C36849B414A3FBB64822873B</v>
      </c>
    </row>
    <row r="8936" spans="1:5" ht="45" x14ac:dyDescent="0.25">
      <c r="C8936" s="15">
        <v>182409</v>
      </c>
      <c r="D8936" s="4" t="s">
        <v>8924</v>
      </c>
      <c r="E8936" s="4" t="str">
        <f>HYPERLINK("https://app.crepc.sk/?fn=detailBiblioForm&amp;sid=4F9CB80EDA44B4B66D00506F6D")</f>
        <v>https://app.crepc.sk/?fn=detailBiblioForm&amp;sid=4F9CB80EDA44B4B66D00506F6D</v>
      </c>
    </row>
    <row r="8937" spans="1:5" ht="45" x14ac:dyDescent="0.25">
      <c r="C8937" s="15">
        <v>312217</v>
      </c>
      <c r="D8937" s="4" t="s">
        <v>8925</v>
      </c>
      <c r="E8937" s="4" t="str">
        <f>HYPERLINK("https://app.crepc.sk/?fn=detailBiblioForm&amp;sid=710241CBC6D4101CB89285ADCA")</f>
        <v>https://app.crepc.sk/?fn=detailBiblioForm&amp;sid=710241CBC6D4101CB89285ADCA</v>
      </c>
    </row>
    <row r="8938" spans="1:5" ht="45" x14ac:dyDescent="0.25">
      <c r="C8938" s="15">
        <v>236934</v>
      </c>
      <c r="D8938" s="4" t="s">
        <v>8926</v>
      </c>
      <c r="E8938" s="4" t="str">
        <f>HYPERLINK("https://app.crepc.sk/?fn=detailBiblioForm&amp;sid=5F83A54FC8068A1CF26027DBFB")</f>
        <v>https://app.crepc.sk/?fn=detailBiblioForm&amp;sid=5F83A54FC8068A1CF26027DBFB</v>
      </c>
    </row>
    <row r="8939" spans="1:5" ht="45" x14ac:dyDescent="0.25">
      <c r="C8939" s="15">
        <v>182421</v>
      </c>
      <c r="D8939" s="4" t="s">
        <v>8927</v>
      </c>
      <c r="E8939" s="4" t="str">
        <f>HYPERLINK("https://app.crepc.sk/?fn=detailBiblioForm&amp;sid=4F9CB80EDA44B4B66F08506F6D")</f>
        <v>https://app.crepc.sk/?fn=detailBiblioForm&amp;sid=4F9CB80EDA44B4B66F08506F6D</v>
      </c>
    </row>
    <row r="8940" spans="1:5" ht="45" x14ac:dyDescent="0.25">
      <c r="C8940" s="15">
        <v>108512</v>
      </c>
      <c r="D8940" s="4" t="s">
        <v>8928</v>
      </c>
      <c r="E8940" s="4" t="str">
        <f>HYPERLINK("https://app.crepc.sk/?fn=detailBiblioForm&amp;sid=1A91F8800844F5FA0A909DFDEA")</f>
        <v>https://app.crepc.sk/?fn=detailBiblioForm&amp;sid=1A91F8800844F5FA0A909DFDEA</v>
      </c>
    </row>
    <row r="8941" spans="1:5" ht="45" x14ac:dyDescent="0.25">
      <c r="C8941" s="15">
        <v>316818</v>
      </c>
      <c r="D8941" s="4" t="s">
        <v>8929</v>
      </c>
      <c r="E8941" s="4" t="str">
        <f>HYPERLINK("https://app.crepc.sk/?fn=detailBiblioForm&amp;sid=9B7EDFED3FF96897469D54B66B")</f>
        <v>https://app.crepc.sk/?fn=detailBiblioForm&amp;sid=9B7EDFED3FF96897469D54B66B</v>
      </c>
    </row>
    <row r="8942" spans="1:5" ht="30" x14ac:dyDescent="0.25">
      <c r="A8942" s="4" t="s">
        <v>8930</v>
      </c>
      <c r="B8942" s="15">
        <v>515</v>
      </c>
    </row>
    <row r="8943" spans="1:5" ht="60" x14ac:dyDescent="0.25">
      <c r="C8943" s="15">
        <v>310073</v>
      </c>
      <c r="D8943" s="4" t="s">
        <v>8931</v>
      </c>
      <c r="E8943" s="4" t="str">
        <f>HYPERLINK("https://app.crepc.sk/?fn=detailBiblioForm&amp;sid=F566C6E0CB47072BFBED22F69C")</f>
        <v>https://app.crepc.sk/?fn=detailBiblioForm&amp;sid=F566C6E0CB47072BFBED22F69C</v>
      </c>
    </row>
    <row r="8944" spans="1:5" ht="60" x14ac:dyDescent="0.25">
      <c r="C8944" s="15">
        <v>151147</v>
      </c>
      <c r="D8944" s="4" t="s">
        <v>8932</v>
      </c>
      <c r="E8944" s="4" t="str">
        <f>HYPERLINK("https://app.crepc.sk/?fn=detailBiblioForm&amp;sid=AF3151A314B042018E93795CD9")</f>
        <v>https://app.crepc.sk/?fn=detailBiblioForm&amp;sid=AF3151A314B042018E93795CD9</v>
      </c>
    </row>
    <row r="8945" spans="3:5" ht="45" x14ac:dyDescent="0.25">
      <c r="C8945" s="15">
        <v>85090</v>
      </c>
      <c r="D8945" s="4" t="s">
        <v>8933</v>
      </c>
      <c r="E8945" s="4" t="str">
        <f>HYPERLINK("https://app.crepc.sk/?fn=detailBiblioForm&amp;sid=DCB3707E7811B2B3BB7A60EB")</f>
        <v>https://app.crepc.sk/?fn=detailBiblioForm&amp;sid=DCB3707E7811B2B3BB7A60EB</v>
      </c>
    </row>
    <row r="8946" spans="3:5" ht="45" x14ac:dyDescent="0.25">
      <c r="C8946" s="15">
        <v>175912</v>
      </c>
      <c r="D8946" s="4" t="s">
        <v>8934</v>
      </c>
      <c r="E8946" s="4" t="str">
        <f>HYPERLINK("https://app.crepc.sk/?fn=detailBiblioForm&amp;sid=4AD13E03A40DD9FCB93D1074EC")</f>
        <v>https://app.crepc.sk/?fn=detailBiblioForm&amp;sid=4AD13E03A40DD9FCB93D1074EC</v>
      </c>
    </row>
    <row r="8947" spans="3:5" ht="60" x14ac:dyDescent="0.25">
      <c r="C8947" s="15">
        <v>430887</v>
      </c>
      <c r="D8947" s="4" t="s">
        <v>8935</v>
      </c>
      <c r="E8947" s="4" t="str">
        <f>HYPERLINK("https://app.crepc.sk/?fn=detailBiblioForm&amp;sid=A283D7FE65670969DBD79D9DD5")</f>
        <v>https://app.crepc.sk/?fn=detailBiblioForm&amp;sid=A283D7FE65670969DBD79D9DD5</v>
      </c>
    </row>
    <row r="8948" spans="3:5" ht="45" x14ac:dyDescent="0.25">
      <c r="C8948" s="15">
        <v>175915</v>
      </c>
      <c r="D8948" s="4" t="s">
        <v>8936</v>
      </c>
      <c r="E8948" s="4" t="str">
        <f>HYPERLINK("https://app.crepc.sk/?fn=detailBiblioForm&amp;sid=4AD13E03A40DD9FCB93A1074EC")</f>
        <v>https://app.crepc.sk/?fn=detailBiblioForm&amp;sid=4AD13E03A40DD9FCB93A1074EC</v>
      </c>
    </row>
    <row r="8949" spans="3:5" ht="60" x14ac:dyDescent="0.25">
      <c r="C8949" s="15">
        <v>83187</v>
      </c>
      <c r="D8949" s="4" t="s">
        <v>8937</v>
      </c>
      <c r="E8949" s="4" t="str">
        <f>HYPERLINK("https://app.crepc.sk/?fn=detailBiblioForm&amp;sid=00B1942FEEE8EFE5F9FBA393")</f>
        <v>https://app.crepc.sk/?fn=detailBiblioForm&amp;sid=00B1942FEEE8EFE5F9FBA393</v>
      </c>
    </row>
    <row r="8950" spans="3:5" ht="45" x14ac:dyDescent="0.25">
      <c r="C8950" s="15">
        <v>175909</v>
      </c>
      <c r="D8950" s="4" t="s">
        <v>8938</v>
      </c>
      <c r="E8950" s="4" t="str">
        <f>HYPERLINK("https://app.crepc.sk/?fn=detailBiblioForm&amp;sid=4AD13E03A40DD9FCB8361074EC")</f>
        <v>https://app.crepc.sk/?fn=detailBiblioForm&amp;sid=4AD13E03A40DD9FCB8361074EC</v>
      </c>
    </row>
    <row r="8951" spans="3:5" ht="90" x14ac:dyDescent="0.25">
      <c r="C8951" s="15">
        <v>105782</v>
      </c>
      <c r="D8951" s="4" t="s">
        <v>8939</v>
      </c>
      <c r="E8951" s="4" t="str">
        <f>HYPERLINK("https://app.crepc.sk/?fn=detailBiblioForm&amp;sid=8BCE8CAA360877AE724534C6D3")</f>
        <v>https://app.crepc.sk/?fn=detailBiblioForm&amp;sid=8BCE8CAA360877AE724534C6D3</v>
      </c>
    </row>
    <row r="8952" spans="3:5" ht="45" x14ac:dyDescent="0.25">
      <c r="C8952" s="15">
        <v>116624</v>
      </c>
      <c r="D8952" s="4" t="s">
        <v>8940</v>
      </c>
      <c r="E8952" s="4" t="str">
        <f>HYPERLINK("https://app.crepc.sk/?fn=detailBiblioForm&amp;sid=C7058B2E53B5EC4D92130DAE3B")</f>
        <v>https://app.crepc.sk/?fn=detailBiblioForm&amp;sid=C7058B2E53B5EC4D92130DAE3B</v>
      </c>
    </row>
    <row r="8953" spans="3:5" ht="60" x14ac:dyDescent="0.25">
      <c r="C8953" s="15">
        <v>181614</v>
      </c>
      <c r="D8953" s="4" t="s">
        <v>8941</v>
      </c>
      <c r="E8953" s="4" t="str">
        <f>HYPERLINK("https://app.crepc.sk/?fn=detailBiblioForm&amp;sid=F0082B7A009D1614B9C475AE99")</f>
        <v>https://app.crepc.sk/?fn=detailBiblioForm&amp;sid=F0082B7A009D1614B9C475AE99</v>
      </c>
    </row>
    <row r="8954" spans="3:5" ht="60" x14ac:dyDescent="0.25">
      <c r="C8954" s="15">
        <v>181615</v>
      </c>
      <c r="D8954" s="4" t="s">
        <v>8942</v>
      </c>
      <c r="E8954" s="4" t="str">
        <f>HYPERLINK("https://app.crepc.sk/?fn=detailBiblioForm&amp;sid=F0082B7A009D1614B9C575AE99")</f>
        <v>https://app.crepc.sk/?fn=detailBiblioForm&amp;sid=F0082B7A009D1614B9C575AE99</v>
      </c>
    </row>
    <row r="8955" spans="3:5" ht="60" x14ac:dyDescent="0.25">
      <c r="C8955" s="15">
        <v>180839</v>
      </c>
      <c r="D8955" s="4" t="s">
        <v>8943</v>
      </c>
      <c r="E8955" s="4" t="str">
        <f>HYPERLINK("https://app.crepc.sk/?fn=detailBiblioForm&amp;sid=CAE3E57F1FDC62BA2AB5B4FED8")</f>
        <v>https://app.crepc.sk/?fn=detailBiblioForm&amp;sid=CAE3E57F1FDC62BA2AB5B4FED8</v>
      </c>
    </row>
    <row r="8956" spans="3:5" ht="45" x14ac:dyDescent="0.25">
      <c r="C8956" s="15">
        <v>181616</v>
      </c>
      <c r="D8956" s="4" t="s">
        <v>8944</v>
      </c>
      <c r="E8956" s="4" t="str">
        <f>HYPERLINK("https://app.crepc.sk/?fn=detailBiblioForm&amp;sid=F0082B7A009D1614B9C675AE99")</f>
        <v>https://app.crepc.sk/?fn=detailBiblioForm&amp;sid=F0082B7A009D1614B9C675AE99</v>
      </c>
    </row>
    <row r="8957" spans="3:5" ht="45" x14ac:dyDescent="0.25">
      <c r="C8957" s="15">
        <v>60066</v>
      </c>
      <c r="D8957" s="4" t="s">
        <v>8945</v>
      </c>
      <c r="E8957" s="4" t="str">
        <f>HYPERLINK("https://app.crepc.sk/?fn=detailBiblioForm&amp;sid=8FA2C3F530400EE94C4D2A89")</f>
        <v>https://app.crepc.sk/?fn=detailBiblioForm&amp;sid=8FA2C3F530400EE94C4D2A89</v>
      </c>
    </row>
    <row r="8958" spans="3:5" ht="45" x14ac:dyDescent="0.25">
      <c r="C8958" s="15">
        <v>180837</v>
      </c>
      <c r="D8958" s="4" t="s">
        <v>8946</v>
      </c>
      <c r="E8958" s="4" t="str">
        <f>HYPERLINK("https://app.crepc.sk/?fn=detailBiblioForm&amp;sid=CAE3E57F1FDC62BA2ABBB4FED8")</f>
        <v>https://app.crepc.sk/?fn=detailBiblioForm&amp;sid=CAE3E57F1FDC62BA2ABBB4FED8</v>
      </c>
    </row>
    <row r="8959" spans="3:5" ht="45" x14ac:dyDescent="0.25">
      <c r="C8959" s="15">
        <v>162037</v>
      </c>
      <c r="D8959" s="4" t="s">
        <v>8947</v>
      </c>
      <c r="E8959" s="4" t="str">
        <f>HYPERLINK("https://app.crepc.sk/?fn=detailBiblioForm&amp;sid=64F3CCE308D9C9BF46ED842526")</f>
        <v>https://app.crepc.sk/?fn=detailBiblioForm&amp;sid=64F3CCE308D9C9BF46ED842526</v>
      </c>
    </row>
    <row r="8960" spans="3:5" ht="45" x14ac:dyDescent="0.25">
      <c r="C8960" s="15">
        <v>151142</v>
      </c>
      <c r="D8960" s="4" t="s">
        <v>8948</v>
      </c>
      <c r="E8960" s="4" t="str">
        <f>HYPERLINK("https://app.crepc.sk/?fn=detailBiblioForm&amp;sid=AF3151A314B042018E96795CD9")</f>
        <v>https://app.crepc.sk/?fn=detailBiblioForm&amp;sid=AF3151A314B042018E96795CD9</v>
      </c>
    </row>
    <row r="8961" spans="3:5" ht="60" x14ac:dyDescent="0.25">
      <c r="C8961" s="15">
        <v>100650</v>
      </c>
      <c r="D8961" s="4" t="s">
        <v>8949</v>
      </c>
      <c r="E8961" s="4" t="str">
        <f>HYPERLINK("https://app.crepc.sk/?fn=detailBiblioForm&amp;sid=2204B64E72E25FC8EC6DF15BC1")</f>
        <v>https://app.crepc.sk/?fn=detailBiblioForm&amp;sid=2204B64E72E25FC8EC6DF15BC1</v>
      </c>
    </row>
    <row r="8962" spans="3:5" ht="45" x14ac:dyDescent="0.25">
      <c r="C8962" s="15">
        <v>60473</v>
      </c>
      <c r="D8962" s="4" t="s">
        <v>8950</v>
      </c>
      <c r="E8962" s="4" t="str">
        <f>HYPERLINK("https://app.crepc.sk/?fn=detailBiblioForm&amp;sid=4F75AB037C7DAC662FD8C4EE")</f>
        <v>https://app.crepc.sk/?fn=detailBiblioForm&amp;sid=4F75AB037C7DAC662FD8C4EE</v>
      </c>
    </row>
    <row r="8963" spans="3:5" ht="60" x14ac:dyDescent="0.25">
      <c r="C8963" s="15">
        <v>168450</v>
      </c>
      <c r="D8963" s="4" t="s">
        <v>8951</v>
      </c>
      <c r="E8963" s="4" t="str">
        <f>HYPERLINK("https://app.crepc.sk/?fn=detailBiblioForm&amp;sid=EDED30F385E76150BDFD548FA8")</f>
        <v>https://app.crepc.sk/?fn=detailBiblioForm&amp;sid=EDED30F385E76150BDFD548FA8</v>
      </c>
    </row>
    <row r="8964" spans="3:5" ht="45" x14ac:dyDescent="0.25">
      <c r="C8964" s="15">
        <v>122767</v>
      </c>
      <c r="D8964" s="4" t="s">
        <v>8952</v>
      </c>
      <c r="E8964" s="4" t="str">
        <f>HYPERLINK("https://app.crepc.sk/?fn=detailBiblioForm&amp;sid=A5B40B0321D8B57908DF09F729")</f>
        <v>https://app.crepc.sk/?fn=detailBiblioForm&amp;sid=A5B40B0321D8B57908DF09F729</v>
      </c>
    </row>
    <row r="8965" spans="3:5" ht="45" x14ac:dyDescent="0.25">
      <c r="C8965" s="15">
        <v>442372</v>
      </c>
      <c r="D8965" s="4" t="s">
        <v>8953</v>
      </c>
      <c r="E8965" s="4" t="str">
        <f>HYPERLINK("https://app.crepc.sk/?fn=detailBiblioForm&amp;sid=F661DE2421DD595D53CF62841D")</f>
        <v>https://app.crepc.sk/?fn=detailBiblioForm&amp;sid=F661DE2421DD595D53CF62841D</v>
      </c>
    </row>
    <row r="8966" spans="3:5" ht="45" x14ac:dyDescent="0.25">
      <c r="C8966" s="15">
        <v>251185</v>
      </c>
      <c r="D8966" s="4" t="s">
        <v>8954</v>
      </c>
      <c r="E8966" s="4" t="str">
        <f>HYPERLINK("https://app.crepc.sk/?fn=detailBiblioForm&amp;sid=39F653ADC89B9C328BBCF67185")</f>
        <v>https://app.crepc.sk/?fn=detailBiblioForm&amp;sid=39F653ADC89B9C328BBCF67185</v>
      </c>
    </row>
    <row r="8967" spans="3:5" ht="45" x14ac:dyDescent="0.25">
      <c r="C8967" s="15">
        <v>80907</v>
      </c>
      <c r="D8967" s="4" t="s">
        <v>8955</v>
      </c>
      <c r="E8967" s="4" t="str">
        <f>HYPERLINK("https://app.crepc.sk/?fn=detailBiblioForm&amp;sid=0DB5664C7E142A9DEBEAFF13")</f>
        <v>https://app.crepc.sk/?fn=detailBiblioForm&amp;sid=0DB5664C7E142A9DEBEAFF13</v>
      </c>
    </row>
    <row r="8968" spans="3:5" ht="30" x14ac:dyDescent="0.25">
      <c r="C8968" s="15">
        <v>69865</v>
      </c>
      <c r="D8968" s="4" t="s">
        <v>8956</v>
      </c>
      <c r="E8968" s="4" t="str">
        <f>HYPERLINK("https://app.crepc.sk/?fn=detailBiblioForm&amp;sid=B5CBAD1822695F2066E996E3")</f>
        <v>https://app.crepc.sk/?fn=detailBiblioForm&amp;sid=B5CBAD1822695F2066E996E3</v>
      </c>
    </row>
    <row r="8969" spans="3:5" ht="45" x14ac:dyDescent="0.25">
      <c r="C8969" s="15">
        <v>465539</v>
      </c>
      <c r="D8969" s="4" t="s">
        <v>8957</v>
      </c>
      <c r="E8969" s="4" t="str">
        <f>HYPERLINK("https://app.crepc.sk/?fn=detailBiblioForm&amp;sid=F88CC8B5A62F537F918DEA38B9")</f>
        <v>https://app.crepc.sk/?fn=detailBiblioForm&amp;sid=F88CC8B5A62F537F918DEA38B9</v>
      </c>
    </row>
    <row r="8970" spans="3:5" ht="45" x14ac:dyDescent="0.25">
      <c r="C8970" s="15">
        <v>60258</v>
      </c>
      <c r="D8970" s="4" t="s">
        <v>8958</v>
      </c>
      <c r="E8970" s="4" t="str">
        <f>HYPERLINK("https://app.crepc.sk/?fn=detailBiblioForm&amp;sid=D794125F480E8161C3FC2E28")</f>
        <v>https://app.crepc.sk/?fn=detailBiblioForm&amp;sid=D794125F480E8161C3FC2E28</v>
      </c>
    </row>
    <row r="8971" spans="3:5" ht="60" x14ac:dyDescent="0.25">
      <c r="C8971" s="15">
        <v>189448</v>
      </c>
      <c r="D8971" s="4" t="s">
        <v>8959</v>
      </c>
      <c r="E8971" s="4" t="str">
        <f>HYPERLINK("https://app.crepc.sk/?fn=detailBiblioForm&amp;sid=6E6F559206AEB7A17209F336A3")</f>
        <v>https://app.crepc.sk/?fn=detailBiblioForm&amp;sid=6E6F559206AEB7A17209F336A3</v>
      </c>
    </row>
    <row r="8972" spans="3:5" ht="60" x14ac:dyDescent="0.25">
      <c r="C8972" s="15">
        <v>60545</v>
      </c>
      <c r="D8972" s="4" t="s">
        <v>8960</v>
      </c>
      <c r="E8972" s="4" t="str">
        <f>HYPERLINK("https://app.crepc.sk/?fn=detailBiblioForm&amp;sid=1F4BD6EF4F546AA0B3536FD1")</f>
        <v>https://app.crepc.sk/?fn=detailBiblioForm&amp;sid=1F4BD6EF4F546AA0B3536FD1</v>
      </c>
    </row>
    <row r="8973" spans="3:5" ht="45" x14ac:dyDescent="0.25">
      <c r="C8973" s="15">
        <v>189698</v>
      </c>
      <c r="D8973" s="4" t="s">
        <v>8961</v>
      </c>
      <c r="E8973" s="4" t="str">
        <f>HYPERLINK("https://app.crepc.sk/?fn=detailBiblioForm&amp;sid=8659C29BADED150F744C084902")</f>
        <v>https://app.crepc.sk/?fn=detailBiblioForm&amp;sid=8659C29BADED150F744C084902</v>
      </c>
    </row>
    <row r="8974" spans="3:5" ht="45" x14ac:dyDescent="0.25">
      <c r="C8974" s="15">
        <v>79344</v>
      </c>
      <c r="D8974" s="4" t="s">
        <v>8962</v>
      </c>
      <c r="E8974" s="4" t="str">
        <f>HYPERLINK("https://app.crepc.sk/?fn=detailBiblioForm&amp;sid=D57FE3658C55FADAE4CFAFFC")</f>
        <v>https://app.crepc.sk/?fn=detailBiblioForm&amp;sid=D57FE3658C55FADAE4CFAFFC</v>
      </c>
    </row>
    <row r="8975" spans="3:5" ht="45" x14ac:dyDescent="0.25">
      <c r="C8975" s="15">
        <v>149183</v>
      </c>
      <c r="D8975" s="4" t="s">
        <v>8963</v>
      </c>
      <c r="E8975" s="4" t="str">
        <f>HYPERLINK("https://app.crepc.sk/?fn=detailBiblioForm&amp;sid=DAA396BB6B0B01134B48686083")</f>
        <v>https://app.crepc.sk/?fn=detailBiblioForm&amp;sid=DAA396BB6B0B01134B48686083</v>
      </c>
    </row>
    <row r="8976" spans="3:5" ht="45" x14ac:dyDescent="0.25">
      <c r="C8976" s="15">
        <v>60464</v>
      </c>
      <c r="D8976" s="4" t="s">
        <v>8964</v>
      </c>
      <c r="E8976" s="4" t="str">
        <f>HYPERLINK("https://app.crepc.sk/?fn=detailBiblioForm&amp;sid=2DC2D499A35F5756C5DF0152")</f>
        <v>https://app.crepc.sk/?fn=detailBiblioForm&amp;sid=2DC2D499A35F5756C5DF0152</v>
      </c>
    </row>
    <row r="8977" spans="3:5" ht="45" x14ac:dyDescent="0.25">
      <c r="C8977" s="15">
        <v>313509</v>
      </c>
      <c r="D8977" s="4" t="s">
        <v>8965</v>
      </c>
      <c r="E8977" s="4" t="str">
        <f>HYPERLINK("https://app.crepc.sk/?fn=detailBiblioForm&amp;sid=84C2C2F763AF22E2C90A0E9486")</f>
        <v>https://app.crepc.sk/?fn=detailBiblioForm&amp;sid=84C2C2F763AF22E2C90A0E9486</v>
      </c>
    </row>
    <row r="8978" spans="3:5" ht="45" x14ac:dyDescent="0.25">
      <c r="C8978" s="15">
        <v>149156</v>
      </c>
      <c r="D8978" s="4" t="s">
        <v>8966</v>
      </c>
      <c r="E8978" s="4" t="str">
        <f>HYPERLINK("https://app.crepc.sk/?fn=detailBiblioForm&amp;sid=DAA396BB6B0B0113464D686083")</f>
        <v>https://app.crepc.sk/?fn=detailBiblioForm&amp;sid=DAA396BB6B0B0113464D686083</v>
      </c>
    </row>
    <row r="8979" spans="3:5" ht="45" x14ac:dyDescent="0.25">
      <c r="C8979" s="15">
        <v>431830</v>
      </c>
      <c r="D8979" s="4" t="s">
        <v>8967</v>
      </c>
      <c r="E8979" s="4" t="str">
        <f>HYPERLINK("https://app.crepc.sk/?fn=detailBiblioForm&amp;sid=3DE6CF9C5F52DC5A469262B88A")</f>
        <v>https://app.crepc.sk/?fn=detailBiblioForm&amp;sid=3DE6CF9C5F52DC5A469262B88A</v>
      </c>
    </row>
    <row r="8980" spans="3:5" ht="45" x14ac:dyDescent="0.25">
      <c r="C8980" s="15">
        <v>215289</v>
      </c>
      <c r="D8980" s="4" t="s">
        <v>8968</v>
      </c>
      <c r="E8980" s="4" t="str">
        <f>HYPERLINK("https://app.crepc.sk/?fn=detailBiblioForm&amp;sid=232B0374A242225DBF09E0C308")</f>
        <v>https://app.crepc.sk/?fn=detailBiblioForm&amp;sid=232B0374A242225DBF09E0C308</v>
      </c>
    </row>
    <row r="8981" spans="3:5" ht="45" x14ac:dyDescent="0.25">
      <c r="C8981" s="15">
        <v>51867</v>
      </c>
      <c r="D8981" s="4" t="s">
        <v>8969</v>
      </c>
      <c r="E8981" s="4" t="str">
        <f>HYPERLINK("https://app.crepc.sk/?fn=detailBiblioForm&amp;sid=EFCF30B327051ECC48D8B032")</f>
        <v>https://app.crepc.sk/?fn=detailBiblioForm&amp;sid=EFCF30B327051ECC48D8B032</v>
      </c>
    </row>
    <row r="8982" spans="3:5" ht="60" x14ac:dyDescent="0.25">
      <c r="C8982" s="15">
        <v>184223</v>
      </c>
      <c r="D8982" s="4" t="s">
        <v>8970</v>
      </c>
      <c r="E8982" s="4" t="str">
        <f>HYPERLINK("https://app.crepc.sk/?fn=detailBiblioForm&amp;sid=51C176E8478ABC8F807463848B")</f>
        <v>https://app.crepc.sk/?fn=detailBiblioForm&amp;sid=51C176E8478ABC8F807463848B</v>
      </c>
    </row>
    <row r="8983" spans="3:5" ht="45" x14ac:dyDescent="0.25">
      <c r="C8983" s="15">
        <v>251168</v>
      </c>
      <c r="D8983" s="4" t="s">
        <v>8971</v>
      </c>
      <c r="E8983" s="4" t="str">
        <f>HYPERLINK("https://app.crepc.sk/?fn=detailBiblioForm&amp;sid=39F653ADC89B9C3285B1F67185")</f>
        <v>https://app.crepc.sk/?fn=detailBiblioForm&amp;sid=39F653ADC89B9C3285B1F67185</v>
      </c>
    </row>
    <row r="8984" spans="3:5" ht="45" x14ac:dyDescent="0.25">
      <c r="C8984" s="15">
        <v>58583</v>
      </c>
      <c r="D8984" s="4" t="s">
        <v>8972</v>
      </c>
      <c r="E8984" s="4" t="str">
        <f>HYPERLINK("https://app.crepc.sk/?fn=detailBiblioForm&amp;sid=B2D176EE0DC7E63453FF1088")</f>
        <v>https://app.crepc.sk/?fn=detailBiblioForm&amp;sid=B2D176EE0DC7E63453FF1088</v>
      </c>
    </row>
    <row r="8985" spans="3:5" ht="45" x14ac:dyDescent="0.25">
      <c r="C8985" s="15">
        <v>215290</v>
      </c>
      <c r="D8985" s="4" t="s">
        <v>8973</v>
      </c>
      <c r="E8985" s="4" t="str">
        <f>HYPERLINK("https://app.crepc.sk/?fn=detailBiblioForm&amp;sid=232B0374A242225DBE00E0C308")</f>
        <v>https://app.crepc.sk/?fn=detailBiblioForm&amp;sid=232B0374A242225DBE00E0C308</v>
      </c>
    </row>
    <row r="8986" spans="3:5" ht="60" x14ac:dyDescent="0.25">
      <c r="C8986" s="15">
        <v>189441</v>
      </c>
      <c r="D8986" s="4" t="s">
        <v>8974</v>
      </c>
      <c r="E8986" s="4" t="str">
        <f>HYPERLINK("https://app.crepc.sk/?fn=detailBiblioForm&amp;sid=6E6F559206AEB7A17200F336A3")</f>
        <v>https://app.crepc.sk/?fn=detailBiblioForm&amp;sid=6E6F559206AEB7A17200F336A3</v>
      </c>
    </row>
    <row r="8987" spans="3:5" ht="45" x14ac:dyDescent="0.25">
      <c r="C8987" s="15">
        <v>200103</v>
      </c>
      <c r="D8987" s="4" t="s">
        <v>8975</v>
      </c>
      <c r="E8987" s="4" t="str">
        <f>HYPERLINK("https://app.crepc.sk/?fn=detailBiblioForm&amp;sid=9097805B3BD10337EC6259D914")</f>
        <v>https://app.crepc.sk/?fn=detailBiblioForm&amp;sid=9097805B3BD10337EC6259D914</v>
      </c>
    </row>
    <row r="8988" spans="3:5" ht="45" x14ac:dyDescent="0.25">
      <c r="C8988" s="15">
        <v>215249</v>
      </c>
      <c r="D8988" s="4" t="s">
        <v>8976</v>
      </c>
      <c r="E8988" s="4" t="str">
        <f>HYPERLINK("https://app.crepc.sk/?fn=detailBiblioForm&amp;sid=232B0374A242225DB309E0C308")</f>
        <v>https://app.crepc.sk/?fn=detailBiblioForm&amp;sid=232B0374A242225DB309E0C308</v>
      </c>
    </row>
    <row r="8989" spans="3:5" ht="45" x14ac:dyDescent="0.25">
      <c r="C8989" s="15">
        <v>317062</v>
      </c>
      <c r="D8989" s="4" t="s">
        <v>8977</v>
      </c>
      <c r="E8989" s="4" t="str">
        <f>HYPERLINK("https://app.crepc.sk/?fn=detailBiblioForm&amp;sid=9E980E46FB2294B720D12803F1")</f>
        <v>https://app.crepc.sk/?fn=detailBiblioForm&amp;sid=9E980E46FB2294B720D12803F1</v>
      </c>
    </row>
    <row r="8990" spans="3:5" ht="45" x14ac:dyDescent="0.25">
      <c r="C8990" s="15">
        <v>176690</v>
      </c>
      <c r="D8990" s="4" t="s">
        <v>8978</v>
      </c>
      <c r="E8990" s="4" t="str">
        <f>HYPERLINK("https://app.crepc.sk/?fn=detailBiblioForm&amp;sid=A620BEC7F66F1ABEDF11EBCE76")</f>
        <v>https://app.crepc.sk/?fn=detailBiblioForm&amp;sid=A620BEC7F66F1ABEDF11EBCE76</v>
      </c>
    </row>
    <row r="8991" spans="3:5" ht="45" x14ac:dyDescent="0.25">
      <c r="C8991" s="15">
        <v>251182</v>
      </c>
      <c r="D8991" s="4" t="s">
        <v>8979</v>
      </c>
      <c r="E8991" s="4" t="str">
        <f>HYPERLINK("https://app.crepc.sk/?fn=detailBiblioForm&amp;sid=39F653ADC89B9C328BBBF67185")</f>
        <v>https://app.crepc.sk/?fn=detailBiblioForm&amp;sid=39F653ADC89B9C328BBBF67185</v>
      </c>
    </row>
    <row r="8992" spans="3:5" ht="45" x14ac:dyDescent="0.25">
      <c r="C8992" s="15">
        <v>80872</v>
      </c>
      <c r="D8992" s="4" t="s">
        <v>8980</v>
      </c>
      <c r="E8992" s="4" t="str">
        <f>HYPERLINK("https://app.crepc.sk/?fn=detailBiblioForm&amp;sid=702C30BF6147FD5F83DF172C")</f>
        <v>https://app.crepc.sk/?fn=detailBiblioForm&amp;sid=702C30BF6147FD5F83DF172C</v>
      </c>
    </row>
    <row r="8993" spans="3:5" ht="45" x14ac:dyDescent="0.25">
      <c r="C8993" s="15">
        <v>312271</v>
      </c>
      <c r="D8993" s="4" t="s">
        <v>8981</v>
      </c>
      <c r="E8993" s="4" t="str">
        <f>HYPERLINK("https://app.crepc.sk/?fn=detailBiblioForm&amp;sid=710241CBC6D4101CBE9485ADCA")</f>
        <v>https://app.crepc.sk/?fn=detailBiblioForm&amp;sid=710241CBC6D4101CBE9485ADCA</v>
      </c>
    </row>
    <row r="8994" spans="3:5" ht="45" x14ac:dyDescent="0.25">
      <c r="C8994" s="15">
        <v>60455</v>
      </c>
      <c r="D8994" s="4" t="s">
        <v>8982</v>
      </c>
      <c r="E8994" s="4" t="str">
        <f>HYPERLINK("https://app.crepc.sk/?fn=detailBiblioForm&amp;sid=54A022FB74776A0D26DEB1CB")</f>
        <v>https://app.crepc.sk/?fn=detailBiblioForm&amp;sid=54A022FB74776A0D26DEB1CB</v>
      </c>
    </row>
    <row r="8995" spans="3:5" ht="45" x14ac:dyDescent="0.25">
      <c r="C8995" s="15">
        <v>106052</v>
      </c>
      <c r="D8995" s="4" t="s">
        <v>8983</v>
      </c>
      <c r="E8995" s="4" t="str">
        <f>HYPERLINK("https://app.crepc.sk/?fn=detailBiblioForm&amp;sid=07EF298E455E7FC50A9DD1B4B2")</f>
        <v>https://app.crepc.sk/?fn=detailBiblioForm&amp;sid=07EF298E455E7FC50A9DD1B4B2</v>
      </c>
    </row>
    <row r="8996" spans="3:5" ht="45" x14ac:dyDescent="0.25">
      <c r="C8996" s="15">
        <v>106151</v>
      </c>
      <c r="D8996" s="4" t="s">
        <v>8984</v>
      </c>
      <c r="E8996" s="4" t="str">
        <f>HYPERLINK("https://app.crepc.sk/?fn=detailBiblioForm&amp;sid=4D4650D7C82505D34CFA76FBD7")</f>
        <v>https://app.crepc.sk/?fn=detailBiblioForm&amp;sid=4D4650D7C82505D34CFA76FBD7</v>
      </c>
    </row>
    <row r="8997" spans="3:5" ht="45" x14ac:dyDescent="0.25">
      <c r="C8997" s="15">
        <v>176687</v>
      </c>
      <c r="D8997" s="4" t="s">
        <v>8985</v>
      </c>
      <c r="E8997" s="4" t="str">
        <f>HYPERLINK("https://app.crepc.sk/?fn=detailBiblioForm&amp;sid=A620BEC7F66F1ABEDE16EBCE76")</f>
        <v>https://app.crepc.sk/?fn=detailBiblioForm&amp;sid=A620BEC7F66F1ABEDE16EBCE76</v>
      </c>
    </row>
    <row r="8998" spans="3:5" ht="60" x14ac:dyDescent="0.25">
      <c r="C8998" s="15">
        <v>316205</v>
      </c>
      <c r="D8998" s="4" t="s">
        <v>8986</v>
      </c>
      <c r="E8998" s="4" t="str">
        <f>HYPERLINK("https://app.crepc.sk/?fn=detailBiblioForm&amp;sid=791E4A260FB3471CC8B1FEBA13")</f>
        <v>https://app.crepc.sk/?fn=detailBiblioForm&amp;sid=791E4A260FB3471CC8B1FEBA13</v>
      </c>
    </row>
    <row r="8999" spans="3:5" ht="45" x14ac:dyDescent="0.25">
      <c r="C8999" s="15">
        <v>60470</v>
      </c>
      <c r="D8999" s="4" t="s">
        <v>8987</v>
      </c>
      <c r="E8999" s="4" t="str">
        <f>HYPERLINK("https://app.crepc.sk/?fn=detailBiblioForm&amp;sid=4F75AB037C7DAC662CD8C4EE")</f>
        <v>https://app.crepc.sk/?fn=detailBiblioForm&amp;sid=4F75AB037C7DAC662CD8C4EE</v>
      </c>
    </row>
    <row r="9000" spans="3:5" ht="90" x14ac:dyDescent="0.25">
      <c r="C9000" s="15">
        <v>423497</v>
      </c>
      <c r="D9000" s="4" t="s">
        <v>8988</v>
      </c>
      <c r="E9000" s="4" t="str">
        <f>HYPERLINK("https://app.crepc.sk/?fn=detailBiblioForm&amp;sid=FA3B7316EF32B7DB8DE13C238D")</f>
        <v>https://app.crepc.sk/?fn=detailBiblioForm&amp;sid=FA3B7316EF32B7DB8DE13C238D</v>
      </c>
    </row>
    <row r="9001" spans="3:5" ht="75" x14ac:dyDescent="0.25">
      <c r="C9001" s="15">
        <v>202561</v>
      </c>
      <c r="D9001" s="4" t="s">
        <v>8989</v>
      </c>
      <c r="E9001" s="4" t="str">
        <f>HYPERLINK("https://app.crepc.sk/?fn=detailBiblioForm&amp;sid=3036734F2764D6FCC334D36630")</f>
        <v>https://app.crepc.sk/?fn=detailBiblioForm&amp;sid=3036734F2764D6FCC334D36630</v>
      </c>
    </row>
    <row r="9002" spans="3:5" ht="60" x14ac:dyDescent="0.25">
      <c r="C9002" s="15">
        <v>132678</v>
      </c>
      <c r="D9002" s="4" t="s">
        <v>8990</v>
      </c>
      <c r="E9002" s="4" t="str">
        <f>HYPERLINK("https://app.crepc.sk/?fn=detailBiblioForm&amp;sid=45946F80BD0ADF8331067F64E5")</f>
        <v>https://app.crepc.sk/?fn=detailBiblioForm&amp;sid=45946F80BD0ADF8331067F64E5</v>
      </c>
    </row>
    <row r="9003" spans="3:5" ht="45" x14ac:dyDescent="0.25">
      <c r="C9003" s="15">
        <v>140021</v>
      </c>
      <c r="D9003" s="4" t="s">
        <v>8991</v>
      </c>
      <c r="E9003" s="4" t="str">
        <f>HYPERLINK("https://app.crepc.sk/?fn=detailBiblioForm&amp;sid=C8A43D1D2346C0592AAAA960AA")</f>
        <v>https://app.crepc.sk/?fn=detailBiblioForm&amp;sid=C8A43D1D2346C0592AAAA960AA</v>
      </c>
    </row>
    <row r="9004" spans="3:5" ht="45" x14ac:dyDescent="0.25">
      <c r="C9004" s="15">
        <v>60070</v>
      </c>
      <c r="D9004" s="4" t="s">
        <v>8992</v>
      </c>
      <c r="E9004" s="4" t="str">
        <f>HYPERLINK("https://app.crepc.sk/?fn=detailBiblioForm&amp;sid=4D381971A6602DE2165AC94B")</f>
        <v>https://app.crepc.sk/?fn=detailBiblioForm&amp;sid=4D381971A6602DE2165AC94B</v>
      </c>
    </row>
    <row r="9005" spans="3:5" ht="75" x14ac:dyDescent="0.25">
      <c r="C9005" s="15">
        <v>98997</v>
      </c>
      <c r="D9005" s="4" t="s">
        <v>8993</v>
      </c>
      <c r="E9005" s="4" t="str">
        <f>HYPERLINK("https://app.crepc.sk/?fn=detailBiblioForm&amp;sid=980AAF38253191227931A53F")</f>
        <v>https://app.crepc.sk/?fn=detailBiblioForm&amp;sid=980AAF38253191227931A53F</v>
      </c>
    </row>
    <row r="9006" spans="3:5" ht="75" x14ac:dyDescent="0.25">
      <c r="C9006" s="15">
        <v>131714</v>
      </c>
      <c r="D9006" s="4" t="s">
        <v>8994</v>
      </c>
      <c r="E9006" s="4" t="str">
        <f>HYPERLINK("https://app.crepc.sk/?fn=detailBiblioForm&amp;sid=25EF2F987A3BF400FB49E7722F")</f>
        <v>https://app.crepc.sk/?fn=detailBiblioForm&amp;sid=25EF2F987A3BF400FB49E7722F</v>
      </c>
    </row>
    <row r="9007" spans="3:5" ht="45" x14ac:dyDescent="0.25">
      <c r="C9007" s="15">
        <v>56799</v>
      </c>
      <c r="D9007" s="4" t="s">
        <v>8995</v>
      </c>
      <c r="E9007" s="4" t="str">
        <f>HYPERLINK("https://app.crepc.sk/?fn=detailBiblioForm&amp;sid=B033DD22EF35472208088204")</f>
        <v>https://app.crepc.sk/?fn=detailBiblioForm&amp;sid=B033DD22EF35472208088204</v>
      </c>
    </row>
    <row r="9008" spans="3:5" ht="45" x14ac:dyDescent="0.25">
      <c r="C9008" s="15">
        <v>180838</v>
      </c>
      <c r="D9008" s="4" t="s">
        <v>8996</v>
      </c>
      <c r="E9008" s="4" t="str">
        <f>HYPERLINK("https://app.crepc.sk/?fn=detailBiblioForm&amp;sid=CAE3E57F1FDC62BA2AB4B4FED8")</f>
        <v>https://app.crepc.sk/?fn=detailBiblioForm&amp;sid=CAE3E57F1FDC62BA2AB4B4FED8</v>
      </c>
    </row>
    <row r="9009" spans="3:5" ht="45" x14ac:dyDescent="0.25">
      <c r="C9009" s="15">
        <v>235047</v>
      </c>
      <c r="D9009" s="4" t="s">
        <v>8997</v>
      </c>
      <c r="E9009" s="4" t="str">
        <f>HYPERLINK("https://app.crepc.sk/?fn=detailBiblioForm&amp;sid=1672AA2C7269BEB14B2560D9C8")</f>
        <v>https://app.crepc.sk/?fn=detailBiblioForm&amp;sid=1672AA2C7269BEB14B2560D9C8</v>
      </c>
    </row>
    <row r="9010" spans="3:5" ht="45" x14ac:dyDescent="0.25">
      <c r="C9010" s="15">
        <v>312446</v>
      </c>
      <c r="D9010" s="4" t="s">
        <v>8998</v>
      </c>
      <c r="E9010" s="4" t="str">
        <f>HYPERLINK("https://app.crepc.sk/?fn=detailBiblioForm&amp;sid=29E831AA7AE2D1910BE62E0FED")</f>
        <v>https://app.crepc.sk/?fn=detailBiblioForm&amp;sid=29E831AA7AE2D1910BE62E0FED</v>
      </c>
    </row>
    <row r="9011" spans="3:5" ht="45" x14ac:dyDescent="0.25">
      <c r="C9011" s="15">
        <v>119752</v>
      </c>
      <c r="D9011" s="4" t="s">
        <v>8999</v>
      </c>
      <c r="E9011" s="4" t="str">
        <f>HYPERLINK("https://app.crepc.sk/?fn=detailBiblioForm&amp;sid=B5D677CC38484FF0529F3AF3C2")</f>
        <v>https://app.crepc.sk/?fn=detailBiblioForm&amp;sid=B5D677CC38484FF0529F3AF3C2</v>
      </c>
    </row>
    <row r="9012" spans="3:5" ht="45" x14ac:dyDescent="0.25">
      <c r="C9012" s="15">
        <v>57974</v>
      </c>
      <c r="D9012" s="4" t="s">
        <v>9000</v>
      </c>
      <c r="E9012" s="4" t="str">
        <f>HYPERLINK("https://app.crepc.sk/?fn=detailBiblioForm&amp;sid=5252CCBFE40F27A4525D0E57")</f>
        <v>https://app.crepc.sk/?fn=detailBiblioForm&amp;sid=5252CCBFE40F27A4525D0E57</v>
      </c>
    </row>
    <row r="9013" spans="3:5" ht="45" x14ac:dyDescent="0.25">
      <c r="C9013" s="15">
        <v>175481</v>
      </c>
      <c r="D9013" s="4" t="s">
        <v>9001</v>
      </c>
      <c r="E9013" s="4" t="str">
        <f>HYPERLINK("https://app.crepc.sk/?fn=detailBiblioForm&amp;sid=5E8AE344A08831ABC58A03A46F")</f>
        <v>https://app.crepc.sk/?fn=detailBiblioForm&amp;sid=5E8AE344A08831ABC58A03A46F</v>
      </c>
    </row>
    <row r="9014" spans="3:5" ht="45" x14ac:dyDescent="0.25">
      <c r="C9014" s="15">
        <v>235104</v>
      </c>
      <c r="D9014" s="4" t="s">
        <v>9002</v>
      </c>
      <c r="E9014" s="4" t="str">
        <f>HYPERLINK("https://app.crepc.sk/?fn=detailBiblioForm&amp;sid=7CC85D9BBAA576830BF7919818")</f>
        <v>https://app.crepc.sk/?fn=detailBiblioForm&amp;sid=7CC85D9BBAA576830BF7919818</v>
      </c>
    </row>
    <row r="9015" spans="3:5" ht="60" x14ac:dyDescent="0.25">
      <c r="C9015" s="15">
        <v>189459</v>
      </c>
      <c r="D9015" s="4" t="s">
        <v>9003</v>
      </c>
      <c r="E9015" s="4" t="str">
        <f>HYPERLINK("https://app.crepc.sk/?fn=detailBiblioForm&amp;sid=6E6F559206AEB7A17308F336A3")</f>
        <v>https://app.crepc.sk/?fn=detailBiblioForm&amp;sid=6E6F559206AEB7A17308F336A3</v>
      </c>
    </row>
    <row r="9016" spans="3:5" ht="75" x14ac:dyDescent="0.25">
      <c r="C9016" s="15">
        <v>149393</v>
      </c>
      <c r="D9016" s="4" t="s">
        <v>9004</v>
      </c>
      <c r="E9016" s="4" t="str">
        <f>HYPERLINK("https://app.crepc.sk/?fn=detailBiblioForm&amp;sid=D01AE3E6A036F3F6518E797264")</f>
        <v>https://app.crepc.sk/?fn=detailBiblioForm&amp;sid=D01AE3E6A036F3F6518E797264</v>
      </c>
    </row>
    <row r="9017" spans="3:5" ht="105" x14ac:dyDescent="0.25">
      <c r="C9017" s="15">
        <v>423498</v>
      </c>
      <c r="D9017" s="4" t="s">
        <v>9005</v>
      </c>
      <c r="E9017" s="4" t="str">
        <f>HYPERLINK("https://app.crepc.sk/?fn=detailBiblioForm&amp;sid=FA3B7316EF32B7DB8DEE3C238D")</f>
        <v>https://app.crepc.sk/?fn=detailBiblioForm&amp;sid=FA3B7316EF32B7DB8DEE3C238D</v>
      </c>
    </row>
    <row r="9018" spans="3:5" ht="90" x14ac:dyDescent="0.25">
      <c r="C9018" s="15">
        <v>423496</v>
      </c>
      <c r="D9018" s="4" t="s">
        <v>9006</v>
      </c>
      <c r="E9018" s="4" t="str">
        <f>HYPERLINK("https://app.crepc.sk/?fn=detailBiblioForm&amp;sid=FA3B7316EF32B7DB8DE03C238D")</f>
        <v>https://app.crepc.sk/?fn=detailBiblioForm&amp;sid=FA3B7316EF32B7DB8DE03C238D</v>
      </c>
    </row>
    <row r="9019" spans="3:5" ht="45" x14ac:dyDescent="0.25">
      <c r="C9019" s="15">
        <v>149178</v>
      </c>
      <c r="D9019" s="4" t="s">
        <v>9007</v>
      </c>
      <c r="E9019" s="4" t="str">
        <f>HYPERLINK("https://app.crepc.sk/?fn=detailBiblioForm&amp;sid=DAA396BB6B0B01134443686083")</f>
        <v>https://app.crepc.sk/?fn=detailBiblioForm&amp;sid=DAA396BB6B0B01134443686083</v>
      </c>
    </row>
    <row r="9020" spans="3:5" ht="75" x14ac:dyDescent="0.25">
      <c r="C9020" s="15">
        <v>243719</v>
      </c>
      <c r="D9020" s="4" t="s">
        <v>9008</v>
      </c>
      <c r="E9020" s="4" t="str">
        <f>HYPERLINK("https://app.crepc.sk/?fn=detailBiblioForm&amp;sid=2C1FA4E865DFB01833F5B86F85")</f>
        <v>https://app.crepc.sk/?fn=detailBiblioForm&amp;sid=2C1FA4E865DFB01833F5B86F85</v>
      </c>
    </row>
    <row r="9021" spans="3:5" ht="60" x14ac:dyDescent="0.25">
      <c r="C9021" s="15">
        <v>222961</v>
      </c>
      <c r="D9021" s="4" t="s">
        <v>9009</v>
      </c>
      <c r="E9021" s="4" t="str">
        <f>HYPERLINK("https://app.crepc.sk/?fn=detailBiblioForm&amp;sid=3EB214094647B864F057E070FE")</f>
        <v>https://app.crepc.sk/?fn=detailBiblioForm&amp;sid=3EB214094647B864F057E070FE</v>
      </c>
    </row>
    <row r="9022" spans="3:5" ht="60" x14ac:dyDescent="0.25">
      <c r="C9022" s="15">
        <v>436047</v>
      </c>
      <c r="D9022" s="4" t="s">
        <v>9010</v>
      </c>
      <c r="E9022" s="4" t="str">
        <f>HYPERLINK("https://app.crepc.sk/?fn=detailBiblioForm&amp;sid=0D8840D8555AF42F40856A8F01")</f>
        <v>https://app.crepc.sk/?fn=detailBiblioForm&amp;sid=0D8840D8555AF42F40856A8F01</v>
      </c>
    </row>
    <row r="9023" spans="3:5" ht="45" x14ac:dyDescent="0.25">
      <c r="C9023" s="15">
        <v>60331</v>
      </c>
      <c r="D9023" s="4" t="s">
        <v>9011</v>
      </c>
      <c r="E9023" s="4" t="str">
        <f>HYPERLINK("https://app.crepc.sk/?fn=detailBiblioForm&amp;sid=4B4C576FB34CA0F3ABFF411E")</f>
        <v>https://app.crepc.sk/?fn=detailBiblioForm&amp;sid=4B4C576FB34CA0F3ABFF411E</v>
      </c>
    </row>
    <row r="9024" spans="3:5" ht="45" x14ac:dyDescent="0.25">
      <c r="C9024" s="15">
        <v>429826</v>
      </c>
      <c r="D9024" s="4" t="s">
        <v>9012</v>
      </c>
      <c r="E9024" s="4" t="str">
        <f>HYPERLINK("https://app.crepc.sk/?fn=detailBiblioForm&amp;sid=3FA563B72988EE5760E4BF1D97")</f>
        <v>https://app.crepc.sk/?fn=detailBiblioForm&amp;sid=3FA563B72988EE5760E4BF1D97</v>
      </c>
    </row>
    <row r="9025" spans="3:5" ht="45" x14ac:dyDescent="0.25">
      <c r="C9025" s="15">
        <v>179587</v>
      </c>
      <c r="D9025" s="4" t="s">
        <v>9013</v>
      </c>
      <c r="E9025" s="4" t="str">
        <f>HYPERLINK("https://app.crepc.sk/?fn=detailBiblioForm&amp;sid=D2CDA85DA56256F2783A8485A6")</f>
        <v>https://app.crepc.sk/?fn=detailBiblioForm&amp;sid=D2CDA85DA56256F2783A8485A6</v>
      </c>
    </row>
    <row r="9026" spans="3:5" ht="45" x14ac:dyDescent="0.25">
      <c r="C9026" s="15">
        <v>100100</v>
      </c>
      <c r="D9026" s="4" t="s">
        <v>9014</v>
      </c>
      <c r="E9026" s="4" t="str">
        <f>HYPERLINK("https://app.crepc.sk/?fn=detailBiblioForm&amp;sid=5BFE66B123F0ED37A65F1F9F3C")</f>
        <v>https://app.crepc.sk/?fn=detailBiblioForm&amp;sid=5BFE66B123F0ED37A65F1F9F3C</v>
      </c>
    </row>
    <row r="9027" spans="3:5" ht="45" x14ac:dyDescent="0.25">
      <c r="C9027" s="15">
        <v>60097</v>
      </c>
      <c r="D9027" s="4" t="s">
        <v>9015</v>
      </c>
      <c r="E9027" s="4" t="str">
        <f>HYPERLINK("https://app.crepc.sk/?fn=detailBiblioForm&amp;sid=4FC0A9E4E690E573977E7059")</f>
        <v>https://app.crepc.sk/?fn=detailBiblioForm&amp;sid=4FC0A9E4E690E573977E7059</v>
      </c>
    </row>
    <row r="9028" spans="3:5" ht="45" x14ac:dyDescent="0.25">
      <c r="C9028" s="15">
        <v>312291</v>
      </c>
      <c r="D9028" s="4" t="s">
        <v>9016</v>
      </c>
      <c r="E9028" s="4" t="str">
        <f>HYPERLINK("https://app.crepc.sk/?fn=detailBiblioForm&amp;sid=710241CBC6D4101CB09485ADCA")</f>
        <v>https://app.crepc.sk/?fn=detailBiblioForm&amp;sid=710241CBC6D4101CB09485ADCA</v>
      </c>
    </row>
    <row r="9029" spans="3:5" ht="60" x14ac:dyDescent="0.25">
      <c r="C9029" s="15">
        <v>60032</v>
      </c>
      <c r="D9029" s="4" t="s">
        <v>9017</v>
      </c>
      <c r="E9029" s="4" t="str">
        <f>HYPERLINK("https://app.crepc.sk/?fn=detailBiblioForm&amp;sid=6D1F437F914A657C8155DE03")</f>
        <v>https://app.crepc.sk/?fn=detailBiblioForm&amp;sid=6D1F437F914A657C8155DE03</v>
      </c>
    </row>
    <row r="9030" spans="3:5" ht="45" x14ac:dyDescent="0.25">
      <c r="C9030" s="15">
        <v>60883</v>
      </c>
      <c r="D9030" s="4" t="s">
        <v>9018</v>
      </c>
      <c r="E9030" s="4" t="str">
        <f>HYPERLINK("https://app.crepc.sk/?fn=detailBiblioForm&amp;sid=CF536B9DD48FBF0C5AA6EECF")</f>
        <v>https://app.crepc.sk/?fn=detailBiblioForm&amp;sid=CF536B9DD48FBF0C5AA6EECF</v>
      </c>
    </row>
    <row r="9031" spans="3:5" ht="45" x14ac:dyDescent="0.25">
      <c r="C9031" s="15">
        <v>60027</v>
      </c>
      <c r="D9031" s="4" t="s">
        <v>9019</v>
      </c>
      <c r="E9031" s="4" t="str">
        <f>HYPERLINK("https://app.crepc.sk/?fn=detailBiblioForm&amp;sid=B0FEE09FE39F30AAD1A8A287")</f>
        <v>https://app.crepc.sk/?fn=detailBiblioForm&amp;sid=B0FEE09FE39F30AAD1A8A287</v>
      </c>
    </row>
    <row r="9032" spans="3:5" ht="60" x14ac:dyDescent="0.25">
      <c r="C9032" s="15">
        <v>51864</v>
      </c>
      <c r="D9032" s="4" t="s">
        <v>9020</v>
      </c>
      <c r="E9032" s="4" t="str">
        <f>HYPERLINK("https://app.crepc.sk/?fn=detailBiblioForm&amp;sid=EFCF30B327051ECC4BD8B032")</f>
        <v>https://app.crepc.sk/?fn=detailBiblioForm&amp;sid=EFCF30B327051ECC4BD8B032</v>
      </c>
    </row>
    <row r="9033" spans="3:5" ht="45" x14ac:dyDescent="0.25">
      <c r="C9033" s="15">
        <v>239808</v>
      </c>
      <c r="D9033" s="4" t="s">
        <v>9021</v>
      </c>
      <c r="E9033" s="4" t="str">
        <f>HYPERLINK("https://app.crepc.sk/?fn=detailBiblioForm&amp;sid=264ED3FE4CF1513A3F14D53EB9")</f>
        <v>https://app.crepc.sk/?fn=detailBiblioForm&amp;sid=264ED3FE4CF1513A3F14D53EB9</v>
      </c>
    </row>
    <row r="9034" spans="3:5" ht="75" x14ac:dyDescent="0.25">
      <c r="C9034" s="15">
        <v>189439</v>
      </c>
      <c r="D9034" s="4" t="s">
        <v>9022</v>
      </c>
      <c r="E9034" s="4" t="str">
        <f>HYPERLINK("https://app.crepc.sk/?fn=detailBiblioForm&amp;sid=6E6F559206AEB7A17508F336A3")</f>
        <v>https://app.crepc.sk/?fn=detailBiblioForm&amp;sid=6E6F559206AEB7A17508F336A3</v>
      </c>
    </row>
    <row r="9035" spans="3:5" ht="45" x14ac:dyDescent="0.25">
      <c r="C9035" s="15">
        <v>189428</v>
      </c>
      <c r="D9035" s="4" t="s">
        <v>9023</v>
      </c>
      <c r="E9035" s="4" t="str">
        <f>HYPERLINK("https://app.crepc.sk/?fn=detailBiblioForm&amp;sid=6E6F559206AEB7A17409F336A3")</f>
        <v>https://app.crepc.sk/?fn=detailBiblioForm&amp;sid=6E6F559206AEB7A17409F336A3</v>
      </c>
    </row>
    <row r="9036" spans="3:5" ht="60" x14ac:dyDescent="0.25">
      <c r="C9036" s="15">
        <v>215263</v>
      </c>
      <c r="D9036" s="4" t="s">
        <v>9024</v>
      </c>
      <c r="E9036" s="4" t="str">
        <f>HYPERLINK("https://app.crepc.sk/?fn=detailBiblioForm&amp;sid=232B0374A242225DB103E0C308")</f>
        <v>https://app.crepc.sk/?fn=detailBiblioForm&amp;sid=232B0374A242225DB103E0C308</v>
      </c>
    </row>
    <row r="9037" spans="3:5" ht="60" x14ac:dyDescent="0.25">
      <c r="C9037" s="15">
        <v>60432</v>
      </c>
      <c r="D9037" s="4" t="s">
        <v>9025</v>
      </c>
      <c r="E9037" s="4" t="str">
        <f>HYPERLINK("https://app.crepc.sk/?fn=detailBiblioForm&amp;sid=56C82A2AF030F7DBC4F86775")</f>
        <v>https://app.crepc.sk/?fn=detailBiblioForm&amp;sid=56C82A2AF030F7DBC4F86775</v>
      </c>
    </row>
    <row r="9038" spans="3:5" ht="45" x14ac:dyDescent="0.25">
      <c r="C9038" s="15">
        <v>451189</v>
      </c>
      <c r="D9038" s="4" t="s">
        <v>9026</v>
      </c>
      <c r="E9038" s="4" t="str">
        <f>HYPERLINK("https://app.crepc.sk/?fn=detailBiblioForm&amp;sid=9F0385A5C8BE0E5AA75D8D3D04")</f>
        <v>https://app.crepc.sk/?fn=detailBiblioForm&amp;sid=9F0385A5C8BE0E5AA75D8D3D04</v>
      </c>
    </row>
    <row r="9039" spans="3:5" ht="45" x14ac:dyDescent="0.25">
      <c r="C9039" s="15">
        <v>189452</v>
      </c>
      <c r="D9039" s="4" t="s">
        <v>9027</v>
      </c>
      <c r="E9039" s="4" t="str">
        <f>HYPERLINK("https://app.crepc.sk/?fn=detailBiblioForm&amp;sid=6E6F559206AEB7A17303F336A3")</f>
        <v>https://app.crepc.sk/?fn=detailBiblioForm&amp;sid=6E6F559206AEB7A17303F336A3</v>
      </c>
    </row>
    <row r="9040" spans="3:5" ht="45" x14ac:dyDescent="0.25">
      <c r="C9040" s="15">
        <v>94961</v>
      </c>
      <c r="D9040" s="4" t="s">
        <v>9028</v>
      </c>
      <c r="E9040" s="4" t="str">
        <f>HYPERLINK("https://app.crepc.sk/?fn=detailBiblioForm&amp;sid=89E34B0C3E6D521C033B8E9C")</f>
        <v>https://app.crepc.sk/?fn=detailBiblioForm&amp;sid=89E34B0C3E6D521C033B8E9C</v>
      </c>
    </row>
    <row r="9041" spans="3:5" ht="75" x14ac:dyDescent="0.25">
      <c r="C9041" s="15">
        <v>306058</v>
      </c>
      <c r="D9041" s="4" t="s">
        <v>9029</v>
      </c>
      <c r="E9041" s="4" t="str">
        <f>HYPERLINK("https://app.crepc.sk/?fn=detailBiblioForm&amp;sid=443B365C6541D2304BD57C2769")</f>
        <v>https://app.crepc.sk/?fn=detailBiblioForm&amp;sid=443B365C6541D2304BD57C2769</v>
      </c>
    </row>
    <row r="9042" spans="3:5" ht="45" x14ac:dyDescent="0.25">
      <c r="C9042" s="15">
        <v>60050</v>
      </c>
      <c r="D9042" s="4" t="s">
        <v>9030</v>
      </c>
      <c r="E9042" s="4" t="str">
        <f>HYPERLINK("https://app.crepc.sk/?fn=detailBiblioForm&amp;sid=F118E8195DE6E2EC2FED003D")</f>
        <v>https://app.crepc.sk/?fn=detailBiblioForm&amp;sid=F118E8195DE6E2EC2FED003D</v>
      </c>
    </row>
    <row r="9043" spans="3:5" ht="45" x14ac:dyDescent="0.25">
      <c r="C9043" s="15">
        <v>176710</v>
      </c>
      <c r="D9043" s="4" t="s">
        <v>9031</v>
      </c>
      <c r="E9043" s="4" t="str">
        <f>HYPERLINK("https://app.crepc.sk/?fn=detailBiblioForm&amp;sid=74611393D427AF19D5B3BE02B6")</f>
        <v>https://app.crepc.sk/?fn=detailBiblioForm&amp;sid=74611393D427AF19D5B3BE02B6</v>
      </c>
    </row>
    <row r="9044" spans="3:5" ht="60" x14ac:dyDescent="0.25">
      <c r="C9044" s="15">
        <v>312205</v>
      </c>
      <c r="D9044" s="4" t="s">
        <v>9032</v>
      </c>
      <c r="E9044" s="4" t="str">
        <f>HYPERLINK("https://app.crepc.sk/?fn=detailBiblioForm&amp;sid=710241CBC6D4101CB99085ADCA")</f>
        <v>https://app.crepc.sk/?fn=detailBiblioForm&amp;sid=710241CBC6D4101CB99085ADCA</v>
      </c>
    </row>
    <row r="9045" spans="3:5" ht="45" x14ac:dyDescent="0.25">
      <c r="C9045" s="15">
        <v>95072</v>
      </c>
      <c r="D9045" s="4" t="s">
        <v>9033</v>
      </c>
      <c r="E9045" s="4" t="str">
        <f>HYPERLINK("https://app.crepc.sk/?fn=detailBiblioForm&amp;sid=28D3DFAABEC85258BEEC4774")</f>
        <v>https://app.crepc.sk/?fn=detailBiblioForm&amp;sid=28D3DFAABEC85258BEEC4774</v>
      </c>
    </row>
    <row r="9046" spans="3:5" ht="45" x14ac:dyDescent="0.25">
      <c r="C9046" s="15">
        <v>94952</v>
      </c>
      <c r="D9046" s="4" t="s">
        <v>9034</v>
      </c>
      <c r="E9046" s="4" t="str">
        <f>HYPERLINK("https://app.crepc.sk/?fn=detailBiblioForm&amp;sid=CCD07F08F8C9EC0613894F68")</f>
        <v>https://app.crepc.sk/?fn=detailBiblioForm&amp;sid=CCD07F08F8C9EC0613894F68</v>
      </c>
    </row>
    <row r="9047" spans="3:5" ht="45" x14ac:dyDescent="0.25">
      <c r="C9047" s="15">
        <v>434490</v>
      </c>
      <c r="D9047" s="4" t="s">
        <v>9035</v>
      </c>
      <c r="E9047" s="4" t="str">
        <f>HYPERLINK("https://app.crepc.sk/?fn=detailBiblioForm&amp;sid=F0BEE93CA1F04CFF7BFA4245EB")</f>
        <v>https://app.crepc.sk/?fn=detailBiblioForm&amp;sid=F0BEE93CA1F04CFF7BFA4245EB</v>
      </c>
    </row>
    <row r="9048" spans="3:5" ht="45" x14ac:dyDescent="0.25">
      <c r="C9048" s="15">
        <v>189480</v>
      </c>
      <c r="D9048" s="4" t="s">
        <v>9036</v>
      </c>
      <c r="E9048" s="4" t="str">
        <f>HYPERLINK("https://app.crepc.sk/?fn=detailBiblioForm&amp;sid=6E6F559206AEB7A17E01F336A3")</f>
        <v>https://app.crepc.sk/?fn=detailBiblioForm&amp;sid=6E6F559206AEB7A17E01F336A3</v>
      </c>
    </row>
    <row r="9049" spans="3:5" ht="45" x14ac:dyDescent="0.25">
      <c r="C9049" s="15">
        <v>189425</v>
      </c>
      <c r="D9049" s="4" t="s">
        <v>9037</v>
      </c>
      <c r="E9049" s="4" t="str">
        <f>HYPERLINK("https://app.crepc.sk/?fn=detailBiblioForm&amp;sid=6E6F559206AEB7A17404F336A3")</f>
        <v>https://app.crepc.sk/?fn=detailBiblioForm&amp;sid=6E6F559206AEB7A17404F336A3</v>
      </c>
    </row>
    <row r="9050" spans="3:5" ht="45" x14ac:dyDescent="0.25">
      <c r="C9050" s="15">
        <v>122637</v>
      </c>
      <c r="D9050" s="4" t="s">
        <v>9038</v>
      </c>
      <c r="E9050" s="4" t="str">
        <f>HYPERLINK("https://app.crepc.sk/?fn=detailBiblioForm&amp;sid=7E4A807172B6E375017E0C446E")</f>
        <v>https://app.crepc.sk/?fn=detailBiblioForm&amp;sid=7E4A807172B6E375017E0C446E</v>
      </c>
    </row>
    <row r="9051" spans="3:5" ht="90" x14ac:dyDescent="0.25">
      <c r="C9051" s="15">
        <v>423494</v>
      </c>
      <c r="D9051" s="4" t="s">
        <v>9039</v>
      </c>
      <c r="E9051" s="4" t="str">
        <f>HYPERLINK("https://app.crepc.sk/?fn=detailBiblioForm&amp;sid=FA3B7316EF32B7DB8DE23C238D")</f>
        <v>https://app.crepc.sk/?fn=detailBiblioForm&amp;sid=FA3B7316EF32B7DB8DE23C238D</v>
      </c>
    </row>
    <row r="9052" spans="3:5" ht="60" x14ac:dyDescent="0.25">
      <c r="C9052" s="15">
        <v>245954</v>
      </c>
      <c r="D9052" s="4" t="s">
        <v>9040</v>
      </c>
      <c r="E9052" s="4" t="str">
        <f>HYPERLINK("https://app.crepc.sk/?fn=detailBiblioForm&amp;sid=B4074A4D7573537BC274B46E05")</f>
        <v>https://app.crepc.sk/?fn=detailBiblioForm&amp;sid=B4074A4D7573537BC274B46E05</v>
      </c>
    </row>
    <row r="9053" spans="3:5" ht="45" x14ac:dyDescent="0.25">
      <c r="C9053" s="15">
        <v>139474</v>
      </c>
      <c r="D9053" s="4" t="s">
        <v>9041</v>
      </c>
      <c r="E9053" s="4" t="str">
        <f>HYPERLINK("https://app.crepc.sk/?fn=detailBiblioForm&amp;sid=A3F3DC538E4836F27892BE03C8")</f>
        <v>https://app.crepc.sk/?fn=detailBiblioForm&amp;sid=A3F3DC538E4836F27892BE03C8</v>
      </c>
    </row>
    <row r="9054" spans="3:5" ht="45" x14ac:dyDescent="0.25">
      <c r="C9054" s="15">
        <v>139479</v>
      </c>
      <c r="D9054" s="4" t="s">
        <v>9042</v>
      </c>
      <c r="E9054" s="4" t="str">
        <f>HYPERLINK("https://app.crepc.sk/?fn=detailBiblioForm&amp;sid=A3F3DC538E4836F2789FBE03C8")</f>
        <v>https://app.crepc.sk/?fn=detailBiblioForm&amp;sid=A3F3DC538E4836F2789FBE03C8</v>
      </c>
    </row>
    <row r="9055" spans="3:5" ht="45" x14ac:dyDescent="0.25">
      <c r="C9055" s="15">
        <v>139470</v>
      </c>
      <c r="D9055" s="4" t="s">
        <v>9043</v>
      </c>
      <c r="E9055" s="4" t="str">
        <f>HYPERLINK("https://app.crepc.sk/?fn=detailBiblioForm&amp;sid=A3F3DC538E4836F27896BE03C8")</f>
        <v>https://app.crepc.sk/?fn=detailBiblioForm&amp;sid=A3F3DC538E4836F27896BE03C8</v>
      </c>
    </row>
    <row r="9056" spans="3:5" ht="45" x14ac:dyDescent="0.25">
      <c r="C9056" s="15">
        <v>139475</v>
      </c>
      <c r="D9056" s="4" t="s">
        <v>9044</v>
      </c>
      <c r="E9056" s="4" t="str">
        <f>HYPERLINK("https://app.crepc.sk/?fn=detailBiblioForm&amp;sid=A3F3DC538E4836F27893BE03C8")</f>
        <v>https://app.crepc.sk/?fn=detailBiblioForm&amp;sid=A3F3DC538E4836F27893BE03C8</v>
      </c>
    </row>
    <row r="9057" spans="3:5" ht="60" x14ac:dyDescent="0.25">
      <c r="C9057" s="15">
        <v>144769</v>
      </c>
      <c r="D9057" s="4" t="s">
        <v>9045</v>
      </c>
      <c r="E9057" s="4" t="str">
        <f>HYPERLINK("https://app.crepc.sk/?fn=detailBiblioForm&amp;sid=E5D8B2AA72393605BC15D711C3")</f>
        <v>https://app.crepc.sk/?fn=detailBiblioForm&amp;sid=E5D8B2AA72393605BC15D711C3</v>
      </c>
    </row>
    <row r="9058" spans="3:5" ht="90" x14ac:dyDescent="0.25">
      <c r="C9058" s="15">
        <v>420613</v>
      </c>
      <c r="D9058" s="4" t="s">
        <v>9046</v>
      </c>
      <c r="E9058" s="4" t="str">
        <f>HYPERLINK("https://app.crepc.sk/?fn=detailBiblioForm&amp;sid=A77AA55DE17C971B2F53FEE8BA")</f>
        <v>https://app.crepc.sk/?fn=detailBiblioForm&amp;sid=A77AA55DE17C971B2F53FEE8BA</v>
      </c>
    </row>
    <row r="9059" spans="3:5" ht="60" x14ac:dyDescent="0.25">
      <c r="C9059" s="15">
        <v>176743</v>
      </c>
      <c r="D9059" s="4" t="s">
        <v>9047</v>
      </c>
      <c r="E9059" s="4" t="str">
        <f>HYPERLINK("https://app.crepc.sk/?fn=detailBiblioForm&amp;sid=74611393D427AF19D0B0BE02B6")</f>
        <v>https://app.crepc.sk/?fn=detailBiblioForm&amp;sid=74611393D427AF19D0B0BE02B6</v>
      </c>
    </row>
    <row r="9060" spans="3:5" ht="45" x14ac:dyDescent="0.25">
      <c r="C9060" s="15">
        <v>235095</v>
      </c>
      <c r="D9060" s="4" t="s">
        <v>9048</v>
      </c>
      <c r="E9060" s="4" t="str">
        <f>HYPERLINK("https://app.crepc.sk/?fn=detailBiblioForm&amp;sid=1672AA2C7269BEB1462760D9C8")</f>
        <v>https://app.crepc.sk/?fn=detailBiblioForm&amp;sid=1672AA2C7269BEB1462760D9C8</v>
      </c>
    </row>
    <row r="9061" spans="3:5" ht="45" x14ac:dyDescent="0.25">
      <c r="C9061" s="15">
        <v>176733</v>
      </c>
      <c r="D9061" s="4" t="s">
        <v>9049</v>
      </c>
      <c r="E9061" s="4" t="str">
        <f>HYPERLINK("https://app.crepc.sk/?fn=detailBiblioForm&amp;sid=74611393D427AF19D7B0BE02B6")</f>
        <v>https://app.crepc.sk/?fn=detailBiblioForm&amp;sid=74611393D427AF19D7B0BE02B6</v>
      </c>
    </row>
    <row r="9062" spans="3:5" ht="45" x14ac:dyDescent="0.25">
      <c r="C9062" s="15">
        <v>312338</v>
      </c>
      <c r="D9062" s="4" t="s">
        <v>9050</v>
      </c>
      <c r="E9062" s="4" t="str">
        <f>HYPERLINK("https://app.crepc.sk/?fn=detailBiblioForm&amp;sid=4B02C4261583C7B820A2198635")</f>
        <v>https://app.crepc.sk/?fn=detailBiblioForm&amp;sid=4B02C4261583C7B820A2198635</v>
      </c>
    </row>
    <row r="9063" spans="3:5" ht="60" x14ac:dyDescent="0.25">
      <c r="C9063" s="15">
        <v>100848</v>
      </c>
      <c r="D9063" s="4" t="s">
        <v>9051</v>
      </c>
      <c r="E9063" s="4" t="str">
        <f>HYPERLINK("https://app.crepc.sk/?fn=detailBiblioForm&amp;sid=C2DCC5E65C22781D3E69D860DE")</f>
        <v>https://app.crepc.sk/?fn=detailBiblioForm&amp;sid=C2DCC5E65C22781D3E69D860DE</v>
      </c>
    </row>
    <row r="9064" spans="3:5" ht="60" x14ac:dyDescent="0.25">
      <c r="C9064" s="15">
        <v>189677</v>
      </c>
      <c r="D9064" s="4" t="s">
        <v>9052</v>
      </c>
      <c r="E9064" s="4" t="str">
        <f>HYPERLINK("https://app.crepc.sk/?fn=detailBiblioForm&amp;sid=8659C29BADED150F7A43084902")</f>
        <v>https://app.crepc.sk/?fn=detailBiblioForm&amp;sid=8659C29BADED150F7A43084902</v>
      </c>
    </row>
    <row r="9065" spans="3:5" ht="45" x14ac:dyDescent="0.25">
      <c r="C9065" s="15">
        <v>60038</v>
      </c>
      <c r="D9065" s="4" t="s">
        <v>9053</v>
      </c>
      <c r="E9065" s="4" t="str">
        <f>HYPERLINK("https://app.crepc.sk/?fn=detailBiblioForm&amp;sid=6D1F437F914A657C8B55DE03")</f>
        <v>https://app.crepc.sk/?fn=detailBiblioForm&amp;sid=6D1F437F914A657C8B55DE03</v>
      </c>
    </row>
    <row r="9066" spans="3:5" ht="45" x14ac:dyDescent="0.25">
      <c r="C9066" s="15">
        <v>62116</v>
      </c>
      <c r="D9066" s="4" t="s">
        <v>9054</v>
      </c>
      <c r="E9066" s="4" t="str">
        <f>HYPERLINK("https://app.crepc.sk/?fn=detailBiblioForm&amp;sid=06A9934BE2D9438D45CC9B52")</f>
        <v>https://app.crepc.sk/?fn=detailBiblioForm&amp;sid=06A9934BE2D9438D45CC9B52</v>
      </c>
    </row>
    <row r="9067" spans="3:5" ht="75" x14ac:dyDescent="0.25">
      <c r="C9067" s="15">
        <v>189458</v>
      </c>
      <c r="D9067" s="4" t="s">
        <v>9055</v>
      </c>
      <c r="E9067" s="4" t="str">
        <f>HYPERLINK("https://app.crepc.sk/?fn=detailBiblioForm&amp;sid=6E6F559206AEB7A17309F336A3")</f>
        <v>https://app.crepc.sk/?fn=detailBiblioForm&amp;sid=6E6F559206AEB7A17309F336A3</v>
      </c>
    </row>
    <row r="9068" spans="3:5" ht="45" x14ac:dyDescent="0.25">
      <c r="C9068" s="15">
        <v>60485</v>
      </c>
      <c r="D9068" s="4" t="s">
        <v>9056</v>
      </c>
      <c r="E9068" s="4" t="str">
        <f>HYPERLINK("https://app.crepc.sk/?fn=detailBiblioForm&amp;sid=B97801E48E8AFCDB5872BD38")</f>
        <v>https://app.crepc.sk/?fn=detailBiblioForm&amp;sid=B97801E48E8AFCDB5872BD38</v>
      </c>
    </row>
    <row r="9069" spans="3:5" ht="45" x14ac:dyDescent="0.25">
      <c r="C9069" s="15">
        <v>106064</v>
      </c>
      <c r="D9069" s="4" t="s">
        <v>9057</v>
      </c>
      <c r="E9069" s="4" t="str">
        <f>HYPERLINK("https://app.crepc.sk/?fn=detailBiblioForm&amp;sid=07EF298E455E7FC5099BD1B4B2")</f>
        <v>https://app.crepc.sk/?fn=detailBiblioForm&amp;sid=07EF298E455E7FC5099BD1B4B2</v>
      </c>
    </row>
    <row r="9070" spans="3:5" ht="45" x14ac:dyDescent="0.25">
      <c r="C9070" s="15">
        <v>235080</v>
      </c>
      <c r="D9070" s="4" t="s">
        <v>9058</v>
      </c>
      <c r="E9070" s="4" t="str">
        <f>HYPERLINK("https://app.crepc.sk/?fn=detailBiblioForm&amp;sid=1672AA2C7269BEB1472260D9C8")</f>
        <v>https://app.crepc.sk/?fn=detailBiblioForm&amp;sid=1672AA2C7269BEB1472260D9C8</v>
      </c>
    </row>
    <row r="9071" spans="3:5" ht="45" x14ac:dyDescent="0.25">
      <c r="C9071" s="15">
        <v>140753</v>
      </c>
      <c r="D9071" s="4" t="s">
        <v>9059</v>
      </c>
      <c r="E9071" s="4" t="str">
        <f>HYPERLINK("https://app.crepc.sk/?fn=detailBiblioForm&amp;sid=5706AE11B6D530C9961E8F181F")</f>
        <v>https://app.crepc.sk/?fn=detailBiblioForm&amp;sid=5706AE11B6D530C9961E8F181F</v>
      </c>
    </row>
    <row r="9072" spans="3:5" ht="45" x14ac:dyDescent="0.25">
      <c r="C9072" s="15">
        <v>454238</v>
      </c>
      <c r="D9072" s="4" t="s">
        <v>9060</v>
      </c>
      <c r="E9072" s="4" t="str">
        <f>HYPERLINK("https://app.crepc.sk/?fn=detailBiblioForm&amp;sid=67D8FF390DF10D0FB9C370F2BB")</f>
        <v>https://app.crepc.sk/?fn=detailBiblioForm&amp;sid=67D8FF390DF10D0FB9C370F2BB</v>
      </c>
    </row>
    <row r="9073" spans="3:5" ht="45" x14ac:dyDescent="0.25">
      <c r="C9073" s="15">
        <v>251184</v>
      </c>
      <c r="D9073" s="4" t="s">
        <v>9061</v>
      </c>
      <c r="E9073" s="4" t="str">
        <f>HYPERLINK("https://app.crepc.sk/?fn=detailBiblioForm&amp;sid=39F653ADC89B9C328BBDF67185")</f>
        <v>https://app.crepc.sk/?fn=detailBiblioForm&amp;sid=39F653ADC89B9C328BBDF67185</v>
      </c>
    </row>
    <row r="9074" spans="3:5" ht="60" x14ac:dyDescent="0.25">
      <c r="C9074" s="15">
        <v>217237</v>
      </c>
      <c r="D9074" s="4" t="s">
        <v>9062</v>
      </c>
      <c r="E9074" s="4" t="str">
        <f>HYPERLINK("https://app.crepc.sk/?fn=detailBiblioForm&amp;sid=95653863DE8D795C3BBF87F2A7")</f>
        <v>https://app.crepc.sk/?fn=detailBiblioForm&amp;sid=95653863DE8D795C3BBF87F2A7</v>
      </c>
    </row>
    <row r="9075" spans="3:5" ht="45" x14ac:dyDescent="0.25">
      <c r="C9075" s="15">
        <v>149192</v>
      </c>
      <c r="D9075" s="4" t="s">
        <v>9063</v>
      </c>
      <c r="E9075" s="4" t="str">
        <f>HYPERLINK("https://app.crepc.sk/?fn=detailBiblioForm&amp;sid=DAA396BB6B0B01134A49686083")</f>
        <v>https://app.crepc.sk/?fn=detailBiblioForm&amp;sid=DAA396BB6B0B01134A49686083</v>
      </c>
    </row>
    <row r="9076" spans="3:5" ht="45" x14ac:dyDescent="0.25">
      <c r="C9076" s="15">
        <v>60113</v>
      </c>
      <c r="D9076" s="4" t="s">
        <v>9064</v>
      </c>
      <c r="E9076" s="4" t="str">
        <f>HYPERLINK("https://app.crepc.sk/?fn=detailBiblioForm&amp;sid=DEB35335CBA6A0EC6CF720C6")</f>
        <v>https://app.crepc.sk/?fn=detailBiblioForm&amp;sid=DEB35335CBA6A0EC6CF720C6</v>
      </c>
    </row>
    <row r="9077" spans="3:5" ht="75" x14ac:dyDescent="0.25">
      <c r="C9077" s="15">
        <v>82474</v>
      </c>
      <c r="D9077" s="4" t="s">
        <v>9065</v>
      </c>
      <c r="E9077" s="4" t="str">
        <f>HYPERLINK("https://app.crepc.sk/?fn=detailBiblioForm&amp;sid=2A2BE4031B1F8D68744534AA")</f>
        <v>https://app.crepc.sk/?fn=detailBiblioForm&amp;sid=2A2BE4031B1F8D68744534AA</v>
      </c>
    </row>
    <row r="9078" spans="3:5" ht="45" x14ac:dyDescent="0.25">
      <c r="C9078" s="15">
        <v>448408</v>
      </c>
      <c r="D9078" s="4" t="s">
        <v>9066</v>
      </c>
      <c r="E9078" s="4" t="str">
        <f>HYPERLINK("https://app.crepc.sk/?fn=detailBiblioForm&amp;sid=8F7BD044D3EF6CCC562C597E25")</f>
        <v>https://app.crepc.sk/?fn=detailBiblioForm&amp;sid=8F7BD044D3EF6CCC562C597E25</v>
      </c>
    </row>
    <row r="9079" spans="3:5" ht="45" x14ac:dyDescent="0.25">
      <c r="C9079" s="15">
        <v>189483</v>
      </c>
      <c r="D9079" s="4" t="s">
        <v>9067</v>
      </c>
      <c r="E9079" s="4" t="str">
        <f>HYPERLINK("https://app.crepc.sk/?fn=detailBiblioForm&amp;sid=6E6F559206AEB7A17E02F336A3")</f>
        <v>https://app.crepc.sk/?fn=detailBiblioForm&amp;sid=6E6F559206AEB7A17E02F336A3</v>
      </c>
    </row>
    <row r="9080" spans="3:5" ht="45" x14ac:dyDescent="0.25">
      <c r="C9080" s="15">
        <v>215288</v>
      </c>
      <c r="D9080" s="4" t="s">
        <v>9068</v>
      </c>
      <c r="E9080" s="4" t="str">
        <f>HYPERLINK("https://app.crepc.sk/?fn=detailBiblioForm&amp;sid=232B0374A242225DBF08E0C308")</f>
        <v>https://app.crepc.sk/?fn=detailBiblioForm&amp;sid=232B0374A242225DBF08E0C308</v>
      </c>
    </row>
    <row r="9081" spans="3:5" ht="45" x14ac:dyDescent="0.25">
      <c r="C9081" s="15">
        <v>79342</v>
      </c>
      <c r="D9081" s="4" t="s">
        <v>9069</v>
      </c>
      <c r="E9081" s="4" t="str">
        <f>HYPERLINK("https://app.crepc.sk/?fn=detailBiblioForm&amp;sid=D57FE3658C55FADAE2CFAFFC")</f>
        <v>https://app.crepc.sk/?fn=detailBiblioForm&amp;sid=D57FE3658C55FADAE2CFAFFC</v>
      </c>
    </row>
    <row r="9082" spans="3:5" ht="45" x14ac:dyDescent="0.25">
      <c r="C9082" s="15">
        <v>189498</v>
      </c>
      <c r="D9082" s="4" t="s">
        <v>9070</v>
      </c>
      <c r="E9082" s="4" t="str">
        <f>HYPERLINK("https://app.crepc.sk/?fn=detailBiblioForm&amp;sid=6E6F559206AEB7A17F09F336A3")</f>
        <v>https://app.crepc.sk/?fn=detailBiblioForm&amp;sid=6E6F559206AEB7A17F09F336A3</v>
      </c>
    </row>
    <row r="9083" spans="3:5" ht="45" x14ac:dyDescent="0.25">
      <c r="C9083" s="15">
        <v>241661</v>
      </c>
      <c r="D9083" s="4" t="s">
        <v>9071</v>
      </c>
      <c r="E9083" s="4" t="str">
        <f>HYPERLINK("https://app.crepc.sk/?fn=detailBiblioForm&amp;sid=D332EE1B79EC93D17912C79E1F")</f>
        <v>https://app.crepc.sk/?fn=detailBiblioForm&amp;sid=D332EE1B79EC93D17912C79E1F</v>
      </c>
    </row>
    <row r="9084" spans="3:5" ht="45" x14ac:dyDescent="0.25">
      <c r="C9084" s="15">
        <v>249735</v>
      </c>
      <c r="D9084" s="4" t="s">
        <v>9072</v>
      </c>
      <c r="E9084" s="4" t="str">
        <f>HYPERLINK("https://app.crepc.sk/?fn=detailBiblioForm&amp;sid=A432DF05EEE6B321D30B3CD228")</f>
        <v>https://app.crepc.sk/?fn=detailBiblioForm&amp;sid=A432DF05EEE6B321D30B3CD228</v>
      </c>
    </row>
    <row r="9085" spans="3:5" ht="90" x14ac:dyDescent="0.25">
      <c r="C9085" s="15">
        <v>313052</v>
      </c>
      <c r="D9085" s="4" t="s">
        <v>9073</v>
      </c>
      <c r="E9085" s="4" t="str">
        <f>HYPERLINK("https://app.crepc.sk/?fn=detailBiblioForm&amp;sid=D7106B092E8DE5614210D7D49F")</f>
        <v>https://app.crepc.sk/?fn=detailBiblioForm&amp;sid=D7106B092E8DE5614210D7D49F</v>
      </c>
    </row>
    <row r="9086" spans="3:5" ht="45" x14ac:dyDescent="0.25">
      <c r="C9086" s="15">
        <v>182643</v>
      </c>
      <c r="D9086" s="4" t="s">
        <v>9074</v>
      </c>
      <c r="E9086" s="4" t="str">
        <f>HYPERLINK("https://app.crepc.sk/?fn=detailBiblioForm&amp;sid=AA9A59A4FA5B9CCA5D962111BD")</f>
        <v>https://app.crepc.sk/?fn=detailBiblioForm&amp;sid=AA9A59A4FA5B9CCA5D962111BD</v>
      </c>
    </row>
    <row r="9087" spans="3:5" ht="75" x14ac:dyDescent="0.25">
      <c r="C9087" s="15">
        <v>136037</v>
      </c>
      <c r="D9087" s="4" t="s">
        <v>9075</v>
      </c>
      <c r="E9087" s="4" t="str">
        <f>HYPERLINK("https://app.crepc.sk/?fn=detailBiblioForm&amp;sid=FF3F620FA7CAEDC5791CCB9CA6")</f>
        <v>https://app.crepc.sk/?fn=detailBiblioForm&amp;sid=FF3F620FA7CAEDC5791CCB9CA6</v>
      </c>
    </row>
    <row r="9088" spans="3:5" ht="60" x14ac:dyDescent="0.25">
      <c r="C9088" s="15">
        <v>106141</v>
      </c>
      <c r="D9088" s="4" t="s">
        <v>9076</v>
      </c>
      <c r="E9088" s="4" t="str">
        <f>HYPERLINK("https://app.crepc.sk/?fn=detailBiblioForm&amp;sid=4D4650D7C82505D34DFA76FBD7")</f>
        <v>https://app.crepc.sk/?fn=detailBiblioForm&amp;sid=4D4650D7C82505D34DFA76FBD7</v>
      </c>
    </row>
    <row r="9089" spans="3:5" ht="60" x14ac:dyDescent="0.25">
      <c r="C9089" s="15">
        <v>119759</v>
      </c>
      <c r="D9089" s="4" t="s">
        <v>9077</v>
      </c>
      <c r="E9089" s="4" t="str">
        <f>HYPERLINK("https://app.crepc.sk/?fn=detailBiblioForm&amp;sid=B5D677CC38484FF052943AF3C2")</f>
        <v>https://app.crepc.sk/?fn=detailBiblioForm&amp;sid=B5D677CC38484FF052943AF3C2</v>
      </c>
    </row>
    <row r="9090" spans="3:5" ht="75" x14ac:dyDescent="0.25">
      <c r="C9090" s="15">
        <v>456023</v>
      </c>
      <c r="D9090" s="4" t="s">
        <v>9078</v>
      </c>
      <c r="E9090" s="4" t="str">
        <f>HYPERLINK("https://app.crepc.sk/?fn=detailBiblioForm&amp;sid=E0C8A167DC7AF41457954706D6")</f>
        <v>https://app.crepc.sk/?fn=detailBiblioForm&amp;sid=E0C8A167DC7AF41457954706D6</v>
      </c>
    </row>
    <row r="9091" spans="3:5" ht="45" x14ac:dyDescent="0.25">
      <c r="C9091" s="15">
        <v>122633</v>
      </c>
      <c r="D9091" s="4" t="s">
        <v>9079</v>
      </c>
      <c r="E9091" s="4" t="str">
        <f>HYPERLINK("https://app.crepc.sk/?fn=detailBiblioForm&amp;sid=7E4A807172B6E375017A0C446E")</f>
        <v>https://app.crepc.sk/?fn=detailBiblioForm&amp;sid=7E4A807172B6E375017A0C446E</v>
      </c>
    </row>
    <row r="9092" spans="3:5" ht="45" x14ac:dyDescent="0.25">
      <c r="C9092" s="15">
        <v>51866</v>
      </c>
      <c r="D9092" s="4" t="s">
        <v>9080</v>
      </c>
      <c r="E9092" s="4" t="str">
        <f>HYPERLINK("https://app.crepc.sk/?fn=detailBiblioForm&amp;sid=EFCF30B327051ECC49D8B032")</f>
        <v>https://app.crepc.sk/?fn=detailBiblioForm&amp;sid=EFCF30B327051ECC49D8B032</v>
      </c>
    </row>
    <row r="9093" spans="3:5" ht="60" x14ac:dyDescent="0.25">
      <c r="C9093" s="15">
        <v>132677</v>
      </c>
      <c r="D9093" s="4" t="s">
        <v>9081</v>
      </c>
      <c r="E9093" s="4" t="str">
        <f>HYPERLINK("https://app.crepc.sk/?fn=detailBiblioForm&amp;sid=45946F80BD0ADF8331097F64E5")</f>
        <v>https://app.crepc.sk/?fn=detailBiblioForm&amp;sid=45946F80BD0ADF8331097F64E5</v>
      </c>
    </row>
    <row r="9094" spans="3:5" ht="75" x14ac:dyDescent="0.25">
      <c r="C9094" s="15">
        <v>438569</v>
      </c>
      <c r="D9094" s="4" t="s">
        <v>9082</v>
      </c>
      <c r="E9094" s="4" t="str">
        <f>HYPERLINK("https://app.crepc.sk/?fn=detailBiblioForm&amp;sid=A8368C59A2CFCB618813928036")</f>
        <v>https://app.crepc.sk/?fn=detailBiblioForm&amp;sid=A8368C59A2CFCB618813928036</v>
      </c>
    </row>
    <row r="9095" spans="3:5" ht="45" x14ac:dyDescent="0.25">
      <c r="C9095" s="15">
        <v>74939</v>
      </c>
      <c r="D9095" s="4" t="s">
        <v>9083</v>
      </c>
      <c r="E9095" s="4" t="str">
        <f>HYPERLINK("https://app.crepc.sk/?fn=detailBiblioForm&amp;sid=5F33877436048FD7B3EC0892")</f>
        <v>https://app.crepc.sk/?fn=detailBiblioForm&amp;sid=5F33877436048FD7B3EC0892</v>
      </c>
    </row>
    <row r="9096" spans="3:5" ht="45" x14ac:dyDescent="0.25">
      <c r="C9096" s="15">
        <v>218999</v>
      </c>
      <c r="D9096" s="4" t="s">
        <v>9084</v>
      </c>
      <c r="E9096" s="4" t="str">
        <f>HYPERLINK("https://app.crepc.sk/?fn=detailBiblioForm&amp;sid=26870146E1F58F0191256F5660")</f>
        <v>https://app.crepc.sk/?fn=detailBiblioForm&amp;sid=26870146E1F58F0191256F5660</v>
      </c>
    </row>
    <row r="9097" spans="3:5" ht="60" x14ac:dyDescent="0.25">
      <c r="C9097" s="15">
        <v>60095</v>
      </c>
      <c r="D9097" s="4" t="s">
        <v>9085</v>
      </c>
      <c r="E9097" s="4" t="str">
        <f>HYPERLINK("https://app.crepc.sk/?fn=detailBiblioForm&amp;sid=4FC0A9E4E690E573957E7059")</f>
        <v>https://app.crepc.sk/?fn=detailBiblioForm&amp;sid=4FC0A9E4E690E573957E7059</v>
      </c>
    </row>
    <row r="9098" spans="3:5" ht="45" x14ac:dyDescent="0.25">
      <c r="C9098" s="15">
        <v>60042</v>
      </c>
      <c r="D9098" s="4" t="s">
        <v>9086</v>
      </c>
      <c r="E9098" s="4" t="str">
        <f>HYPERLINK("https://app.crepc.sk/?fn=detailBiblioForm&amp;sid=D0B3DC8EF986D57EB7A3C18F")</f>
        <v>https://app.crepc.sk/?fn=detailBiblioForm&amp;sid=D0B3DC8EF986D57EB7A3C18F</v>
      </c>
    </row>
    <row r="9099" spans="3:5" ht="45" x14ac:dyDescent="0.25">
      <c r="C9099" s="15">
        <v>448267</v>
      </c>
      <c r="D9099" s="4" t="s">
        <v>9087</v>
      </c>
      <c r="E9099" s="4" t="str">
        <f>HYPERLINK("https://app.crepc.sk/?fn=detailBiblioForm&amp;sid=5BE501D611F83A9AAC9B67DA3F")</f>
        <v>https://app.crepc.sk/?fn=detailBiblioForm&amp;sid=5BE501D611F83A9AAC9B67DA3F</v>
      </c>
    </row>
    <row r="9100" spans="3:5" ht="60" x14ac:dyDescent="0.25">
      <c r="C9100" s="15">
        <v>149396</v>
      </c>
      <c r="D9100" s="4" t="s">
        <v>9088</v>
      </c>
      <c r="E9100" s="4" t="str">
        <f>HYPERLINK("https://app.crepc.sk/?fn=detailBiblioForm&amp;sid=D01AE3E6A036F3F6518B797264")</f>
        <v>https://app.crepc.sk/?fn=detailBiblioForm&amp;sid=D01AE3E6A036F3F6518B797264</v>
      </c>
    </row>
    <row r="9101" spans="3:5" ht="45" x14ac:dyDescent="0.25">
      <c r="C9101" s="15">
        <v>312321</v>
      </c>
      <c r="D9101" s="4" t="s">
        <v>9089</v>
      </c>
      <c r="E9101" s="4" t="str">
        <f>HYPERLINK("https://app.crepc.sk/?fn=detailBiblioForm&amp;sid=4B02C4261583C7B821AB198635")</f>
        <v>https://app.crepc.sk/?fn=detailBiblioForm&amp;sid=4B02C4261583C7B821AB198635</v>
      </c>
    </row>
    <row r="9102" spans="3:5" ht="45" x14ac:dyDescent="0.25">
      <c r="C9102" s="15">
        <v>95068</v>
      </c>
      <c r="D9102" s="4" t="s">
        <v>9090</v>
      </c>
      <c r="E9102" s="4" t="str">
        <f>HYPERLINK("https://app.crepc.sk/?fn=detailBiblioForm&amp;sid=8E88CAF08094FE04B29CDA4C")</f>
        <v>https://app.crepc.sk/?fn=detailBiblioForm&amp;sid=8E88CAF08094FE04B29CDA4C</v>
      </c>
    </row>
    <row r="9103" spans="3:5" ht="60" x14ac:dyDescent="0.25">
      <c r="C9103" s="15">
        <v>245946</v>
      </c>
      <c r="D9103" s="4" t="s">
        <v>9091</v>
      </c>
      <c r="E9103" s="4" t="str">
        <f>HYPERLINK("https://app.crepc.sk/?fn=detailBiblioForm&amp;sid=B4074A4D7573537BC376B46E05")</f>
        <v>https://app.crepc.sk/?fn=detailBiblioForm&amp;sid=B4074A4D7573537BC376B46E05</v>
      </c>
    </row>
    <row r="9104" spans="3:5" ht="45" x14ac:dyDescent="0.25">
      <c r="C9104" s="15">
        <v>202541</v>
      </c>
      <c r="D9104" s="4" t="s">
        <v>9092</v>
      </c>
      <c r="E9104" s="4" t="str">
        <f>HYPERLINK("https://app.crepc.sk/?fn=detailBiblioForm&amp;sid=3036734F2764D6FCC134D36630")</f>
        <v>https://app.crepc.sk/?fn=detailBiblioForm&amp;sid=3036734F2764D6FCC134D36630</v>
      </c>
    </row>
    <row r="9105" spans="3:5" ht="45" x14ac:dyDescent="0.25">
      <c r="C9105" s="15">
        <v>80891</v>
      </c>
      <c r="D9105" s="4" t="s">
        <v>9093</v>
      </c>
      <c r="E9105" s="4" t="str">
        <f>HYPERLINK("https://app.crepc.sk/?fn=detailBiblioForm&amp;sid=FD74A137D07AF7CEEC2A755E")</f>
        <v>https://app.crepc.sk/?fn=detailBiblioForm&amp;sid=FD74A137D07AF7CEEC2A755E</v>
      </c>
    </row>
    <row r="9106" spans="3:5" ht="45" x14ac:dyDescent="0.25">
      <c r="C9106" s="15">
        <v>60053</v>
      </c>
      <c r="D9106" s="4" t="s">
        <v>9094</v>
      </c>
      <c r="E9106" s="4" t="str">
        <f>HYPERLINK("https://app.crepc.sk/?fn=detailBiblioForm&amp;sid=F118E8195DE6E2EC2CED003D")</f>
        <v>https://app.crepc.sk/?fn=detailBiblioForm&amp;sid=F118E8195DE6E2EC2CED003D</v>
      </c>
    </row>
    <row r="9107" spans="3:5" ht="75" x14ac:dyDescent="0.25">
      <c r="C9107" s="15">
        <v>184224</v>
      </c>
      <c r="D9107" s="4" t="s">
        <v>9095</v>
      </c>
      <c r="E9107" s="4" t="str">
        <f>HYPERLINK("https://app.crepc.sk/?fn=detailBiblioForm&amp;sid=51C176E8478ABC8F807363848B")</f>
        <v>https://app.crepc.sk/?fn=detailBiblioForm&amp;sid=51C176E8478ABC8F807363848B</v>
      </c>
    </row>
    <row r="9108" spans="3:5" ht="75" x14ac:dyDescent="0.25">
      <c r="C9108" s="15">
        <v>184227</v>
      </c>
      <c r="D9108" s="4" t="s">
        <v>9096</v>
      </c>
      <c r="E9108" s="4" t="str">
        <f>HYPERLINK("https://app.crepc.sk/?fn=detailBiblioForm&amp;sid=51C176E8478ABC8F807063848B")</f>
        <v>https://app.crepc.sk/?fn=detailBiblioForm&amp;sid=51C176E8478ABC8F807063848B</v>
      </c>
    </row>
    <row r="9109" spans="3:5" ht="45" x14ac:dyDescent="0.25">
      <c r="C9109" s="15">
        <v>146805</v>
      </c>
      <c r="D9109" s="4" t="s">
        <v>9097</v>
      </c>
      <c r="E9109" s="4" t="str">
        <f>HYPERLINK("https://app.crepc.sk/?fn=detailBiblioForm&amp;sid=94F27843EBD77D7A013423EC72")</f>
        <v>https://app.crepc.sk/?fn=detailBiblioForm&amp;sid=94F27843EBD77D7A013423EC72</v>
      </c>
    </row>
    <row r="9110" spans="3:5" ht="45" x14ac:dyDescent="0.25">
      <c r="C9110" s="15">
        <v>312452</v>
      </c>
      <c r="D9110" s="4" t="s">
        <v>9098</v>
      </c>
      <c r="E9110" s="4" t="str">
        <f>HYPERLINK("https://app.crepc.sk/?fn=detailBiblioForm&amp;sid=29E831AA7AE2D1910AE22E0FED")</f>
        <v>https://app.crepc.sk/?fn=detailBiblioForm&amp;sid=29E831AA7AE2D1910AE22E0FED</v>
      </c>
    </row>
    <row r="9111" spans="3:5" ht="45" x14ac:dyDescent="0.25">
      <c r="C9111" s="15">
        <v>60107</v>
      </c>
      <c r="D9111" s="4" t="s">
        <v>9099</v>
      </c>
      <c r="E9111" s="4" t="str">
        <f>HYPERLINK("https://app.crepc.sk/?fn=detailBiblioForm&amp;sid=B84A121A44FE5A48A6F96F05")</f>
        <v>https://app.crepc.sk/?fn=detailBiblioForm&amp;sid=B84A121A44FE5A48A6F96F05</v>
      </c>
    </row>
    <row r="9112" spans="3:5" ht="45" x14ac:dyDescent="0.25">
      <c r="C9112" s="15">
        <v>60889</v>
      </c>
      <c r="D9112" s="4" t="s">
        <v>9100</v>
      </c>
      <c r="E9112" s="4" t="str">
        <f>HYPERLINK("https://app.crepc.sk/?fn=detailBiblioForm&amp;sid=CF536B9DD48FBF0C50A6EECF")</f>
        <v>https://app.crepc.sk/?fn=detailBiblioForm&amp;sid=CF536B9DD48FBF0C50A6EECF</v>
      </c>
    </row>
    <row r="9113" spans="3:5" ht="45" x14ac:dyDescent="0.25">
      <c r="C9113" s="15">
        <v>83191</v>
      </c>
      <c r="D9113" s="4" t="s">
        <v>9101</v>
      </c>
      <c r="E9113" s="4" t="str">
        <f>HYPERLINK("https://app.crepc.sk/?fn=detailBiblioForm&amp;sid=0C57D2FA1BBE6555A0A9CF7C")</f>
        <v>https://app.crepc.sk/?fn=detailBiblioForm&amp;sid=0C57D2FA1BBE6555A0A9CF7C</v>
      </c>
    </row>
    <row r="9114" spans="3:5" ht="45" x14ac:dyDescent="0.25">
      <c r="C9114" s="15">
        <v>122772</v>
      </c>
      <c r="D9114" s="4" t="s">
        <v>9102</v>
      </c>
      <c r="E9114" s="4" t="str">
        <f>HYPERLINK("https://app.crepc.sk/?fn=detailBiblioForm&amp;sid=A5B40B0321D8B57909DA09F729")</f>
        <v>https://app.crepc.sk/?fn=detailBiblioForm&amp;sid=A5B40B0321D8B57909DA09F729</v>
      </c>
    </row>
    <row r="9115" spans="3:5" ht="45" x14ac:dyDescent="0.25">
      <c r="C9115" s="15">
        <v>80938</v>
      </c>
      <c r="D9115" s="4" t="s">
        <v>9103</v>
      </c>
      <c r="E9115" s="4" t="str">
        <f>HYPERLINK("https://app.crepc.sk/?fn=detailBiblioForm&amp;sid=B9C35BB87882E4C81F07D504")</f>
        <v>https://app.crepc.sk/?fn=detailBiblioForm&amp;sid=B9C35BB87882E4C81F07D504</v>
      </c>
    </row>
    <row r="9116" spans="3:5" ht="75" x14ac:dyDescent="0.25">
      <c r="C9116" s="15">
        <v>138336</v>
      </c>
      <c r="D9116" s="4" t="s">
        <v>9104</v>
      </c>
      <c r="E9116" s="4" t="str">
        <f>HYPERLINK("https://app.crepc.sk/?fn=detailBiblioForm&amp;sid=7D24A8B9D266E99514C06468AD")</f>
        <v>https://app.crepc.sk/?fn=detailBiblioForm&amp;sid=7D24A8B9D266E99514C06468AD</v>
      </c>
    </row>
    <row r="9117" spans="3:5" ht="45" x14ac:dyDescent="0.25">
      <c r="C9117" s="15">
        <v>176723</v>
      </c>
      <c r="D9117" s="4" t="s">
        <v>9105</v>
      </c>
      <c r="E9117" s="4" t="str">
        <f>HYPERLINK("https://app.crepc.sk/?fn=detailBiblioForm&amp;sid=74611393D427AF19D6B0BE02B6")</f>
        <v>https://app.crepc.sk/?fn=detailBiblioForm&amp;sid=74611393D427AF19D6B0BE02B6</v>
      </c>
    </row>
    <row r="9118" spans="3:5" ht="45" x14ac:dyDescent="0.25">
      <c r="C9118" s="15">
        <v>448454</v>
      </c>
      <c r="D9118" s="4" t="s">
        <v>9106</v>
      </c>
      <c r="E9118" s="4" t="str">
        <f>HYPERLINK("https://app.crepc.sk/?fn=detailBiblioForm&amp;sid=8F7BD044D3EF6CCC5320597E25")</f>
        <v>https://app.crepc.sk/?fn=detailBiblioForm&amp;sid=8F7BD044D3EF6CCC5320597E25</v>
      </c>
    </row>
    <row r="9119" spans="3:5" ht="45" x14ac:dyDescent="0.25">
      <c r="C9119" s="15">
        <v>80947</v>
      </c>
      <c r="D9119" s="4" t="s">
        <v>9107</v>
      </c>
      <c r="E9119" s="4" t="str">
        <f>HYPERLINK("https://app.crepc.sk/?fn=detailBiblioForm&amp;sid=1A94C9936DAA363C49317F83")</f>
        <v>https://app.crepc.sk/?fn=detailBiblioForm&amp;sid=1A94C9936DAA363C49317F83</v>
      </c>
    </row>
    <row r="9120" spans="3:5" ht="45" x14ac:dyDescent="0.25">
      <c r="C9120" s="15">
        <v>60112</v>
      </c>
      <c r="D9120" s="4" t="s">
        <v>9108</v>
      </c>
      <c r="E9120" s="4" t="str">
        <f>HYPERLINK("https://app.crepc.sk/?fn=detailBiblioForm&amp;sid=DEB35335CBA6A0EC6DF720C6")</f>
        <v>https://app.crepc.sk/?fn=detailBiblioForm&amp;sid=DEB35335CBA6A0EC6DF720C6</v>
      </c>
    </row>
    <row r="9121" spans="3:5" ht="60" x14ac:dyDescent="0.25">
      <c r="C9121" s="15">
        <v>434491</v>
      </c>
      <c r="D9121" s="4" t="s">
        <v>9109</v>
      </c>
      <c r="E9121" s="4" t="str">
        <f>HYPERLINK("https://app.crepc.sk/?fn=detailBiblioForm&amp;sid=F0BEE93CA1F04CFF7BFB4245EB")</f>
        <v>https://app.crepc.sk/?fn=detailBiblioForm&amp;sid=F0BEE93CA1F04CFF7BFB4245EB</v>
      </c>
    </row>
    <row r="9122" spans="3:5" ht="45" x14ac:dyDescent="0.25">
      <c r="C9122" s="15">
        <v>251155</v>
      </c>
      <c r="D9122" s="4" t="s">
        <v>9110</v>
      </c>
      <c r="E9122" s="4" t="str">
        <f>HYPERLINK("https://app.crepc.sk/?fn=detailBiblioForm&amp;sid=39F653ADC89B9C3286BCF67185")</f>
        <v>https://app.crepc.sk/?fn=detailBiblioForm&amp;sid=39F653ADC89B9C3286BCF67185</v>
      </c>
    </row>
    <row r="9123" spans="3:5" ht="45" x14ac:dyDescent="0.25">
      <c r="C9123" s="15">
        <v>429824</v>
      </c>
      <c r="D9123" s="4" t="s">
        <v>9111</v>
      </c>
      <c r="E9123" s="4" t="str">
        <f>HYPERLINK("https://app.crepc.sk/?fn=detailBiblioForm&amp;sid=3FA563B72988EE5760E6BF1D97")</f>
        <v>https://app.crepc.sk/?fn=detailBiblioForm&amp;sid=3FA563B72988EE5760E6BF1D97</v>
      </c>
    </row>
    <row r="9124" spans="3:5" ht="45" x14ac:dyDescent="0.25">
      <c r="C9124" s="15">
        <v>235056</v>
      </c>
      <c r="D9124" s="4" t="s">
        <v>9112</v>
      </c>
      <c r="E9124" s="4" t="str">
        <f>HYPERLINK("https://app.crepc.sk/?fn=detailBiblioForm&amp;sid=1672AA2C7269BEB14A2460D9C8")</f>
        <v>https://app.crepc.sk/?fn=detailBiblioForm&amp;sid=1672AA2C7269BEB14A2460D9C8</v>
      </c>
    </row>
    <row r="9125" spans="3:5" ht="45" x14ac:dyDescent="0.25">
      <c r="C9125" s="15">
        <v>60551</v>
      </c>
      <c r="D9125" s="4" t="s">
        <v>9113</v>
      </c>
      <c r="E9125" s="4" t="str">
        <f>HYPERLINK("https://app.crepc.sk/?fn=detailBiblioForm&amp;sid=0BDA5895EA4648D858FB8606")</f>
        <v>https://app.crepc.sk/?fn=detailBiblioForm&amp;sid=0BDA5895EA4648D858FB8606</v>
      </c>
    </row>
    <row r="9126" spans="3:5" ht="45" x14ac:dyDescent="0.25">
      <c r="C9126" s="15">
        <v>141256</v>
      </c>
      <c r="D9126" s="4" t="s">
        <v>9114</v>
      </c>
      <c r="E9126" s="4" t="str">
        <f>HYPERLINK("https://app.crepc.sk/?fn=detailBiblioForm&amp;sid=A1BE4CBC10A6410E2FD11A9BFE")</f>
        <v>https://app.crepc.sk/?fn=detailBiblioForm&amp;sid=A1BE4CBC10A6410E2FD11A9BFE</v>
      </c>
    </row>
    <row r="9127" spans="3:5" ht="60" x14ac:dyDescent="0.25">
      <c r="C9127" s="15">
        <v>79343</v>
      </c>
      <c r="D9127" s="4" t="s">
        <v>9115</v>
      </c>
      <c r="E9127" s="4" t="str">
        <f>HYPERLINK("https://app.crepc.sk/?fn=detailBiblioForm&amp;sid=D57FE3658C55FADAE3CFAFFC")</f>
        <v>https://app.crepc.sk/?fn=detailBiblioForm&amp;sid=D57FE3658C55FADAE3CFAFFC</v>
      </c>
    </row>
    <row r="9128" spans="3:5" ht="30" x14ac:dyDescent="0.25">
      <c r="C9128" s="15">
        <v>59296</v>
      </c>
      <c r="D9128" s="4" t="s">
        <v>9116</v>
      </c>
      <c r="E9128" s="4" t="str">
        <f>HYPERLINK("https://app.crepc.sk/?fn=detailBiblioForm&amp;sid=A680E4A560819BB387960255")</f>
        <v>https://app.crepc.sk/?fn=detailBiblioForm&amp;sid=A680E4A560819BB387960255</v>
      </c>
    </row>
    <row r="9129" spans="3:5" ht="45" x14ac:dyDescent="0.25">
      <c r="C9129" s="15">
        <v>312337</v>
      </c>
      <c r="D9129" s="4" t="s">
        <v>9117</v>
      </c>
      <c r="E9129" s="4" t="str">
        <f>HYPERLINK("https://app.crepc.sk/?fn=detailBiblioForm&amp;sid=4B02C4261583C7B820AD198635")</f>
        <v>https://app.crepc.sk/?fn=detailBiblioForm&amp;sid=4B02C4261583C7B820AD198635</v>
      </c>
    </row>
    <row r="9130" spans="3:5" ht="45" x14ac:dyDescent="0.25">
      <c r="C9130" s="15">
        <v>60461</v>
      </c>
      <c r="D9130" s="4" t="s">
        <v>9118</v>
      </c>
      <c r="E9130" s="4" t="str">
        <f>HYPERLINK("https://app.crepc.sk/?fn=detailBiblioForm&amp;sid=2DC2D499A35F5756C0DF0152")</f>
        <v>https://app.crepc.sk/?fn=detailBiblioForm&amp;sid=2DC2D499A35F5756C0DF0152</v>
      </c>
    </row>
    <row r="9131" spans="3:5" ht="45" x14ac:dyDescent="0.25">
      <c r="C9131" s="15">
        <v>189451</v>
      </c>
      <c r="D9131" s="4" t="s">
        <v>9119</v>
      </c>
      <c r="E9131" s="4" t="str">
        <f>HYPERLINK("https://app.crepc.sk/?fn=detailBiblioForm&amp;sid=6E6F559206AEB7A17300F336A3")</f>
        <v>https://app.crepc.sk/?fn=detailBiblioForm&amp;sid=6E6F559206AEB7A17300F336A3</v>
      </c>
    </row>
    <row r="9132" spans="3:5" ht="45" x14ac:dyDescent="0.25">
      <c r="C9132" s="15">
        <v>184405</v>
      </c>
      <c r="D9132" s="4" t="s">
        <v>9120</v>
      </c>
      <c r="E9132" s="4" t="str">
        <f>HYPERLINK("https://app.crepc.sk/?fn=detailBiblioForm&amp;sid=5B88818DBAA6B04CDE07E4FCBA")</f>
        <v>https://app.crepc.sk/?fn=detailBiblioForm&amp;sid=5B88818DBAA6B04CDE07E4FCBA</v>
      </c>
    </row>
    <row r="9133" spans="3:5" ht="30" x14ac:dyDescent="0.25">
      <c r="C9133" s="15">
        <v>60877</v>
      </c>
      <c r="D9133" s="4" t="s">
        <v>9121</v>
      </c>
      <c r="E9133" s="4" t="str">
        <f>HYPERLINK("https://app.crepc.sk/?fn=detailBiblioForm&amp;sid=A1F7DE1BB61891BDB2EF98E5")</f>
        <v>https://app.crepc.sk/?fn=detailBiblioForm&amp;sid=A1F7DE1BB61891BDB2EF98E5</v>
      </c>
    </row>
    <row r="9134" spans="3:5" ht="45" x14ac:dyDescent="0.25">
      <c r="C9134" s="15">
        <v>60111</v>
      </c>
      <c r="D9134" s="4" t="s">
        <v>9122</v>
      </c>
      <c r="E9134" s="4" t="str">
        <f>HYPERLINK("https://app.crepc.sk/?fn=detailBiblioForm&amp;sid=DEB35335CBA6A0EC6EF720C6")</f>
        <v>https://app.crepc.sk/?fn=detailBiblioForm&amp;sid=DEB35335CBA6A0EC6EF720C6</v>
      </c>
    </row>
    <row r="9135" spans="3:5" ht="45" x14ac:dyDescent="0.25">
      <c r="C9135" s="15">
        <v>94945</v>
      </c>
      <c r="D9135" s="4" t="s">
        <v>9123</v>
      </c>
      <c r="E9135" s="4" t="str">
        <f>HYPERLINK("https://app.crepc.sk/?fn=detailBiblioForm&amp;sid=86D2645AE1AAE3775D26D43D")</f>
        <v>https://app.crepc.sk/?fn=detailBiblioForm&amp;sid=86D2645AE1AAE3775D26D43D</v>
      </c>
    </row>
    <row r="9136" spans="3:5" ht="60" x14ac:dyDescent="0.25">
      <c r="C9136" s="15">
        <v>124837</v>
      </c>
      <c r="D9136" s="4" t="s">
        <v>9124</v>
      </c>
      <c r="E9136" s="4" t="str">
        <f>HYPERLINK("https://app.crepc.sk/?fn=detailBiblioForm&amp;sid=DBBA30DD5E77A1386932840F51")</f>
        <v>https://app.crepc.sk/?fn=detailBiblioForm&amp;sid=DBBA30DD5E77A1386932840F51</v>
      </c>
    </row>
    <row r="9137" spans="3:5" ht="105" x14ac:dyDescent="0.25">
      <c r="C9137" s="15">
        <v>174574</v>
      </c>
      <c r="D9137" s="4" t="s">
        <v>9125</v>
      </c>
      <c r="E9137" s="4" t="str">
        <f>HYPERLINK("https://app.crepc.sk/?fn=detailBiblioForm&amp;sid=72A4E145D65F5DA0B14B551D33")</f>
        <v>https://app.crepc.sk/?fn=detailBiblioForm&amp;sid=72A4E145D65F5DA0B14B551D33</v>
      </c>
    </row>
    <row r="9138" spans="3:5" ht="45" x14ac:dyDescent="0.25">
      <c r="C9138" s="15">
        <v>312462</v>
      </c>
      <c r="D9138" s="4" t="s">
        <v>9126</v>
      </c>
      <c r="E9138" s="4" t="str">
        <f>HYPERLINK("https://app.crepc.sk/?fn=detailBiblioForm&amp;sid=29E831AA7AE2D19109E22E0FED")</f>
        <v>https://app.crepc.sk/?fn=detailBiblioForm&amp;sid=29E831AA7AE2D19109E22E0FED</v>
      </c>
    </row>
    <row r="9139" spans="3:5" ht="45" x14ac:dyDescent="0.25">
      <c r="C9139" s="15">
        <v>60442</v>
      </c>
      <c r="D9139" s="4" t="s">
        <v>9127</v>
      </c>
      <c r="E9139" s="4" t="str">
        <f>HYPERLINK("https://app.crepc.sk/?fn=detailBiblioForm&amp;sid=2836E4C8E4C6CE42A4BA31E5")</f>
        <v>https://app.crepc.sk/?fn=detailBiblioForm&amp;sid=2836E4C8E4C6CE42A4BA31E5</v>
      </c>
    </row>
    <row r="9140" spans="3:5" ht="60" x14ac:dyDescent="0.25">
      <c r="C9140" s="15">
        <v>149144</v>
      </c>
      <c r="D9140" s="4" t="s">
        <v>9128</v>
      </c>
      <c r="E9140" s="4" t="str">
        <f>HYPERLINK("https://app.crepc.sk/?fn=detailBiblioForm&amp;sid=DAA396BB6B0B0113474F686083")</f>
        <v>https://app.crepc.sk/?fn=detailBiblioForm&amp;sid=DAA396BB6B0B0113474F686083</v>
      </c>
    </row>
    <row r="9141" spans="3:5" ht="45" x14ac:dyDescent="0.25">
      <c r="C9141" s="15">
        <v>176724</v>
      </c>
      <c r="D9141" s="4" t="s">
        <v>9129</v>
      </c>
      <c r="E9141" s="4" t="str">
        <f>HYPERLINK("https://app.crepc.sk/?fn=detailBiblioForm&amp;sid=74611393D427AF19D6B7BE02B6")</f>
        <v>https://app.crepc.sk/?fn=detailBiblioForm&amp;sid=74611393D427AF19D6B7BE02B6</v>
      </c>
    </row>
    <row r="9142" spans="3:5" ht="45" x14ac:dyDescent="0.25">
      <c r="C9142" s="15">
        <v>242174</v>
      </c>
      <c r="D9142" s="4" t="s">
        <v>9130</v>
      </c>
      <c r="E9142" s="4" t="str">
        <f>HYPERLINK("https://app.crepc.sk/?fn=detailBiblioForm&amp;sid=C2D791D8D6D66A4B7553D9E3BC")</f>
        <v>https://app.crepc.sk/?fn=detailBiblioForm&amp;sid=C2D791D8D6D66A4B7553D9E3BC</v>
      </c>
    </row>
    <row r="9143" spans="3:5" ht="45" x14ac:dyDescent="0.25">
      <c r="C9143" s="15">
        <v>100072</v>
      </c>
      <c r="D9143" s="4" t="s">
        <v>9131</v>
      </c>
      <c r="E9143" s="4" t="str">
        <f>HYPERLINK("https://app.crepc.sk/?fn=detailBiblioForm&amp;sid=8D3F7791082C9B6930D680258C")</f>
        <v>https://app.crepc.sk/?fn=detailBiblioForm&amp;sid=8D3F7791082C9B6930D680258C</v>
      </c>
    </row>
    <row r="9144" spans="3:5" ht="45" x14ac:dyDescent="0.25">
      <c r="C9144" s="15">
        <v>251180</v>
      </c>
      <c r="D9144" s="4" t="s">
        <v>9132</v>
      </c>
      <c r="E9144" s="4" t="str">
        <f>HYPERLINK("https://app.crepc.sk/?fn=detailBiblioForm&amp;sid=39F653ADC89B9C328BB9F67185")</f>
        <v>https://app.crepc.sk/?fn=detailBiblioForm&amp;sid=39F653ADC89B9C328BB9F67185</v>
      </c>
    </row>
    <row r="9145" spans="3:5" ht="60" x14ac:dyDescent="0.25">
      <c r="C9145" s="15">
        <v>150594</v>
      </c>
      <c r="D9145" s="4" t="s">
        <v>9133</v>
      </c>
      <c r="E9145" s="4" t="str">
        <f>HYPERLINK("https://app.crepc.sk/?fn=detailBiblioForm&amp;sid=9921973E4D44D17B143B72FC32")</f>
        <v>https://app.crepc.sk/?fn=detailBiblioForm&amp;sid=9921973E4D44D17B143B72FC32</v>
      </c>
    </row>
    <row r="9146" spans="3:5" ht="45" x14ac:dyDescent="0.25">
      <c r="C9146" s="15">
        <v>465543</v>
      </c>
      <c r="D9146" s="4" t="s">
        <v>9134</v>
      </c>
      <c r="E9146" s="4" t="str">
        <f>HYPERLINK("https://app.crepc.sk/?fn=detailBiblioForm&amp;sid=F88CC8B5A62F537F9687EA38B9")</f>
        <v>https://app.crepc.sk/?fn=detailBiblioForm&amp;sid=F88CC8B5A62F537F9687EA38B9</v>
      </c>
    </row>
    <row r="9147" spans="3:5" ht="45" x14ac:dyDescent="0.25">
      <c r="C9147" s="15">
        <v>189486</v>
      </c>
      <c r="D9147" s="4" t="s">
        <v>9135</v>
      </c>
      <c r="E9147" s="4" t="str">
        <f>HYPERLINK("https://app.crepc.sk/?fn=detailBiblioForm&amp;sid=6E6F559206AEB7A17E07F336A3")</f>
        <v>https://app.crepc.sk/?fn=detailBiblioForm&amp;sid=6E6F559206AEB7A17E07F336A3</v>
      </c>
    </row>
    <row r="9148" spans="3:5" ht="45" x14ac:dyDescent="0.25">
      <c r="C9148" s="15">
        <v>312440</v>
      </c>
      <c r="D9148" s="4" t="s">
        <v>9136</v>
      </c>
      <c r="E9148" s="4" t="str">
        <f>HYPERLINK("https://app.crepc.sk/?fn=detailBiblioForm&amp;sid=29E831AA7AE2D1910BE02E0FED")</f>
        <v>https://app.crepc.sk/?fn=detailBiblioForm&amp;sid=29E831AA7AE2D1910BE02E0FED</v>
      </c>
    </row>
    <row r="9149" spans="3:5" ht="45" x14ac:dyDescent="0.25">
      <c r="C9149" s="15">
        <v>251158</v>
      </c>
      <c r="D9149" s="4" t="s">
        <v>9137</v>
      </c>
      <c r="E9149" s="4" t="str">
        <f>HYPERLINK("https://app.crepc.sk/?fn=detailBiblioForm&amp;sid=39F653ADC89B9C3286B1F67185")</f>
        <v>https://app.crepc.sk/?fn=detailBiblioForm&amp;sid=39F653ADC89B9C3286B1F67185</v>
      </c>
    </row>
    <row r="9150" spans="3:5" ht="90" x14ac:dyDescent="0.25">
      <c r="C9150" s="15">
        <v>60093</v>
      </c>
      <c r="D9150" s="4" t="s">
        <v>9138</v>
      </c>
      <c r="E9150" s="4" t="str">
        <f>HYPERLINK("https://app.crepc.sk/?fn=detailBiblioForm&amp;sid=4FC0A9E4E690E573937E7059")</f>
        <v>https://app.crepc.sk/?fn=detailBiblioForm&amp;sid=4FC0A9E4E690E573937E7059</v>
      </c>
    </row>
    <row r="9151" spans="3:5" ht="45" x14ac:dyDescent="0.25">
      <c r="C9151" s="15">
        <v>162045</v>
      </c>
      <c r="D9151" s="4" t="s">
        <v>9139</v>
      </c>
      <c r="E9151" s="4" t="str">
        <f>HYPERLINK("https://app.crepc.sk/?fn=detailBiblioForm&amp;sid=64F3CCE308D9C9BF41EF842526")</f>
        <v>https://app.crepc.sk/?fn=detailBiblioForm&amp;sid=64F3CCE308D9C9BF41EF842526</v>
      </c>
    </row>
    <row r="9152" spans="3:5" ht="45" x14ac:dyDescent="0.25">
      <c r="C9152" s="15">
        <v>312438</v>
      </c>
      <c r="D9152" s="4" t="s">
        <v>9140</v>
      </c>
      <c r="E9152" s="4" t="str">
        <f>HYPERLINK("https://app.crepc.sk/?fn=detailBiblioForm&amp;sid=29E831AA7AE2D1910CE82E0FED")</f>
        <v>https://app.crepc.sk/?fn=detailBiblioForm&amp;sid=29E831AA7AE2D1910CE82E0FED</v>
      </c>
    </row>
    <row r="9153" spans="3:5" ht="75" x14ac:dyDescent="0.25">
      <c r="C9153" s="15">
        <v>51670</v>
      </c>
      <c r="D9153" s="4" t="s">
        <v>9141</v>
      </c>
      <c r="E9153" s="4" t="str">
        <f>HYPERLINK("https://app.crepc.sk/?fn=detailBiblioForm&amp;sid=138E67EABC152083D0DC4B6E")</f>
        <v>https://app.crepc.sk/?fn=detailBiblioForm&amp;sid=138E67EABC152083D0DC4B6E</v>
      </c>
    </row>
    <row r="9154" spans="3:5" ht="45" x14ac:dyDescent="0.25">
      <c r="C9154" s="15">
        <v>251167</v>
      </c>
      <c r="D9154" s="4" t="s">
        <v>9142</v>
      </c>
      <c r="E9154" s="4" t="str">
        <f>HYPERLINK("https://app.crepc.sk/?fn=detailBiblioForm&amp;sid=39F653ADC89B9C3285BEF67185")</f>
        <v>https://app.crepc.sk/?fn=detailBiblioForm&amp;sid=39F653ADC89B9C3285BEF67185</v>
      </c>
    </row>
    <row r="9155" spans="3:5" ht="45" x14ac:dyDescent="0.25">
      <c r="C9155" s="15">
        <v>60420</v>
      </c>
      <c r="D9155" s="4" t="s">
        <v>9143</v>
      </c>
      <c r="E9155" s="4" t="str">
        <f>HYPERLINK("https://app.crepc.sk/?fn=detailBiblioForm&amp;sid=95B2A0FA32DD93D0EB15459A")</f>
        <v>https://app.crepc.sk/?fn=detailBiblioForm&amp;sid=95B2A0FA32DD93D0EB15459A</v>
      </c>
    </row>
    <row r="9156" spans="3:5" ht="45" x14ac:dyDescent="0.25">
      <c r="C9156" s="15">
        <v>312445</v>
      </c>
      <c r="D9156" s="4" t="s">
        <v>9144</v>
      </c>
      <c r="E9156" s="4" t="str">
        <f>HYPERLINK("https://app.crepc.sk/?fn=detailBiblioForm&amp;sid=29E831AA7AE2D1910BE52E0FED")</f>
        <v>https://app.crepc.sk/?fn=detailBiblioForm&amp;sid=29E831AA7AE2D1910BE52E0FED</v>
      </c>
    </row>
    <row r="9157" spans="3:5" ht="45" x14ac:dyDescent="0.25">
      <c r="C9157" s="15">
        <v>149132</v>
      </c>
      <c r="D9157" s="4" t="s">
        <v>9145</v>
      </c>
      <c r="E9157" s="4" t="str">
        <f>HYPERLINK("https://app.crepc.sk/?fn=detailBiblioForm&amp;sid=DAA396BB6B0B01134049686083")</f>
        <v>https://app.crepc.sk/?fn=detailBiblioForm&amp;sid=DAA396BB6B0B01134049686083</v>
      </c>
    </row>
    <row r="9158" spans="3:5" ht="60" x14ac:dyDescent="0.25">
      <c r="C9158" s="15">
        <v>312333</v>
      </c>
      <c r="D9158" s="4" t="s">
        <v>9146</v>
      </c>
      <c r="E9158" s="4" t="str">
        <f>HYPERLINK("https://app.crepc.sk/?fn=detailBiblioForm&amp;sid=4B02C4261583C7B820A9198635")</f>
        <v>https://app.crepc.sk/?fn=detailBiblioForm&amp;sid=4B02C4261583C7B820A9198635</v>
      </c>
    </row>
    <row r="9159" spans="3:5" ht="60" x14ac:dyDescent="0.25">
      <c r="C9159" s="15">
        <v>60427</v>
      </c>
      <c r="D9159" s="4" t="s">
        <v>9147</v>
      </c>
      <c r="E9159" s="4" t="str">
        <f>HYPERLINK("https://app.crepc.sk/?fn=detailBiblioForm&amp;sid=95B2A0FA32DD93D0EC15459A")</f>
        <v>https://app.crepc.sk/?fn=detailBiblioForm&amp;sid=95B2A0FA32DD93D0EC15459A</v>
      </c>
    </row>
    <row r="9160" spans="3:5" ht="45" x14ac:dyDescent="0.25">
      <c r="C9160" s="15">
        <v>312460</v>
      </c>
      <c r="D9160" s="4" t="s">
        <v>9148</v>
      </c>
      <c r="E9160" s="4" t="str">
        <f>HYPERLINK("https://app.crepc.sk/?fn=detailBiblioForm&amp;sid=29E831AA7AE2D19109E02E0FED")</f>
        <v>https://app.crepc.sk/?fn=detailBiblioForm&amp;sid=29E831AA7AE2D19109E02E0FED</v>
      </c>
    </row>
    <row r="9161" spans="3:5" ht="60" x14ac:dyDescent="0.25">
      <c r="C9161" s="15">
        <v>137540</v>
      </c>
      <c r="D9161" s="4" t="s">
        <v>9149</v>
      </c>
      <c r="E9161" s="4" t="str">
        <f>HYPERLINK("https://app.crepc.sk/?fn=detailBiblioForm&amp;sid=3E9AEE53085E0AC85F9891864D")</f>
        <v>https://app.crepc.sk/?fn=detailBiblioForm&amp;sid=3E9AEE53085E0AC85F9891864D</v>
      </c>
    </row>
    <row r="9162" spans="3:5" ht="45" x14ac:dyDescent="0.25">
      <c r="C9162" s="15">
        <v>140748</v>
      </c>
      <c r="D9162" s="4" t="s">
        <v>9150</v>
      </c>
      <c r="E9162" s="4" t="str">
        <f>HYPERLINK("https://app.crepc.sk/?fn=detailBiblioForm&amp;sid=5706AE11B6D530C997158F181F")</f>
        <v>https://app.crepc.sk/?fn=detailBiblioForm&amp;sid=5706AE11B6D530C997158F181F</v>
      </c>
    </row>
    <row r="9163" spans="3:5" ht="45" x14ac:dyDescent="0.25">
      <c r="C9163" s="15">
        <v>149174</v>
      </c>
      <c r="D9163" s="4" t="s">
        <v>9151</v>
      </c>
      <c r="E9163" s="4" t="str">
        <f>HYPERLINK("https://app.crepc.sk/?fn=detailBiblioForm&amp;sid=DAA396BB6B0B0113444F686083")</f>
        <v>https://app.crepc.sk/?fn=detailBiblioForm&amp;sid=DAA396BB6B0B0113444F686083</v>
      </c>
    </row>
    <row r="9164" spans="3:5" ht="45" x14ac:dyDescent="0.25">
      <c r="C9164" s="15">
        <v>83193</v>
      </c>
      <c r="D9164" s="4" t="s">
        <v>9152</v>
      </c>
      <c r="E9164" s="4" t="str">
        <f>HYPERLINK("https://app.crepc.sk/?fn=detailBiblioForm&amp;sid=0C57D2FA1BBE6555A2A9CF7C")</f>
        <v>https://app.crepc.sk/?fn=detailBiblioForm&amp;sid=0C57D2FA1BBE6555A2A9CF7C</v>
      </c>
    </row>
    <row r="9165" spans="3:5" ht="75" x14ac:dyDescent="0.25">
      <c r="C9165" s="15">
        <v>58852</v>
      </c>
      <c r="D9165" s="4" t="s">
        <v>9153</v>
      </c>
      <c r="E9165" s="4" t="str">
        <f>HYPERLINK("https://app.crepc.sk/?fn=detailBiblioForm&amp;sid=70061FE7AEE3C768A8E221C6")</f>
        <v>https://app.crepc.sk/?fn=detailBiblioForm&amp;sid=70061FE7AEE3C768A8E221C6</v>
      </c>
    </row>
    <row r="9166" spans="3:5" ht="45" x14ac:dyDescent="0.25">
      <c r="C9166" s="15">
        <v>142268</v>
      </c>
      <c r="D9166" s="4" t="s">
        <v>9154</v>
      </c>
      <c r="E9166" s="4" t="str">
        <f>HYPERLINK("https://app.crepc.sk/?fn=detailBiblioForm&amp;sid=1C7524EE209F6A36FDF3FC51B3")</f>
        <v>https://app.crepc.sk/?fn=detailBiblioForm&amp;sid=1C7524EE209F6A36FDF3FC51B3</v>
      </c>
    </row>
    <row r="9167" spans="3:5" ht="75" x14ac:dyDescent="0.25">
      <c r="C9167" s="15">
        <v>145797</v>
      </c>
      <c r="D9167" s="4" t="s">
        <v>9155</v>
      </c>
      <c r="E9167" s="4" t="str">
        <f>HYPERLINK("https://app.crepc.sk/?fn=detailBiblioForm&amp;sid=0278C0DD79B92F655B5B0D3573")</f>
        <v>https://app.crepc.sk/?fn=detailBiblioForm&amp;sid=0278C0DD79B92F655B5B0D3573</v>
      </c>
    </row>
    <row r="9168" spans="3:5" ht="45" x14ac:dyDescent="0.25">
      <c r="C9168" s="15">
        <v>100047</v>
      </c>
      <c r="D9168" s="4" t="s">
        <v>9156</v>
      </c>
      <c r="E9168" s="4" t="str">
        <f>HYPERLINK("https://app.crepc.sk/?fn=detailBiblioForm&amp;sid=8D3F7791082C9B6933D380258C")</f>
        <v>https://app.crepc.sk/?fn=detailBiblioForm&amp;sid=8D3F7791082C9B6933D380258C</v>
      </c>
    </row>
    <row r="9169" spans="3:5" ht="45" x14ac:dyDescent="0.25">
      <c r="C9169" s="15">
        <v>167177</v>
      </c>
      <c r="D9169" s="4" t="s">
        <v>9157</v>
      </c>
      <c r="E9169" s="4" t="str">
        <f>HYPERLINK("https://app.crepc.sk/?fn=detailBiblioForm&amp;sid=780C5DA7522A72A29BF79DC9C0")</f>
        <v>https://app.crepc.sk/?fn=detailBiblioForm&amp;sid=780C5DA7522A72A29BF79DC9C0</v>
      </c>
    </row>
    <row r="9170" spans="3:5" ht="90" x14ac:dyDescent="0.25">
      <c r="C9170" s="15">
        <v>60772</v>
      </c>
      <c r="D9170" s="4" t="s">
        <v>9158</v>
      </c>
      <c r="E9170" s="4" t="str">
        <f>HYPERLINK("https://app.crepc.sk/?fn=detailBiblioForm&amp;sid=6F7C538C43B20E3C7B0DBD2F")</f>
        <v>https://app.crepc.sk/?fn=detailBiblioForm&amp;sid=6F7C538C43B20E3C7B0DBD2F</v>
      </c>
    </row>
    <row r="9171" spans="3:5" ht="45" x14ac:dyDescent="0.25">
      <c r="C9171" s="15">
        <v>106075</v>
      </c>
      <c r="D9171" s="4" t="s">
        <v>9159</v>
      </c>
      <c r="E9171" s="4" t="str">
        <f>HYPERLINK("https://app.crepc.sk/?fn=detailBiblioForm&amp;sid=07EF298E455E7FC5089AD1B4B2")</f>
        <v>https://app.crepc.sk/?fn=detailBiblioForm&amp;sid=07EF298E455E7FC5089AD1B4B2</v>
      </c>
    </row>
    <row r="9172" spans="3:5" ht="75" x14ac:dyDescent="0.25">
      <c r="C9172" s="15">
        <v>226037</v>
      </c>
      <c r="D9172" s="4" t="s">
        <v>9160</v>
      </c>
      <c r="E9172" s="4" t="str">
        <f>HYPERLINK("https://app.crepc.sk/?fn=detailBiblioForm&amp;sid=7241E0F0A68FF7150A5DAE2810")</f>
        <v>https://app.crepc.sk/?fn=detailBiblioForm&amp;sid=7241E0F0A68FF7150A5DAE2810</v>
      </c>
    </row>
    <row r="9173" spans="3:5" ht="45" x14ac:dyDescent="0.25">
      <c r="C9173" s="15">
        <v>235092</v>
      </c>
      <c r="D9173" s="4" t="s">
        <v>9161</v>
      </c>
      <c r="E9173" s="4" t="str">
        <f>HYPERLINK("https://app.crepc.sk/?fn=detailBiblioForm&amp;sid=1672AA2C7269BEB1462060D9C8")</f>
        <v>https://app.crepc.sk/?fn=detailBiblioForm&amp;sid=1672AA2C7269BEB1462060D9C8</v>
      </c>
    </row>
    <row r="9174" spans="3:5" ht="45" x14ac:dyDescent="0.25">
      <c r="C9174" s="15">
        <v>60329</v>
      </c>
      <c r="D9174" s="4" t="s">
        <v>9162</v>
      </c>
      <c r="E9174" s="4" t="str">
        <f>HYPERLINK("https://app.crepc.sk/?fn=detailBiblioForm&amp;sid=ACE658DFA6BEEB4184F8C4FF")</f>
        <v>https://app.crepc.sk/?fn=detailBiblioForm&amp;sid=ACE658DFA6BEEB4184F8C4FF</v>
      </c>
    </row>
    <row r="9175" spans="3:5" ht="45" x14ac:dyDescent="0.25">
      <c r="C9175" s="15">
        <v>418546</v>
      </c>
      <c r="D9175" s="4" t="s">
        <v>9163</v>
      </c>
      <c r="E9175" s="4" t="str">
        <f>HYPERLINK("https://app.crepc.sk/?fn=detailBiblioForm&amp;sid=C3BF054227B45EA57FB97B6664")</f>
        <v>https://app.crepc.sk/?fn=detailBiblioForm&amp;sid=C3BF054227B45EA57FB97B6664</v>
      </c>
    </row>
    <row r="9176" spans="3:5" ht="45" x14ac:dyDescent="0.25">
      <c r="C9176" s="15">
        <v>189471</v>
      </c>
      <c r="D9176" s="4" t="s">
        <v>9164</v>
      </c>
      <c r="E9176" s="4" t="str">
        <f>HYPERLINK("https://app.crepc.sk/?fn=detailBiblioForm&amp;sid=6E6F559206AEB7A17100F336A3")</f>
        <v>https://app.crepc.sk/?fn=detailBiblioForm&amp;sid=6E6F559206AEB7A17100F336A3</v>
      </c>
    </row>
    <row r="9177" spans="3:5" ht="45" x14ac:dyDescent="0.25">
      <c r="C9177" s="15">
        <v>176704</v>
      </c>
      <c r="D9177" s="4" t="s">
        <v>9165</v>
      </c>
      <c r="E9177" s="4" t="str">
        <f>HYPERLINK("https://app.crepc.sk/?fn=detailBiblioForm&amp;sid=74611393D427AF19D4B7BE02B6")</f>
        <v>https://app.crepc.sk/?fn=detailBiblioForm&amp;sid=74611393D427AF19D4B7BE02B6</v>
      </c>
    </row>
    <row r="9178" spans="3:5" ht="45" x14ac:dyDescent="0.25">
      <c r="C9178" s="15">
        <v>311182</v>
      </c>
      <c r="D9178" s="4" t="s">
        <v>9166</v>
      </c>
      <c r="E9178" s="4" t="str">
        <f>HYPERLINK("https://app.crepc.sk/?fn=detailBiblioForm&amp;sid=EDC641B86B12B5F85144D27856")</f>
        <v>https://app.crepc.sk/?fn=detailBiblioForm&amp;sid=EDC641B86B12B5F85144D27856</v>
      </c>
    </row>
    <row r="9179" spans="3:5" ht="45" x14ac:dyDescent="0.25">
      <c r="C9179" s="15">
        <v>149083</v>
      </c>
      <c r="D9179" s="4" t="s">
        <v>9167</v>
      </c>
      <c r="E9179" s="4" t="str">
        <f>HYPERLINK("https://app.crepc.sk/?fn=detailBiblioForm&amp;sid=394581B55BAE63AC69AED47953")</f>
        <v>https://app.crepc.sk/?fn=detailBiblioForm&amp;sid=394581B55BAE63AC69AED47953</v>
      </c>
    </row>
    <row r="9180" spans="3:5" ht="45" x14ac:dyDescent="0.25">
      <c r="C9180" s="15">
        <v>80932</v>
      </c>
      <c r="D9180" s="4" t="s">
        <v>9168</v>
      </c>
      <c r="E9180" s="4" t="str">
        <f>HYPERLINK("https://app.crepc.sk/?fn=detailBiblioForm&amp;sid=B9C35BB87882E4C81507D504")</f>
        <v>https://app.crepc.sk/?fn=detailBiblioForm&amp;sid=B9C35BB87882E4C81507D504</v>
      </c>
    </row>
    <row r="9181" spans="3:5" ht="60" x14ac:dyDescent="0.25">
      <c r="C9181" s="15">
        <v>189465</v>
      </c>
      <c r="D9181" s="4" t="s">
        <v>9169</v>
      </c>
      <c r="E9181" s="4" t="str">
        <f>HYPERLINK("https://app.crepc.sk/?fn=detailBiblioForm&amp;sid=6E6F559206AEB7A17004F336A3")</f>
        <v>https://app.crepc.sk/?fn=detailBiblioForm&amp;sid=6E6F559206AEB7A17004F336A3</v>
      </c>
    </row>
    <row r="9182" spans="3:5" ht="45" x14ac:dyDescent="0.25">
      <c r="C9182" s="15">
        <v>149153</v>
      </c>
      <c r="D9182" s="4" t="s">
        <v>9170</v>
      </c>
      <c r="E9182" s="4" t="str">
        <f>HYPERLINK("https://app.crepc.sk/?fn=detailBiblioForm&amp;sid=DAA396BB6B0B01134648686083")</f>
        <v>https://app.crepc.sk/?fn=detailBiblioForm&amp;sid=DAA396BB6B0B01134648686083</v>
      </c>
    </row>
    <row r="9183" spans="3:5" ht="45" x14ac:dyDescent="0.25">
      <c r="C9183" s="15">
        <v>176729</v>
      </c>
      <c r="D9183" s="4" t="s">
        <v>9171</v>
      </c>
      <c r="E9183" s="4" t="str">
        <f>HYPERLINK("https://app.crepc.sk/?fn=detailBiblioForm&amp;sid=74611393D427AF19D6BABE02B6")</f>
        <v>https://app.crepc.sk/?fn=detailBiblioForm&amp;sid=74611393D427AF19D6BABE02B6</v>
      </c>
    </row>
    <row r="9184" spans="3:5" ht="45" x14ac:dyDescent="0.25">
      <c r="C9184" s="15">
        <v>176706</v>
      </c>
      <c r="D9184" s="4" t="s">
        <v>9172</v>
      </c>
      <c r="E9184" s="4" t="str">
        <f>HYPERLINK("https://app.crepc.sk/?fn=detailBiblioForm&amp;sid=74611393D427AF19D4B5BE02B6")</f>
        <v>https://app.crepc.sk/?fn=detailBiblioForm&amp;sid=74611393D427AF19D4B5BE02B6</v>
      </c>
    </row>
    <row r="9185" spans="3:5" ht="45" x14ac:dyDescent="0.25">
      <c r="C9185" s="15">
        <v>80923</v>
      </c>
      <c r="D9185" s="4" t="s">
        <v>9173</v>
      </c>
      <c r="E9185" s="4" t="str">
        <f>HYPERLINK("https://app.crepc.sk/?fn=detailBiblioForm&amp;sid=BF6747541D1E3B2606E84D09")</f>
        <v>https://app.crepc.sk/?fn=detailBiblioForm&amp;sid=BF6747541D1E3B2606E84D09</v>
      </c>
    </row>
    <row r="9186" spans="3:5" ht="60" x14ac:dyDescent="0.25">
      <c r="C9186" s="15">
        <v>143430</v>
      </c>
      <c r="D9186" s="4" t="s">
        <v>9174</v>
      </c>
      <c r="E9186" s="4" t="str">
        <f>HYPERLINK("https://app.crepc.sk/?fn=detailBiblioForm&amp;sid=00389946DCE70C101BB6D660B3")</f>
        <v>https://app.crepc.sk/?fn=detailBiblioForm&amp;sid=00389946DCE70C101BB6D660B3</v>
      </c>
    </row>
    <row r="9187" spans="3:5" ht="45" x14ac:dyDescent="0.25">
      <c r="C9187" s="15">
        <v>167181</v>
      </c>
      <c r="D9187" s="4" t="s">
        <v>9175</v>
      </c>
      <c r="E9187" s="4" t="str">
        <f>HYPERLINK("https://app.crepc.sk/?fn=detailBiblioForm&amp;sid=780C5DA7522A72A294F19DC9C0")</f>
        <v>https://app.crepc.sk/?fn=detailBiblioForm&amp;sid=780C5DA7522A72A294F19DC9C0</v>
      </c>
    </row>
    <row r="9188" spans="3:5" ht="45" x14ac:dyDescent="0.25">
      <c r="C9188" s="15">
        <v>200099</v>
      </c>
      <c r="D9188" s="4" t="s">
        <v>9176</v>
      </c>
      <c r="E9188" s="4" t="str">
        <f>HYPERLINK("https://app.crepc.sk/?fn=detailBiblioForm&amp;sid=9EFC318DF93415C00C064DD8B6")</f>
        <v>https://app.crepc.sk/?fn=detailBiblioForm&amp;sid=9EFC318DF93415C00C064DD8B6</v>
      </c>
    </row>
    <row r="9189" spans="3:5" ht="45" x14ac:dyDescent="0.25">
      <c r="C9189" s="15">
        <v>106045</v>
      </c>
      <c r="D9189" s="4" t="s">
        <v>9177</v>
      </c>
      <c r="E9189" s="4" t="str">
        <f>HYPERLINK("https://app.crepc.sk/?fn=detailBiblioForm&amp;sid=07EF298E455E7FC50B9AD1B4B2")</f>
        <v>https://app.crepc.sk/?fn=detailBiblioForm&amp;sid=07EF298E455E7FC50B9AD1B4B2</v>
      </c>
    </row>
    <row r="9190" spans="3:5" ht="45" x14ac:dyDescent="0.25">
      <c r="C9190" s="15">
        <v>149111</v>
      </c>
      <c r="D9190" s="4" t="s">
        <v>9178</v>
      </c>
      <c r="E9190" s="4" t="str">
        <f>HYPERLINK("https://app.crepc.sk/?fn=detailBiblioForm&amp;sid=DAA396BB6B0B0113424A686083")</f>
        <v>https://app.crepc.sk/?fn=detailBiblioForm&amp;sid=DAA396BB6B0B0113424A686083</v>
      </c>
    </row>
    <row r="9191" spans="3:5" ht="45" x14ac:dyDescent="0.25">
      <c r="C9191" s="15">
        <v>200097</v>
      </c>
      <c r="D9191" s="4" t="s">
        <v>9179</v>
      </c>
      <c r="E9191" s="4" t="str">
        <f>HYPERLINK("https://app.crepc.sk/?fn=detailBiblioForm&amp;sid=9EFC318DF93415C00C084DD8B6")</f>
        <v>https://app.crepc.sk/?fn=detailBiblioForm&amp;sid=9EFC318DF93415C00C084DD8B6</v>
      </c>
    </row>
    <row r="9192" spans="3:5" ht="45" x14ac:dyDescent="0.25">
      <c r="C9192" s="15">
        <v>312513</v>
      </c>
      <c r="D9192" s="4" t="s">
        <v>9180</v>
      </c>
      <c r="E9192" s="4" t="str">
        <f>HYPERLINK("https://app.crepc.sk/?fn=detailBiblioForm&amp;sid=E815F94B12A202C1EA3F1B9965")</f>
        <v>https://app.crepc.sk/?fn=detailBiblioForm&amp;sid=E815F94B12A202C1EA3F1B9965</v>
      </c>
    </row>
    <row r="9193" spans="3:5" ht="45" x14ac:dyDescent="0.25">
      <c r="C9193" s="15">
        <v>189705</v>
      </c>
      <c r="D9193" s="4" t="s">
        <v>9181</v>
      </c>
      <c r="E9193" s="4" t="str">
        <f>HYPERLINK("https://app.crepc.sk/?fn=detailBiblioForm&amp;sid=ECD7BDABE461DD05CE30FD20C5")</f>
        <v>https://app.crepc.sk/?fn=detailBiblioForm&amp;sid=ECD7BDABE461DD05CE30FD20C5</v>
      </c>
    </row>
    <row r="9194" spans="3:5" ht="60" x14ac:dyDescent="0.25">
      <c r="C9194" s="15">
        <v>159348</v>
      </c>
      <c r="D9194" s="4" t="s">
        <v>9182</v>
      </c>
      <c r="E9194" s="4" t="str">
        <f>HYPERLINK("https://app.crepc.sk/?fn=detailBiblioForm&amp;sid=053A541DA4E8CCAC4D81B08FF1")</f>
        <v>https://app.crepc.sk/?fn=detailBiblioForm&amp;sid=053A541DA4E8CCAC4D81B08FF1</v>
      </c>
    </row>
    <row r="9195" spans="3:5" ht="60" x14ac:dyDescent="0.25">
      <c r="C9195" s="15">
        <v>189456</v>
      </c>
      <c r="D9195" s="4" t="s">
        <v>9183</v>
      </c>
      <c r="E9195" s="4" t="str">
        <f>HYPERLINK("https://app.crepc.sk/?fn=detailBiblioForm&amp;sid=6E6F559206AEB7A17307F336A3")</f>
        <v>https://app.crepc.sk/?fn=detailBiblioForm&amp;sid=6E6F559206AEB7A17307F336A3</v>
      </c>
    </row>
    <row r="9196" spans="3:5" ht="45" x14ac:dyDescent="0.25">
      <c r="C9196" s="15">
        <v>251162</v>
      </c>
      <c r="D9196" s="4" t="s">
        <v>9184</v>
      </c>
      <c r="E9196" s="4" t="str">
        <f>HYPERLINK("https://app.crepc.sk/?fn=detailBiblioForm&amp;sid=39F653ADC89B9C3285BBF67185")</f>
        <v>https://app.crepc.sk/?fn=detailBiblioForm&amp;sid=39F653ADC89B9C3285BBF67185</v>
      </c>
    </row>
    <row r="9197" spans="3:5" ht="45" x14ac:dyDescent="0.25">
      <c r="C9197" s="15">
        <v>215226</v>
      </c>
      <c r="D9197" s="4" t="s">
        <v>9185</v>
      </c>
      <c r="E9197" s="4" t="str">
        <f>HYPERLINK("https://app.crepc.sk/?fn=detailBiblioForm&amp;sid=232B0374A242225DB506E0C308")</f>
        <v>https://app.crepc.sk/?fn=detailBiblioForm&amp;sid=232B0374A242225DB506E0C308</v>
      </c>
    </row>
    <row r="9198" spans="3:5" ht="45" x14ac:dyDescent="0.25">
      <c r="C9198" s="15">
        <v>73714</v>
      </c>
      <c r="D9198" s="4" t="s">
        <v>9186</v>
      </c>
      <c r="E9198" s="4" t="str">
        <f>HYPERLINK("https://app.crepc.sk/?fn=detailBiblioForm&amp;sid=7EE03A166874B23D796C9C42")</f>
        <v>https://app.crepc.sk/?fn=detailBiblioForm&amp;sid=7EE03A166874B23D796C9C42</v>
      </c>
    </row>
    <row r="9199" spans="3:5" ht="45" x14ac:dyDescent="0.25">
      <c r="C9199" s="15">
        <v>151334</v>
      </c>
      <c r="D9199" s="4" t="s">
        <v>9187</v>
      </c>
      <c r="E9199" s="4" t="str">
        <f>HYPERLINK("https://app.crepc.sk/?fn=detailBiblioForm&amp;sid=11002ED4121AC482AABC0BF396")</f>
        <v>https://app.crepc.sk/?fn=detailBiblioForm&amp;sid=11002ED4121AC482AABC0BF396</v>
      </c>
    </row>
    <row r="9200" spans="3:5" ht="45" x14ac:dyDescent="0.25">
      <c r="C9200" s="15">
        <v>219002</v>
      </c>
      <c r="D9200" s="4" t="s">
        <v>9188</v>
      </c>
      <c r="E9200" s="4" t="str">
        <f>HYPERLINK("https://app.crepc.sk/?fn=detailBiblioForm&amp;sid=85DD408EB52417A7897A3F628D")</f>
        <v>https://app.crepc.sk/?fn=detailBiblioForm&amp;sid=85DD408EB52417A7897A3F628D</v>
      </c>
    </row>
    <row r="9201" spans="3:5" ht="45" x14ac:dyDescent="0.25">
      <c r="C9201" s="15">
        <v>162050</v>
      </c>
      <c r="D9201" s="4" t="s">
        <v>9189</v>
      </c>
      <c r="E9201" s="4" t="str">
        <f>HYPERLINK("https://app.crepc.sk/?fn=detailBiblioForm&amp;sid=64F3CCE308D9C9BF40EA842526")</f>
        <v>https://app.crepc.sk/?fn=detailBiblioForm&amp;sid=64F3CCE308D9C9BF40EA842526</v>
      </c>
    </row>
    <row r="9202" spans="3:5" ht="60" x14ac:dyDescent="0.25">
      <c r="C9202" s="15">
        <v>184225</v>
      </c>
      <c r="D9202" s="4" t="s">
        <v>9190</v>
      </c>
      <c r="E9202" s="4" t="str">
        <f>HYPERLINK("https://app.crepc.sk/?fn=detailBiblioForm&amp;sid=51C176E8478ABC8F807263848B")</f>
        <v>https://app.crepc.sk/?fn=detailBiblioForm&amp;sid=51C176E8478ABC8F807263848B</v>
      </c>
    </row>
    <row r="9203" spans="3:5" ht="45" x14ac:dyDescent="0.25">
      <c r="C9203" s="15">
        <v>187149</v>
      </c>
      <c r="D9203" s="4" t="s">
        <v>9191</v>
      </c>
      <c r="E9203" s="4" t="str">
        <f>HYPERLINK("https://app.crepc.sk/?fn=detailBiblioForm&amp;sid=C218772124E30DDCC009E0B66E")</f>
        <v>https://app.crepc.sk/?fn=detailBiblioForm&amp;sid=C218772124E30DDCC009E0B66E</v>
      </c>
    </row>
    <row r="9204" spans="3:5" ht="60" x14ac:dyDescent="0.25">
      <c r="C9204" s="15">
        <v>149126</v>
      </c>
      <c r="D9204" s="4" t="s">
        <v>9192</v>
      </c>
      <c r="E9204" s="4" t="str">
        <f>HYPERLINK("https://app.crepc.sk/?fn=detailBiblioForm&amp;sid=DAA396BB6B0B0113414D686083")</f>
        <v>https://app.crepc.sk/?fn=detailBiblioForm&amp;sid=DAA396BB6B0B0113414D686083</v>
      </c>
    </row>
    <row r="9205" spans="3:5" ht="75" x14ac:dyDescent="0.25">
      <c r="C9205" s="15">
        <v>149103</v>
      </c>
      <c r="D9205" s="4" t="s">
        <v>9193</v>
      </c>
      <c r="E9205" s="4" t="str">
        <f>HYPERLINK("https://app.crepc.sk/?fn=detailBiblioForm&amp;sid=DAA396BB6B0B01134348686083")</f>
        <v>https://app.crepc.sk/?fn=detailBiblioForm&amp;sid=DAA396BB6B0B01134348686083</v>
      </c>
    </row>
    <row r="9206" spans="3:5" ht="45" x14ac:dyDescent="0.25">
      <c r="C9206" s="15">
        <v>229968</v>
      </c>
      <c r="D9206" s="4" t="s">
        <v>9194</v>
      </c>
      <c r="E9206" s="4" t="str">
        <f>HYPERLINK("https://app.crepc.sk/?fn=detailBiblioForm&amp;sid=B9A1E1684204950071CE2EFBD6")</f>
        <v>https://app.crepc.sk/?fn=detailBiblioForm&amp;sid=B9A1E1684204950071CE2EFBD6</v>
      </c>
    </row>
    <row r="9207" spans="3:5" ht="45" x14ac:dyDescent="0.25">
      <c r="C9207" s="15">
        <v>451190</v>
      </c>
      <c r="D9207" s="4" t="s">
        <v>9195</v>
      </c>
      <c r="E9207" s="4" t="str">
        <f>HYPERLINK("https://app.crepc.sk/?fn=detailBiblioForm&amp;sid=9F0385A5C8BE0E5AA6548D3D04")</f>
        <v>https://app.crepc.sk/?fn=detailBiblioForm&amp;sid=9F0385A5C8BE0E5AA6548D3D04</v>
      </c>
    </row>
    <row r="9208" spans="3:5" ht="45" x14ac:dyDescent="0.25">
      <c r="C9208" s="15">
        <v>451188</v>
      </c>
      <c r="D9208" s="4" t="s">
        <v>9196</v>
      </c>
      <c r="E9208" s="4" t="str">
        <f>HYPERLINK("https://app.crepc.sk/?fn=detailBiblioForm&amp;sid=9F0385A5C8BE0E5AA75C8D3D04")</f>
        <v>https://app.crepc.sk/?fn=detailBiblioForm&amp;sid=9F0385A5C8BE0E5AA75C8D3D04</v>
      </c>
    </row>
    <row r="9209" spans="3:5" ht="75" x14ac:dyDescent="0.25">
      <c r="C9209" s="15">
        <v>60016</v>
      </c>
      <c r="D9209" s="4" t="s">
        <v>9197</v>
      </c>
      <c r="E9209" s="4" t="str">
        <f>HYPERLINK("https://app.crepc.sk/?fn=detailBiblioForm&amp;sid=E4483CDF55A687A0683AAD48")</f>
        <v>https://app.crepc.sk/?fn=detailBiblioForm&amp;sid=E4483CDF55A687A0683AAD48</v>
      </c>
    </row>
    <row r="9210" spans="3:5" ht="45" x14ac:dyDescent="0.25">
      <c r="C9210" s="15">
        <v>58288</v>
      </c>
      <c r="D9210" s="4" t="s">
        <v>9198</v>
      </c>
      <c r="E9210" s="4" t="str">
        <f>HYPERLINK("https://app.crepc.sk/?fn=detailBiblioForm&amp;sid=253CB9665CA50132555AAB03")</f>
        <v>https://app.crepc.sk/?fn=detailBiblioForm&amp;sid=253CB9665CA50132555AAB03</v>
      </c>
    </row>
    <row r="9211" spans="3:5" ht="45" x14ac:dyDescent="0.25">
      <c r="C9211" s="15">
        <v>312436</v>
      </c>
      <c r="D9211" s="4" t="s">
        <v>9199</v>
      </c>
      <c r="E9211" s="4" t="str">
        <f>HYPERLINK("https://app.crepc.sk/?fn=detailBiblioForm&amp;sid=29E831AA7AE2D1910CE62E0FED")</f>
        <v>https://app.crepc.sk/?fn=detailBiblioForm&amp;sid=29E831AA7AE2D1910CE62E0FED</v>
      </c>
    </row>
    <row r="9212" spans="3:5" ht="45" x14ac:dyDescent="0.25">
      <c r="C9212" s="15">
        <v>245055</v>
      </c>
      <c r="D9212" s="4" t="s">
        <v>9200</v>
      </c>
      <c r="E9212" s="4" t="str">
        <f>HYPERLINK("https://app.crepc.sk/?fn=detailBiblioForm&amp;sid=67165C9A40F2F88515964A198D")</f>
        <v>https://app.crepc.sk/?fn=detailBiblioForm&amp;sid=67165C9A40F2F88515964A198D</v>
      </c>
    </row>
    <row r="9213" spans="3:5" ht="45" x14ac:dyDescent="0.25">
      <c r="C9213" s="15">
        <v>448278</v>
      </c>
      <c r="D9213" s="4" t="s">
        <v>9201</v>
      </c>
      <c r="E9213" s="4" t="str">
        <f>HYPERLINK("https://app.crepc.sk/?fn=detailBiblioForm&amp;sid=5BE501D611F83A9AAD9467DA3F")</f>
        <v>https://app.crepc.sk/?fn=detailBiblioForm&amp;sid=5BE501D611F83A9AAD9467DA3F</v>
      </c>
    </row>
    <row r="9214" spans="3:5" ht="45" x14ac:dyDescent="0.25">
      <c r="C9214" s="15">
        <v>200096</v>
      </c>
      <c r="D9214" s="4" t="s">
        <v>9202</v>
      </c>
      <c r="E9214" s="4" t="str">
        <f>HYPERLINK("https://app.crepc.sk/?fn=detailBiblioForm&amp;sid=9EFC318DF93415C00C094DD8B6")</f>
        <v>https://app.crepc.sk/?fn=detailBiblioForm&amp;sid=9EFC318DF93415C00C094DD8B6</v>
      </c>
    </row>
    <row r="9215" spans="3:5" ht="45" x14ac:dyDescent="0.25">
      <c r="C9215" s="15">
        <v>135111</v>
      </c>
      <c r="D9215" s="4" t="s">
        <v>9203</v>
      </c>
      <c r="E9215" s="4" t="str">
        <f>HYPERLINK("https://app.crepc.sk/?fn=detailBiblioForm&amp;sid=61B9BE2C1A50DA018BE4E3FA5F")</f>
        <v>https://app.crepc.sk/?fn=detailBiblioForm&amp;sid=61B9BE2C1A50DA018BE4E3FA5F</v>
      </c>
    </row>
    <row r="9216" spans="3:5" ht="45" x14ac:dyDescent="0.25">
      <c r="C9216" s="15">
        <v>80940</v>
      </c>
      <c r="D9216" s="4" t="s">
        <v>9204</v>
      </c>
      <c r="E9216" s="4" t="str">
        <f>HYPERLINK("https://app.crepc.sk/?fn=detailBiblioForm&amp;sid=1A94C9936DAA363C4E317F83")</f>
        <v>https://app.crepc.sk/?fn=detailBiblioForm&amp;sid=1A94C9936DAA363C4E317F83</v>
      </c>
    </row>
    <row r="9217" spans="3:5" ht="45" x14ac:dyDescent="0.25">
      <c r="C9217" s="15">
        <v>176738</v>
      </c>
      <c r="D9217" s="4" t="s">
        <v>9205</v>
      </c>
      <c r="E9217" s="4" t="str">
        <f>HYPERLINK("https://app.crepc.sk/?fn=detailBiblioForm&amp;sid=74611393D427AF19D7BBBE02B6")</f>
        <v>https://app.crepc.sk/?fn=detailBiblioForm&amp;sid=74611393D427AF19D7BBBE02B6</v>
      </c>
    </row>
    <row r="9218" spans="3:5" ht="45" x14ac:dyDescent="0.25">
      <c r="C9218" s="15">
        <v>60076</v>
      </c>
      <c r="D9218" s="4" t="s">
        <v>9206</v>
      </c>
      <c r="E9218" s="4" t="str">
        <f>HYPERLINK("https://app.crepc.sk/?fn=detailBiblioForm&amp;sid=4D381971A6602DE2105AC94B")</f>
        <v>https://app.crepc.sk/?fn=detailBiblioForm&amp;sid=4D381971A6602DE2105AC94B</v>
      </c>
    </row>
    <row r="9219" spans="3:5" ht="45" x14ac:dyDescent="0.25">
      <c r="C9219" s="15">
        <v>119749</v>
      </c>
      <c r="D9219" s="4" t="s">
        <v>9207</v>
      </c>
      <c r="E9219" s="4" t="str">
        <f>HYPERLINK("https://app.crepc.sk/?fn=detailBiblioForm&amp;sid=B5D677CC38484FF053943AF3C2")</f>
        <v>https://app.crepc.sk/?fn=detailBiblioForm&amp;sid=B5D677CC38484FF053943AF3C2</v>
      </c>
    </row>
    <row r="9220" spans="3:5" ht="45" x14ac:dyDescent="0.25">
      <c r="C9220" s="15">
        <v>191275</v>
      </c>
      <c r="D9220" s="4" t="s">
        <v>9208</v>
      </c>
      <c r="E9220" s="4" t="str">
        <f>HYPERLINK("https://app.crepc.sk/?fn=detailBiblioForm&amp;sid=BB22CF228AD80F334E21F1E3D6")</f>
        <v>https://app.crepc.sk/?fn=detailBiblioForm&amp;sid=BB22CF228AD80F334E21F1E3D6</v>
      </c>
    </row>
    <row r="9221" spans="3:5" ht="45" x14ac:dyDescent="0.25">
      <c r="C9221" s="15">
        <v>98973</v>
      </c>
      <c r="D9221" s="4" t="s">
        <v>9209</v>
      </c>
      <c r="E9221" s="4" t="str">
        <f>HYPERLINK("https://app.crepc.sk/?fn=detailBiblioForm&amp;sid=963BE63F29BA059E7377D761")</f>
        <v>https://app.crepc.sk/?fn=detailBiblioForm&amp;sid=963BE63F29BA059E7377D761</v>
      </c>
    </row>
    <row r="9222" spans="3:5" ht="45" x14ac:dyDescent="0.25">
      <c r="C9222" s="15">
        <v>312450</v>
      </c>
      <c r="D9222" s="4" t="s">
        <v>9210</v>
      </c>
      <c r="E9222" s="4" t="str">
        <f>HYPERLINK("https://app.crepc.sk/?fn=detailBiblioForm&amp;sid=29E831AA7AE2D1910AE02E0FED")</f>
        <v>https://app.crepc.sk/?fn=detailBiblioForm&amp;sid=29E831AA7AE2D1910AE02E0FED</v>
      </c>
    </row>
    <row r="9223" spans="3:5" ht="45" x14ac:dyDescent="0.25">
      <c r="C9223" s="15">
        <v>80850</v>
      </c>
      <c r="D9223" s="4" t="s">
        <v>9211</v>
      </c>
      <c r="E9223" s="4" t="str">
        <f>HYPERLINK("https://app.crepc.sk/?fn=detailBiblioForm&amp;sid=E2FF28C6FE5B0CFE917F0284")</f>
        <v>https://app.crepc.sk/?fn=detailBiblioForm&amp;sid=E2FF28C6FE5B0CFE917F0284</v>
      </c>
    </row>
    <row r="9224" spans="3:5" ht="45" x14ac:dyDescent="0.25">
      <c r="C9224" s="15">
        <v>200112</v>
      </c>
      <c r="D9224" s="4" t="s">
        <v>9212</v>
      </c>
      <c r="E9224" s="4" t="str">
        <f>HYPERLINK("https://app.crepc.sk/?fn=detailBiblioForm&amp;sid=9097805B3BD10337ED6359D914")</f>
        <v>https://app.crepc.sk/?fn=detailBiblioForm&amp;sid=9097805B3BD10337ED6359D914</v>
      </c>
    </row>
    <row r="9225" spans="3:5" ht="45" x14ac:dyDescent="0.25">
      <c r="C9225" s="15">
        <v>251166</v>
      </c>
      <c r="D9225" s="4" t="s">
        <v>9213</v>
      </c>
      <c r="E9225" s="4" t="str">
        <f>HYPERLINK("https://app.crepc.sk/?fn=detailBiblioForm&amp;sid=39F653ADC89B9C3285BFF67185")</f>
        <v>https://app.crepc.sk/?fn=detailBiblioForm&amp;sid=39F653ADC89B9C3285BFF67185</v>
      </c>
    </row>
    <row r="9226" spans="3:5" ht="45" x14ac:dyDescent="0.25">
      <c r="C9226" s="15">
        <v>312443</v>
      </c>
      <c r="D9226" s="4" t="s">
        <v>9214</v>
      </c>
      <c r="E9226" s="4" t="str">
        <f>HYPERLINK("https://app.crepc.sk/?fn=detailBiblioForm&amp;sid=29E831AA7AE2D1910BE32E0FED")</f>
        <v>https://app.crepc.sk/?fn=detailBiblioForm&amp;sid=29E831AA7AE2D1910BE32E0FED</v>
      </c>
    </row>
    <row r="9227" spans="3:5" ht="45" x14ac:dyDescent="0.25">
      <c r="C9227" s="15">
        <v>312467</v>
      </c>
      <c r="D9227" s="4" t="s">
        <v>9215</v>
      </c>
      <c r="E9227" s="4" t="str">
        <f>HYPERLINK("https://app.crepc.sk/?fn=detailBiblioForm&amp;sid=29E831AA7AE2D19109E72E0FED")</f>
        <v>https://app.crepc.sk/?fn=detailBiblioForm&amp;sid=29E831AA7AE2D19109E72E0FED</v>
      </c>
    </row>
    <row r="9228" spans="3:5" ht="45" x14ac:dyDescent="0.25">
      <c r="C9228" s="15">
        <v>146600</v>
      </c>
      <c r="D9228" s="4" t="s">
        <v>9216</v>
      </c>
      <c r="E9228" s="4" t="str">
        <f>HYPERLINK("https://app.crepc.sk/?fn=detailBiblioForm&amp;sid=DE75FDC5E8102707420373D2F9")</f>
        <v>https://app.crepc.sk/?fn=detailBiblioForm&amp;sid=DE75FDC5E8102707420373D2F9</v>
      </c>
    </row>
    <row r="9229" spans="3:5" ht="45" x14ac:dyDescent="0.25">
      <c r="C9229" s="15">
        <v>83204</v>
      </c>
      <c r="D9229" s="4" t="s">
        <v>9217</v>
      </c>
      <c r="E9229" s="4" t="str">
        <f>HYPERLINK("https://app.crepc.sk/?fn=detailBiblioForm&amp;sid=32B01FBEABC913214A89B65E")</f>
        <v>https://app.crepc.sk/?fn=detailBiblioForm&amp;sid=32B01FBEABC913214A89B65E</v>
      </c>
    </row>
    <row r="9230" spans="3:5" ht="45" x14ac:dyDescent="0.25">
      <c r="C9230" s="15">
        <v>442309</v>
      </c>
      <c r="D9230" s="4" t="s">
        <v>9218</v>
      </c>
      <c r="E9230" s="4" t="str">
        <f>HYPERLINK("https://app.crepc.sk/?fn=detailBiblioForm&amp;sid=F661DE2421DD595D54C462841D")</f>
        <v>https://app.crepc.sk/?fn=detailBiblioForm&amp;sid=F661DE2421DD595D54C462841D</v>
      </c>
    </row>
    <row r="9231" spans="3:5" ht="45" x14ac:dyDescent="0.25">
      <c r="C9231" s="15">
        <v>135945</v>
      </c>
      <c r="D9231" s="4" t="s">
        <v>9219</v>
      </c>
      <c r="E9231" s="4" t="str">
        <f>HYPERLINK("https://app.crepc.sk/?fn=detailBiblioForm&amp;sid=01A6BB7AB96764ED564958DFB9")</f>
        <v>https://app.crepc.sk/?fn=detailBiblioForm&amp;sid=01A6BB7AB96764ED564958DFB9</v>
      </c>
    </row>
    <row r="9232" spans="3:5" ht="45" x14ac:dyDescent="0.25">
      <c r="C9232" s="15">
        <v>80834</v>
      </c>
      <c r="D9232" s="4" t="s">
        <v>9220</v>
      </c>
      <c r="E9232" s="4" t="str">
        <f>HYPERLINK("https://app.crepc.sk/?fn=detailBiblioForm&amp;sid=EA528100CECA1305F5BD8B23")</f>
        <v>https://app.crepc.sk/?fn=detailBiblioForm&amp;sid=EA528100CECA1305F5BD8B23</v>
      </c>
    </row>
    <row r="9233" spans="3:5" ht="45" x14ac:dyDescent="0.25">
      <c r="C9233" s="15">
        <v>83201</v>
      </c>
      <c r="D9233" s="4" t="s">
        <v>9221</v>
      </c>
      <c r="E9233" s="4" t="str">
        <f>HYPERLINK("https://app.crepc.sk/?fn=detailBiblioForm&amp;sid=32B01FBEABC913214F89B65E")</f>
        <v>https://app.crepc.sk/?fn=detailBiblioForm&amp;sid=32B01FBEABC913214F89B65E</v>
      </c>
    </row>
    <row r="9234" spans="3:5" ht="45" x14ac:dyDescent="0.25">
      <c r="C9234" s="15">
        <v>187286</v>
      </c>
      <c r="D9234" s="4" t="s">
        <v>9222</v>
      </c>
      <c r="E9234" s="4" t="str">
        <f>HYPERLINK("https://app.crepc.sk/?fn=detailBiblioForm&amp;sid=8D80AD18777FCC7F64B2DC5BD8")</f>
        <v>https://app.crepc.sk/?fn=detailBiblioForm&amp;sid=8D80AD18777FCC7F64B2DC5BD8</v>
      </c>
    </row>
    <row r="9235" spans="3:5" ht="45" x14ac:dyDescent="0.25">
      <c r="C9235" s="15">
        <v>106149</v>
      </c>
      <c r="D9235" s="4" t="s">
        <v>9223</v>
      </c>
      <c r="E9235" s="4" t="str">
        <f>HYPERLINK("https://app.crepc.sk/?fn=detailBiblioForm&amp;sid=4D4650D7C82505D34DF276FBD7")</f>
        <v>https://app.crepc.sk/?fn=detailBiblioForm&amp;sid=4D4650D7C82505D34DF276FBD7</v>
      </c>
    </row>
    <row r="9236" spans="3:5" ht="45" x14ac:dyDescent="0.25">
      <c r="C9236" s="15">
        <v>60888</v>
      </c>
      <c r="D9236" s="4" t="s">
        <v>9224</v>
      </c>
      <c r="E9236" s="4" t="str">
        <f>HYPERLINK("https://app.crepc.sk/?fn=detailBiblioForm&amp;sid=CF536B9DD48FBF0C51A6EECF")</f>
        <v>https://app.crepc.sk/?fn=detailBiblioForm&amp;sid=CF536B9DD48FBF0C51A6EECF</v>
      </c>
    </row>
    <row r="9237" spans="3:5" ht="45" x14ac:dyDescent="0.25">
      <c r="C9237" s="15">
        <v>139499</v>
      </c>
      <c r="D9237" s="4" t="s">
        <v>9225</v>
      </c>
      <c r="E9237" s="4" t="str">
        <f>HYPERLINK("https://app.crepc.sk/?fn=detailBiblioForm&amp;sid=A3F3DC538E4836F2769FBE03C8")</f>
        <v>https://app.crepc.sk/?fn=detailBiblioForm&amp;sid=A3F3DC538E4836F2769FBE03C8</v>
      </c>
    </row>
    <row r="9238" spans="3:5" ht="45" x14ac:dyDescent="0.25">
      <c r="C9238" s="15">
        <v>60044</v>
      </c>
      <c r="D9238" s="4" t="s">
        <v>9226</v>
      </c>
      <c r="E9238" s="4" t="str">
        <f>HYPERLINK("https://app.crepc.sk/?fn=detailBiblioForm&amp;sid=D0B3DC8EF986D57EB1A3C18F")</f>
        <v>https://app.crepc.sk/?fn=detailBiblioForm&amp;sid=D0B3DC8EF986D57EB1A3C18F</v>
      </c>
    </row>
    <row r="9239" spans="3:5" ht="45" x14ac:dyDescent="0.25">
      <c r="C9239" s="15">
        <v>139497</v>
      </c>
      <c r="D9239" s="4" t="s">
        <v>9227</v>
      </c>
      <c r="E9239" s="4" t="str">
        <f>HYPERLINK("https://app.crepc.sk/?fn=detailBiblioForm&amp;sid=A3F3DC538E4836F27691BE03C8")</f>
        <v>https://app.crepc.sk/?fn=detailBiblioForm&amp;sid=A3F3DC538E4836F27691BE03C8</v>
      </c>
    </row>
    <row r="9240" spans="3:5" ht="45" x14ac:dyDescent="0.25">
      <c r="C9240" s="15">
        <v>161975</v>
      </c>
      <c r="D9240" s="4" t="s">
        <v>9228</v>
      </c>
      <c r="E9240" s="4" t="str">
        <f>HYPERLINK("https://app.crepc.sk/?fn=detailBiblioForm&amp;sid=3BEC39B52C756B70CA0779B3D6")</f>
        <v>https://app.crepc.sk/?fn=detailBiblioForm&amp;sid=3BEC39B52C756B70CA0779B3D6</v>
      </c>
    </row>
    <row r="9241" spans="3:5" ht="60" x14ac:dyDescent="0.25">
      <c r="C9241" s="15">
        <v>134471</v>
      </c>
      <c r="D9241" s="4" t="s">
        <v>9229</v>
      </c>
      <c r="E9241" s="4" t="str">
        <f>HYPERLINK("https://app.crepc.sk/?fn=detailBiblioForm&amp;sid=591608704B394480C11CB0D9E4")</f>
        <v>https://app.crepc.sk/?fn=detailBiblioForm&amp;sid=591608704B394480C11CB0D9E4</v>
      </c>
    </row>
    <row r="9242" spans="3:5" ht="60" x14ac:dyDescent="0.25">
      <c r="C9242" s="15">
        <v>184222</v>
      </c>
      <c r="D9242" s="4" t="s">
        <v>9230</v>
      </c>
      <c r="E9242" s="4" t="str">
        <f>HYPERLINK("https://app.crepc.sk/?fn=detailBiblioForm&amp;sid=51C176E8478ABC8F807563848B")</f>
        <v>https://app.crepc.sk/?fn=detailBiblioForm&amp;sid=51C176E8478ABC8F807563848B</v>
      </c>
    </row>
    <row r="9243" spans="3:5" ht="60" x14ac:dyDescent="0.25">
      <c r="C9243" s="15">
        <v>134475</v>
      </c>
      <c r="D9243" s="4" t="s">
        <v>9231</v>
      </c>
      <c r="E9243" s="4" t="str">
        <f>HYPERLINK("https://app.crepc.sk/?fn=detailBiblioForm&amp;sid=591608704B394480C118B0D9E4")</f>
        <v>https://app.crepc.sk/?fn=detailBiblioForm&amp;sid=591608704B394480C118B0D9E4</v>
      </c>
    </row>
    <row r="9244" spans="3:5" ht="45" x14ac:dyDescent="0.25">
      <c r="C9244" s="15">
        <v>184226</v>
      </c>
      <c r="D9244" s="4" t="s">
        <v>9232</v>
      </c>
      <c r="E9244" s="4" t="str">
        <f>HYPERLINK("https://app.crepc.sk/?fn=detailBiblioForm&amp;sid=51C176E8478ABC8F807163848B")</f>
        <v>https://app.crepc.sk/?fn=detailBiblioForm&amp;sid=51C176E8478ABC8F807163848B</v>
      </c>
    </row>
    <row r="9245" spans="3:5" ht="45" x14ac:dyDescent="0.25">
      <c r="C9245" s="15">
        <v>181613</v>
      </c>
      <c r="D9245" s="4" t="s">
        <v>9233</v>
      </c>
      <c r="E9245" s="4" t="str">
        <f>HYPERLINK("https://app.crepc.sk/?fn=detailBiblioForm&amp;sid=F0082B7A009D1614B9C375AE99")</f>
        <v>https://app.crepc.sk/?fn=detailBiblioForm&amp;sid=F0082B7A009D1614B9C375AE99</v>
      </c>
    </row>
    <row r="9246" spans="3:5" ht="60" x14ac:dyDescent="0.25">
      <c r="C9246" s="15">
        <v>217651</v>
      </c>
      <c r="D9246" s="4" t="s">
        <v>9234</v>
      </c>
      <c r="E9246" s="4" t="str">
        <f>HYPERLINK("https://app.crepc.sk/?fn=detailBiblioForm&amp;sid=DB0D4AC0076DAAFDC7689FF450")</f>
        <v>https://app.crepc.sk/?fn=detailBiblioForm&amp;sid=DB0D4AC0076DAAFDC7689FF450</v>
      </c>
    </row>
    <row r="9247" spans="3:5" ht="45" x14ac:dyDescent="0.25">
      <c r="C9247" s="15">
        <v>140183</v>
      </c>
      <c r="D9247" s="4" t="s">
        <v>9235</v>
      </c>
      <c r="E9247" s="4" t="str">
        <f>HYPERLINK("https://app.crepc.sk/?fn=detailBiblioForm&amp;sid=17899838D38E4BD15E1CEAAA4C")</f>
        <v>https://app.crepc.sk/?fn=detailBiblioForm&amp;sid=17899838D38E4BD15E1CEAAA4C</v>
      </c>
    </row>
    <row r="9248" spans="3:5" ht="60" x14ac:dyDescent="0.25">
      <c r="C9248" s="15">
        <v>149118</v>
      </c>
      <c r="D9248" s="4" t="s">
        <v>9236</v>
      </c>
      <c r="E9248" s="4" t="str">
        <f>HYPERLINK("https://app.crepc.sk/?fn=detailBiblioForm&amp;sid=DAA396BB6B0B01134243686083")</f>
        <v>https://app.crepc.sk/?fn=detailBiblioForm&amp;sid=DAA396BB6B0B01134243686083</v>
      </c>
    </row>
    <row r="9249" spans="3:5" ht="45" x14ac:dyDescent="0.25">
      <c r="C9249" s="15">
        <v>422884</v>
      </c>
      <c r="D9249" s="4" t="s">
        <v>9237</v>
      </c>
      <c r="E9249" s="4" t="str">
        <f>HYPERLINK("https://app.crepc.sk/?fn=detailBiblioForm&amp;sid=06AF89090F4EB554683C97E54C")</f>
        <v>https://app.crepc.sk/?fn=detailBiblioForm&amp;sid=06AF89090F4EB554683C97E54C</v>
      </c>
    </row>
    <row r="9250" spans="3:5" ht="45" x14ac:dyDescent="0.25">
      <c r="C9250" s="15">
        <v>95130</v>
      </c>
      <c r="D9250" s="4" t="s">
        <v>9238</v>
      </c>
      <c r="E9250" s="4" t="str">
        <f>HYPERLINK("https://app.crepc.sk/?fn=detailBiblioForm&amp;sid=286DCDC1C046F33E7F1A31A5")</f>
        <v>https://app.crepc.sk/?fn=detailBiblioForm&amp;sid=286DCDC1C046F33E7F1A31A5</v>
      </c>
    </row>
    <row r="9251" spans="3:5" ht="45" x14ac:dyDescent="0.25">
      <c r="C9251" s="15">
        <v>60096</v>
      </c>
      <c r="D9251" s="4" t="s">
        <v>9239</v>
      </c>
      <c r="E9251" s="4" t="str">
        <f>HYPERLINK("https://app.crepc.sk/?fn=detailBiblioForm&amp;sid=4FC0A9E4E690E573967E7059")</f>
        <v>https://app.crepc.sk/?fn=detailBiblioForm&amp;sid=4FC0A9E4E690E573967E7059</v>
      </c>
    </row>
    <row r="9252" spans="3:5" ht="60" x14ac:dyDescent="0.25">
      <c r="C9252" s="15">
        <v>119764</v>
      </c>
      <c r="D9252" s="4" t="s">
        <v>9240</v>
      </c>
      <c r="E9252" s="4" t="str">
        <f>HYPERLINK("https://app.crepc.sk/?fn=detailBiblioForm&amp;sid=B5D677CC38484FF051993AF3C2")</f>
        <v>https://app.crepc.sk/?fn=detailBiblioForm&amp;sid=B5D677CC38484FF051993AF3C2</v>
      </c>
    </row>
    <row r="9253" spans="3:5" ht="45" x14ac:dyDescent="0.25">
      <c r="C9253" s="15">
        <v>140322</v>
      </c>
      <c r="D9253" s="4" t="s">
        <v>9241</v>
      </c>
      <c r="E9253" s="4" t="str">
        <f>HYPERLINK("https://app.crepc.sk/?fn=detailBiblioForm&amp;sid=06ED14E8665C76DEA6C73482C7")</f>
        <v>https://app.crepc.sk/?fn=detailBiblioForm&amp;sid=06ED14E8665C76DEA6C73482C7</v>
      </c>
    </row>
    <row r="9254" spans="3:5" ht="45" x14ac:dyDescent="0.25">
      <c r="C9254" s="15">
        <v>60013</v>
      </c>
      <c r="D9254" s="4" t="s">
        <v>9242</v>
      </c>
      <c r="E9254" s="4" t="str">
        <f>HYPERLINK("https://app.crepc.sk/?fn=detailBiblioForm&amp;sid=E4483CDF55A687A06D3AAD48")</f>
        <v>https://app.crepc.sk/?fn=detailBiblioForm&amp;sid=E4483CDF55A687A06D3AAD48</v>
      </c>
    </row>
    <row r="9255" spans="3:5" ht="45" x14ac:dyDescent="0.25">
      <c r="C9255" s="15">
        <v>181107</v>
      </c>
      <c r="D9255" s="4" t="s">
        <v>9243</v>
      </c>
      <c r="E9255" s="4" t="str">
        <f>HYPERLINK("https://app.crepc.sk/?fn=detailBiblioForm&amp;sid=D2270EF957433A5E2D73E60F57")</f>
        <v>https://app.crepc.sk/?fn=detailBiblioForm&amp;sid=D2270EF957433A5E2D73E60F57</v>
      </c>
    </row>
    <row r="9256" spans="3:5" ht="45" x14ac:dyDescent="0.25">
      <c r="C9256" s="15">
        <v>100085</v>
      </c>
      <c r="D9256" s="4" t="s">
        <v>9244</v>
      </c>
      <c r="E9256" s="4" t="str">
        <f>HYPERLINK("https://app.crepc.sk/?fn=detailBiblioForm&amp;sid=8D3F7791082C9B693FD180258C")</f>
        <v>https://app.crepc.sk/?fn=detailBiblioForm&amp;sid=8D3F7791082C9B693FD180258C</v>
      </c>
    </row>
    <row r="9257" spans="3:5" ht="90" x14ac:dyDescent="0.25">
      <c r="C9257" s="15">
        <v>112278</v>
      </c>
      <c r="D9257" s="4" t="s">
        <v>9245</v>
      </c>
      <c r="E9257" s="4" t="str">
        <f>HYPERLINK("https://app.crepc.sk/?fn=detailBiblioForm&amp;sid=7CA613A94B8F9B6E9DC9E5F3EF")</f>
        <v>https://app.crepc.sk/?fn=detailBiblioForm&amp;sid=7CA613A94B8F9B6E9DC9E5F3EF</v>
      </c>
    </row>
    <row r="9258" spans="3:5" ht="60" x14ac:dyDescent="0.25">
      <c r="C9258" s="15">
        <v>189469</v>
      </c>
      <c r="D9258" s="4" t="s">
        <v>9246</v>
      </c>
      <c r="E9258" s="4" t="str">
        <f>HYPERLINK("https://app.crepc.sk/?fn=detailBiblioForm&amp;sid=6E6F559206AEB7A17008F336A3")</f>
        <v>https://app.crepc.sk/?fn=detailBiblioForm&amp;sid=6E6F559206AEB7A17008F336A3</v>
      </c>
    </row>
    <row r="9259" spans="3:5" ht="45" x14ac:dyDescent="0.25">
      <c r="C9259" s="15">
        <v>150313</v>
      </c>
      <c r="D9259" s="4" t="s">
        <v>9247</v>
      </c>
      <c r="E9259" s="4" t="str">
        <f>HYPERLINK("https://app.crepc.sk/?fn=detailBiblioForm&amp;sid=6D7E2994FB8F4DECA909800012")</f>
        <v>https://app.crepc.sk/?fn=detailBiblioForm&amp;sid=6D7E2994FB8F4DECA909800012</v>
      </c>
    </row>
    <row r="9260" spans="3:5" ht="45" x14ac:dyDescent="0.25">
      <c r="C9260" s="15">
        <v>55829</v>
      </c>
      <c r="D9260" s="4" t="s">
        <v>9248</v>
      </c>
      <c r="E9260" s="4" t="str">
        <f>HYPERLINK("https://app.crepc.sk/?fn=detailBiblioForm&amp;sid=4D8E724B40AF3318954B5794")</f>
        <v>https://app.crepc.sk/?fn=detailBiblioForm&amp;sid=4D8E724B40AF3318954B5794</v>
      </c>
    </row>
    <row r="9261" spans="3:5" ht="45" x14ac:dyDescent="0.25">
      <c r="C9261" s="15">
        <v>100097</v>
      </c>
      <c r="D9261" s="4" t="s">
        <v>9249</v>
      </c>
      <c r="E9261" s="4" t="str">
        <f>HYPERLINK("https://app.crepc.sk/?fn=detailBiblioForm&amp;sid=8D3F7791082C9B693ED380258C")</f>
        <v>https://app.crepc.sk/?fn=detailBiblioForm&amp;sid=8D3F7791082C9B693ED380258C</v>
      </c>
    </row>
    <row r="9262" spans="3:5" ht="45" x14ac:dyDescent="0.25">
      <c r="C9262" s="15">
        <v>100102</v>
      </c>
      <c r="D9262" s="4" t="s">
        <v>9250</v>
      </c>
      <c r="E9262" s="4" t="str">
        <f>HYPERLINK("https://app.crepc.sk/?fn=detailBiblioForm&amp;sid=5BFE66B123F0ED37A65D1F9F3C")</f>
        <v>https://app.crepc.sk/?fn=detailBiblioForm&amp;sid=5BFE66B123F0ED37A65D1F9F3C</v>
      </c>
    </row>
    <row r="9263" spans="3:5" ht="45" x14ac:dyDescent="0.25">
      <c r="C9263" s="15">
        <v>122632</v>
      </c>
      <c r="D9263" s="4" t="s">
        <v>9251</v>
      </c>
      <c r="E9263" s="4" t="str">
        <f>HYPERLINK("https://app.crepc.sk/?fn=detailBiblioForm&amp;sid=7E4A807172B6E375017B0C446E")</f>
        <v>https://app.crepc.sk/?fn=detailBiblioForm&amp;sid=7E4A807172B6E375017B0C446E</v>
      </c>
    </row>
    <row r="9264" spans="3:5" ht="45" x14ac:dyDescent="0.25">
      <c r="C9264" s="15">
        <v>60030</v>
      </c>
      <c r="D9264" s="4" t="s">
        <v>9252</v>
      </c>
      <c r="E9264" s="4" t="str">
        <f>HYPERLINK("https://app.crepc.sk/?fn=detailBiblioForm&amp;sid=6D1F437F914A657C8355DE03")</f>
        <v>https://app.crepc.sk/?fn=detailBiblioForm&amp;sid=6D1F437F914A657C8355DE03</v>
      </c>
    </row>
    <row r="9265" spans="3:5" ht="45" x14ac:dyDescent="0.25">
      <c r="C9265" s="15">
        <v>189450</v>
      </c>
      <c r="D9265" s="4" t="s">
        <v>9253</v>
      </c>
      <c r="E9265" s="4" t="str">
        <f>HYPERLINK("https://app.crepc.sk/?fn=detailBiblioForm&amp;sid=6E6F559206AEB7A17301F336A3")</f>
        <v>https://app.crepc.sk/?fn=detailBiblioForm&amp;sid=6E6F559206AEB7A17301F336A3</v>
      </c>
    </row>
    <row r="9266" spans="3:5" ht="45" x14ac:dyDescent="0.25">
      <c r="C9266" s="15">
        <v>80760</v>
      </c>
      <c r="D9266" s="4" t="s">
        <v>9254</v>
      </c>
      <c r="E9266" s="4" t="str">
        <f>HYPERLINK("https://app.crepc.sk/?fn=detailBiblioForm&amp;sid=9FDCBD9C5097A2EA646157D0")</f>
        <v>https://app.crepc.sk/?fn=detailBiblioForm&amp;sid=9FDCBD9C5097A2EA646157D0</v>
      </c>
    </row>
    <row r="9267" spans="3:5" ht="45" x14ac:dyDescent="0.25">
      <c r="C9267" s="15">
        <v>312516</v>
      </c>
      <c r="D9267" s="4" t="s">
        <v>9255</v>
      </c>
      <c r="E9267" s="4" t="str">
        <f>HYPERLINK("https://app.crepc.sk/?fn=detailBiblioForm&amp;sid=E815F94B12A202C1EA3A1B9965")</f>
        <v>https://app.crepc.sk/?fn=detailBiblioForm&amp;sid=E815F94B12A202C1EA3A1B9965</v>
      </c>
    </row>
    <row r="9268" spans="3:5" ht="60" x14ac:dyDescent="0.25">
      <c r="C9268" s="15">
        <v>106078</v>
      </c>
      <c r="D9268" s="4" t="s">
        <v>9256</v>
      </c>
      <c r="E9268" s="4" t="str">
        <f>HYPERLINK("https://app.crepc.sk/?fn=detailBiblioForm&amp;sid=07EF298E455E7FC50897D1B4B2")</f>
        <v>https://app.crepc.sk/?fn=detailBiblioForm&amp;sid=07EF298E455E7FC50897D1B4B2</v>
      </c>
    </row>
    <row r="9269" spans="3:5" ht="75" x14ac:dyDescent="0.25">
      <c r="C9269" s="15">
        <v>305808</v>
      </c>
      <c r="D9269" s="4" t="s">
        <v>9257</v>
      </c>
      <c r="E9269" s="4" t="str">
        <f>HYPERLINK("https://app.crepc.sk/?fn=detailBiblioForm&amp;sid=4FAEBD38B72F227D003DB62942")</f>
        <v>https://app.crepc.sk/?fn=detailBiblioForm&amp;sid=4FAEBD38B72F227D003DB62942</v>
      </c>
    </row>
    <row r="9270" spans="3:5" ht="60" x14ac:dyDescent="0.25">
      <c r="C9270" s="15">
        <v>202563</v>
      </c>
      <c r="D9270" s="4" t="s">
        <v>9258</v>
      </c>
      <c r="E9270" s="4" t="str">
        <f>HYPERLINK("https://app.crepc.sk/?fn=detailBiblioForm&amp;sid=3036734F2764D6FCC336D36630")</f>
        <v>https://app.crepc.sk/?fn=detailBiblioForm&amp;sid=3036734F2764D6FCC336D36630</v>
      </c>
    </row>
    <row r="9271" spans="3:5" ht="45" x14ac:dyDescent="0.25">
      <c r="C9271" s="15">
        <v>69350</v>
      </c>
      <c r="D9271" s="4" t="s">
        <v>9259</v>
      </c>
      <c r="E9271" s="4" t="str">
        <f>HYPERLINK("https://app.crepc.sk/?fn=detailBiblioForm&amp;sid=30246F63CACA97B952EFD6C0")</f>
        <v>https://app.crepc.sk/?fn=detailBiblioForm&amp;sid=30246F63CACA97B952EFD6C0</v>
      </c>
    </row>
    <row r="9272" spans="3:5" ht="60" x14ac:dyDescent="0.25">
      <c r="C9272" s="15">
        <v>155618</v>
      </c>
      <c r="D9272" s="4" t="s">
        <v>9260</v>
      </c>
      <c r="E9272" s="4" t="str">
        <f>HYPERLINK("https://app.crepc.sk/?fn=detailBiblioForm&amp;sid=7328D144CEBBA0B746847B02FC")</f>
        <v>https://app.crepc.sk/?fn=detailBiblioForm&amp;sid=7328D144CEBBA0B746847B02FC</v>
      </c>
    </row>
    <row r="9273" spans="3:5" ht="45" x14ac:dyDescent="0.25">
      <c r="C9273" s="15">
        <v>59974</v>
      </c>
      <c r="D9273" s="4" t="s">
        <v>9261</v>
      </c>
      <c r="E9273" s="4" t="str">
        <f>HYPERLINK("https://app.crepc.sk/?fn=detailBiblioForm&amp;sid=E5800EBF0C028FB3337BCB11")</f>
        <v>https://app.crepc.sk/?fn=detailBiblioForm&amp;sid=E5800EBF0C028FB3337BCB11</v>
      </c>
    </row>
    <row r="9274" spans="3:5" ht="45" x14ac:dyDescent="0.25">
      <c r="C9274" s="15">
        <v>119747</v>
      </c>
      <c r="D9274" s="4" t="s">
        <v>9262</v>
      </c>
      <c r="E9274" s="4" t="str">
        <f>HYPERLINK("https://app.crepc.sk/?fn=detailBiblioForm&amp;sid=B5D677CC38484FF0539A3AF3C2")</f>
        <v>https://app.crepc.sk/?fn=detailBiblioForm&amp;sid=B5D677CC38484FF0539A3AF3C2</v>
      </c>
    </row>
    <row r="9275" spans="3:5" ht="45" x14ac:dyDescent="0.25">
      <c r="C9275" s="15">
        <v>312311</v>
      </c>
      <c r="D9275" s="4" t="s">
        <v>9263</v>
      </c>
      <c r="E9275" s="4" t="str">
        <f>HYPERLINK("https://app.crepc.sk/?fn=detailBiblioForm&amp;sid=4B02C4261583C7B822AB198635")</f>
        <v>https://app.crepc.sk/?fn=detailBiblioForm&amp;sid=4B02C4261583C7B822AB198635</v>
      </c>
    </row>
    <row r="9276" spans="3:5" ht="60" x14ac:dyDescent="0.25">
      <c r="C9276" s="15">
        <v>149163</v>
      </c>
      <c r="D9276" s="4" t="s">
        <v>9264</v>
      </c>
      <c r="E9276" s="4" t="str">
        <f>HYPERLINK("https://app.crepc.sk/?fn=detailBiblioForm&amp;sid=DAA396BB6B0B01134548686083")</f>
        <v>https://app.crepc.sk/?fn=detailBiblioForm&amp;sid=DAA396BB6B0B01134548686083</v>
      </c>
    </row>
    <row r="9277" spans="3:5" ht="75" x14ac:dyDescent="0.25">
      <c r="C9277" s="15">
        <v>60753</v>
      </c>
      <c r="D9277" s="4" t="s">
        <v>9265</v>
      </c>
      <c r="E9277" s="4" t="str">
        <f>HYPERLINK("https://app.crepc.sk/?fn=detailBiblioForm&amp;sid=6D59093A163763FA8D6CAEE3")</f>
        <v>https://app.crepc.sk/?fn=detailBiblioForm&amp;sid=6D59093A163763FA8D6CAEE3</v>
      </c>
    </row>
    <row r="9278" spans="3:5" ht="60" x14ac:dyDescent="0.25">
      <c r="C9278" s="15">
        <v>179588</v>
      </c>
      <c r="D9278" s="4" t="s">
        <v>9266</v>
      </c>
      <c r="E9278" s="4" t="str">
        <f>HYPERLINK("https://app.crepc.sk/?fn=detailBiblioForm&amp;sid=D2CDA85DA56256F278358485A6")</f>
        <v>https://app.crepc.sk/?fn=detailBiblioForm&amp;sid=D2CDA85DA56256F278358485A6</v>
      </c>
    </row>
    <row r="9279" spans="3:5" ht="45" x14ac:dyDescent="0.25">
      <c r="C9279" s="15">
        <v>308959</v>
      </c>
      <c r="D9279" s="4" t="s">
        <v>9267</v>
      </c>
      <c r="E9279" s="4" t="str">
        <f>HYPERLINK("https://app.crepc.sk/?fn=detailBiblioForm&amp;sid=D5ABE00A5E503AAC7E6E8C57C1")</f>
        <v>https://app.crepc.sk/?fn=detailBiblioForm&amp;sid=D5ABE00A5E503AAC7E6E8C57C1</v>
      </c>
    </row>
    <row r="9280" spans="3:5" ht="45" x14ac:dyDescent="0.25">
      <c r="C9280" s="15">
        <v>429818</v>
      </c>
      <c r="D9280" s="4" t="s">
        <v>9268</v>
      </c>
      <c r="E9280" s="4" t="str">
        <f>HYPERLINK("https://app.crepc.sk/?fn=detailBiblioForm&amp;sid=3FA563B72988EE5763EABF1D97")</f>
        <v>https://app.crepc.sk/?fn=detailBiblioForm&amp;sid=3FA563B72988EE5763EABF1D97</v>
      </c>
    </row>
    <row r="9281" spans="3:5" ht="45" x14ac:dyDescent="0.25">
      <c r="C9281" s="15">
        <v>175538</v>
      </c>
      <c r="D9281" s="4" t="s">
        <v>9269</v>
      </c>
      <c r="E9281" s="4" t="str">
        <f>HYPERLINK("https://app.crepc.sk/?fn=detailBiblioForm&amp;sid=83298E4B591633891D84B6AF32")</f>
        <v>https://app.crepc.sk/?fn=detailBiblioForm&amp;sid=83298E4B591633891D84B6AF32</v>
      </c>
    </row>
    <row r="9282" spans="3:5" ht="45" x14ac:dyDescent="0.25">
      <c r="C9282" s="15">
        <v>80874</v>
      </c>
      <c r="D9282" s="4" t="s">
        <v>9270</v>
      </c>
      <c r="E9282" s="4" t="str">
        <f>HYPERLINK("https://app.crepc.sk/?fn=detailBiblioForm&amp;sid=702C30BF6147FD5F85DF172C")</f>
        <v>https://app.crepc.sk/?fn=detailBiblioForm&amp;sid=702C30BF6147FD5F85DF172C</v>
      </c>
    </row>
    <row r="9283" spans="3:5" ht="45" x14ac:dyDescent="0.25">
      <c r="C9283" s="15">
        <v>60087</v>
      </c>
      <c r="D9283" s="4" t="s">
        <v>9271</v>
      </c>
      <c r="E9283" s="4" t="str">
        <f>HYPERLINK("https://app.crepc.sk/?fn=detailBiblioForm&amp;sid=FFD2E281615CF09C3D1BCA91")</f>
        <v>https://app.crepc.sk/?fn=detailBiblioForm&amp;sid=FFD2E281615CF09C3D1BCA91</v>
      </c>
    </row>
    <row r="9284" spans="3:5" ht="45" x14ac:dyDescent="0.25">
      <c r="C9284" s="15">
        <v>106069</v>
      </c>
      <c r="D9284" s="4" t="s">
        <v>9272</v>
      </c>
      <c r="E9284" s="4" t="str">
        <f>HYPERLINK("https://app.crepc.sk/?fn=detailBiblioForm&amp;sid=07EF298E455E7FC50996D1B4B2")</f>
        <v>https://app.crepc.sk/?fn=detailBiblioForm&amp;sid=07EF298E455E7FC50996D1B4B2</v>
      </c>
    </row>
    <row r="9285" spans="3:5" ht="45" x14ac:dyDescent="0.25">
      <c r="C9285" s="15">
        <v>60088</v>
      </c>
      <c r="D9285" s="4" t="s">
        <v>9273</v>
      </c>
      <c r="E9285" s="4" t="str">
        <f>HYPERLINK("https://app.crepc.sk/?fn=detailBiblioForm&amp;sid=FFD2E281615CF09C321BCA91")</f>
        <v>https://app.crepc.sk/?fn=detailBiblioForm&amp;sid=FFD2E281615CF09C321BCA91</v>
      </c>
    </row>
    <row r="9286" spans="3:5" ht="45" x14ac:dyDescent="0.25">
      <c r="C9286" s="15">
        <v>312441</v>
      </c>
      <c r="D9286" s="4" t="s">
        <v>9274</v>
      </c>
      <c r="E9286" s="4" t="str">
        <f>HYPERLINK("https://app.crepc.sk/?fn=detailBiblioForm&amp;sid=29E831AA7AE2D1910BE12E0FED")</f>
        <v>https://app.crepc.sk/?fn=detailBiblioForm&amp;sid=29E831AA7AE2D1910BE12E0FED</v>
      </c>
    </row>
    <row r="9287" spans="3:5" ht="60" x14ac:dyDescent="0.25">
      <c r="C9287" s="15">
        <v>312335</v>
      </c>
      <c r="D9287" s="4" t="s">
        <v>9275</v>
      </c>
      <c r="E9287" s="4" t="str">
        <f>HYPERLINK("https://app.crepc.sk/?fn=detailBiblioForm&amp;sid=4B02C4261583C7B820AF198635")</f>
        <v>https://app.crepc.sk/?fn=detailBiblioForm&amp;sid=4B02C4261583C7B820AF198635</v>
      </c>
    </row>
    <row r="9288" spans="3:5" ht="45" x14ac:dyDescent="0.25">
      <c r="C9288" s="15">
        <v>251154</v>
      </c>
      <c r="D9288" s="4" t="s">
        <v>9276</v>
      </c>
      <c r="E9288" s="4" t="str">
        <f>HYPERLINK("https://app.crepc.sk/?fn=detailBiblioForm&amp;sid=39F653ADC89B9C3286BDF67185")</f>
        <v>https://app.crepc.sk/?fn=detailBiblioForm&amp;sid=39F653ADC89B9C3286BDF67185</v>
      </c>
    </row>
    <row r="9289" spans="3:5" ht="60" x14ac:dyDescent="0.25">
      <c r="C9289" s="15">
        <v>189455</v>
      </c>
      <c r="D9289" s="4" t="s">
        <v>9277</v>
      </c>
      <c r="E9289" s="4" t="str">
        <f>HYPERLINK("https://app.crepc.sk/?fn=detailBiblioForm&amp;sid=6E6F559206AEB7A17304F336A3")</f>
        <v>https://app.crepc.sk/?fn=detailBiblioForm&amp;sid=6E6F559206AEB7A17304F336A3</v>
      </c>
    </row>
    <row r="9290" spans="3:5" ht="60" x14ac:dyDescent="0.25">
      <c r="C9290" s="15">
        <v>71381</v>
      </c>
      <c r="D9290" s="4" t="s">
        <v>9278</v>
      </c>
      <c r="E9290" s="4" t="str">
        <f>HYPERLINK("https://app.crepc.sk/?fn=detailBiblioForm&amp;sid=1F2797FC97107DE624BE24DB")</f>
        <v>https://app.crepc.sk/?fn=detailBiblioForm&amp;sid=1F2797FC97107DE624BE24DB</v>
      </c>
    </row>
    <row r="9291" spans="3:5" ht="45" x14ac:dyDescent="0.25">
      <c r="C9291" s="15">
        <v>149131</v>
      </c>
      <c r="D9291" s="4" t="s">
        <v>9279</v>
      </c>
      <c r="E9291" s="4" t="str">
        <f>HYPERLINK("https://app.crepc.sk/?fn=detailBiblioForm&amp;sid=DAA396BB6B0B0113404A686083")</f>
        <v>https://app.crepc.sk/?fn=detailBiblioForm&amp;sid=DAA396BB6B0B0113404A686083</v>
      </c>
    </row>
    <row r="9292" spans="3:5" ht="45" x14ac:dyDescent="0.25">
      <c r="C9292" s="15">
        <v>312465</v>
      </c>
      <c r="D9292" s="4" t="s">
        <v>9280</v>
      </c>
      <c r="E9292" s="4" t="str">
        <f>HYPERLINK("https://app.crepc.sk/?fn=detailBiblioForm&amp;sid=29E831AA7AE2D19109E52E0FED")</f>
        <v>https://app.crepc.sk/?fn=detailBiblioForm&amp;sid=29E831AA7AE2D19109E52E0FED</v>
      </c>
    </row>
    <row r="9293" spans="3:5" ht="45" x14ac:dyDescent="0.25">
      <c r="C9293" s="15">
        <v>255382</v>
      </c>
      <c r="D9293" s="4" t="s">
        <v>9281</v>
      </c>
      <c r="E9293" s="4" t="str">
        <f>HYPERLINK("https://app.crepc.sk/?fn=detailBiblioForm&amp;sid=240D82286EC66312F6454ACBFC")</f>
        <v>https://app.crepc.sk/?fn=detailBiblioForm&amp;sid=240D82286EC66312F6454ACBFC</v>
      </c>
    </row>
    <row r="9294" spans="3:5" ht="45" x14ac:dyDescent="0.25">
      <c r="C9294" s="15">
        <v>176725</v>
      </c>
      <c r="D9294" s="4" t="s">
        <v>9282</v>
      </c>
      <c r="E9294" s="4" t="str">
        <f>HYPERLINK("https://app.crepc.sk/?fn=detailBiblioForm&amp;sid=74611393D427AF19D6B6BE02B6")</f>
        <v>https://app.crepc.sk/?fn=detailBiblioForm&amp;sid=74611393D427AF19D6B6BE02B6</v>
      </c>
    </row>
    <row r="9295" spans="3:5" ht="45" x14ac:dyDescent="0.25">
      <c r="C9295" s="15">
        <v>123221</v>
      </c>
      <c r="D9295" s="4" t="s">
        <v>9283</v>
      </c>
      <c r="E9295" s="4" t="str">
        <f>HYPERLINK("https://app.crepc.sk/?fn=detailBiblioForm&amp;sid=84A6561E00D8E3617E2AA633F8")</f>
        <v>https://app.crepc.sk/?fn=detailBiblioForm&amp;sid=84A6561E00D8E3617E2AA633F8</v>
      </c>
    </row>
    <row r="9296" spans="3:5" ht="45" x14ac:dyDescent="0.25">
      <c r="C9296" s="15">
        <v>60026</v>
      </c>
      <c r="D9296" s="4" t="s">
        <v>9284</v>
      </c>
      <c r="E9296" s="4" t="str">
        <f>HYPERLINK("https://app.crepc.sk/?fn=detailBiblioForm&amp;sid=B0FEE09FE39F30AAD0A8A287")</f>
        <v>https://app.crepc.sk/?fn=detailBiblioForm&amp;sid=B0FEE09FE39F30AAD0A8A287</v>
      </c>
    </row>
    <row r="9297" spans="3:5" ht="45" x14ac:dyDescent="0.25">
      <c r="C9297" s="15">
        <v>235044</v>
      </c>
      <c r="D9297" s="4" t="s">
        <v>9285</v>
      </c>
      <c r="E9297" s="4" t="str">
        <f>HYPERLINK("https://app.crepc.sk/?fn=detailBiblioForm&amp;sid=1672AA2C7269BEB14B2660D9C8")</f>
        <v>https://app.crepc.sk/?fn=detailBiblioForm&amp;sid=1672AA2C7269BEB14B2660D9C8</v>
      </c>
    </row>
    <row r="9298" spans="3:5" ht="60" x14ac:dyDescent="0.25">
      <c r="C9298" s="15">
        <v>149085</v>
      </c>
      <c r="D9298" s="4" t="s">
        <v>9286</v>
      </c>
      <c r="E9298" s="4" t="str">
        <f>HYPERLINK("https://app.crepc.sk/?fn=detailBiblioForm&amp;sid=394581B55BAE63AC69A8D47953")</f>
        <v>https://app.crepc.sk/?fn=detailBiblioForm&amp;sid=394581B55BAE63AC69A8D47953</v>
      </c>
    </row>
    <row r="9299" spans="3:5" ht="45" x14ac:dyDescent="0.25">
      <c r="C9299" s="15">
        <v>312447</v>
      </c>
      <c r="D9299" s="4" t="s">
        <v>9287</v>
      </c>
      <c r="E9299" s="4" t="str">
        <f>HYPERLINK("https://app.crepc.sk/?fn=detailBiblioForm&amp;sid=29E831AA7AE2D1910BE72E0FED")</f>
        <v>https://app.crepc.sk/?fn=detailBiblioForm&amp;sid=29E831AA7AE2D1910BE72E0FED</v>
      </c>
    </row>
    <row r="9300" spans="3:5" ht="60" x14ac:dyDescent="0.25">
      <c r="C9300" s="15">
        <v>75926</v>
      </c>
      <c r="D9300" s="4" t="s">
        <v>9288</v>
      </c>
      <c r="E9300" s="4" t="str">
        <f>HYPERLINK("https://app.crepc.sk/?fn=detailBiblioForm&amp;sid=03F0303514EF5CAEDBD064AC")</f>
        <v>https://app.crepc.sk/?fn=detailBiblioForm&amp;sid=03F0303514EF5CAEDBD064AC</v>
      </c>
    </row>
    <row r="9301" spans="3:5" ht="45" x14ac:dyDescent="0.25">
      <c r="C9301" s="15">
        <v>176709</v>
      </c>
      <c r="D9301" s="4" t="s">
        <v>9289</v>
      </c>
      <c r="E9301" s="4" t="str">
        <f>HYPERLINK("https://app.crepc.sk/?fn=detailBiblioForm&amp;sid=74611393D427AF19D4BABE02B6")</f>
        <v>https://app.crepc.sk/?fn=detailBiblioForm&amp;sid=74611393D427AF19D4BABE02B6</v>
      </c>
    </row>
    <row r="9302" spans="3:5" ht="60" x14ac:dyDescent="0.25">
      <c r="C9302" s="15">
        <v>134467</v>
      </c>
      <c r="D9302" s="4" t="s">
        <v>9290</v>
      </c>
      <c r="E9302" s="4" t="str">
        <f>HYPERLINK("https://app.crepc.sk/?fn=detailBiblioForm&amp;sid=591608704B394480C01AB0D9E4")</f>
        <v>https://app.crepc.sk/?fn=detailBiblioForm&amp;sid=591608704B394480C01AB0D9E4</v>
      </c>
    </row>
    <row r="9303" spans="3:5" ht="60" x14ac:dyDescent="0.25">
      <c r="C9303" s="15">
        <v>82711</v>
      </c>
      <c r="D9303" s="4" t="s">
        <v>9291</v>
      </c>
      <c r="E9303" s="4" t="str">
        <f>HYPERLINK("https://app.crepc.sk/?fn=detailBiblioForm&amp;sid=28CD4A1B8569C02AAE7404FE")</f>
        <v>https://app.crepc.sk/?fn=detailBiblioForm&amp;sid=28CD4A1B8569C02AAE7404FE</v>
      </c>
    </row>
    <row r="9304" spans="3:5" ht="45" x14ac:dyDescent="0.25">
      <c r="C9304" s="15">
        <v>95061</v>
      </c>
      <c r="D9304" s="4" t="s">
        <v>9292</v>
      </c>
      <c r="E9304" s="4" t="str">
        <f>HYPERLINK("https://app.crepc.sk/?fn=detailBiblioForm&amp;sid=8E88CAF08094FE04BB9CDA4C")</f>
        <v>https://app.crepc.sk/?fn=detailBiblioForm&amp;sid=8E88CAF08094FE04BB9CDA4C</v>
      </c>
    </row>
    <row r="9305" spans="3:5" ht="45" x14ac:dyDescent="0.25">
      <c r="C9305" s="15">
        <v>161962</v>
      </c>
      <c r="D9305" s="4" t="s">
        <v>9293</v>
      </c>
      <c r="E9305" s="4" t="str">
        <f>HYPERLINK("https://app.crepc.sk/?fn=detailBiblioForm&amp;sid=3BEC39B52C756B70CB0079B3D6")</f>
        <v>https://app.crepc.sk/?fn=detailBiblioForm&amp;sid=3BEC39B52C756B70CB0079B3D6</v>
      </c>
    </row>
    <row r="9306" spans="3:5" ht="75" x14ac:dyDescent="0.25">
      <c r="C9306" s="15">
        <v>444779</v>
      </c>
      <c r="D9306" s="4" t="s">
        <v>9294</v>
      </c>
      <c r="E9306" s="4" t="str">
        <f>HYPERLINK("https://app.crepc.sk/?fn=detailBiblioForm&amp;sid=FDCC891FB5F03A46877B8A404B")</f>
        <v>https://app.crepc.sk/?fn=detailBiblioForm&amp;sid=FDCC891FB5F03A46877B8A404B</v>
      </c>
    </row>
    <row r="9307" spans="3:5" ht="45" x14ac:dyDescent="0.25">
      <c r="C9307" s="15">
        <v>60887</v>
      </c>
      <c r="D9307" s="4" t="s">
        <v>9295</v>
      </c>
      <c r="E9307" s="4" t="str">
        <f>HYPERLINK("https://app.crepc.sk/?fn=detailBiblioForm&amp;sid=CF536B9DD48FBF0C5EA6EECF")</f>
        <v>https://app.crepc.sk/?fn=detailBiblioForm&amp;sid=CF536B9DD48FBF0C5EA6EECF</v>
      </c>
    </row>
    <row r="9308" spans="3:5" ht="45" x14ac:dyDescent="0.25">
      <c r="C9308" s="15">
        <v>60544</v>
      </c>
      <c r="D9308" s="4" t="s">
        <v>9296</v>
      </c>
      <c r="E9308" s="4" t="str">
        <f>HYPERLINK("https://app.crepc.sk/?fn=detailBiblioForm&amp;sid=1F4BD6EF4F546AA0B2536FD1")</f>
        <v>https://app.crepc.sk/?fn=detailBiblioForm&amp;sid=1F4BD6EF4F546AA0B2536FD1</v>
      </c>
    </row>
    <row r="9309" spans="3:5" ht="45" x14ac:dyDescent="0.25">
      <c r="C9309" s="15">
        <v>313500</v>
      </c>
      <c r="D9309" s="4" t="s">
        <v>9297</v>
      </c>
      <c r="E9309" s="4" t="str">
        <f>HYPERLINK("https://app.crepc.sk/?fn=detailBiblioForm&amp;sid=84C2C2F763AF22E2C9030E9486")</f>
        <v>https://app.crepc.sk/?fn=detailBiblioForm&amp;sid=84C2C2F763AF22E2C9030E9486</v>
      </c>
    </row>
    <row r="9310" spans="3:5" ht="45" x14ac:dyDescent="0.25">
      <c r="C9310" s="15">
        <v>122639</v>
      </c>
      <c r="D9310" s="4" t="s">
        <v>9298</v>
      </c>
      <c r="E9310" s="4" t="str">
        <f>HYPERLINK("https://app.crepc.sk/?fn=detailBiblioForm&amp;sid=7E4A807172B6E37501700C446E")</f>
        <v>https://app.crepc.sk/?fn=detailBiblioForm&amp;sid=7E4A807172B6E37501700C446E</v>
      </c>
    </row>
    <row r="9311" spans="3:5" ht="45" x14ac:dyDescent="0.25">
      <c r="C9311" s="15">
        <v>60037</v>
      </c>
      <c r="D9311" s="4" t="s">
        <v>9299</v>
      </c>
      <c r="E9311" s="4" t="str">
        <f>HYPERLINK("https://app.crepc.sk/?fn=detailBiblioForm&amp;sid=6D1F437F914A657C8455DE03")</f>
        <v>https://app.crepc.sk/?fn=detailBiblioForm&amp;sid=6D1F437F914A657C8455DE03</v>
      </c>
    </row>
    <row r="9312" spans="3:5" ht="45" x14ac:dyDescent="0.25">
      <c r="C9312" s="15">
        <v>176731</v>
      </c>
      <c r="D9312" s="4" t="s">
        <v>9300</v>
      </c>
      <c r="E9312" s="4" t="str">
        <f>HYPERLINK("https://app.crepc.sk/?fn=detailBiblioForm&amp;sid=74611393D427AF19D7B2BE02B6")</f>
        <v>https://app.crepc.sk/?fn=detailBiblioForm&amp;sid=74611393D427AF19D7B2BE02B6</v>
      </c>
    </row>
    <row r="9313" spans="3:5" ht="60" x14ac:dyDescent="0.25">
      <c r="C9313" s="15">
        <v>137539</v>
      </c>
      <c r="D9313" s="4" t="s">
        <v>9301</v>
      </c>
      <c r="E9313" s="4" t="str">
        <f>HYPERLINK("https://app.crepc.sk/?fn=detailBiblioForm&amp;sid=3E9AEE53085E0AC8589191864D")</f>
        <v>https://app.crepc.sk/?fn=detailBiblioForm&amp;sid=3E9AEE53085E0AC8589191864D</v>
      </c>
    </row>
    <row r="9314" spans="3:5" ht="45" x14ac:dyDescent="0.25">
      <c r="C9314" s="15">
        <v>75082</v>
      </c>
      <c r="D9314" s="4" t="s">
        <v>9302</v>
      </c>
      <c r="E9314" s="4" t="str">
        <f>HYPERLINK("https://app.crepc.sk/?fn=detailBiblioForm&amp;sid=CF26533969AC8982565A3B9B")</f>
        <v>https://app.crepc.sk/?fn=detailBiblioForm&amp;sid=CF26533969AC8982565A3B9B</v>
      </c>
    </row>
    <row r="9315" spans="3:5" ht="45" x14ac:dyDescent="0.25">
      <c r="C9315" s="15">
        <v>145100</v>
      </c>
      <c r="D9315" s="4" t="s">
        <v>9303</v>
      </c>
      <c r="E9315" s="4" t="str">
        <f>HYPERLINK("https://app.crepc.sk/?fn=detailBiblioForm&amp;sid=2F8F2575BE5CA350D61E0826F0")</f>
        <v>https://app.crepc.sk/?fn=detailBiblioForm&amp;sid=2F8F2575BE5CA350D61E0826F0</v>
      </c>
    </row>
    <row r="9316" spans="3:5" ht="45" x14ac:dyDescent="0.25">
      <c r="C9316" s="15">
        <v>465541</v>
      </c>
      <c r="D9316" s="4" t="s">
        <v>9304</v>
      </c>
      <c r="E9316" s="4" t="str">
        <f>HYPERLINK("https://app.crepc.sk/?fn=detailBiblioForm&amp;sid=F88CC8B5A62F537F9685EA38B9")</f>
        <v>https://app.crepc.sk/?fn=detailBiblioForm&amp;sid=F88CC8B5A62F537F9685EA38B9</v>
      </c>
    </row>
    <row r="9317" spans="3:5" ht="45" x14ac:dyDescent="0.25">
      <c r="C9317" s="15">
        <v>60481</v>
      </c>
      <c r="D9317" s="4" t="s">
        <v>9305</v>
      </c>
      <c r="E9317" s="4" t="str">
        <f>HYPERLINK("https://app.crepc.sk/?fn=detailBiblioForm&amp;sid=B97801E48E8AFCDB5C72BD38")</f>
        <v>https://app.crepc.sk/?fn=detailBiblioForm&amp;sid=B97801E48E8AFCDB5C72BD38</v>
      </c>
    </row>
    <row r="9318" spans="3:5" ht="45" x14ac:dyDescent="0.25">
      <c r="C9318" s="15">
        <v>63573</v>
      </c>
      <c r="D9318" s="4" t="s">
        <v>9306</v>
      </c>
      <c r="E9318" s="4" t="str">
        <f>HYPERLINK("https://app.crepc.sk/?fn=detailBiblioForm&amp;sid=9612ACCBD173C95AB3AF1DCD")</f>
        <v>https://app.crepc.sk/?fn=detailBiblioForm&amp;sid=9612ACCBD173C95AB3AF1DCD</v>
      </c>
    </row>
    <row r="9319" spans="3:5" ht="60" x14ac:dyDescent="0.25">
      <c r="C9319" s="15">
        <v>74145</v>
      </c>
      <c r="D9319" s="4" t="s">
        <v>9307</v>
      </c>
      <c r="E9319" s="4" t="str">
        <f>HYPERLINK("https://app.crepc.sk/?fn=detailBiblioForm&amp;sid=F555EBE1EE1EC44ADE723F73")</f>
        <v>https://app.crepc.sk/?fn=detailBiblioForm&amp;sid=F555EBE1EE1EC44ADE723F73</v>
      </c>
    </row>
    <row r="9320" spans="3:5" ht="45" x14ac:dyDescent="0.25">
      <c r="C9320" s="15">
        <v>146809</v>
      </c>
      <c r="D9320" s="4" t="s">
        <v>9308</v>
      </c>
      <c r="E9320" s="4" t="str">
        <f>HYPERLINK("https://app.crepc.sk/?fn=detailBiblioForm&amp;sid=94F27843EBD77D7A013823EC72")</f>
        <v>https://app.crepc.sk/?fn=detailBiblioForm&amp;sid=94F27843EBD77D7A013823EC72</v>
      </c>
    </row>
    <row r="9321" spans="3:5" ht="45" x14ac:dyDescent="0.25">
      <c r="C9321" s="15">
        <v>140742</v>
      </c>
      <c r="D9321" s="4" t="s">
        <v>9309</v>
      </c>
      <c r="E9321" s="4" t="str">
        <f>HYPERLINK("https://app.crepc.sk/?fn=detailBiblioForm&amp;sid=5706AE11B6D530C9971F8F181F")</f>
        <v>https://app.crepc.sk/?fn=detailBiblioForm&amp;sid=5706AE11B6D530C9971F8F181F</v>
      </c>
    </row>
    <row r="9322" spans="3:5" ht="60" x14ac:dyDescent="0.25">
      <c r="C9322" s="15">
        <v>143420</v>
      </c>
      <c r="D9322" s="4" t="s">
        <v>9310</v>
      </c>
      <c r="E9322" s="4" t="str">
        <f>HYPERLINK("https://app.crepc.sk/?fn=detailBiblioForm&amp;sid=00389946DCE70C101AB6D660B3")</f>
        <v>https://app.crepc.sk/?fn=detailBiblioForm&amp;sid=00389946DCE70C101AB6D660B3</v>
      </c>
    </row>
    <row r="9323" spans="3:5" ht="45" x14ac:dyDescent="0.25">
      <c r="C9323" s="15">
        <v>59277</v>
      </c>
      <c r="D9323" s="4" t="s">
        <v>9311</v>
      </c>
      <c r="E9323" s="4" t="str">
        <f>HYPERLINK("https://app.crepc.sk/?fn=detailBiblioForm&amp;sid=73C8EE269DF3551B48F06185")</f>
        <v>https://app.crepc.sk/?fn=detailBiblioForm&amp;sid=73C8EE269DF3551B48F06185</v>
      </c>
    </row>
    <row r="9324" spans="3:5" ht="45" x14ac:dyDescent="0.25">
      <c r="C9324" s="15">
        <v>125493</v>
      </c>
      <c r="D9324" s="4" t="s">
        <v>9312</v>
      </c>
      <c r="E9324" s="4" t="str">
        <f>HYPERLINK("https://app.crepc.sk/?fn=detailBiblioForm&amp;sid=F2C5C64D9C64B04EAC7C2133DE")</f>
        <v>https://app.crepc.sk/?fn=detailBiblioForm&amp;sid=F2C5C64D9C64B04EAC7C2133DE</v>
      </c>
    </row>
    <row r="9325" spans="3:5" ht="45" x14ac:dyDescent="0.25">
      <c r="C9325" s="15">
        <v>60089</v>
      </c>
      <c r="D9325" s="4" t="s">
        <v>9313</v>
      </c>
      <c r="E9325" s="4" t="str">
        <f>HYPERLINK("https://app.crepc.sk/?fn=detailBiblioForm&amp;sid=FFD2E281615CF09C331BCA91")</f>
        <v>https://app.crepc.sk/?fn=detailBiblioForm&amp;sid=FFD2E281615CF09C331BCA91</v>
      </c>
    </row>
    <row r="9326" spans="3:5" ht="45" x14ac:dyDescent="0.25">
      <c r="C9326" s="15">
        <v>465528</v>
      </c>
      <c r="D9326" s="4" t="s">
        <v>9314</v>
      </c>
      <c r="E9326" s="4" t="str">
        <f>HYPERLINK("https://app.crepc.sk/?fn=detailBiblioForm&amp;sid=F88CC8B5A62F537F908CEA38B9")</f>
        <v>https://app.crepc.sk/?fn=detailBiblioForm&amp;sid=F88CC8B5A62F537F908CEA38B9</v>
      </c>
    </row>
    <row r="9327" spans="3:5" ht="45" x14ac:dyDescent="0.25">
      <c r="C9327" s="15">
        <v>100027</v>
      </c>
      <c r="D9327" s="4" t="s">
        <v>9315</v>
      </c>
      <c r="E9327" s="4" t="str">
        <f>HYPERLINK("https://app.crepc.sk/?fn=detailBiblioForm&amp;sid=8D3F7791082C9B6935D380258C")</f>
        <v>https://app.crepc.sk/?fn=detailBiblioForm&amp;sid=8D3F7791082C9B6935D380258C</v>
      </c>
    </row>
    <row r="9328" spans="3:5" ht="45" x14ac:dyDescent="0.25">
      <c r="C9328" s="15">
        <v>312455</v>
      </c>
      <c r="D9328" s="4" t="s">
        <v>9316</v>
      </c>
      <c r="E9328" s="4" t="str">
        <f>HYPERLINK("https://app.crepc.sk/?fn=detailBiblioForm&amp;sid=29E831AA7AE2D1910AE52E0FED")</f>
        <v>https://app.crepc.sk/?fn=detailBiblioForm&amp;sid=29E831AA7AE2D1910AE52E0FED</v>
      </c>
    </row>
    <row r="9329" spans="3:5" ht="45" x14ac:dyDescent="0.25">
      <c r="C9329" s="15">
        <v>58109</v>
      </c>
      <c r="D9329" s="4" t="s">
        <v>9317</v>
      </c>
      <c r="E9329" s="4" t="str">
        <f>HYPERLINK("https://app.crepc.sk/?fn=detailBiblioForm&amp;sid=1D9B0497443A035393F29C80")</f>
        <v>https://app.crepc.sk/?fn=detailBiblioForm&amp;sid=1D9B0497443A035393F29C80</v>
      </c>
    </row>
    <row r="9330" spans="3:5" ht="45" x14ac:dyDescent="0.25">
      <c r="C9330" s="15">
        <v>220904</v>
      </c>
      <c r="D9330" s="4" t="s">
        <v>9318</v>
      </c>
      <c r="E9330" s="4" t="str">
        <f>HYPERLINK("https://app.crepc.sk/?fn=detailBiblioForm&amp;sid=0A2191265DCECE3E6DE13553D4")</f>
        <v>https://app.crepc.sk/?fn=detailBiblioForm&amp;sid=0A2191265DCECE3E6DE13553D4</v>
      </c>
    </row>
    <row r="9331" spans="3:5" ht="45" x14ac:dyDescent="0.25">
      <c r="C9331" s="15">
        <v>60021</v>
      </c>
      <c r="D9331" s="4" t="s">
        <v>9319</v>
      </c>
      <c r="E9331" s="4" t="str">
        <f>HYPERLINK("https://app.crepc.sk/?fn=detailBiblioForm&amp;sid=B0FEE09FE39F30AAD7A8A287")</f>
        <v>https://app.crepc.sk/?fn=detailBiblioForm&amp;sid=B0FEE09FE39F30AAD7A8A287</v>
      </c>
    </row>
    <row r="9332" spans="3:5" ht="45" x14ac:dyDescent="0.25">
      <c r="C9332" s="15">
        <v>445395</v>
      </c>
      <c r="D9332" s="4" t="s">
        <v>9320</v>
      </c>
      <c r="E9332" s="4" t="str">
        <f>HYPERLINK("https://app.crepc.sk/?fn=detailBiblioForm&amp;sid=253FB87B23207D3E3A73277BBD")</f>
        <v>https://app.crepc.sk/?fn=detailBiblioForm&amp;sid=253FB87B23207D3E3A73277BBD</v>
      </c>
    </row>
    <row r="9333" spans="3:5" ht="45" x14ac:dyDescent="0.25">
      <c r="C9333" s="15">
        <v>83892</v>
      </c>
      <c r="D9333" s="4" t="s">
        <v>9321</v>
      </c>
      <c r="E9333" s="4" t="str">
        <f>HYPERLINK("https://app.crepc.sk/?fn=detailBiblioForm&amp;sid=BB6C4AFF036FC76C41A37B84")</f>
        <v>https://app.crepc.sk/?fn=detailBiblioForm&amp;sid=BB6C4AFF036FC76C41A37B84</v>
      </c>
    </row>
    <row r="9334" spans="3:5" ht="75" x14ac:dyDescent="0.25">
      <c r="C9334" s="15">
        <v>197488</v>
      </c>
      <c r="D9334" s="4" t="s">
        <v>9322</v>
      </c>
      <c r="E9334" s="4" t="str">
        <f>HYPERLINK("https://app.crepc.sk/?fn=detailBiblioForm&amp;sid=7D593A42AB22E1ECF1F79C38E8")</f>
        <v>https://app.crepc.sk/?fn=detailBiblioForm&amp;sid=7D593A42AB22E1ECF1F79C38E8</v>
      </c>
    </row>
    <row r="9335" spans="3:5" ht="45" x14ac:dyDescent="0.25">
      <c r="C9335" s="15">
        <v>245259</v>
      </c>
      <c r="D9335" s="4" t="s">
        <v>9323</v>
      </c>
      <c r="E9335" s="4" t="str">
        <f>HYPERLINK("https://app.crepc.sk/?fn=detailBiblioForm&amp;sid=BDD02C6927F0351774015D9292")</f>
        <v>https://app.crepc.sk/?fn=detailBiblioForm&amp;sid=BDD02C6927F0351774015D9292</v>
      </c>
    </row>
    <row r="9336" spans="3:5" ht="45" x14ac:dyDescent="0.25">
      <c r="C9336" s="15">
        <v>448284</v>
      </c>
      <c r="D9336" s="4" t="s">
        <v>9324</v>
      </c>
      <c r="E9336" s="4" t="str">
        <f>HYPERLINK("https://app.crepc.sk/?fn=detailBiblioForm&amp;sid=5BE501D611F83A9AA29867DA3F")</f>
        <v>https://app.crepc.sk/?fn=detailBiblioForm&amp;sid=5BE501D611F83A9AA29867DA3F</v>
      </c>
    </row>
    <row r="9337" spans="3:5" ht="60" x14ac:dyDescent="0.25">
      <c r="C9337" s="15">
        <v>100837</v>
      </c>
      <c r="D9337" s="4" t="s">
        <v>9325</v>
      </c>
      <c r="E9337" s="4" t="str">
        <f>HYPERLINK("https://app.crepc.sk/?fn=detailBiblioForm&amp;sid=C2DCC5E65C22781D3966D860DE")</f>
        <v>https://app.crepc.sk/?fn=detailBiblioForm&amp;sid=C2DCC5E65C22781D3966D860DE</v>
      </c>
    </row>
    <row r="9338" spans="3:5" ht="45" x14ac:dyDescent="0.25">
      <c r="C9338" s="15">
        <v>176701</v>
      </c>
      <c r="D9338" s="4" t="s">
        <v>9326</v>
      </c>
      <c r="E9338" s="4" t="str">
        <f>HYPERLINK("https://app.crepc.sk/?fn=detailBiblioForm&amp;sid=74611393D427AF19D4B2BE02B6")</f>
        <v>https://app.crepc.sk/?fn=detailBiblioForm&amp;sid=74611393D427AF19D4B2BE02B6</v>
      </c>
    </row>
    <row r="9339" spans="3:5" ht="60" x14ac:dyDescent="0.25">
      <c r="C9339" s="15">
        <v>95004</v>
      </c>
      <c r="D9339" s="4" t="s">
        <v>9327</v>
      </c>
      <c r="E9339" s="4" t="str">
        <f>HYPERLINK("https://app.crepc.sk/?fn=detailBiblioForm&amp;sid=B608E0DE25BC91514435C21A")</f>
        <v>https://app.crepc.sk/?fn=detailBiblioForm&amp;sid=B608E0DE25BC91514435C21A</v>
      </c>
    </row>
    <row r="9340" spans="3:5" ht="45" x14ac:dyDescent="0.25">
      <c r="C9340" s="15">
        <v>176730</v>
      </c>
      <c r="D9340" s="4" t="s">
        <v>9328</v>
      </c>
      <c r="E9340" s="4" t="str">
        <f>HYPERLINK("https://app.crepc.sk/?fn=detailBiblioForm&amp;sid=74611393D427AF19D7B3BE02B6")</f>
        <v>https://app.crepc.sk/?fn=detailBiblioForm&amp;sid=74611393D427AF19D7B3BE02B6</v>
      </c>
    </row>
    <row r="9341" spans="3:5" ht="60" x14ac:dyDescent="0.25">
      <c r="C9341" s="15">
        <v>161948</v>
      </c>
      <c r="D9341" s="4" t="s">
        <v>9329</v>
      </c>
      <c r="E9341" s="4" t="str">
        <f>HYPERLINK("https://app.crepc.sk/?fn=detailBiblioForm&amp;sid=3BEC39B52C756B70C90A79B3D6")</f>
        <v>https://app.crepc.sk/?fn=detailBiblioForm&amp;sid=3BEC39B52C756B70C90A79B3D6</v>
      </c>
    </row>
    <row r="9342" spans="3:5" ht="45" x14ac:dyDescent="0.25">
      <c r="C9342" s="15">
        <v>111607</v>
      </c>
      <c r="D9342" s="4" t="s">
        <v>9330</v>
      </c>
      <c r="E9342" s="4" t="str">
        <f>HYPERLINK("https://app.crepc.sk/?fn=detailBiblioForm&amp;sid=82E8E2F14D9232B3C7ACCE7B57")</f>
        <v>https://app.crepc.sk/?fn=detailBiblioForm&amp;sid=82E8E2F14D9232B3C7ACCE7B57</v>
      </c>
    </row>
    <row r="9343" spans="3:5" ht="45" x14ac:dyDescent="0.25">
      <c r="C9343" s="15">
        <v>65748</v>
      </c>
      <c r="D9343" s="4" t="s">
        <v>9331</v>
      </c>
      <c r="E9343" s="4" t="str">
        <f>HYPERLINK("https://app.crepc.sk/?fn=detailBiblioForm&amp;sid=BE146DD3BACE10555B5CD789")</f>
        <v>https://app.crepc.sk/?fn=detailBiblioForm&amp;sid=BE146DD3BACE10555B5CD789</v>
      </c>
    </row>
    <row r="9344" spans="3:5" ht="45" x14ac:dyDescent="0.25">
      <c r="C9344" s="15">
        <v>235052</v>
      </c>
      <c r="D9344" s="4" t="s">
        <v>9332</v>
      </c>
      <c r="E9344" s="4" t="str">
        <f>HYPERLINK("https://app.crepc.sk/?fn=detailBiblioForm&amp;sid=1672AA2C7269BEB14A2060D9C8")</f>
        <v>https://app.crepc.sk/?fn=detailBiblioForm&amp;sid=1672AA2C7269BEB14A2060D9C8</v>
      </c>
    </row>
    <row r="9345" spans="3:5" ht="45" x14ac:dyDescent="0.25">
      <c r="C9345" s="15">
        <v>445132</v>
      </c>
      <c r="D9345" s="4" t="s">
        <v>9333</v>
      </c>
      <c r="E9345" s="4" t="str">
        <f>HYPERLINK("https://app.crepc.sk/?fn=detailBiblioForm&amp;sid=0899011EB907D11072B0E7DCE6")</f>
        <v>https://app.crepc.sk/?fn=detailBiblioForm&amp;sid=0899011EB907D11072B0E7DCE6</v>
      </c>
    </row>
    <row r="9346" spans="3:5" ht="60" x14ac:dyDescent="0.25">
      <c r="C9346" s="15">
        <v>176726</v>
      </c>
      <c r="D9346" s="4" t="s">
        <v>9334</v>
      </c>
      <c r="E9346" s="4" t="str">
        <f>HYPERLINK("https://app.crepc.sk/?fn=detailBiblioForm&amp;sid=74611393D427AF19D6B5BE02B6")</f>
        <v>https://app.crepc.sk/?fn=detailBiblioForm&amp;sid=74611393D427AF19D6B5BE02B6</v>
      </c>
    </row>
    <row r="9347" spans="3:5" ht="45" x14ac:dyDescent="0.25">
      <c r="C9347" s="15">
        <v>100059</v>
      </c>
      <c r="D9347" s="4" t="s">
        <v>9335</v>
      </c>
      <c r="E9347" s="4" t="str">
        <f>HYPERLINK("https://app.crepc.sk/?fn=detailBiblioForm&amp;sid=8D3F7791082C9B6932DD80258C")</f>
        <v>https://app.crepc.sk/?fn=detailBiblioForm&amp;sid=8D3F7791082C9B6932DD80258C</v>
      </c>
    </row>
    <row r="9348" spans="3:5" ht="45" x14ac:dyDescent="0.25">
      <c r="C9348" s="15">
        <v>429820</v>
      </c>
      <c r="D9348" s="4" t="s">
        <v>9336</v>
      </c>
      <c r="E9348" s="4" t="str">
        <f>HYPERLINK("https://app.crepc.sk/?fn=detailBiblioForm&amp;sid=3FA563B72988EE5760E2BF1D97")</f>
        <v>https://app.crepc.sk/?fn=detailBiblioForm&amp;sid=3FA563B72988EE5760E2BF1D97</v>
      </c>
    </row>
    <row r="9349" spans="3:5" ht="45" x14ac:dyDescent="0.25">
      <c r="C9349" s="15">
        <v>444781</v>
      </c>
      <c r="D9349" s="4" t="s">
        <v>9337</v>
      </c>
      <c r="E9349" s="4" t="str">
        <f>HYPERLINK("https://app.crepc.sk/?fn=detailBiblioForm&amp;sid=FDCC891FB5F03A4688738A404B")</f>
        <v>https://app.crepc.sk/?fn=detailBiblioForm&amp;sid=FDCC891FB5F03A4688738A404B</v>
      </c>
    </row>
    <row r="9350" spans="3:5" ht="60" x14ac:dyDescent="0.25">
      <c r="C9350" s="15">
        <v>134473</v>
      </c>
      <c r="D9350" s="4" t="s">
        <v>9338</v>
      </c>
      <c r="E9350" s="4" t="str">
        <f>HYPERLINK("https://app.crepc.sk/?fn=detailBiblioForm&amp;sid=591608704B394480C11EB0D9E4")</f>
        <v>https://app.crepc.sk/?fn=detailBiblioForm&amp;sid=591608704B394480C11EB0D9E4</v>
      </c>
    </row>
    <row r="9351" spans="3:5" ht="45" x14ac:dyDescent="0.25">
      <c r="C9351" s="15">
        <v>176741</v>
      </c>
      <c r="D9351" s="4" t="s">
        <v>9339</v>
      </c>
      <c r="E9351" s="4" t="str">
        <f>HYPERLINK("https://app.crepc.sk/?fn=detailBiblioForm&amp;sid=74611393D427AF19D0B2BE02B6")</f>
        <v>https://app.crepc.sk/?fn=detailBiblioForm&amp;sid=74611393D427AF19D0B2BE02B6</v>
      </c>
    </row>
    <row r="9352" spans="3:5" ht="45" x14ac:dyDescent="0.25">
      <c r="C9352" s="15">
        <v>311192</v>
      </c>
      <c r="D9352" s="4" t="s">
        <v>9340</v>
      </c>
      <c r="E9352" s="4" t="str">
        <f>HYPERLINK("https://app.crepc.sk/?fn=detailBiblioForm&amp;sid=EDC641B86B12B5F85044D27856")</f>
        <v>https://app.crepc.sk/?fn=detailBiblioForm&amp;sid=EDC641B86B12B5F85044D27856</v>
      </c>
    </row>
    <row r="9353" spans="3:5" ht="45" x14ac:dyDescent="0.25">
      <c r="C9353" s="15">
        <v>149190</v>
      </c>
      <c r="D9353" s="4" t="s">
        <v>9341</v>
      </c>
      <c r="E9353" s="4" t="str">
        <f>HYPERLINK("https://app.crepc.sk/?fn=detailBiblioForm&amp;sid=DAA396BB6B0B01134A4B686083")</f>
        <v>https://app.crepc.sk/?fn=detailBiblioForm&amp;sid=DAA396BB6B0B01134A4B686083</v>
      </c>
    </row>
    <row r="9354" spans="3:5" ht="45" x14ac:dyDescent="0.25">
      <c r="C9354" s="15">
        <v>215252</v>
      </c>
      <c r="D9354" s="4" t="s">
        <v>9342</v>
      </c>
      <c r="E9354" s="4" t="str">
        <f>HYPERLINK("https://app.crepc.sk/?fn=detailBiblioForm&amp;sid=232B0374A242225DB202E0C308")</f>
        <v>https://app.crepc.sk/?fn=detailBiblioForm&amp;sid=232B0374A242225DB202E0C308</v>
      </c>
    </row>
    <row r="9355" spans="3:5" ht="60" x14ac:dyDescent="0.25">
      <c r="C9355" s="15">
        <v>189499</v>
      </c>
      <c r="D9355" s="4" t="s">
        <v>9343</v>
      </c>
      <c r="E9355" s="4" t="str">
        <f>HYPERLINK("https://app.crepc.sk/?fn=detailBiblioForm&amp;sid=6E6F559206AEB7A17F08F336A3")</f>
        <v>https://app.crepc.sk/?fn=detailBiblioForm&amp;sid=6E6F559206AEB7A17F08F336A3</v>
      </c>
    </row>
    <row r="9356" spans="3:5" ht="45" x14ac:dyDescent="0.25">
      <c r="C9356" s="15">
        <v>80840</v>
      </c>
      <c r="D9356" s="4" t="s">
        <v>9344</v>
      </c>
      <c r="E9356" s="4" t="str">
        <f>HYPERLINK("https://app.crepc.sk/?fn=detailBiblioForm&amp;sid=419C60B72BBCC3197754B84E")</f>
        <v>https://app.crepc.sk/?fn=detailBiblioForm&amp;sid=419C60B72BBCC3197754B84E</v>
      </c>
    </row>
    <row r="9357" spans="3:5" ht="45" x14ac:dyDescent="0.25">
      <c r="C9357" s="15">
        <v>83205</v>
      </c>
      <c r="D9357" s="4" t="s">
        <v>9345</v>
      </c>
      <c r="E9357" s="4" t="str">
        <f>HYPERLINK("https://app.crepc.sk/?fn=detailBiblioForm&amp;sid=32B01FBEABC913214B89B65E")</f>
        <v>https://app.crepc.sk/?fn=detailBiblioForm&amp;sid=32B01FBEABC913214B89B65E</v>
      </c>
    </row>
    <row r="9358" spans="3:5" ht="45" x14ac:dyDescent="0.25">
      <c r="C9358" s="15">
        <v>60020</v>
      </c>
      <c r="D9358" s="4" t="s">
        <v>9346</v>
      </c>
      <c r="E9358" s="4" t="str">
        <f>HYPERLINK("https://app.crepc.sk/?fn=detailBiblioForm&amp;sid=B0FEE09FE39F30AAD6A8A287")</f>
        <v>https://app.crepc.sk/?fn=detailBiblioForm&amp;sid=B0FEE09FE39F30AAD6A8A287</v>
      </c>
    </row>
    <row r="9359" spans="3:5" ht="45" x14ac:dyDescent="0.25">
      <c r="C9359" s="15">
        <v>312290</v>
      </c>
      <c r="D9359" s="4" t="s">
        <v>9347</v>
      </c>
      <c r="E9359" s="4" t="str">
        <f>HYPERLINK("https://app.crepc.sk/?fn=detailBiblioForm&amp;sid=710241CBC6D4101CB09585ADCA")</f>
        <v>https://app.crepc.sk/?fn=detailBiblioForm&amp;sid=710241CBC6D4101CB09585ADCA</v>
      </c>
    </row>
    <row r="9360" spans="3:5" ht="45" x14ac:dyDescent="0.25">
      <c r="C9360" s="15">
        <v>60108</v>
      </c>
      <c r="D9360" s="4" t="s">
        <v>9348</v>
      </c>
      <c r="E9360" s="4" t="str">
        <f>HYPERLINK("https://app.crepc.sk/?fn=detailBiblioForm&amp;sid=B84A121A44FE5A48A9F96F05")</f>
        <v>https://app.crepc.sk/?fn=detailBiblioForm&amp;sid=B84A121A44FE5A48A9F96F05</v>
      </c>
    </row>
    <row r="9361" spans="3:5" ht="45" x14ac:dyDescent="0.25">
      <c r="C9361" s="15">
        <v>189489</v>
      </c>
      <c r="D9361" s="4" t="s">
        <v>9349</v>
      </c>
      <c r="E9361" s="4" t="str">
        <f>HYPERLINK("https://app.crepc.sk/?fn=detailBiblioForm&amp;sid=6E6F559206AEB7A17E08F336A3")</f>
        <v>https://app.crepc.sk/?fn=detailBiblioForm&amp;sid=6E6F559206AEB7A17E08F336A3</v>
      </c>
    </row>
    <row r="9362" spans="3:5" ht="45" x14ac:dyDescent="0.25">
      <c r="C9362" s="15">
        <v>186908</v>
      </c>
      <c r="D9362" s="4" t="s">
        <v>9350</v>
      </c>
      <c r="E9362" s="4" t="str">
        <f>HYPERLINK("https://app.crepc.sk/?fn=detailBiblioForm&amp;sid=9EB7DDC054CB7EBFE37AB5FCE5")</f>
        <v>https://app.crepc.sk/?fn=detailBiblioForm&amp;sid=9EB7DDC054CB7EBFE37AB5FCE5</v>
      </c>
    </row>
    <row r="9363" spans="3:5" ht="45" x14ac:dyDescent="0.25">
      <c r="C9363" s="15">
        <v>416742</v>
      </c>
      <c r="D9363" s="4" t="s">
        <v>9351</v>
      </c>
      <c r="E9363" s="4" t="str">
        <f>HYPERLINK("https://app.crepc.sk/?fn=detailBiblioForm&amp;sid=FFF02B87E998ACF2F12D56DEC9")</f>
        <v>https://app.crepc.sk/?fn=detailBiblioForm&amp;sid=FFF02B87E998ACF2F12D56DEC9</v>
      </c>
    </row>
    <row r="9364" spans="3:5" ht="45" x14ac:dyDescent="0.25">
      <c r="C9364" s="15">
        <v>82965</v>
      </c>
      <c r="D9364" s="4" t="s">
        <v>9352</v>
      </c>
      <c r="E9364" s="4" t="str">
        <f>HYPERLINK("https://app.crepc.sk/?fn=detailBiblioForm&amp;sid=9582AA55246A149321867992")</f>
        <v>https://app.crepc.sk/?fn=detailBiblioForm&amp;sid=9582AA55246A149321867992</v>
      </c>
    </row>
    <row r="9365" spans="3:5" ht="45" x14ac:dyDescent="0.25">
      <c r="C9365" s="15">
        <v>448456</v>
      </c>
      <c r="D9365" s="4" t="s">
        <v>9353</v>
      </c>
      <c r="E9365" s="4" t="str">
        <f>HYPERLINK("https://app.crepc.sk/?fn=detailBiblioForm&amp;sid=8F7BD044D3EF6CCC5322597E25")</f>
        <v>https://app.crepc.sk/?fn=detailBiblioForm&amp;sid=8F7BD044D3EF6CCC5322597E25</v>
      </c>
    </row>
    <row r="9366" spans="3:5" ht="60" x14ac:dyDescent="0.25">
      <c r="C9366" s="15">
        <v>200106</v>
      </c>
      <c r="D9366" s="4" t="s">
        <v>9354</v>
      </c>
      <c r="E9366" s="4" t="str">
        <f>HYPERLINK("https://app.crepc.sk/?fn=detailBiblioForm&amp;sid=9097805B3BD10337EC6759D914")</f>
        <v>https://app.crepc.sk/?fn=detailBiblioForm&amp;sid=9097805B3BD10337EC6759D914</v>
      </c>
    </row>
    <row r="9367" spans="3:5" ht="45" x14ac:dyDescent="0.25">
      <c r="C9367" s="15">
        <v>191284</v>
      </c>
      <c r="D9367" s="4" t="s">
        <v>9355</v>
      </c>
      <c r="E9367" s="4" t="str">
        <f>HYPERLINK("https://app.crepc.sk/?fn=detailBiblioForm&amp;sid=BB22CF228AD80F334120F1E3D6")</f>
        <v>https://app.crepc.sk/?fn=detailBiblioForm&amp;sid=BB22CF228AD80F334120F1E3D6</v>
      </c>
    </row>
    <row r="9368" spans="3:5" ht="45" x14ac:dyDescent="0.25">
      <c r="C9368" s="15">
        <v>448459</v>
      </c>
      <c r="D9368" s="4" t="s">
        <v>9356</v>
      </c>
      <c r="E9368" s="4" t="str">
        <f>HYPERLINK("https://app.crepc.sk/?fn=detailBiblioForm&amp;sid=8F7BD044D3EF6CCC532D597E25")</f>
        <v>https://app.crepc.sk/?fn=detailBiblioForm&amp;sid=8F7BD044D3EF6CCC532D597E25</v>
      </c>
    </row>
    <row r="9369" spans="3:5" ht="45" x14ac:dyDescent="0.25">
      <c r="C9369" s="15">
        <v>60068</v>
      </c>
      <c r="D9369" s="4" t="s">
        <v>9357</v>
      </c>
      <c r="E9369" s="4" t="str">
        <f>HYPERLINK("https://app.crepc.sk/?fn=detailBiblioForm&amp;sid=8FA2C3F530400EE9424D2A89")</f>
        <v>https://app.crepc.sk/?fn=detailBiblioForm&amp;sid=8FA2C3F530400EE9424D2A89</v>
      </c>
    </row>
    <row r="9370" spans="3:5" ht="60" x14ac:dyDescent="0.25">
      <c r="C9370" s="15">
        <v>312175</v>
      </c>
      <c r="D9370" s="4" t="s">
        <v>9358</v>
      </c>
      <c r="E9370" s="4" t="str">
        <f>HYPERLINK("https://app.crepc.sk/?fn=detailBiblioForm&amp;sid=F437EB8E22CB50A25FC9D95AC6")</f>
        <v>https://app.crepc.sk/?fn=detailBiblioForm&amp;sid=F437EB8E22CB50A25FC9D95AC6</v>
      </c>
    </row>
    <row r="9371" spans="3:5" ht="45" x14ac:dyDescent="0.25">
      <c r="C9371" s="15">
        <v>80863</v>
      </c>
      <c r="D9371" s="4" t="s">
        <v>9359</v>
      </c>
      <c r="E9371" s="4" t="str">
        <f>HYPERLINK("https://app.crepc.sk/?fn=detailBiblioForm&amp;sid=7AD28EA6D308C9D180283271")</f>
        <v>https://app.crepc.sk/?fn=detailBiblioForm&amp;sid=7AD28EA6D308C9D180283271</v>
      </c>
    </row>
    <row r="9372" spans="3:5" ht="45" x14ac:dyDescent="0.25">
      <c r="C9372" s="15">
        <v>189485</v>
      </c>
      <c r="D9372" s="4" t="s">
        <v>9360</v>
      </c>
      <c r="E9372" s="4" t="str">
        <f>HYPERLINK("https://app.crepc.sk/?fn=detailBiblioForm&amp;sid=6E6F559206AEB7A17E04F336A3")</f>
        <v>https://app.crepc.sk/?fn=detailBiblioForm&amp;sid=6E6F559206AEB7A17E04F336A3</v>
      </c>
    </row>
    <row r="9373" spans="3:5" ht="60" x14ac:dyDescent="0.25">
      <c r="C9373" s="15">
        <v>237449</v>
      </c>
      <c r="D9373" s="4" t="s">
        <v>9361</v>
      </c>
      <c r="E9373" s="4" t="str">
        <f>HYPERLINK("https://app.crepc.sk/?fn=detailBiblioForm&amp;sid=611C792FA0C4EFEE3D09B406F9")</f>
        <v>https://app.crepc.sk/?fn=detailBiblioForm&amp;sid=611C792FA0C4EFEE3D09B406F9</v>
      </c>
    </row>
    <row r="9374" spans="3:5" ht="45" x14ac:dyDescent="0.25">
      <c r="C9374" s="15">
        <v>60058</v>
      </c>
      <c r="D9374" s="4" t="s">
        <v>9362</v>
      </c>
      <c r="E9374" s="4" t="str">
        <f>HYPERLINK("https://app.crepc.sk/?fn=detailBiblioForm&amp;sid=F118E8195DE6E2EC27ED003D")</f>
        <v>https://app.crepc.sk/?fn=detailBiblioForm&amp;sid=F118E8195DE6E2EC27ED003D</v>
      </c>
    </row>
    <row r="9375" spans="3:5" ht="45" x14ac:dyDescent="0.25">
      <c r="C9375" s="15">
        <v>189433</v>
      </c>
      <c r="D9375" s="4" t="s">
        <v>9363</v>
      </c>
      <c r="E9375" s="4" t="str">
        <f>HYPERLINK("https://app.crepc.sk/?fn=detailBiblioForm&amp;sid=6E6F559206AEB7A17502F336A3")</f>
        <v>https://app.crepc.sk/?fn=detailBiblioForm&amp;sid=6E6F559206AEB7A17502F336A3</v>
      </c>
    </row>
    <row r="9376" spans="3:5" ht="45" x14ac:dyDescent="0.25">
      <c r="C9376" s="15">
        <v>100077</v>
      </c>
      <c r="D9376" s="4" t="s">
        <v>9364</v>
      </c>
      <c r="E9376" s="4" t="str">
        <f>HYPERLINK("https://app.crepc.sk/?fn=detailBiblioForm&amp;sid=8D3F7791082C9B6930D380258C")</f>
        <v>https://app.crepc.sk/?fn=detailBiblioForm&amp;sid=8D3F7791082C9B6930D380258C</v>
      </c>
    </row>
    <row r="9377" spans="3:5" ht="60" x14ac:dyDescent="0.25">
      <c r="C9377" s="15">
        <v>189419</v>
      </c>
      <c r="D9377" s="4" t="s">
        <v>9365</v>
      </c>
      <c r="E9377" s="4" t="str">
        <f>HYPERLINK("https://app.crepc.sk/?fn=detailBiblioForm&amp;sid=6E6F559206AEB7A17708F336A3")</f>
        <v>https://app.crepc.sk/?fn=detailBiblioForm&amp;sid=6E6F559206AEB7A17708F336A3</v>
      </c>
    </row>
    <row r="9378" spans="3:5" ht="45" x14ac:dyDescent="0.25">
      <c r="C9378" s="15">
        <v>149109</v>
      </c>
      <c r="D9378" s="4" t="s">
        <v>9366</v>
      </c>
      <c r="E9378" s="4" t="str">
        <f>HYPERLINK("https://app.crepc.sk/?fn=detailBiblioForm&amp;sid=DAA396BB6B0B01134342686083")</f>
        <v>https://app.crepc.sk/?fn=detailBiblioForm&amp;sid=DAA396BB6B0B01134342686083</v>
      </c>
    </row>
    <row r="9379" spans="3:5" ht="45" x14ac:dyDescent="0.25">
      <c r="C9379" s="15">
        <v>250756</v>
      </c>
      <c r="D9379" s="4" t="s">
        <v>9367</v>
      </c>
      <c r="E9379" s="4" t="str">
        <f>HYPERLINK("https://app.crepc.sk/?fn=detailBiblioForm&amp;sid=F6E878997955F571D36928CAE5")</f>
        <v>https://app.crepc.sk/?fn=detailBiblioForm&amp;sid=F6E878997955F571D36928CAE5</v>
      </c>
    </row>
    <row r="9380" spans="3:5" ht="45" x14ac:dyDescent="0.25">
      <c r="C9380" s="15">
        <v>80838</v>
      </c>
      <c r="D9380" s="4" t="s">
        <v>9368</v>
      </c>
      <c r="E9380" s="4" t="str">
        <f>HYPERLINK("https://app.crepc.sk/?fn=detailBiblioForm&amp;sid=EA528100CECA1305F9BD8B23")</f>
        <v>https://app.crepc.sk/?fn=detailBiblioForm&amp;sid=EA528100CECA1305F9BD8B23</v>
      </c>
    </row>
    <row r="9381" spans="3:5" ht="45" x14ac:dyDescent="0.25">
      <c r="C9381" s="15">
        <v>122629</v>
      </c>
      <c r="D9381" s="4" t="s">
        <v>9369</v>
      </c>
      <c r="E9381" s="4" t="str">
        <f>HYPERLINK("https://app.crepc.sk/?fn=detailBiblioForm&amp;sid=7E4A807172B6E37500700C446E")</f>
        <v>https://app.crepc.sk/?fn=detailBiblioForm&amp;sid=7E4A807172B6E37500700C446E</v>
      </c>
    </row>
    <row r="9382" spans="3:5" ht="45" x14ac:dyDescent="0.25">
      <c r="C9382" s="15">
        <v>312439</v>
      </c>
      <c r="D9382" s="4" t="s">
        <v>9370</v>
      </c>
      <c r="E9382" s="4" t="str">
        <f>HYPERLINK("https://app.crepc.sk/?fn=detailBiblioForm&amp;sid=29E831AA7AE2D1910CE92E0FED")</f>
        <v>https://app.crepc.sk/?fn=detailBiblioForm&amp;sid=29E831AA7AE2D1910CE92E0FED</v>
      </c>
    </row>
    <row r="9383" spans="3:5" ht="60" x14ac:dyDescent="0.25">
      <c r="C9383" s="15">
        <v>176692</v>
      </c>
      <c r="D9383" s="4" t="s">
        <v>9371</v>
      </c>
      <c r="E9383" s="4" t="str">
        <f>HYPERLINK("https://app.crepc.sk/?fn=detailBiblioForm&amp;sid=A620BEC7F66F1ABEDF13EBCE76")</f>
        <v>https://app.crepc.sk/?fn=detailBiblioForm&amp;sid=A620BEC7F66F1ABEDF13EBCE76</v>
      </c>
    </row>
    <row r="9384" spans="3:5" ht="45" x14ac:dyDescent="0.25">
      <c r="C9384" s="15">
        <v>312318</v>
      </c>
      <c r="D9384" s="4" t="s">
        <v>9372</v>
      </c>
      <c r="E9384" s="4" t="str">
        <f>HYPERLINK("https://app.crepc.sk/?fn=detailBiblioForm&amp;sid=4B02C4261583C7B822A2198635")</f>
        <v>https://app.crepc.sk/?fn=detailBiblioForm&amp;sid=4B02C4261583C7B822A2198635</v>
      </c>
    </row>
    <row r="9385" spans="3:5" ht="45" x14ac:dyDescent="0.25">
      <c r="C9385" s="15">
        <v>312457</v>
      </c>
      <c r="D9385" s="4" t="s">
        <v>9373</v>
      </c>
      <c r="E9385" s="4" t="str">
        <f>HYPERLINK("https://app.crepc.sk/?fn=detailBiblioForm&amp;sid=29E831AA7AE2D1910AE72E0FED")</f>
        <v>https://app.crepc.sk/?fn=detailBiblioForm&amp;sid=29E831AA7AE2D1910AE72E0FED</v>
      </c>
    </row>
    <row r="9386" spans="3:5" ht="45" x14ac:dyDescent="0.25">
      <c r="C9386" s="15">
        <v>80842</v>
      </c>
      <c r="D9386" s="4" t="s">
        <v>9374</v>
      </c>
      <c r="E9386" s="4" t="str">
        <f>HYPERLINK("https://app.crepc.sk/?fn=detailBiblioForm&amp;sid=419C60B72BBCC3197554B84E")</f>
        <v>https://app.crepc.sk/?fn=detailBiblioForm&amp;sid=419C60B72BBCC3197554B84E</v>
      </c>
    </row>
    <row r="9387" spans="3:5" ht="45" x14ac:dyDescent="0.25">
      <c r="C9387" s="15">
        <v>251148</v>
      </c>
      <c r="D9387" s="4" t="s">
        <v>9375</v>
      </c>
      <c r="E9387" s="4" t="str">
        <f>HYPERLINK("https://app.crepc.sk/?fn=detailBiblioForm&amp;sid=39F653ADC89B9C3287B1F67185")</f>
        <v>https://app.crepc.sk/?fn=detailBiblioForm&amp;sid=39F653ADC89B9C3287B1F67185</v>
      </c>
    </row>
    <row r="9388" spans="3:5" ht="45" x14ac:dyDescent="0.25">
      <c r="C9388" s="15">
        <v>312432</v>
      </c>
      <c r="D9388" s="4" t="s">
        <v>9376</v>
      </c>
      <c r="E9388" s="4" t="str">
        <f>HYPERLINK("https://app.crepc.sk/?fn=detailBiblioForm&amp;sid=29E831AA7AE2D1910CE22E0FED")</f>
        <v>https://app.crepc.sk/?fn=detailBiblioForm&amp;sid=29E831AA7AE2D1910CE22E0FED</v>
      </c>
    </row>
    <row r="9389" spans="3:5" ht="45" x14ac:dyDescent="0.25">
      <c r="C9389" s="15">
        <v>149172</v>
      </c>
      <c r="D9389" s="4" t="s">
        <v>9377</v>
      </c>
      <c r="E9389" s="4" t="str">
        <f>HYPERLINK("https://app.crepc.sk/?fn=detailBiblioForm&amp;sid=DAA396BB6B0B01134449686083")</f>
        <v>https://app.crepc.sk/?fn=detailBiblioForm&amp;sid=DAA396BB6B0B01134449686083</v>
      </c>
    </row>
    <row r="9390" spans="3:5" ht="45" x14ac:dyDescent="0.25">
      <c r="C9390" s="15">
        <v>83197</v>
      </c>
      <c r="D9390" s="4" t="s">
        <v>9378</v>
      </c>
      <c r="E9390" s="4" t="str">
        <f>HYPERLINK("https://app.crepc.sk/?fn=detailBiblioForm&amp;sid=0C57D2FA1BBE6555A6A9CF7C")</f>
        <v>https://app.crepc.sk/?fn=detailBiblioForm&amp;sid=0C57D2FA1BBE6555A6A9CF7C</v>
      </c>
    </row>
    <row r="9391" spans="3:5" ht="45" x14ac:dyDescent="0.25">
      <c r="C9391" s="15">
        <v>60063</v>
      </c>
      <c r="D9391" s="4" t="s">
        <v>9379</v>
      </c>
      <c r="E9391" s="4" t="str">
        <f>HYPERLINK("https://app.crepc.sk/?fn=detailBiblioForm&amp;sid=8FA2C3F530400EE9494D2A89")</f>
        <v>https://app.crepc.sk/?fn=detailBiblioForm&amp;sid=8FA2C3F530400EE9494D2A89</v>
      </c>
    </row>
    <row r="9392" spans="3:5" ht="45" x14ac:dyDescent="0.25">
      <c r="C9392" s="15">
        <v>189423</v>
      </c>
      <c r="D9392" s="4" t="s">
        <v>9380</v>
      </c>
      <c r="E9392" s="4" t="str">
        <f>HYPERLINK("https://app.crepc.sk/?fn=detailBiblioForm&amp;sid=6E6F559206AEB7A17402F336A3")</f>
        <v>https://app.crepc.sk/?fn=detailBiblioForm&amp;sid=6E6F559206AEB7A17402F336A3</v>
      </c>
    </row>
    <row r="9393" spans="3:5" ht="45" x14ac:dyDescent="0.25">
      <c r="C9393" s="15">
        <v>60091</v>
      </c>
      <c r="D9393" s="4" t="s">
        <v>9381</v>
      </c>
      <c r="E9393" s="4" t="str">
        <f>HYPERLINK("https://app.crepc.sk/?fn=detailBiblioForm&amp;sid=4FC0A9E4E690E573917E7059")</f>
        <v>https://app.crepc.sk/?fn=detailBiblioForm&amp;sid=4FC0A9E4E690E573917E7059</v>
      </c>
    </row>
    <row r="9394" spans="3:5" ht="45" x14ac:dyDescent="0.25">
      <c r="C9394" s="15">
        <v>60019</v>
      </c>
      <c r="D9394" s="4" t="s">
        <v>9382</v>
      </c>
      <c r="E9394" s="4" t="str">
        <f>HYPERLINK("https://app.crepc.sk/?fn=detailBiblioForm&amp;sid=E4483CDF55A687A0673AAD48")</f>
        <v>https://app.crepc.sk/?fn=detailBiblioForm&amp;sid=E4483CDF55A687A0673AAD48</v>
      </c>
    </row>
    <row r="9395" spans="3:5" ht="45" x14ac:dyDescent="0.25">
      <c r="C9395" s="15">
        <v>60477</v>
      </c>
      <c r="D9395" s="4" t="s">
        <v>9383</v>
      </c>
      <c r="E9395" s="4" t="str">
        <f>HYPERLINK("https://app.crepc.sk/?fn=detailBiblioForm&amp;sid=4F75AB037C7DAC662BD8C4EE")</f>
        <v>https://app.crepc.sk/?fn=detailBiblioForm&amp;sid=4F75AB037C7DAC662BD8C4EE</v>
      </c>
    </row>
    <row r="9396" spans="3:5" ht="45" x14ac:dyDescent="0.25">
      <c r="C9396" s="15">
        <v>440126</v>
      </c>
      <c r="D9396" s="4" t="s">
        <v>9384</v>
      </c>
      <c r="E9396" s="4" t="str">
        <f>HYPERLINK("https://app.crepc.sk/?fn=detailBiblioForm&amp;sid=F54B622C6E5158466731AC0EA8")</f>
        <v>https://app.crepc.sk/?fn=detailBiblioForm&amp;sid=F54B622C6E5158466731AC0EA8</v>
      </c>
    </row>
    <row r="9397" spans="3:5" ht="45" x14ac:dyDescent="0.25">
      <c r="C9397" s="15">
        <v>200113</v>
      </c>
      <c r="D9397" s="4" t="s">
        <v>9385</v>
      </c>
      <c r="E9397" s="4" t="str">
        <f>HYPERLINK("https://app.crepc.sk/?fn=detailBiblioForm&amp;sid=9097805B3BD10337ED6259D914")</f>
        <v>https://app.crepc.sk/?fn=detailBiblioForm&amp;sid=9097805B3BD10337ED6259D914</v>
      </c>
    </row>
    <row r="9398" spans="3:5" ht="60" x14ac:dyDescent="0.25">
      <c r="C9398" s="15">
        <v>122643</v>
      </c>
      <c r="D9398" s="4" t="s">
        <v>9386</v>
      </c>
      <c r="E9398" s="4" t="str">
        <f>HYPERLINK("https://app.crepc.sk/?fn=detailBiblioForm&amp;sid=7E4A807172B6E375067A0C446E")</f>
        <v>https://app.crepc.sk/?fn=detailBiblioForm&amp;sid=7E4A807172B6E375067A0C446E</v>
      </c>
    </row>
    <row r="9399" spans="3:5" ht="45" x14ac:dyDescent="0.25">
      <c r="C9399" s="15">
        <v>200114</v>
      </c>
      <c r="D9399" s="4" t="s">
        <v>9387</v>
      </c>
      <c r="E9399" s="4" t="str">
        <f>HYPERLINK("https://app.crepc.sk/?fn=detailBiblioForm&amp;sid=9097805B3BD10337ED6559D914")</f>
        <v>https://app.crepc.sk/?fn=detailBiblioForm&amp;sid=9097805B3BD10337ED6559D914</v>
      </c>
    </row>
    <row r="9400" spans="3:5" ht="45" x14ac:dyDescent="0.25">
      <c r="C9400" s="15">
        <v>312261</v>
      </c>
      <c r="D9400" s="4" t="s">
        <v>9388</v>
      </c>
      <c r="E9400" s="4" t="str">
        <f>HYPERLINK("https://app.crepc.sk/?fn=detailBiblioForm&amp;sid=710241CBC6D4101CBF9485ADCA")</f>
        <v>https://app.crepc.sk/?fn=detailBiblioForm&amp;sid=710241CBC6D4101CBF9485ADCA</v>
      </c>
    </row>
    <row r="9401" spans="3:5" ht="75" x14ac:dyDescent="0.25">
      <c r="C9401" s="15">
        <v>55499</v>
      </c>
      <c r="D9401" s="4" t="s">
        <v>9389</v>
      </c>
      <c r="E9401" s="4" t="str">
        <f>HYPERLINK("https://app.crepc.sk/?fn=detailBiblioForm&amp;sid=65D21B8B29DCC669D9921813")</f>
        <v>https://app.crepc.sk/?fn=detailBiblioForm&amp;sid=65D21B8B29DCC669D9921813</v>
      </c>
    </row>
    <row r="9402" spans="3:5" ht="45" x14ac:dyDescent="0.25">
      <c r="C9402" s="15">
        <v>72078</v>
      </c>
      <c r="D9402" s="4" t="s">
        <v>9390</v>
      </c>
      <c r="E9402" s="4" t="str">
        <f>HYPERLINK("https://app.crepc.sk/?fn=detailBiblioForm&amp;sid=DEE9F90A5155CF8CEE3B333E")</f>
        <v>https://app.crepc.sk/?fn=detailBiblioForm&amp;sid=DEE9F90A5155CF8CEE3B333E</v>
      </c>
    </row>
    <row r="9403" spans="3:5" ht="45" x14ac:dyDescent="0.25">
      <c r="C9403" s="15">
        <v>452327</v>
      </c>
      <c r="D9403" s="4" t="s">
        <v>9391</v>
      </c>
      <c r="E9403" s="4" t="str">
        <f>HYPERLINK("https://app.crepc.sk/?fn=detailBiblioForm&amp;sid=66C74FF48D413BFF49DA3EA132")</f>
        <v>https://app.crepc.sk/?fn=detailBiblioForm&amp;sid=66C74FF48D413BFF49DA3EA132</v>
      </c>
    </row>
    <row r="9404" spans="3:5" ht="75" x14ac:dyDescent="0.25">
      <c r="C9404" s="15">
        <v>67904</v>
      </c>
      <c r="D9404" s="4" t="s">
        <v>9392</v>
      </c>
      <c r="E9404" s="4" t="str">
        <f>HYPERLINK("https://app.crepc.sk/?fn=detailBiblioForm&amp;sid=6452F37C6E1F698B9DB36DAE")</f>
        <v>https://app.crepc.sk/?fn=detailBiblioForm&amp;sid=6452F37C6E1F698B9DB36DAE</v>
      </c>
    </row>
    <row r="9405" spans="3:5" ht="60" x14ac:dyDescent="0.25">
      <c r="C9405" s="15">
        <v>163570</v>
      </c>
      <c r="D9405" s="4" t="s">
        <v>9393</v>
      </c>
      <c r="E9405" s="4" t="str">
        <f>HYPERLINK("https://app.crepc.sk/?fn=detailBiblioForm&amp;sid=702847CDD3538CD48B35C67511")</f>
        <v>https://app.crepc.sk/?fn=detailBiblioForm&amp;sid=702847CDD3538CD48B35C67511</v>
      </c>
    </row>
    <row r="9406" spans="3:5" ht="60" x14ac:dyDescent="0.25">
      <c r="C9406" s="15">
        <v>244658</v>
      </c>
      <c r="D9406" s="4" t="s">
        <v>9394</v>
      </c>
      <c r="E9406" s="4" t="str">
        <f>HYPERLINK("https://app.crepc.sk/?fn=detailBiblioForm&amp;sid=5693C4557D2BC9900CB8BAE0E3")</f>
        <v>https://app.crepc.sk/?fn=detailBiblioForm&amp;sid=5693C4557D2BC9900CB8BAE0E3</v>
      </c>
    </row>
    <row r="9407" spans="3:5" ht="60" x14ac:dyDescent="0.25">
      <c r="C9407" s="15">
        <v>453774</v>
      </c>
      <c r="D9407" s="4" t="s">
        <v>9395</v>
      </c>
      <c r="E9407" s="4" t="str">
        <f>HYPERLINK("https://app.crepc.sk/?fn=detailBiblioForm&amp;sid=2CDF48EDF69E3B9799DBA5BF19")</f>
        <v>https://app.crepc.sk/?fn=detailBiblioForm&amp;sid=2CDF48EDF69E3B9799DBA5BF19</v>
      </c>
    </row>
    <row r="9408" spans="3:5" ht="60" x14ac:dyDescent="0.25">
      <c r="C9408" s="15">
        <v>176722</v>
      </c>
      <c r="D9408" s="4" t="s">
        <v>9396</v>
      </c>
      <c r="E9408" s="4" t="str">
        <f>HYPERLINK("https://app.crepc.sk/?fn=detailBiblioForm&amp;sid=74611393D427AF19D6B1BE02B6")</f>
        <v>https://app.crepc.sk/?fn=detailBiblioForm&amp;sid=74611393D427AF19D6B1BE02B6</v>
      </c>
    </row>
    <row r="9409" spans="3:5" ht="45" x14ac:dyDescent="0.25">
      <c r="C9409" s="15">
        <v>215285</v>
      </c>
      <c r="D9409" s="4" t="s">
        <v>9397</v>
      </c>
      <c r="E9409" s="4" t="str">
        <f>HYPERLINK("https://app.crepc.sk/?fn=detailBiblioForm&amp;sid=232B0374A242225DBF05E0C308")</f>
        <v>https://app.crepc.sk/?fn=detailBiblioForm&amp;sid=232B0374A242225DBF05E0C308</v>
      </c>
    </row>
    <row r="9410" spans="3:5" ht="45" x14ac:dyDescent="0.25">
      <c r="C9410" s="15">
        <v>161942</v>
      </c>
      <c r="D9410" s="4" t="s">
        <v>9398</v>
      </c>
      <c r="E9410" s="4" t="str">
        <f>HYPERLINK("https://app.crepc.sk/?fn=detailBiblioForm&amp;sid=3BEC39B52C756B70C90079B3D6")</f>
        <v>https://app.crepc.sk/?fn=detailBiblioForm&amp;sid=3BEC39B52C756B70C90079B3D6</v>
      </c>
    </row>
    <row r="9411" spans="3:5" ht="45" x14ac:dyDescent="0.25">
      <c r="C9411" s="15">
        <v>71442</v>
      </c>
      <c r="D9411" s="4" t="s">
        <v>9399</v>
      </c>
      <c r="E9411" s="4" t="str">
        <f>HYPERLINK("https://app.crepc.sk/?fn=detailBiblioForm&amp;sid=077DC4C101B6A2A9C88D1617")</f>
        <v>https://app.crepc.sk/?fn=detailBiblioForm&amp;sid=077DC4C101B6A2A9C88D1617</v>
      </c>
    </row>
    <row r="9412" spans="3:5" ht="45" x14ac:dyDescent="0.25">
      <c r="C9412" s="15">
        <v>140741</v>
      </c>
      <c r="D9412" s="4" t="s">
        <v>9400</v>
      </c>
      <c r="E9412" s="4" t="str">
        <f>HYPERLINK("https://app.crepc.sk/?fn=detailBiblioForm&amp;sid=5706AE11B6D530C9971C8F181F")</f>
        <v>https://app.crepc.sk/?fn=detailBiblioForm&amp;sid=5706AE11B6D530C9971C8F181F</v>
      </c>
    </row>
    <row r="9413" spans="3:5" ht="45" x14ac:dyDescent="0.25">
      <c r="C9413" s="15">
        <v>176698</v>
      </c>
      <c r="D9413" s="4" t="s">
        <v>9401</v>
      </c>
      <c r="E9413" s="4" t="str">
        <f>HYPERLINK("https://app.crepc.sk/?fn=detailBiblioForm&amp;sid=A620BEC7F66F1ABEDF19EBCE76")</f>
        <v>https://app.crepc.sk/?fn=detailBiblioForm&amp;sid=A620BEC7F66F1ABEDF19EBCE76</v>
      </c>
    </row>
    <row r="9414" spans="3:5" ht="45" x14ac:dyDescent="0.25">
      <c r="C9414" s="15">
        <v>85001</v>
      </c>
      <c r="D9414" s="4" t="s">
        <v>9402</v>
      </c>
      <c r="E9414" s="4" t="str">
        <f>HYPERLINK("https://app.crepc.sk/?fn=detailBiblioForm&amp;sid=F5888934E5AD0C3141C13399")</f>
        <v>https://app.crepc.sk/?fn=detailBiblioForm&amp;sid=F5888934E5AD0C3141C13399</v>
      </c>
    </row>
    <row r="9415" spans="3:5" ht="45" x14ac:dyDescent="0.25">
      <c r="C9415" s="15">
        <v>167099</v>
      </c>
      <c r="D9415" s="4" t="s">
        <v>9403</v>
      </c>
      <c r="E9415" s="4" t="str">
        <f>HYPERLINK("https://app.crepc.sk/?fn=detailBiblioForm&amp;sid=D51B19479514986187F61F45CE")</f>
        <v>https://app.crepc.sk/?fn=detailBiblioForm&amp;sid=D51B19479514986187F61F45CE</v>
      </c>
    </row>
    <row r="9416" spans="3:5" ht="45" x14ac:dyDescent="0.25">
      <c r="C9416" s="15">
        <v>312257</v>
      </c>
      <c r="D9416" s="4" t="s">
        <v>9404</v>
      </c>
      <c r="E9416" s="4" t="str">
        <f>HYPERLINK("https://app.crepc.sk/?fn=detailBiblioForm&amp;sid=710241CBC6D4101CBC9285ADCA")</f>
        <v>https://app.crepc.sk/?fn=detailBiblioForm&amp;sid=710241CBC6D4101CBC9285ADCA</v>
      </c>
    </row>
    <row r="9417" spans="3:5" ht="60" x14ac:dyDescent="0.25">
      <c r="C9417" s="15">
        <v>312339</v>
      </c>
      <c r="D9417" s="4" t="s">
        <v>9405</v>
      </c>
      <c r="E9417" s="4" t="str">
        <f>HYPERLINK("https://app.crepc.sk/?fn=detailBiblioForm&amp;sid=4B02C4261583C7B820A3198635")</f>
        <v>https://app.crepc.sk/?fn=detailBiblioForm&amp;sid=4B02C4261583C7B820A3198635</v>
      </c>
    </row>
    <row r="9418" spans="3:5" ht="45" x14ac:dyDescent="0.25">
      <c r="C9418" s="15">
        <v>312434</v>
      </c>
      <c r="D9418" s="4" t="s">
        <v>9406</v>
      </c>
      <c r="E9418" s="4" t="str">
        <f>HYPERLINK("https://app.crepc.sk/?fn=detailBiblioForm&amp;sid=29E831AA7AE2D1910CE42E0FED")</f>
        <v>https://app.crepc.sk/?fn=detailBiblioForm&amp;sid=29E831AA7AE2D1910CE42E0FED</v>
      </c>
    </row>
    <row r="9419" spans="3:5" ht="60" x14ac:dyDescent="0.25">
      <c r="C9419" s="15">
        <v>306965</v>
      </c>
      <c r="D9419" s="4" t="s">
        <v>9407</v>
      </c>
      <c r="E9419" s="4" t="str">
        <f>HYPERLINK("https://app.crepc.sk/?fn=detailBiblioForm&amp;sid=D21D55C71A552205E15935AA04")</f>
        <v>https://app.crepc.sk/?fn=detailBiblioForm&amp;sid=D21D55C71A552205E15935AA04</v>
      </c>
    </row>
    <row r="9420" spans="3:5" ht="45" x14ac:dyDescent="0.25">
      <c r="C9420" s="15">
        <v>60054</v>
      </c>
      <c r="D9420" s="4" t="s">
        <v>9408</v>
      </c>
      <c r="E9420" s="4" t="str">
        <f>HYPERLINK("https://app.crepc.sk/?fn=detailBiblioForm&amp;sid=F118E8195DE6E2EC2BED003D")</f>
        <v>https://app.crepc.sk/?fn=detailBiblioForm&amp;sid=F118E8195DE6E2EC2BED003D</v>
      </c>
    </row>
    <row r="9421" spans="3:5" ht="45" x14ac:dyDescent="0.25">
      <c r="C9421" s="15">
        <v>200102</v>
      </c>
      <c r="D9421" s="4" t="s">
        <v>9409</v>
      </c>
      <c r="E9421" s="4" t="str">
        <f>HYPERLINK("https://app.crepc.sk/?fn=detailBiblioForm&amp;sid=9097805B3BD10337EC6359D914")</f>
        <v>https://app.crepc.sk/?fn=detailBiblioForm&amp;sid=9097805B3BD10337EC6359D914</v>
      </c>
    </row>
    <row r="9422" spans="3:5" ht="45" x14ac:dyDescent="0.25">
      <c r="C9422" s="15">
        <v>60885</v>
      </c>
      <c r="D9422" s="4" t="s">
        <v>9410</v>
      </c>
      <c r="E9422" s="4" t="str">
        <f>HYPERLINK("https://app.crepc.sk/?fn=detailBiblioForm&amp;sid=CF536B9DD48FBF0C5CA6EECF")</f>
        <v>https://app.crepc.sk/?fn=detailBiblioForm&amp;sid=CF536B9DD48FBF0C5CA6EECF</v>
      </c>
    </row>
    <row r="9423" spans="3:5" ht="60" x14ac:dyDescent="0.25">
      <c r="C9423" s="15">
        <v>134472</v>
      </c>
      <c r="D9423" s="4" t="s">
        <v>9411</v>
      </c>
      <c r="E9423" s="4" t="str">
        <f>HYPERLINK("https://app.crepc.sk/?fn=detailBiblioForm&amp;sid=591608704B394480C11FB0D9E4")</f>
        <v>https://app.crepc.sk/?fn=detailBiblioForm&amp;sid=591608704B394480C11FB0D9E4</v>
      </c>
    </row>
    <row r="9424" spans="3:5" ht="45" x14ac:dyDescent="0.25">
      <c r="C9424" s="15">
        <v>202542</v>
      </c>
      <c r="D9424" s="4" t="s">
        <v>9412</v>
      </c>
      <c r="E9424" s="4" t="str">
        <f>HYPERLINK("https://app.crepc.sk/?fn=detailBiblioForm&amp;sid=3036734F2764D6FCC137D36630")</f>
        <v>https://app.crepc.sk/?fn=detailBiblioForm&amp;sid=3036734F2764D6FCC137D36630</v>
      </c>
    </row>
    <row r="9425" spans="3:5" ht="45" x14ac:dyDescent="0.25">
      <c r="C9425" s="15">
        <v>200115</v>
      </c>
      <c r="D9425" s="4" t="s">
        <v>9413</v>
      </c>
      <c r="E9425" s="4" t="str">
        <f>HYPERLINK("https://app.crepc.sk/?fn=detailBiblioForm&amp;sid=9097805B3BD10337ED6459D914")</f>
        <v>https://app.crepc.sk/?fn=detailBiblioForm&amp;sid=9097805B3BD10337ED6459D914</v>
      </c>
    </row>
    <row r="9426" spans="3:5" ht="60" x14ac:dyDescent="0.25">
      <c r="C9426" s="15">
        <v>119756</v>
      </c>
      <c r="D9426" s="4" t="s">
        <v>9414</v>
      </c>
      <c r="E9426" s="4" t="str">
        <f>HYPERLINK("https://app.crepc.sk/?fn=detailBiblioForm&amp;sid=B5D677CC38484FF0529B3AF3C2")</f>
        <v>https://app.crepc.sk/?fn=detailBiblioForm&amp;sid=B5D677CC38484FF0529B3AF3C2</v>
      </c>
    </row>
    <row r="9427" spans="3:5" ht="45" x14ac:dyDescent="0.25">
      <c r="C9427" s="15">
        <v>122596</v>
      </c>
      <c r="D9427" s="4" t="s">
        <v>9415</v>
      </c>
      <c r="E9427" s="4" t="str">
        <f>HYPERLINK("https://app.crepc.sk/?fn=detailBiblioForm&amp;sid=6C0594DA955AD34A4979C5FCEF")</f>
        <v>https://app.crepc.sk/?fn=detailBiblioForm&amp;sid=6C0594DA955AD34A4979C5FCEF</v>
      </c>
    </row>
    <row r="9428" spans="3:5" ht="75" x14ac:dyDescent="0.25">
      <c r="C9428" s="15">
        <v>153405</v>
      </c>
      <c r="D9428" s="4" t="s">
        <v>9416</v>
      </c>
      <c r="E9428" s="4" t="str">
        <f>HYPERLINK("https://app.crepc.sk/?fn=detailBiblioForm&amp;sid=4A2276349E30FD2CA261200172")</f>
        <v>https://app.crepc.sk/?fn=detailBiblioForm&amp;sid=4A2276349E30FD2CA261200172</v>
      </c>
    </row>
    <row r="9429" spans="3:5" ht="60" x14ac:dyDescent="0.25">
      <c r="C9429" s="15">
        <v>448465</v>
      </c>
      <c r="D9429" s="4" t="s">
        <v>9417</v>
      </c>
      <c r="E9429" s="4" t="str">
        <f>HYPERLINK("https://app.crepc.sk/?fn=detailBiblioForm&amp;sid=8F7BD044D3EF6CCC5021597E25")</f>
        <v>https://app.crepc.sk/?fn=detailBiblioForm&amp;sid=8F7BD044D3EF6CCC5021597E25</v>
      </c>
    </row>
    <row r="9430" spans="3:5" ht="45" x14ac:dyDescent="0.25">
      <c r="C9430" s="15">
        <v>187794</v>
      </c>
      <c r="D9430" s="4" t="s">
        <v>9418</v>
      </c>
      <c r="E9430" s="4" t="str">
        <f>HYPERLINK("https://app.crepc.sk/?fn=detailBiblioForm&amp;sid=DC84C828B12A860AC6EFA1F70D")</f>
        <v>https://app.crepc.sk/?fn=detailBiblioForm&amp;sid=DC84C828B12A860AC6EFA1F70D</v>
      </c>
    </row>
    <row r="9431" spans="3:5" ht="45" x14ac:dyDescent="0.25">
      <c r="C9431" s="15">
        <v>60046</v>
      </c>
      <c r="D9431" s="4" t="s">
        <v>9419</v>
      </c>
      <c r="E9431" s="4" t="str">
        <f>HYPERLINK("https://app.crepc.sk/?fn=detailBiblioForm&amp;sid=D0B3DC8EF986D57EB3A3C18F")</f>
        <v>https://app.crepc.sk/?fn=detailBiblioForm&amp;sid=D0B3DC8EF986D57EB3A3C18F</v>
      </c>
    </row>
    <row r="9432" spans="3:5" ht="45" x14ac:dyDescent="0.25">
      <c r="C9432" s="15">
        <v>87739</v>
      </c>
      <c r="D9432" s="4" t="s">
        <v>9420</v>
      </c>
      <c r="E9432" s="4" t="str">
        <f>HYPERLINK("https://app.crepc.sk/?fn=detailBiblioForm&amp;sid=038DC6E1A843C38845365BC0")</f>
        <v>https://app.crepc.sk/?fn=detailBiblioForm&amp;sid=038DC6E1A843C38845365BC0</v>
      </c>
    </row>
    <row r="9433" spans="3:5" ht="45" x14ac:dyDescent="0.25">
      <c r="C9433" s="15">
        <v>140752</v>
      </c>
      <c r="D9433" s="4" t="s">
        <v>9421</v>
      </c>
      <c r="E9433" s="4" t="str">
        <f>HYPERLINK("https://app.crepc.sk/?fn=detailBiblioForm&amp;sid=5706AE11B6D530C9961F8F181F")</f>
        <v>https://app.crepc.sk/?fn=detailBiblioForm&amp;sid=5706AE11B6D530C9961F8F181F</v>
      </c>
    </row>
    <row r="9434" spans="3:5" ht="75" x14ac:dyDescent="0.25">
      <c r="C9434" s="15">
        <v>170470</v>
      </c>
      <c r="D9434" s="4" t="s">
        <v>9422</v>
      </c>
      <c r="E9434" s="4" t="str">
        <f>HYPERLINK("https://app.crepc.sk/?fn=detailBiblioForm&amp;sid=52328540584FDC4D948743BD9A")</f>
        <v>https://app.crepc.sk/?fn=detailBiblioForm&amp;sid=52328540584FDC4D948743BD9A</v>
      </c>
    </row>
    <row r="9435" spans="3:5" ht="45" x14ac:dyDescent="0.25">
      <c r="C9435" s="15">
        <v>106060</v>
      </c>
      <c r="D9435" s="4" t="s">
        <v>9423</v>
      </c>
      <c r="E9435" s="4" t="str">
        <f>HYPERLINK("https://app.crepc.sk/?fn=detailBiblioForm&amp;sid=07EF298E455E7FC5099FD1B4B2")</f>
        <v>https://app.crepc.sk/?fn=detailBiblioForm&amp;sid=07EF298E455E7FC5099FD1B4B2</v>
      </c>
    </row>
    <row r="9436" spans="3:5" ht="45" x14ac:dyDescent="0.25">
      <c r="C9436" s="15">
        <v>422655</v>
      </c>
      <c r="D9436" s="4" t="s">
        <v>9424</v>
      </c>
      <c r="E9436" s="4" t="str">
        <f>HYPERLINK("https://app.crepc.sk/?fn=detailBiblioForm&amp;sid=595C10E24534013616887F4B15")</f>
        <v>https://app.crepc.sk/?fn=detailBiblioForm&amp;sid=595C10E24534013616887F4B15</v>
      </c>
    </row>
    <row r="9437" spans="3:5" ht="60" x14ac:dyDescent="0.25">
      <c r="C9437" s="15">
        <v>316815</v>
      </c>
      <c r="D9437" s="4" t="s">
        <v>9425</v>
      </c>
      <c r="E9437" s="4" t="str">
        <f>HYPERLINK("https://app.crepc.sk/?fn=detailBiblioForm&amp;sid=9B7EDFED3FF96897469054B66B")</f>
        <v>https://app.crepc.sk/?fn=detailBiblioForm&amp;sid=9B7EDFED3FF96897469054B66B</v>
      </c>
    </row>
    <row r="9438" spans="3:5" ht="45" x14ac:dyDescent="0.25">
      <c r="C9438" s="15">
        <v>196745</v>
      </c>
      <c r="D9438" s="4" t="s">
        <v>9426</v>
      </c>
      <c r="E9438" s="4" t="str">
        <f>HYPERLINK("https://app.crepc.sk/?fn=detailBiblioForm&amp;sid=959B0CD35FC03E1AE1CE263F38")</f>
        <v>https://app.crepc.sk/?fn=detailBiblioForm&amp;sid=959B0CD35FC03E1AE1CE263F38</v>
      </c>
    </row>
    <row r="9439" spans="3:5" ht="45" x14ac:dyDescent="0.25">
      <c r="C9439" s="15">
        <v>60041</v>
      </c>
      <c r="D9439" s="4" t="s">
        <v>9427</v>
      </c>
      <c r="E9439" s="4" t="str">
        <f>HYPERLINK("https://app.crepc.sk/?fn=detailBiblioForm&amp;sid=D0B3DC8EF986D57EB4A3C18F")</f>
        <v>https://app.crepc.sk/?fn=detailBiblioForm&amp;sid=D0B3DC8EF986D57EB4A3C18F</v>
      </c>
    </row>
    <row r="9440" spans="3:5" ht="45" x14ac:dyDescent="0.25">
      <c r="C9440" s="15">
        <v>60040</v>
      </c>
      <c r="D9440" s="4" t="s">
        <v>9428</v>
      </c>
      <c r="E9440" s="4" t="str">
        <f>HYPERLINK("https://app.crepc.sk/?fn=detailBiblioForm&amp;sid=D0B3DC8EF986D57EB5A3C18F")</f>
        <v>https://app.crepc.sk/?fn=detailBiblioForm&amp;sid=D0B3DC8EF986D57EB5A3C18F</v>
      </c>
    </row>
    <row r="9441" spans="3:5" ht="45" x14ac:dyDescent="0.25">
      <c r="C9441" s="15">
        <v>60549</v>
      </c>
      <c r="D9441" s="4" t="s">
        <v>9429</v>
      </c>
      <c r="E9441" s="4" t="str">
        <f>HYPERLINK("https://app.crepc.sk/?fn=detailBiblioForm&amp;sid=1F4BD6EF4F546AA0BF536FD1")</f>
        <v>https://app.crepc.sk/?fn=detailBiblioForm&amp;sid=1F4BD6EF4F546AA0BF536FD1</v>
      </c>
    </row>
    <row r="9442" spans="3:5" ht="45" x14ac:dyDescent="0.25">
      <c r="C9442" s="15">
        <v>190151</v>
      </c>
      <c r="D9442" s="4" t="s">
        <v>9430</v>
      </c>
      <c r="E9442" s="4" t="str">
        <f>HYPERLINK("https://app.crepc.sk/?fn=detailBiblioForm&amp;sid=91A8077BCD3DC838EE7A6AA292")</f>
        <v>https://app.crepc.sk/?fn=detailBiblioForm&amp;sid=91A8077BCD3DC838EE7A6AA292</v>
      </c>
    </row>
    <row r="9443" spans="3:5" ht="60" x14ac:dyDescent="0.25">
      <c r="C9443" s="15">
        <v>62731</v>
      </c>
      <c r="D9443" s="4" t="s">
        <v>9431</v>
      </c>
      <c r="E9443" s="4" t="str">
        <f>HYPERLINK("https://app.crepc.sk/?fn=detailBiblioForm&amp;sid=71037278CA8165B0F42F77DB")</f>
        <v>https://app.crepc.sk/?fn=detailBiblioForm&amp;sid=71037278CA8165B0F42F77DB</v>
      </c>
    </row>
    <row r="9444" spans="3:5" ht="45" x14ac:dyDescent="0.25">
      <c r="C9444" s="15">
        <v>176747</v>
      </c>
      <c r="D9444" s="4" t="s">
        <v>9432</v>
      </c>
      <c r="E9444" s="4" t="str">
        <f>HYPERLINK("https://app.crepc.sk/?fn=detailBiblioForm&amp;sid=74611393D427AF19D0B4BE02B6")</f>
        <v>https://app.crepc.sk/?fn=detailBiblioForm&amp;sid=74611393D427AF19D0B4BE02B6</v>
      </c>
    </row>
    <row r="9445" spans="3:5" ht="45" x14ac:dyDescent="0.25">
      <c r="C9445" s="15">
        <v>83196</v>
      </c>
      <c r="D9445" s="4" t="s">
        <v>9433</v>
      </c>
      <c r="E9445" s="4" t="str">
        <f>HYPERLINK("https://app.crepc.sk/?fn=detailBiblioForm&amp;sid=0C57D2FA1BBE6555A7A9CF7C")</f>
        <v>https://app.crepc.sk/?fn=detailBiblioForm&amp;sid=0C57D2FA1BBE6555A7A9CF7C</v>
      </c>
    </row>
    <row r="9446" spans="3:5" ht="45" x14ac:dyDescent="0.25">
      <c r="C9446" s="15">
        <v>312255</v>
      </c>
      <c r="D9446" s="4" t="s">
        <v>9434</v>
      </c>
      <c r="E9446" s="4" t="str">
        <f>HYPERLINK("https://app.crepc.sk/?fn=detailBiblioForm&amp;sid=710241CBC6D4101CBC9085ADCA")</f>
        <v>https://app.crepc.sk/?fn=detailBiblioForm&amp;sid=710241CBC6D4101CBC9085ADCA</v>
      </c>
    </row>
    <row r="9447" spans="3:5" ht="45" x14ac:dyDescent="0.25">
      <c r="C9447" s="15">
        <v>72079</v>
      </c>
      <c r="D9447" s="4" t="s">
        <v>9435</v>
      </c>
      <c r="E9447" s="4" t="str">
        <f>HYPERLINK("https://app.crepc.sk/?fn=detailBiblioForm&amp;sid=DEE9F90A5155CF8CEF3B333E")</f>
        <v>https://app.crepc.sk/?fn=detailBiblioForm&amp;sid=DEE9F90A5155CF8CEF3B333E</v>
      </c>
    </row>
    <row r="9448" spans="3:5" ht="60" x14ac:dyDescent="0.25">
      <c r="C9448" s="15">
        <v>244656</v>
      </c>
      <c r="D9448" s="4" t="s">
        <v>9436</v>
      </c>
      <c r="E9448" s="4" t="str">
        <f>HYPERLINK("https://app.crepc.sk/?fn=detailBiblioForm&amp;sid=5693C4557D2BC9900CB6BAE0E3")</f>
        <v>https://app.crepc.sk/?fn=detailBiblioForm&amp;sid=5693C4557D2BC9900CB6BAE0E3</v>
      </c>
    </row>
    <row r="9449" spans="3:5" ht="75" x14ac:dyDescent="0.25">
      <c r="C9449" s="15">
        <v>189496</v>
      </c>
      <c r="D9449" s="4" t="s">
        <v>9437</v>
      </c>
      <c r="E9449" s="4" t="str">
        <f>HYPERLINK("https://app.crepc.sk/?fn=detailBiblioForm&amp;sid=6E6F559206AEB7A17F07F336A3")</f>
        <v>https://app.crepc.sk/?fn=detailBiblioForm&amp;sid=6E6F559206AEB7A17F07F336A3</v>
      </c>
    </row>
    <row r="9450" spans="3:5" ht="45" x14ac:dyDescent="0.25">
      <c r="C9450" s="15">
        <v>139498</v>
      </c>
      <c r="D9450" s="4" t="s">
        <v>9438</v>
      </c>
      <c r="E9450" s="4" t="str">
        <f>HYPERLINK("https://app.crepc.sk/?fn=detailBiblioForm&amp;sid=A3F3DC538E4836F2769EBE03C8")</f>
        <v>https://app.crepc.sk/?fn=detailBiblioForm&amp;sid=A3F3DC538E4836F2769EBE03C8</v>
      </c>
    </row>
    <row r="9451" spans="3:5" ht="45" x14ac:dyDescent="0.25">
      <c r="C9451" s="15">
        <v>189490</v>
      </c>
      <c r="D9451" s="4" t="s">
        <v>9439</v>
      </c>
      <c r="E9451" s="4" t="str">
        <f>HYPERLINK("https://app.crepc.sk/?fn=detailBiblioForm&amp;sid=6E6F559206AEB7A17F01F336A3")</f>
        <v>https://app.crepc.sk/?fn=detailBiblioForm&amp;sid=6E6F559206AEB7A17F01F336A3</v>
      </c>
    </row>
    <row r="9452" spans="3:5" ht="45" x14ac:dyDescent="0.25">
      <c r="C9452" s="15">
        <v>215228</v>
      </c>
      <c r="D9452" s="4" t="s">
        <v>9440</v>
      </c>
      <c r="E9452" s="4" t="str">
        <f>HYPERLINK("https://app.crepc.sk/?fn=detailBiblioForm&amp;sid=232B0374A242225DB508E0C308")</f>
        <v>https://app.crepc.sk/?fn=detailBiblioForm&amp;sid=232B0374A242225DB508E0C308</v>
      </c>
    </row>
    <row r="9453" spans="3:5" ht="45" x14ac:dyDescent="0.25">
      <c r="C9453" s="15">
        <v>113949</v>
      </c>
      <c r="D9453" s="4" t="s">
        <v>9441</v>
      </c>
      <c r="E9453" s="4" t="str">
        <f>HYPERLINK("https://app.crepc.sk/?fn=detailBiblioForm&amp;sid=7B7A9511E55C101CDB17C367D7")</f>
        <v>https://app.crepc.sk/?fn=detailBiblioForm&amp;sid=7B7A9511E55C101CDB17C367D7</v>
      </c>
    </row>
    <row r="9454" spans="3:5" ht="45" x14ac:dyDescent="0.25">
      <c r="C9454" s="15">
        <v>60049</v>
      </c>
      <c r="D9454" s="4" t="s">
        <v>9442</v>
      </c>
      <c r="E9454" s="4" t="str">
        <f>HYPERLINK("https://app.crepc.sk/?fn=detailBiblioForm&amp;sid=D0B3DC8EF986D57EBCA3C18F")</f>
        <v>https://app.crepc.sk/?fn=detailBiblioForm&amp;sid=D0B3DC8EF986D57EBCA3C18F</v>
      </c>
    </row>
    <row r="9455" spans="3:5" ht="75" x14ac:dyDescent="0.25">
      <c r="C9455" s="15">
        <v>447493</v>
      </c>
      <c r="D9455" s="4" t="s">
        <v>9443</v>
      </c>
      <c r="E9455" s="4" t="str">
        <f>HYPERLINK("https://app.crepc.sk/?fn=detailBiblioForm&amp;sid=327AF501581769A164B55DFF58")</f>
        <v>https://app.crepc.sk/?fn=detailBiblioForm&amp;sid=327AF501581769A164B55DFF58</v>
      </c>
    </row>
    <row r="9456" spans="3:5" ht="75" x14ac:dyDescent="0.25">
      <c r="C9456" s="15">
        <v>161950</v>
      </c>
      <c r="D9456" s="4" t="s">
        <v>9444</v>
      </c>
      <c r="E9456" s="4" t="str">
        <f>HYPERLINK("https://app.crepc.sk/?fn=detailBiblioForm&amp;sid=3BEC39B52C756B70C80279B3D6")</f>
        <v>https://app.crepc.sk/?fn=detailBiblioForm&amp;sid=3BEC39B52C756B70C80279B3D6</v>
      </c>
    </row>
    <row r="9457" spans="3:5" ht="60" x14ac:dyDescent="0.25">
      <c r="C9457" s="15">
        <v>134470</v>
      </c>
      <c r="D9457" s="4" t="s">
        <v>9445</v>
      </c>
      <c r="E9457" s="4" t="str">
        <f>HYPERLINK("https://app.crepc.sk/?fn=detailBiblioForm&amp;sid=591608704B394480C11DB0D9E4")</f>
        <v>https://app.crepc.sk/?fn=detailBiblioForm&amp;sid=591608704B394480C11DB0D9E4</v>
      </c>
    </row>
  </sheetData>
  <mergeCells count="3">
    <mergeCell ref="B3:F3"/>
    <mergeCell ref="B2:E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Hárky</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janog</dc:creator>
  <cp:lastModifiedBy>pkruzlik</cp:lastModifiedBy>
  <cp:lastPrinted>2008-09-04T14:10:53Z</cp:lastPrinted>
  <dcterms:created xsi:type="dcterms:W3CDTF">2022-11-29T07:43:41Z</dcterms:created>
  <dcterms:modified xsi:type="dcterms:W3CDTF">2022-11-29T07:54:04Z</dcterms:modified>
</cp:coreProperties>
</file>